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showInkAnnotation="0" codeName="ThisWorkbook" defaultThemeVersion="124226"/>
  <mc:AlternateContent xmlns:mc="http://schemas.openxmlformats.org/markup-compatibility/2006">
    <mc:Choice Requires="x15">
      <x15ac:absPath xmlns:x15ac="http://schemas.microsoft.com/office/spreadsheetml/2010/11/ac" url="C:\Users\Teresa Pakalski\Box\Projects\Development\525 N Capitol\Finance\CDLAC\Application\Draft\"/>
    </mc:Choice>
  </mc:AlternateContent>
  <xr:revisionPtr revIDLastSave="0" documentId="13_ncr:1_{27D3A526-174B-4CAD-A1E8-29200A809A80}" xr6:coauthVersionLast="47" xr6:coauthVersionMax="47" xr10:uidLastSave="{00000000-0000-0000-0000-000000000000}"/>
  <bookViews>
    <workbookView xWindow="5070" yWindow="105" windowWidth="26130" windowHeight="21495" firstSheet="4" activeTab="4" xr2:uid="{5A14C18F-0A0E-4651-865C-87FAE562AB12}"/>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Forma'!$A$1:$AG$77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Forma'!$A$1:$AG$77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4" i="7" l="1"/>
  <c r="M24" i="7"/>
  <c r="O24" i="7"/>
  <c r="Q24" i="7" s="1"/>
  <c r="S24" i="7" s="1"/>
  <c r="U24" i="7" s="1"/>
  <c r="W24" i="7" s="1"/>
  <c r="Y24" i="7" s="1"/>
  <c r="AA24" i="7" s="1"/>
  <c r="AC24" i="7" s="1"/>
  <c r="AE24" i="7" s="1"/>
  <c r="AG24" i="7" s="1"/>
  <c r="I24" i="7"/>
  <c r="G24" i="7"/>
  <c r="T214" i="20"/>
  <c r="AG448" i="3" l="1"/>
  <c r="AG446" i="3" l="1"/>
  <c r="F87" i="13" l="1"/>
  <c r="C37" i="13" l="1"/>
  <c r="L65" i="21" l="1"/>
  <c r="BQ98" i="27" l="1"/>
  <c r="BQ97" i="27"/>
  <c r="BQ96" i="27"/>
  <c r="X752" i="3"/>
  <c r="AH752" i="3"/>
  <c r="BG701" i="3"/>
  <c r="BT701" i="3"/>
  <c r="BT702" i="3"/>
  <c r="BA700" i="3"/>
  <c r="BA701" i="3"/>
  <c r="AJ1019" i="3"/>
  <c r="P18" i="21"/>
  <c r="P20" i="27" l="1" a="1"/>
  <c r="P20" i="27" s="1"/>
  <c r="P19" i="27" a="1"/>
  <c r="P19" i="27" s="1"/>
  <c r="AO13" i="27"/>
  <c r="N11"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42" i="3"/>
  <c r="AY1022" i="3"/>
  <c r="G753" i="3"/>
  <c r="C757" i="3" s="1"/>
  <c r="AX679" i="20" l="1"/>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5" i="8"/>
  <c r="I15" i="8"/>
  <c r="J11" i="8"/>
  <c r="I11" i="8"/>
  <c r="J10" i="8"/>
  <c r="I10" i="8"/>
  <c r="J7" i="8"/>
  <c r="I7" i="8"/>
  <c r="J6" i="8"/>
  <c r="I6" i="8"/>
  <c r="J5" i="8"/>
  <c r="I5" i="8"/>
  <c r="J4" i="8"/>
  <c r="I4" i="8"/>
  <c r="AH743" i="3"/>
  <c r="AH741" i="3"/>
  <c r="AH740" i="3"/>
  <c r="AH739" i="3"/>
  <c r="AH738" i="3"/>
  <c r="AH737" i="3"/>
  <c r="AH736" i="3"/>
  <c r="AH735" i="3"/>
  <c r="AH734" i="3"/>
  <c r="AH733" i="3"/>
  <c r="AH732" i="3"/>
  <c r="AH731" i="3"/>
  <c r="AH729"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AH744" i="3" s="1"/>
  <c r="X745" i="3"/>
  <c r="AH745" i="3" s="1"/>
  <c r="X746" i="3"/>
  <c r="AH746" i="3" s="1"/>
  <c r="X747" i="3"/>
  <c r="AH747" i="3" s="1"/>
  <c r="X748" i="3"/>
  <c r="AH748" i="3" s="1"/>
  <c r="X749" i="3"/>
  <c r="AH749" i="3" s="1"/>
  <c r="X750" i="3"/>
  <c r="AH750" i="3" s="1"/>
  <c r="X751" i="3"/>
  <c r="AH751" i="3" s="1"/>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A40" i="7"/>
  <c r="E33" i="7"/>
  <c r="E32" i="7"/>
  <c r="E31" i="7"/>
  <c r="E30" i="7"/>
  <c r="E28" i="7"/>
  <c r="E27" i="7"/>
  <c r="E26" i="7"/>
  <c r="W847" i="3"/>
  <c r="E15" i="7" s="1"/>
  <c r="G15"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BX604" i="3"/>
  <c r="BX605" i="3"/>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10" i="3"/>
  <c r="AJ1012"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D64" i="15"/>
  <c r="AD67" i="15"/>
  <c r="W700" i="3"/>
  <c r="BG226" i="3"/>
  <c r="BG227" i="3"/>
  <c r="BG228" i="3"/>
  <c r="BG229" i="3"/>
  <c r="BG230" i="3"/>
  <c r="BG232" i="3"/>
  <c r="BG233" i="3"/>
  <c r="BG234" i="3"/>
  <c r="BG236" i="3"/>
  <c r="BG237" i="3"/>
  <c r="BG238" i="3"/>
  <c r="BG239" i="3"/>
  <c r="BG240" i="3"/>
  <c r="BG241" i="3"/>
  <c r="M232" i="3"/>
  <c r="AG450" i="3"/>
  <c r="O797" i="3"/>
  <c r="O777" i="3"/>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S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B66" i="4"/>
  <c r="B67" i="4"/>
  <c r="B68" i="4"/>
  <c r="B69" i="4"/>
  <c r="R66" i="4"/>
  <c r="R67" i="4"/>
  <c r="R68" i="4"/>
  <c r="A104" i="11"/>
  <c r="C101" i="11"/>
  <c r="C102" i="11"/>
  <c r="C103" i="11"/>
  <c r="C104" i="11"/>
  <c r="B101" i="11"/>
  <c r="B102" i="11"/>
  <c r="B103" i="11"/>
  <c r="B104" i="11"/>
  <c r="C88" i="11"/>
  <c r="D88" i="11" s="1"/>
  <c r="C89" i="11"/>
  <c r="C90" i="11"/>
  <c r="B88" i="11"/>
  <c r="B89" i="11"/>
  <c r="B90" i="11"/>
  <c r="A70" i="11"/>
  <c r="C67" i="11"/>
  <c r="C68" i="11"/>
  <c r="C69" i="11"/>
  <c r="C70" i="11"/>
  <c r="B67" i="11"/>
  <c r="B68" i="11"/>
  <c r="B69" i="11"/>
  <c r="B70" i="11"/>
  <c r="A62" i="11"/>
  <c r="A54" i="11"/>
  <c r="A38" i="11"/>
  <c r="A26" i="11"/>
  <c r="C35" i="11"/>
  <c r="D35" i="11" s="1"/>
  <c r="C38" i="11"/>
  <c r="B35" i="11"/>
  <c r="B38" i="11"/>
  <c r="C25" i="11"/>
  <c r="C26" i="11"/>
  <c r="B25" i="11"/>
  <c r="B26" i="11"/>
  <c r="D70" i="4"/>
  <c r="C70" i="4"/>
  <c r="B70" i="13" s="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G55" i="7"/>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9" i="3"/>
  <c r="BA470" i="3"/>
  <c r="B100" i="4"/>
  <c r="R100" i="4"/>
  <c r="AQ108" i="20"/>
  <c r="AQ109" i="20"/>
  <c r="AQ111" i="20"/>
  <c r="AQ116" i="20"/>
  <c r="AQ117" i="20"/>
  <c r="AQ118" i="20"/>
  <c r="AQ119" i="20"/>
  <c r="AQ120" i="20"/>
  <c r="AQ121" i="20"/>
  <c r="AQ122" i="20"/>
  <c r="AQ123" i="20"/>
  <c r="AQ124" i="20"/>
  <c r="AQ125" i="20"/>
  <c r="AQ126" i="20"/>
  <c r="AQ127" i="20"/>
  <c r="AQ128" i="20"/>
  <c r="AQ129" i="20"/>
  <c r="AQ130"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BA676" i="3"/>
  <c r="BA674"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B59" i="4"/>
  <c r="I96" i="13"/>
  <c r="J96" i="13"/>
  <c r="J81" i="13"/>
  <c r="I81" i="13"/>
  <c r="G81" i="13"/>
  <c r="D81" i="13"/>
  <c r="S70" i="4"/>
  <c r="E70" i="13" s="1"/>
  <c r="D81" i="4"/>
  <c r="F81" i="4"/>
  <c r="G81" i="4"/>
  <c r="H81" i="4"/>
  <c r="I81" i="4"/>
  <c r="J81" i="4"/>
  <c r="K81" i="4"/>
  <c r="L81" i="4"/>
  <c r="M81" i="4"/>
  <c r="N81" i="4"/>
  <c r="O81" i="4"/>
  <c r="O97" i="4" s="1"/>
  <c r="O105" i="4" s="1"/>
  <c r="P81" i="4"/>
  <c r="P97" i="4" s="1"/>
  <c r="P105" i="4" s="1"/>
  <c r="Q81" i="4"/>
  <c r="Q97" i="4" s="1"/>
  <c r="Q105"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H106" i="13"/>
  <c r="H99" i="13"/>
  <c r="H95" i="13"/>
  <c r="H94" i="13"/>
  <c r="H92" i="13"/>
  <c r="H91" i="13"/>
  <c r="H90" i="13"/>
  <c r="H89" i="13"/>
  <c r="H87" i="13"/>
  <c r="H86" i="13"/>
  <c r="H85" i="13"/>
  <c r="H84" i="13"/>
  <c r="H65" i="13"/>
  <c r="H53" i="13"/>
  <c r="H52" i="13"/>
  <c r="H51" i="13"/>
  <c r="H50" i="13"/>
  <c r="H49" i="13"/>
  <c r="H48" i="13"/>
  <c r="H47" i="13"/>
  <c r="H41" i="13"/>
  <c r="H37" i="13"/>
  <c r="H34" i="13"/>
  <c r="H27" i="13"/>
  <c r="H25" i="13"/>
  <c r="H23" i="13"/>
  <c r="H22" i="13"/>
  <c r="H21" i="13"/>
  <c r="H20" i="13"/>
  <c r="H19" i="13"/>
  <c r="H18" i="13"/>
  <c r="H17" i="13"/>
  <c r="H15" i="13"/>
  <c r="H14" i="13"/>
  <c r="H13" i="13"/>
  <c r="H10" i="13"/>
  <c r="H9" i="13"/>
  <c r="E106" i="13"/>
  <c r="E93" i="13"/>
  <c r="F93" i="13" s="1"/>
  <c r="E89" i="13"/>
  <c r="F89" i="13" s="1"/>
  <c r="E87" i="13"/>
  <c r="E65" i="13"/>
  <c r="F65" i="13" s="1"/>
  <c r="F70" i="13" s="1"/>
  <c r="E51" i="13"/>
  <c r="F51" i="13" s="1"/>
  <c r="E49" i="13"/>
  <c r="F49" i="13" s="1"/>
  <c r="E48" i="13"/>
  <c r="F48" i="13" s="1"/>
  <c r="E47" i="13"/>
  <c r="F47" i="13" s="1"/>
  <c r="E41" i="13"/>
  <c r="E37" i="13"/>
  <c r="F37" i="13" s="1"/>
  <c r="E34" i="13"/>
  <c r="F34" i="13" s="1"/>
  <c r="E27" i="13"/>
  <c r="E25" i="13"/>
  <c r="E23" i="13"/>
  <c r="E22" i="13"/>
  <c r="E21" i="13"/>
  <c r="E20" i="13"/>
  <c r="E19" i="13"/>
  <c r="E18" i="13"/>
  <c r="E17" i="13"/>
  <c r="E15" i="13"/>
  <c r="E14" i="13"/>
  <c r="E10" i="13"/>
  <c r="B89" i="13"/>
  <c r="C89" i="13" s="1"/>
  <c r="B88" i="13"/>
  <c r="C88" i="13" s="1"/>
  <c r="B87" i="13"/>
  <c r="C87" i="13" s="1"/>
  <c r="B76" i="13"/>
  <c r="B74" i="13"/>
  <c r="B73" i="13"/>
  <c r="B72" i="13"/>
  <c r="B65" i="13"/>
  <c r="C65" i="13" s="1"/>
  <c r="C70" i="13" s="1"/>
  <c r="B61" i="13"/>
  <c r="B60" i="13"/>
  <c r="B59" i="13"/>
  <c r="B58" i="13"/>
  <c r="C58" i="13" s="1"/>
  <c r="B57" i="13"/>
  <c r="B51" i="13"/>
  <c r="C51" i="13" s="1"/>
  <c r="B48" i="13"/>
  <c r="C48" i="13" s="1"/>
  <c r="B47" i="13"/>
  <c r="C47" i="13" s="1"/>
  <c r="B41" i="13"/>
  <c r="B37" i="13"/>
  <c r="B34" i="13"/>
  <c r="C34" i="13" s="1"/>
  <c r="B27" i="13"/>
  <c r="B25" i="13"/>
  <c r="B22" i="13"/>
  <c r="B17" i="13"/>
  <c r="B5" i="13"/>
  <c r="B6" i="13"/>
  <c r="B7" i="13"/>
  <c r="B9" i="13"/>
  <c r="B10" i="13"/>
  <c r="B14" i="13"/>
  <c r="B15" i="13"/>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c r="R103" i="4"/>
  <c r="R102" i="4"/>
  <c r="R101" i="4"/>
  <c r="R89" i="4"/>
  <c r="R88" i="4"/>
  <c r="R87" i="4"/>
  <c r="R76" i="4"/>
  <c r="R72" i="4"/>
  <c r="R73" i="4"/>
  <c r="R74" i="4"/>
  <c r="R69" i="4"/>
  <c r="R65" i="4"/>
  <c r="R70" i="4" s="1"/>
  <c r="R61" i="4"/>
  <c r="R60" i="4"/>
  <c r="R59" i="4"/>
  <c r="R58" i="4"/>
  <c r="R57" i="4"/>
  <c r="R51" i="4"/>
  <c r="R48" i="4"/>
  <c r="R47" i="4"/>
  <c r="R41" i="4"/>
  <c r="R37" i="4"/>
  <c r="R34" i="4"/>
  <c r="R27" i="4"/>
  <c r="R25" i="4"/>
  <c r="R23" i="4"/>
  <c r="R22" i="4"/>
  <c r="R21" i="4"/>
  <c r="R20" i="4"/>
  <c r="R19" i="4"/>
  <c r="R18" i="4"/>
  <c r="R17" i="4"/>
  <c r="R15" i="4"/>
  <c r="R14" i="4"/>
  <c r="R9" i="4"/>
  <c r="R11" i="4"/>
  <c r="R7" i="4"/>
  <c r="R6" i="4"/>
  <c r="R5" i="4"/>
  <c r="B6" i="11"/>
  <c r="C6" i="11"/>
  <c r="B7" i="11"/>
  <c r="C7" i="11"/>
  <c r="C8" i="11"/>
  <c r="B8" i="11"/>
  <c r="B10" i="11"/>
  <c r="B11" i="11"/>
  <c r="C10" i="11"/>
  <c r="C11" i="11"/>
  <c r="B15" i="11"/>
  <c r="C15" i="11"/>
  <c r="B16" i="11"/>
  <c r="C16" i="11"/>
  <c r="B18" i="11"/>
  <c r="C18" i="11"/>
  <c r="D18" i="11" s="1"/>
  <c r="B23" i="11"/>
  <c r="D23" i="11" s="1"/>
  <c r="C23" i="11"/>
  <c r="B28" i="11"/>
  <c r="C28" i="11"/>
  <c r="C42" i="11"/>
  <c r="B42" i="11"/>
  <c r="B48" i="11"/>
  <c r="B49" i="11"/>
  <c r="B52" i="11"/>
  <c r="C48" i="11"/>
  <c r="D48" i="11" s="1"/>
  <c r="C49" i="11"/>
  <c r="C52" i="11"/>
  <c r="B58" i="11"/>
  <c r="C58" i="11"/>
  <c r="B59" i="11"/>
  <c r="C59" i="11"/>
  <c r="B60" i="11"/>
  <c r="C60" i="11"/>
  <c r="B61" i="11"/>
  <c r="C61" i="11"/>
  <c r="B62" i="11"/>
  <c r="C62" i="11"/>
  <c r="B66" i="11"/>
  <c r="B71" i="11" s="1"/>
  <c r="C66" i="11"/>
  <c r="B73" i="11"/>
  <c r="C73" i="11"/>
  <c r="B74" i="11"/>
  <c r="C74" i="11"/>
  <c r="B75" i="11"/>
  <c r="C75" i="11"/>
  <c r="B77" i="11"/>
  <c r="C77" i="11"/>
  <c r="A4" i="8"/>
  <c r="A5" i="8"/>
  <c r="A6" i="8"/>
  <c r="D6" i="8"/>
  <c r="A7" i="8"/>
  <c r="D7" i="8"/>
  <c r="A8" i="8"/>
  <c r="A9" i="8"/>
  <c r="D9" i="8"/>
  <c r="I9" i="8" s="1"/>
  <c r="A10" i="8"/>
  <c r="A11" i="8"/>
  <c r="A12" i="8"/>
  <c r="A13" i="8"/>
  <c r="A14" i="8"/>
  <c r="D14" i="8"/>
  <c r="I14" i="8" s="1"/>
  <c r="J14" i="8" s="1"/>
  <c r="A15" i="8"/>
  <c r="D15" i="8"/>
  <c r="A16" i="8"/>
  <c r="D16" i="8"/>
  <c r="I16" i="8" s="1"/>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42" i="4"/>
  <c r="H42" i="13" s="1"/>
  <c r="T70" i="4"/>
  <c r="H70" i="13"/>
  <c r="C11" i="4"/>
  <c r="D8" i="4"/>
  <c r="D11" i="4"/>
  <c r="D26" i="4"/>
  <c r="D38" i="4"/>
  <c r="D42" i="4"/>
  <c r="D54" i="4"/>
  <c r="D62" i="4"/>
  <c r="D77" i="4"/>
  <c r="D96" i="4"/>
  <c r="D104" i="4"/>
  <c r="E26" i="13"/>
  <c r="F2" i="4"/>
  <c r="G2" i="4"/>
  <c r="H2" i="4"/>
  <c r="I2" i="4"/>
  <c r="J2" i="4"/>
  <c r="K2" i="4"/>
  <c r="L2" i="4"/>
  <c r="M2" i="4"/>
  <c r="N2" i="4"/>
  <c r="O2" i="4"/>
  <c r="P2" i="4"/>
  <c r="Q2" i="4"/>
  <c r="B5" i="4"/>
  <c r="B6" i="4"/>
  <c r="B7" i="4"/>
  <c r="E8" i="4"/>
  <c r="E12" i="4" s="1"/>
  <c r="F8" i="4"/>
  <c r="F12" i="4" s="1"/>
  <c r="G8" i="4"/>
  <c r="G11" i="4"/>
  <c r="H8" i="4"/>
  <c r="H12" i="4" s="1"/>
  <c r="H11" i="4"/>
  <c r="I11" i="4"/>
  <c r="J8" i="4"/>
  <c r="J11" i="4"/>
  <c r="J26" i="4"/>
  <c r="J42" i="4"/>
  <c r="J54" i="4"/>
  <c r="J62" i="4"/>
  <c r="J70" i="4"/>
  <c r="J77" i="4"/>
  <c r="J96" i="4"/>
  <c r="J104" i="4"/>
  <c r="K8" i="4"/>
  <c r="K11" i="4"/>
  <c r="L8" i="4"/>
  <c r="L11" i="4"/>
  <c r="M11" i="4"/>
  <c r="N8" i="4"/>
  <c r="O8" i="4"/>
  <c r="Q8" i="4"/>
  <c r="Q11" i="4"/>
  <c r="B9" i="4"/>
  <c r="B10" i="4"/>
  <c r="E11" i="4"/>
  <c r="F11" i="4"/>
  <c r="F26" i="4"/>
  <c r="F42" i="4"/>
  <c r="F54" i="4"/>
  <c r="F62" i="4"/>
  <c r="N11" i="4"/>
  <c r="O11" i="4"/>
  <c r="B14" i="4"/>
  <c r="B15" i="4"/>
  <c r="B17" i="4"/>
  <c r="B22" i="4"/>
  <c r="B25" i="4"/>
  <c r="E26" i="4"/>
  <c r="G26" i="4"/>
  <c r="H26" i="4"/>
  <c r="I26" i="4"/>
  <c r="I42" i="4"/>
  <c r="I54" i="4"/>
  <c r="I62" i="4"/>
  <c r="K26" i="4"/>
  <c r="L26" i="4"/>
  <c r="M26" i="4"/>
  <c r="M38" i="4"/>
  <c r="M42" i="4"/>
  <c r="M54" i="4"/>
  <c r="M62" i="4"/>
  <c r="M70" i="4"/>
  <c r="M77" i="4"/>
  <c r="M96" i="4"/>
  <c r="N26" i="4"/>
  <c r="N38" i="4"/>
  <c r="N42" i="4"/>
  <c r="N62" i="4"/>
  <c r="N70" i="4"/>
  <c r="N77" i="4"/>
  <c r="N96" i="4"/>
  <c r="N104" i="4"/>
  <c r="O26" i="4"/>
  <c r="P26" i="4"/>
  <c r="Q26" i="4"/>
  <c r="B27" i="4"/>
  <c r="B34" i="4"/>
  <c r="B37" i="4"/>
  <c r="L38" i="4"/>
  <c r="O38" i="4"/>
  <c r="P38" i="4"/>
  <c r="P42" i="4"/>
  <c r="P54" i="4"/>
  <c r="P62" i="4"/>
  <c r="P70" i="4"/>
  <c r="P77" i="4"/>
  <c r="P96" i="4"/>
  <c r="P104" i="4"/>
  <c r="Q38" i="4"/>
  <c r="B41" i="4"/>
  <c r="G42" i="4"/>
  <c r="H42" i="4"/>
  <c r="K42" i="4"/>
  <c r="L42" i="4"/>
  <c r="O42" i="4"/>
  <c r="Q42" i="4"/>
  <c r="B47" i="4"/>
  <c r="B48" i="4"/>
  <c r="B51" i="4"/>
  <c r="G54" i="4"/>
  <c r="H54" i="4"/>
  <c r="K54" i="4"/>
  <c r="L54" i="4"/>
  <c r="O54" i="4"/>
  <c r="Q54" i="4"/>
  <c r="B57" i="4"/>
  <c r="B58" i="4"/>
  <c r="B60" i="4"/>
  <c r="B61" i="4"/>
  <c r="G62" i="4"/>
  <c r="H62" i="4"/>
  <c r="K62" i="4"/>
  <c r="L62" i="4"/>
  <c r="O62" i="4"/>
  <c r="O70" i="4"/>
  <c r="O77" i="4"/>
  <c r="O96" i="4"/>
  <c r="O104" i="4"/>
  <c r="Q62" i="4"/>
  <c r="B65" i="4"/>
  <c r="E70" i="4"/>
  <c r="F70" i="4"/>
  <c r="G70" i="4"/>
  <c r="H70" i="4"/>
  <c r="I70" i="4"/>
  <c r="K70" i="4"/>
  <c r="L70" i="4"/>
  <c r="Q70" i="4"/>
  <c r="B72" i="4"/>
  <c r="B73" i="4"/>
  <c r="B74" i="4"/>
  <c r="B76" i="4"/>
  <c r="F77" i="4"/>
  <c r="G77" i="4"/>
  <c r="H77" i="4"/>
  <c r="I77" i="4"/>
  <c r="K77" i="4"/>
  <c r="L77" i="4"/>
  <c r="Q77" i="4"/>
  <c r="B87" i="4"/>
  <c r="B88" i="4"/>
  <c r="B89" i="4"/>
  <c r="F96" i="4"/>
  <c r="G96" i="4"/>
  <c r="H96" i="4"/>
  <c r="I96" i="4"/>
  <c r="K96" i="4"/>
  <c r="L96" i="4"/>
  <c r="Q96" i="4"/>
  <c r="B101" i="4"/>
  <c r="B102" i="4"/>
  <c r="B103" i="4"/>
  <c r="F104" i="4"/>
  <c r="G104" i="4"/>
  <c r="H104" i="4"/>
  <c r="I104" i="4"/>
  <c r="Q104"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20" i="3"/>
  <c r="X721" i="3"/>
  <c r="X723"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D49" i="11"/>
  <c r="I63" i="13"/>
  <c r="I97" i="13"/>
  <c r="I105" i="13"/>
  <c r="I107" i="13"/>
  <c r="J63" i="13"/>
  <c r="J97" i="13"/>
  <c r="J105" i="13"/>
  <c r="J107" i="13"/>
  <c r="L12" i="4"/>
  <c r="D70" i="11"/>
  <c r="D52" i="11"/>
  <c r="G12" i="4"/>
  <c r="D6" i="11"/>
  <c r="L63" i="4"/>
  <c r="Q12" i="4"/>
  <c r="B11" i="4"/>
  <c r="O63" i="4"/>
  <c r="D10" i="11"/>
  <c r="G63" i="13"/>
  <c r="G97" i="13"/>
  <c r="G105" i="13"/>
  <c r="G107" i="13"/>
  <c r="D61" i="11"/>
  <c r="D8" i="11"/>
  <c r="D102" i="11"/>
  <c r="K12" i="4"/>
  <c r="D7" i="11"/>
  <c r="J12" i="4"/>
  <c r="O12" i="4"/>
  <c r="D25" i="11"/>
  <c r="B11" i="13"/>
  <c r="D73" i="11"/>
  <c r="D15" i="11"/>
  <c r="D63" i="13"/>
  <c r="D97" i="13"/>
  <c r="D105" i="13"/>
  <c r="Q63" i="4"/>
  <c r="N12" i="4"/>
  <c r="D60" i="11"/>
  <c r="D74" i="11"/>
  <c r="D38" i="11"/>
  <c r="P63" i="4"/>
  <c r="D12" i="13"/>
  <c r="D58" i="11"/>
  <c r="D62" i="11"/>
  <c r="D101" i="11"/>
  <c r="D75" i="11"/>
  <c r="D28" i="11"/>
  <c r="D103" i="11"/>
  <c r="D42" i="11"/>
  <c r="D16" i="11"/>
  <c r="B12" i="11"/>
  <c r="R26" i="4"/>
  <c r="AD199" i="20"/>
  <c r="D77" i="11"/>
  <c r="C12" i="11"/>
  <c r="D104" i="11"/>
  <c r="D11" i="11"/>
  <c r="D12" i="11"/>
  <c r="C71" i="11" l="1"/>
  <c r="D63" i="4"/>
  <c r="L97" i="4"/>
  <c r="D12" i="4"/>
  <c r="D97" i="4"/>
  <c r="D105" i="4" s="1"/>
  <c r="AH728" i="3"/>
  <c r="J9" i="8"/>
  <c r="AH730" i="3"/>
  <c r="J16" i="8"/>
  <c r="G58" i="7"/>
  <c r="I55" i="7"/>
  <c r="K55" i="7" s="1"/>
  <c r="M55" i="7" s="1"/>
  <c r="O55" i="7" s="1"/>
  <c r="Q55" i="7" s="1"/>
  <c r="S55" i="7" s="1"/>
  <c r="U55" i="7" s="1"/>
  <c r="W55" i="7" s="1"/>
  <c r="Y55" i="7" s="1"/>
  <c r="AA55" i="7" s="1"/>
  <c r="AC55" i="7" s="1"/>
  <c r="AE55" i="7" s="1"/>
  <c r="AG55" i="7" s="1"/>
  <c r="K53" i="7"/>
  <c r="I58" i="7"/>
  <c r="O54" i="7"/>
  <c r="Q30" i="21" a="1"/>
  <c r="Q30" i="21" s="1"/>
  <c r="D59" i="11"/>
  <c r="D90" i="11"/>
  <c r="AH720" i="3"/>
  <c r="H36" i="13"/>
  <c r="H43" i="13"/>
  <c r="H40" i="13"/>
  <c r="AH723" i="3"/>
  <c r="D89" i="11"/>
  <c r="D71" i="11"/>
  <c r="D66" i="11"/>
  <c r="B70" i="4"/>
  <c r="G67" i="21"/>
  <c r="AH721" i="3"/>
  <c r="R44" i="21"/>
  <c r="AY1002" i="3"/>
  <c r="I1047" i="3" s="1"/>
  <c r="C798" i="3"/>
  <c r="AE28"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B223" i="20"/>
  <c r="AB239" i="20" s="1"/>
  <c r="AB241" i="20" s="1"/>
  <c r="AB243" i="20" s="1"/>
  <c r="AB249" i="20" s="1"/>
  <c r="AD198" i="20" s="1"/>
  <c r="AD200" i="20" s="1"/>
  <c r="AO65" i="20"/>
  <c r="AP364" i="20"/>
  <c r="AQ364" i="20" s="1"/>
  <c r="AK524" i="20"/>
  <c r="T802" i="20" s="1"/>
  <c r="AF802" i="20" s="1"/>
  <c r="BG703" i="3"/>
  <c r="BS632" i="3"/>
  <c r="EC648" i="3" s="1"/>
  <c r="EC597" i="3"/>
  <c r="Y7" i="15"/>
  <c r="AI7" i="15"/>
  <c r="BN632" i="3"/>
  <c r="DX669" i="3" s="1"/>
  <c r="CS632" i="3"/>
  <c r="BG632" i="3"/>
  <c r="X1047" i="3" s="1"/>
  <c r="AC28" i="7"/>
  <c r="AG28" i="7"/>
  <c r="Y28" i="7"/>
  <c r="U28" i="7"/>
  <c r="S28" i="7"/>
  <c r="Q28" i="7"/>
  <c r="W28" i="7"/>
  <c r="I28" i="7"/>
  <c r="O28" i="7"/>
  <c r="AA28" i="7"/>
  <c r="G28" i="7"/>
  <c r="M28" i="7"/>
  <c r="K28" i="7"/>
  <c r="AK172" i="20"/>
  <c r="AP355" i="20"/>
  <c r="AQ355" i="20" s="1"/>
  <c r="AS349"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T30" i="2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Q28" i="21" a="1"/>
  <c r="Q28" i="21" s="1"/>
  <c r="AG445" i="3"/>
  <c r="AD27" i="15" s="1"/>
  <c r="DR632" i="3"/>
  <c r="S24" i="21"/>
  <c r="D26" i="11"/>
  <c r="S30" i="21"/>
  <c r="O40" i="21"/>
  <c r="T7" i="15"/>
  <c r="Q44" i="21" a="1"/>
  <c r="Q44" i="21" s="1"/>
  <c r="O36" i="21"/>
  <c r="P36" i="21" a="1"/>
  <c r="P36" i="21" s="1"/>
  <c r="S28" i="21"/>
  <c r="P40" i="21" a="1"/>
  <c r="P40" i="21" s="1"/>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CS648" i="3"/>
  <c r="CS655" i="3" s="1"/>
  <c r="BN655" i="3"/>
  <c r="P39" i="21" a="1"/>
  <c r="P39" i="21" s="1"/>
  <c r="O39" i="21"/>
  <c r="R31" i="21"/>
  <c r="T36" i="21"/>
  <c r="O31"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R34" i="21"/>
  <c r="T42" i="21"/>
  <c r="T34" i="21"/>
  <c r="Q33" i="21" a="1"/>
  <c r="Q33" i="21" s="1"/>
  <c r="T25" i="21"/>
  <c r="O43" i="21"/>
  <c r="Q24" i="21" a="1"/>
  <c r="Q24" i="21" s="1"/>
  <c r="E25" i="21"/>
  <c r="G53" i="21"/>
  <c r="E24" i="21"/>
  <c r="E22" i="21"/>
  <c r="F22" i="21" s="1"/>
  <c r="G40" i="8"/>
  <c r="I15" i="7"/>
  <c r="E26" i="21"/>
  <c r="E23" i="21"/>
  <c r="F23" i="21" s="1"/>
  <c r="G23" i="21" s="1"/>
  <c r="K58" i="7" l="1"/>
  <c r="M53" i="7"/>
  <c r="Q54" i="7"/>
  <c r="AJ610" i="20"/>
  <c r="G62" i="21"/>
  <c r="AY1004" i="3"/>
  <c r="BH702" i="3"/>
  <c r="BI702" i="3" s="1"/>
  <c r="BH701" i="3"/>
  <c r="BI701" i="3" s="1"/>
  <c r="BU669" i="3"/>
  <c r="BU677" i="3"/>
  <c r="BU685" i="3"/>
  <c r="BV685" i="3" s="1"/>
  <c r="BU693" i="3"/>
  <c r="BV693" i="3" s="1"/>
  <c r="BU702" i="3"/>
  <c r="BV702" i="3" s="1"/>
  <c r="BU670" i="3"/>
  <c r="BV670" i="3" s="1"/>
  <c r="BU678" i="3"/>
  <c r="BV678" i="3" s="1"/>
  <c r="BU686" i="3"/>
  <c r="BV686" i="3" s="1"/>
  <c r="BU694" i="3"/>
  <c r="BV694" i="3" s="1"/>
  <c r="BU668" i="3"/>
  <c r="BU671" i="3"/>
  <c r="BV671" i="3" s="1"/>
  <c r="BU679" i="3"/>
  <c r="BV679" i="3" s="1"/>
  <c r="BU687" i="3"/>
  <c r="BV687" i="3" s="1"/>
  <c r="BU695" i="3"/>
  <c r="BV695" i="3" s="1"/>
  <c r="BU681" i="3"/>
  <c r="BV681" i="3" s="1"/>
  <c r="BU689" i="3"/>
  <c r="BV689" i="3" s="1"/>
  <c r="BU698" i="3"/>
  <c r="BV698" i="3" s="1"/>
  <c r="BU684" i="3"/>
  <c r="BV684" i="3" s="1"/>
  <c r="BU700" i="3"/>
  <c r="BV700" i="3" s="1"/>
  <c r="BU672" i="3"/>
  <c r="BU680" i="3"/>
  <c r="BV680" i="3" s="1"/>
  <c r="BU688" i="3"/>
  <c r="BV688" i="3" s="1"/>
  <c r="BU696" i="3"/>
  <c r="BV696" i="3" s="1"/>
  <c r="BU673" i="3"/>
  <c r="BV673" i="3" s="1"/>
  <c r="BU697" i="3"/>
  <c r="BV697" i="3" s="1"/>
  <c r="BU674" i="3"/>
  <c r="BU682" i="3"/>
  <c r="BV682" i="3" s="1"/>
  <c r="BU690" i="3"/>
  <c r="BV690" i="3" s="1"/>
  <c r="BU676" i="3"/>
  <c r="BU692" i="3"/>
  <c r="BV692" i="3" s="1"/>
  <c r="BU675" i="3"/>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53" i="3"/>
  <c r="DX657" i="3"/>
  <c r="EC652" i="3"/>
  <c r="I1051" i="3"/>
  <c r="AY1005" i="3" s="1"/>
  <c r="T804" i="20"/>
  <c r="AF804" i="20" s="1"/>
  <c r="Y27" i="15"/>
  <c r="AI27" i="15"/>
  <c r="T793" i="20"/>
  <c r="AF793" i="20" s="1"/>
  <c r="AK78" i="20"/>
  <c r="T27" i="15"/>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CS641" i="3"/>
  <c r="EC642" i="3"/>
  <c r="AW111" i="20"/>
  <c r="AW114" i="20"/>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54" i="3"/>
  <c r="EH639" i="3"/>
  <c r="EH651" i="3"/>
  <c r="EH635" i="3"/>
  <c r="EH647" i="3"/>
  <c r="EH645" i="3"/>
  <c r="EH649" i="3"/>
  <c r="EH650" i="3"/>
  <c r="EH669" i="3"/>
  <c r="EH638" i="3"/>
  <c r="EH652" i="3"/>
  <c r="EH648" i="3"/>
  <c r="EH636" i="3"/>
  <c r="CB634"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EW651" i="3"/>
  <c r="DX637"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38" i="3"/>
  <c r="EM648" i="3"/>
  <c r="EH637" i="3"/>
  <c r="DR657" i="3"/>
  <c r="EM635" i="3"/>
  <c r="EM643" i="3"/>
  <c r="K15" i="7"/>
  <c r="E27" i="21"/>
  <c r="G22" i="21"/>
  <c r="O53" i="7" l="1"/>
  <c r="M58" i="7"/>
  <c r="S54" i="7"/>
  <c r="O28" i="21"/>
  <c r="P28" i="21" s="1" a="1"/>
  <c r="P28" i="21" s="1"/>
  <c r="R28" i="21" s="1"/>
  <c r="O32" i="21"/>
  <c r="P32" i="21" s="1" a="1"/>
  <c r="P32" i="21" s="1"/>
  <c r="R32" i="21" s="1"/>
  <c r="O30" i="21"/>
  <c r="P30" i="21" s="1" a="1"/>
  <c r="P30" i="21" s="1"/>
  <c r="R30" i="21" s="1"/>
  <c r="O29" i="21"/>
  <c r="P29" i="21" s="1" a="1"/>
  <c r="P29" i="21" s="1"/>
  <c r="R29" i="21" s="1"/>
  <c r="O24" i="21"/>
  <c r="P24" i="21" s="1" a="1"/>
  <c r="P24" i="21" s="1"/>
  <c r="R24" i="21" s="1"/>
  <c r="O33" i="21"/>
  <c r="P33" i="21" s="1" a="1"/>
  <c r="P33" i="21" s="1"/>
  <c r="R33" i="21" s="1"/>
  <c r="O27" i="21"/>
  <c r="P27" i="21" s="1" a="1"/>
  <c r="P27" i="21" s="1"/>
  <c r="R27" i="21" s="1"/>
  <c r="O26" i="21"/>
  <c r="P26" i="21" s="1" a="1"/>
  <c r="P26" i="21" s="1"/>
  <c r="R26" i="21" s="1"/>
  <c r="O25" i="21"/>
  <c r="P25" i="21" s="1" a="1"/>
  <c r="P25" i="21" s="1"/>
  <c r="R25" i="21" s="1"/>
  <c r="BH703" i="3"/>
  <c r="Y23" i="15"/>
  <c r="Y26" i="15" s="1"/>
  <c r="Y28" i="15"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AW116" i="20"/>
  <c r="AK180" i="20"/>
  <c r="T800" i="20" s="1"/>
  <c r="AF800" i="20" s="1"/>
  <c r="T794" i="20"/>
  <c r="AF794" i="20" s="1"/>
  <c r="K8" i="7"/>
  <c r="M8" i="7" s="1"/>
  <c r="EW670" i="3"/>
  <c r="AD124" i="20" s="1"/>
  <c r="AD127" i="20" s="1"/>
  <c r="AD130" i="20" s="1"/>
  <c r="ER670" i="3"/>
  <c r="Y124" i="20" s="1"/>
  <c r="Y127" i="20" s="1"/>
  <c r="Y130" i="20" s="1"/>
  <c r="CS634" i="3"/>
  <c r="O756" i="3" s="1"/>
  <c r="AJ985" i="3"/>
  <c r="AB989" i="3"/>
  <c r="AJ989" i="3" s="1"/>
  <c r="M15" i="7"/>
  <c r="F25" i="21"/>
  <c r="G54" i="21"/>
  <c r="G56" i="21" s="1"/>
  <c r="G58" i="21" s="1"/>
  <c r="E12" i="21" s="1"/>
  <c r="F26" i="21"/>
  <c r="G26" i="21" s="1"/>
  <c r="G45" i="21"/>
  <c r="G47" i="21" s="1"/>
  <c r="G49" i="21" s="1"/>
  <c r="E11" i="21" s="1"/>
  <c r="Q53" i="7" l="1"/>
  <c r="O58" i="7"/>
  <c r="U54" i="7"/>
  <c r="G38" i="21"/>
  <c r="G40" i="21" s="1"/>
  <c r="E10" i="21" s="1"/>
  <c r="AP694" i="20"/>
  <c r="AJ700" i="20" s="1"/>
  <c r="AK783" i="20" s="1"/>
  <c r="T808" i="20" s="1"/>
  <c r="AF808" i="20" s="1"/>
  <c r="AP695" i="20"/>
  <c r="K9" i="7"/>
  <c r="AJ991" i="3"/>
  <c r="AB990" i="3"/>
  <c r="CS660" i="3"/>
  <c r="U362" i="20" s="1"/>
  <c r="P421" i="3"/>
  <c r="O15" i="7"/>
  <c r="M9" i="7"/>
  <c r="O8" i="7"/>
  <c r="G25" i="21"/>
  <c r="F24" i="21"/>
  <c r="S53" i="7" l="1"/>
  <c r="Q58" i="7"/>
  <c r="W54" i="7"/>
  <c r="AJ1044" i="3"/>
  <c r="AP541" i="20" s="1"/>
  <c r="AJ1048" i="3"/>
  <c r="AP542" i="20" s="1"/>
  <c r="B1059" i="3"/>
  <c r="AJ1006" i="3"/>
  <c r="AJ1028" i="3"/>
  <c r="AJ993" i="3"/>
  <c r="I13" i="21" s="1"/>
  <c r="AP539" i="20"/>
  <c r="G24" i="21"/>
  <c r="F27" i="21"/>
  <c r="G27" i="21"/>
  <c r="Q15" i="7"/>
  <c r="O9" i="7"/>
  <c r="Q8" i="7"/>
  <c r="U53" i="7" l="1"/>
  <c r="S58" i="7"/>
  <c r="Y54" i="7"/>
  <c r="AP543" i="20"/>
  <c r="AZ846" i="3"/>
  <c r="AZ843" i="3"/>
  <c r="AJ1052" i="3"/>
  <c r="T24" i="15" s="1"/>
  <c r="S15" i="7"/>
  <c r="G95" i="21"/>
  <c r="G96" i="21" s="1"/>
  <c r="G29" i="21"/>
  <c r="G31" i="21" s="1"/>
  <c r="E9" i="21" s="1"/>
  <c r="G104" i="21"/>
  <c r="G106" i="21" s="1"/>
  <c r="G79" i="21"/>
  <c r="G64" i="21"/>
  <c r="Q9" i="7"/>
  <c r="S8" i="7"/>
  <c r="W53" i="7" l="1"/>
  <c r="U58" i="7"/>
  <c r="AA54" i="7"/>
  <c r="AZ851" i="3"/>
  <c r="AP546" i="20"/>
  <c r="AP545" i="20" s="1"/>
  <c r="AP548" i="20" s="1"/>
  <c r="AF541" i="20" s="1"/>
  <c r="G69" i="21"/>
  <c r="G81" i="21"/>
  <c r="G65" i="21"/>
  <c r="U15" i="7"/>
  <c r="E14" i="21"/>
  <c r="E15" i="21" s="1"/>
  <c r="U8" i="7"/>
  <c r="S9" i="7"/>
  <c r="Y53" i="7" l="1"/>
  <c r="W58" i="7"/>
  <c r="AC54" i="7"/>
  <c r="W15" i="7"/>
  <c r="G83" i="21"/>
  <c r="E13" i="21" s="1"/>
  <c r="E16" i="21" s="1"/>
  <c r="H3" i="21" s="1"/>
  <c r="U9" i="7"/>
  <c r="W8" i="7"/>
  <c r="AA53" i="7" l="1"/>
  <c r="Y58" i="7"/>
  <c r="AE54" i="7"/>
  <c r="Y15" i="7"/>
  <c r="W9" i="7"/>
  <c r="Y8" i="7"/>
  <c r="AC53" i="7" l="1"/>
  <c r="AA58" i="7"/>
  <c r="AG54" i="7"/>
  <c r="AA15" i="7"/>
  <c r="Y9" i="7"/>
  <c r="AA8" i="7"/>
  <c r="AE53" i="7" l="1"/>
  <c r="AC58" i="7"/>
  <c r="AC15" i="7"/>
  <c r="AC8" i="7"/>
  <c r="AA9" i="7"/>
  <c r="AG53" i="7" l="1"/>
  <c r="AG58" i="7" s="1"/>
  <c r="AE58" i="7"/>
  <c r="AE15" i="7"/>
  <c r="AC9" i="7"/>
  <c r="AE8" i="7"/>
  <c r="AG15" i="7" l="1"/>
  <c r="AE9" i="7"/>
  <c r="AG8" i="7"/>
  <c r="AG9" i="7" s="1"/>
  <c r="BI693" i="3" l="1"/>
  <c r="BI703" i="3" l="1"/>
  <c r="AC753" i="3" s="1"/>
  <c r="E87" i="20" l="1"/>
  <c r="E88" i="20" s="1"/>
  <c r="E89" i="20" s="1"/>
  <c r="AP89" i="20" s="1"/>
  <c r="E97" i="20"/>
  <c r="E100" i="20" s="1"/>
  <c r="AP100" i="20" s="1"/>
  <c r="AK103" i="20" l="1"/>
  <c r="T795" i="20" s="1"/>
  <c r="AF795" i="20" s="1"/>
  <c r="H108" i="4"/>
  <c r="B19" i="11" l="1"/>
  <c r="C19" i="11"/>
  <c r="B20" i="11"/>
  <c r="B27" i="11" s="1"/>
  <c r="C20" i="11"/>
  <c r="B21" i="11"/>
  <c r="C21" i="11"/>
  <c r="D21" i="11" s="1"/>
  <c r="B22" i="11"/>
  <c r="C22" i="11"/>
  <c r="B24" i="11"/>
  <c r="C24" i="11"/>
  <c r="D24" i="11" s="1"/>
  <c r="B18" i="13"/>
  <c r="B19" i="13"/>
  <c r="B20" i="13"/>
  <c r="B21" i="13"/>
  <c r="B23" i="13"/>
  <c r="B18" i="4"/>
  <c r="B19" i="4"/>
  <c r="B20" i="4"/>
  <c r="B21" i="4"/>
  <c r="B23" i="4"/>
  <c r="C26" i="4"/>
  <c r="B26" i="4" s="1"/>
  <c r="D22" i="11" l="1"/>
  <c r="D19" i="11"/>
  <c r="D27" i="11" s="1"/>
  <c r="C27" i="11"/>
  <c r="D20" i="11"/>
  <c r="B26" i="13"/>
  <c r="T22" i="15"/>
  <c r="H29" i="13" l="1"/>
  <c r="H30" i="13" l="1"/>
  <c r="H31" i="13"/>
  <c r="H32" i="13"/>
  <c r="H33" i="13"/>
  <c r="H35" i="13"/>
  <c r="T38" i="4"/>
  <c r="H38" i="13" s="1"/>
  <c r="H45" i="13"/>
  <c r="H46" i="13"/>
  <c r="T54" i="4"/>
  <c r="H54" i="13" s="1"/>
  <c r="T63" i="4" l="1"/>
  <c r="H63" i="13" l="1"/>
  <c r="H79" i="13"/>
  <c r="H80" i="13"/>
  <c r="T81" i="4"/>
  <c r="H81" i="13" l="1"/>
  <c r="B94" i="11"/>
  <c r="C94" i="11"/>
  <c r="D94" i="11" s="1"/>
  <c r="B93" i="13"/>
  <c r="C93" i="13" s="1"/>
  <c r="B93" i="4"/>
  <c r="R93" i="4"/>
  <c r="T93" i="4" s="1"/>
  <c r="H93" i="13" l="1"/>
  <c r="T96" i="4"/>
  <c r="T97" i="4" l="1"/>
  <c r="H96" i="13"/>
  <c r="H97" i="13" l="1"/>
  <c r="T105" i="4"/>
  <c r="H105" i="13" l="1"/>
  <c r="T107" i="4"/>
  <c r="H107" i="13" s="1"/>
  <c r="AD11" i="15" s="1"/>
  <c r="AD23" i="15" s="1"/>
  <c r="AD26" i="15" s="1"/>
  <c r="AD28" i="15" s="1"/>
  <c r="E19" i="7" l="1"/>
  <c r="G19" i="7" l="1"/>
  <c r="I19" i="7" l="1"/>
  <c r="K19" i="7" l="1"/>
  <c r="M19" i="7" l="1"/>
  <c r="O19" i="7" l="1"/>
  <c r="Q19" i="7" l="1"/>
  <c r="S19" i="7" l="1"/>
  <c r="U19" i="7" l="1"/>
  <c r="W19" i="7" l="1"/>
  <c r="Y19" i="7" l="1"/>
  <c r="AA19" i="7" l="1"/>
  <c r="AC19" i="7" l="1"/>
  <c r="AE19" i="7" l="1"/>
  <c r="AG19" i="7" l="1"/>
  <c r="R85" i="4" l="1"/>
  <c r="C86" i="11"/>
  <c r="B86" i="11"/>
  <c r="B85" i="13"/>
  <c r="C85" i="13" s="1"/>
  <c r="B85" i="4"/>
  <c r="E85" i="13"/>
  <c r="F85" i="13" s="1"/>
  <c r="D86" i="11" l="1"/>
  <c r="C30" i="11" l="1"/>
  <c r="B30" i="11"/>
  <c r="B29" i="4"/>
  <c r="B29" i="13"/>
  <c r="C29" i="13" s="1"/>
  <c r="D30" i="11" l="1"/>
  <c r="H38" i="4"/>
  <c r="H63" i="4" s="1"/>
  <c r="H97" i="4" s="1"/>
  <c r="H105" i="4" s="1"/>
  <c r="R29" i="4"/>
  <c r="G108" i="4" l="1"/>
  <c r="G38" i="4" s="1"/>
  <c r="G63" i="4" s="1"/>
  <c r="G97" i="4" s="1"/>
  <c r="G105" i="4" s="1"/>
  <c r="I8" i="4" l="1"/>
  <c r="I12" i="4" s="1"/>
  <c r="C5" i="11" l="1"/>
  <c r="B4" i="13"/>
  <c r="C4" i="13" s="1"/>
  <c r="C8" i="13" s="1"/>
  <c r="C12" i="13" s="1"/>
  <c r="B4" i="4"/>
  <c r="B5" i="11"/>
  <c r="B9" i="11" s="1"/>
  <c r="B13" i="11" s="1"/>
  <c r="C8" i="4"/>
  <c r="B37" i="11"/>
  <c r="B36" i="13"/>
  <c r="C36" i="13" s="1"/>
  <c r="B36" i="4"/>
  <c r="R36" i="4"/>
  <c r="E36" i="13" s="1"/>
  <c r="F36" i="13" s="1"/>
  <c r="C37" i="11"/>
  <c r="B95" i="11"/>
  <c r="C95" i="11"/>
  <c r="B94" i="4"/>
  <c r="R94" i="4"/>
  <c r="B94" i="13"/>
  <c r="C94" i="13" s="1"/>
  <c r="R50" i="4"/>
  <c r="B50" i="4"/>
  <c r="B50" i="13"/>
  <c r="C50" i="13" s="1"/>
  <c r="C51" i="11"/>
  <c r="B51" i="11"/>
  <c r="R90" i="4"/>
  <c r="B90" i="4"/>
  <c r="C91" i="11"/>
  <c r="B90" i="13"/>
  <c r="C90" i="13" s="1"/>
  <c r="B91" i="11"/>
  <c r="B92" i="13"/>
  <c r="C92" i="13" s="1"/>
  <c r="B92" i="4"/>
  <c r="B93" i="11"/>
  <c r="R92" i="4"/>
  <c r="C93" i="11"/>
  <c r="E50" i="13"/>
  <c r="F50" i="13" s="1"/>
  <c r="E92" i="13"/>
  <c r="F92" i="13" s="1"/>
  <c r="E90" i="13"/>
  <c r="F90" i="13" s="1"/>
  <c r="D91" i="11" l="1"/>
  <c r="D51" i="11"/>
  <c r="R4" i="4"/>
  <c r="R8" i="4" s="1"/>
  <c r="R12" i="4" s="1"/>
  <c r="M8" i="4"/>
  <c r="B8" i="4"/>
  <c r="B8" i="13"/>
  <c r="C12" i="4"/>
  <c r="B12" i="13" s="1"/>
  <c r="R53" i="4"/>
  <c r="B53" i="13"/>
  <c r="C53" i="13" s="1"/>
  <c r="B54" i="11"/>
  <c r="B53" i="4"/>
  <c r="C54" i="11"/>
  <c r="D93" i="11"/>
  <c r="D95" i="11"/>
  <c r="D5" i="11"/>
  <c r="C9" i="11"/>
  <c r="E53" i="13"/>
  <c r="F53" i="13" s="1"/>
  <c r="D54" i="11" l="1"/>
  <c r="N187" i="27"/>
  <c r="B12" i="4"/>
  <c r="C13" i="11"/>
  <c r="D13" i="11" s="1"/>
  <c r="D9" i="11"/>
  <c r="M12" i="4"/>
  <c r="M63" i="4"/>
  <c r="M97" i="4" s="1"/>
  <c r="R84" i="4"/>
  <c r="B84" i="13"/>
  <c r="C84" i="13" s="1"/>
  <c r="B84" i="4"/>
  <c r="B85" i="11"/>
  <c r="C85" i="11"/>
  <c r="D85" i="11" l="1"/>
  <c r="E84" i="13"/>
  <c r="F84" i="13" s="1"/>
  <c r="R95" i="4"/>
  <c r="B96" i="11"/>
  <c r="C96" i="11"/>
  <c r="B95" i="13"/>
  <c r="C95" i="13" s="1"/>
  <c r="B95" i="4"/>
  <c r="E95" i="13"/>
  <c r="F95" i="13" s="1"/>
  <c r="D96" i="11" l="1"/>
  <c r="B40" i="13" l="1"/>
  <c r="C40" i="13" s="1"/>
  <c r="C42" i="13" s="1"/>
  <c r="C41" i="11"/>
  <c r="C42" i="4"/>
  <c r="B40" i="4"/>
  <c r="B41" i="11"/>
  <c r="B43" i="11" s="1"/>
  <c r="D41" i="11" l="1"/>
  <c r="C43" i="11"/>
  <c r="D43" i="11" s="1"/>
  <c r="B42" i="13"/>
  <c r="B42" i="4"/>
  <c r="E42" i="4"/>
  <c r="R40" i="4"/>
  <c r="R42" i="4" l="1"/>
  <c r="S40" i="4"/>
  <c r="S42" i="4" l="1"/>
  <c r="E42" i="13" s="1"/>
  <c r="E40" i="13"/>
  <c r="F40" i="13" s="1"/>
  <c r="F42" i="13" s="1"/>
  <c r="R91" i="4" l="1"/>
  <c r="B92" i="11"/>
  <c r="C92" i="11"/>
  <c r="B91" i="4"/>
  <c r="B91" i="13"/>
  <c r="C91" i="13" s="1"/>
  <c r="D92" i="11" l="1"/>
  <c r="R86" i="4"/>
  <c r="B86" i="13"/>
  <c r="C86" i="13" s="1"/>
  <c r="B87" i="11"/>
  <c r="B86" i="4"/>
  <c r="N186" i="27" s="1"/>
  <c r="N193" i="27" s="1"/>
  <c r="C87" i="11"/>
  <c r="E91" i="13"/>
  <c r="F91" i="13" s="1"/>
  <c r="D87" i="11" l="1"/>
  <c r="E86" i="13"/>
  <c r="F86" i="13" s="1"/>
  <c r="E43" i="4" l="1"/>
  <c r="R43" i="4" s="1"/>
  <c r="S43" i="4" s="1"/>
  <c r="E43" i="13" s="1"/>
  <c r="F43" i="13" s="1"/>
  <c r="B44" i="11"/>
  <c r="B43" i="13"/>
  <c r="C43" i="13" s="1"/>
  <c r="C44" i="11"/>
  <c r="B43" i="4"/>
  <c r="D44" i="11" l="1"/>
  <c r="E29" i="13" l="1"/>
  <c r="F29" i="13" s="1"/>
  <c r="AQ106" i="20" l="1"/>
  <c r="D4" i="8"/>
  <c r="X718" i="3"/>
  <c r="AH718" i="3" s="1"/>
  <c r="BV668" i="3" s="1"/>
  <c r="DX597" i="3"/>
  <c r="AQ107" i="20" l="1"/>
  <c r="X719" i="3"/>
  <c r="AH719" i="3" s="1"/>
  <c r="BV669" i="3" s="1"/>
  <c r="D5" i="8"/>
  <c r="DX598" i="3"/>
  <c r="DX636" i="3" s="1"/>
  <c r="DX635" i="3"/>
  <c r="DX670" i="3" l="1"/>
  <c r="E124" i="20" s="1"/>
  <c r="E127" i="20" s="1"/>
  <c r="E130" i="20" s="1"/>
  <c r="DX632" i="3"/>
  <c r="E94" i="13" l="1"/>
  <c r="F94" i="13" s="1"/>
  <c r="F96" i="13" s="1"/>
  <c r="S96" i="4"/>
  <c r="E96" i="13" s="1"/>
  <c r="N108" i="4" l="1"/>
  <c r="N45" i="4" s="1"/>
  <c r="N54" i="4" s="1"/>
  <c r="N63" i="4" s="1"/>
  <c r="N97" i="4" s="1"/>
  <c r="N105" i="4" s="1"/>
  <c r="I108" i="4"/>
  <c r="I38" i="4" s="1"/>
  <c r="I63" i="4" s="1"/>
  <c r="I97" i="4" s="1"/>
  <c r="I105" i="4" s="1"/>
  <c r="K108" i="4"/>
  <c r="K104" i="4" s="1"/>
  <c r="M108" i="4"/>
  <c r="M99" i="4" s="1"/>
  <c r="O108" i="4"/>
  <c r="E40" i="7"/>
  <c r="G40" i="7" s="1"/>
  <c r="G43" i="7" s="1"/>
  <c r="AA40" i="7" l="1"/>
  <c r="AA43" i="7" s="1"/>
  <c r="O40" i="7"/>
  <c r="O43" i="7" s="1"/>
  <c r="Y40" i="7"/>
  <c r="Y43" i="7" s="1"/>
  <c r="M40" i="7"/>
  <c r="M43" i="7" s="1"/>
  <c r="AC40" i="7"/>
  <c r="AC43" i="7" s="1"/>
  <c r="Q40" i="7"/>
  <c r="Q43" i="7" s="1"/>
  <c r="E43" i="7"/>
  <c r="W40" i="7"/>
  <c r="W43" i="7" s="1"/>
  <c r="K40" i="7"/>
  <c r="K43" i="7" s="1"/>
  <c r="AG40" i="7"/>
  <c r="AG43" i="7" s="1"/>
  <c r="U40" i="7"/>
  <c r="U43" i="7" s="1"/>
  <c r="I40" i="7"/>
  <c r="I43" i="7" s="1"/>
  <c r="AE40" i="7"/>
  <c r="AE43" i="7" s="1"/>
  <c r="S40" i="7"/>
  <c r="S43" i="7" s="1"/>
  <c r="M104" i="4"/>
  <c r="M105" i="4" s="1"/>
  <c r="K38" i="4"/>
  <c r="K63" i="4" s="1"/>
  <c r="K97" i="4" s="1"/>
  <c r="K105" i="4" s="1"/>
  <c r="D13" i="8" l="1"/>
  <c r="I13" i="8" s="1"/>
  <c r="J13" i="8" s="1"/>
  <c r="X727" i="3"/>
  <c r="AH727" i="3" s="1"/>
  <c r="BV677" i="3" s="1"/>
  <c r="AQ115" i="20"/>
  <c r="EM606" i="3"/>
  <c r="X722" i="3"/>
  <c r="AH722" i="3" s="1"/>
  <c r="BV672" i="3" s="1"/>
  <c r="AQ110" i="20"/>
  <c r="D8" i="8"/>
  <c r="I8" i="8" s="1"/>
  <c r="J8" i="8" s="1"/>
  <c r="EC601" i="3"/>
  <c r="O753" i="3"/>
  <c r="EM632" i="3" l="1"/>
  <c r="EM644" i="3"/>
  <c r="EM670" i="3" s="1"/>
  <c r="T124" i="20" s="1"/>
  <c r="T127" i="20" s="1"/>
  <c r="T130" i="20" s="1"/>
  <c r="X724" i="3"/>
  <c r="AH724" i="3" s="1"/>
  <c r="BV674" i="3" s="1"/>
  <c r="D10" i="8"/>
  <c r="AQ112" i="20"/>
  <c r="EH603" i="3"/>
  <c r="D12" i="8"/>
  <c r="I12" i="8" s="1"/>
  <c r="J12" i="8" s="1"/>
  <c r="J40" i="8" s="1"/>
  <c r="Z809" i="3" s="1"/>
  <c r="E6" i="7" s="1"/>
  <c r="AQ114" i="20"/>
  <c r="X726" i="3"/>
  <c r="AH726" i="3" s="1"/>
  <c r="BV676" i="3" s="1"/>
  <c r="EH605" i="3"/>
  <c r="EH643" i="3" s="1"/>
  <c r="AQ113" i="20"/>
  <c r="X725" i="3"/>
  <c r="AH725" i="3" s="1"/>
  <c r="BV675" i="3" s="1"/>
  <c r="D11" i="8"/>
  <c r="EH604" i="3"/>
  <c r="EH642" i="3" s="1"/>
  <c r="EC632" i="3"/>
  <c r="EC639" i="3"/>
  <c r="EC670" i="3" s="1"/>
  <c r="J124" i="20" s="1"/>
  <c r="J127" i="20" s="1"/>
  <c r="J130" i="20" s="1"/>
  <c r="D40" i="8"/>
  <c r="Y801" i="3"/>
  <c r="Y800" i="3"/>
  <c r="G6" i="7" l="1"/>
  <c r="E7" i="7"/>
  <c r="BV703" i="3"/>
  <c r="AH753" i="3" s="1"/>
  <c r="EH632" i="3"/>
  <c r="EH641" i="3"/>
  <c r="EH670" i="3" s="1"/>
  <c r="O124" i="20" s="1"/>
  <c r="O127" i="20" s="1"/>
  <c r="O130" i="20" s="1"/>
  <c r="E132" i="20" s="1"/>
  <c r="E133" i="20" s="1"/>
  <c r="AK137" i="20" s="1"/>
  <c r="T796" i="20" s="1"/>
  <c r="AF796" i="20" s="1"/>
  <c r="Z818" i="3"/>
  <c r="E4" i="7"/>
  <c r="G7" i="7" l="1"/>
  <c r="I6" i="7"/>
  <c r="G4" i="7"/>
  <c r="E5" i="7"/>
  <c r="E11" i="7" s="1"/>
  <c r="K6" i="7" l="1"/>
  <c r="I7" i="7"/>
  <c r="AC883" i="3"/>
  <c r="AC885" i="3" s="1"/>
  <c r="E16" i="7"/>
  <c r="G5" i="7"/>
  <c r="G11" i="7" s="1"/>
  <c r="I4" i="7"/>
  <c r="M6" i="7" l="1"/>
  <c r="K7" i="7"/>
  <c r="I5" i="7"/>
  <c r="I11" i="7" s="1"/>
  <c r="K4" i="7"/>
  <c r="G16" i="7"/>
  <c r="E22" i="7"/>
  <c r="O6" i="7" l="1"/>
  <c r="M7" i="7"/>
  <c r="M4" i="7"/>
  <c r="K5" i="7"/>
  <c r="K11" i="7" s="1"/>
  <c r="I16" i="7"/>
  <c r="G22" i="7"/>
  <c r="Q6" i="7" l="1"/>
  <c r="O7" i="7"/>
  <c r="K16" i="7"/>
  <c r="I22" i="7"/>
  <c r="O4" i="7"/>
  <c r="M5" i="7"/>
  <c r="M11" i="7" s="1"/>
  <c r="S6" i="7" l="1"/>
  <c r="Q7" i="7"/>
  <c r="Q4" i="7"/>
  <c r="O5" i="7"/>
  <c r="O11" i="7" s="1"/>
  <c r="K22" i="7"/>
  <c r="M16" i="7"/>
  <c r="S7" i="7" l="1"/>
  <c r="U6" i="7"/>
  <c r="O16" i="7"/>
  <c r="M22" i="7"/>
  <c r="S4" i="7"/>
  <c r="Q5" i="7"/>
  <c r="Q11" i="7" s="1"/>
  <c r="W6" i="7" l="1"/>
  <c r="U7" i="7"/>
  <c r="S5" i="7"/>
  <c r="S11" i="7" s="1"/>
  <c r="U4" i="7"/>
  <c r="O22" i="7"/>
  <c r="Q16" i="7"/>
  <c r="Y6" i="7" l="1"/>
  <c r="W7" i="7"/>
  <c r="S16" i="7"/>
  <c r="Q22" i="7"/>
  <c r="U5" i="7"/>
  <c r="U11" i="7" s="1"/>
  <c r="W4" i="7"/>
  <c r="Y7" i="7" l="1"/>
  <c r="AA6" i="7"/>
  <c r="W5" i="7"/>
  <c r="W11" i="7" s="1"/>
  <c r="Y4" i="7"/>
  <c r="S22" i="7"/>
  <c r="U16" i="7"/>
  <c r="AC6" i="7" l="1"/>
  <c r="AA7" i="7"/>
  <c r="W16" i="7"/>
  <c r="U22" i="7"/>
  <c r="AA4" i="7"/>
  <c r="Y5" i="7"/>
  <c r="Y11" i="7" s="1"/>
  <c r="AE6" i="7" l="1"/>
  <c r="AC7" i="7"/>
  <c r="AC4" i="7"/>
  <c r="AA5" i="7"/>
  <c r="AA11" i="7" s="1"/>
  <c r="Y16" i="7"/>
  <c r="W22" i="7"/>
  <c r="AG6" i="7" l="1"/>
  <c r="AG7" i="7" s="1"/>
  <c r="AE7" i="7"/>
  <c r="AA16" i="7"/>
  <c r="Y22" i="7"/>
  <c r="AC5" i="7"/>
  <c r="AC11" i="7" s="1"/>
  <c r="AE4" i="7"/>
  <c r="AE5" i="7" l="1"/>
  <c r="AE11" i="7" s="1"/>
  <c r="AG4" i="7"/>
  <c r="AA22" i="7"/>
  <c r="AC16" i="7"/>
  <c r="AE16" i="7" l="1"/>
  <c r="AC22" i="7"/>
  <c r="AG5" i="7"/>
  <c r="AG11" i="7" s="1"/>
  <c r="AG16" i="7" l="1"/>
  <c r="AG22" i="7" s="1"/>
  <c r="AE22" i="7"/>
  <c r="AM566" i="3"/>
  <c r="I9" i="21"/>
  <c r="AO639" i="3"/>
  <c r="AB48" i="15" s="1"/>
  <c r="N10" i="27"/>
  <c r="L99" i="4"/>
  <c r="L104" i="4" s="1"/>
  <c r="L105" i="4" s="1"/>
  <c r="F108" i="4"/>
  <c r="J108" i="4"/>
  <c r="J38" i="4" s="1"/>
  <c r="J63" i="4" s="1"/>
  <c r="J97" i="4" s="1"/>
  <c r="J105" i="4" s="1"/>
  <c r="L108" i="4"/>
  <c r="AO641" i="3"/>
  <c r="E108" i="4"/>
  <c r="E29" i="7"/>
  <c r="O29" i="7" s="1"/>
  <c r="O35" i="7" s="1"/>
  <c r="O37" i="7" s="1"/>
  <c r="Q29" i="7"/>
  <c r="Q35" i="7" s="1"/>
  <c r="Q37" i="7" s="1"/>
  <c r="AC29" i="7"/>
  <c r="AC35" i="7" s="1"/>
  <c r="AC37" i="7" s="1"/>
  <c r="AC49" i="7" l="1"/>
  <c r="AC45" i="7"/>
  <c r="Q49" i="7"/>
  <c r="Q45" i="7"/>
  <c r="O49" i="7"/>
  <c r="O45" i="7"/>
  <c r="Y29" i="7"/>
  <c r="Y35" i="7" s="1"/>
  <c r="Y37" i="7" s="1"/>
  <c r="M29" i="7"/>
  <c r="M35" i="7" s="1"/>
  <c r="M37" i="7" s="1"/>
  <c r="E35" i="7"/>
  <c r="E37" i="7" s="1"/>
  <c r="W29" i="7"/>
  <c r="W35" i="7" s="1"/>
  <c r="W37" i="7" s="1"/>
  <c r="K29" i="7"/>
  <c r="K35" i="7" s="1"/>
  <c r="K37" i="7" s="1"/>
  <c r="AG29" i="7"/>
  <c r="AG35" i="7" s="1"/>
  <c r="AG37" i="7" s="1"/>
  <c r="U29" i="7"/>
  <c r="U35" i="7" s="1"/>
  <c r="U37" i="7" s="1"/>
  <c r="I29" i="7"/>
  <c r="I35" i="7" s="1"/>
  <c r="I37" i="7" s="1"/>
  <c r="AE29" i="7"/>
  <c r="AE35" i="7" s="1"/>
  <c r="AE37" i="7" s="1"/>
  <c r="S29" i="7"/>
  <c r="S35" i="7" s="1"/>
  <c r="S37" i="7" s="1"/>
  <c r="G29" i="7"/>
  <c r="G35" i="7" s="1"/>
  <c r="G37" i="7" s="1"/>
  <c r="AA29" i="7"/>
  <c r="AA35" i="7" s="1"/>
  <c r="AA37" i="7" s="1"/>
  <c r="O47" i="7" l="1"/>
  <c r="O48" i="7"/>
  <c r="O60" i="7"/>
  <c r="Q47" i="7"/>
  <c r="Q48" i="7"/>
  <c r="Q60" i="7"/>
  <c r="G49" i="7"/>
  <c r="G45" i="7"/>
  <c r="AE49" i="7"/>
  <c r="AE45" i="7"/>
  <c r="AG45" i="7"/>
  <c r="AG49" i="7"/>
  <c r="S49" i="7"/>
  <c r="S45" i="7"/>
  <c r="I45" i="7"/>
  <c r="I49" i="7"/>
  <c r="AC47" i="7"/>
  <c r="AC48" i="7"/>
  <c r="AC60" i="7"/>
  <c r="AA49" i="7"/>
  <c r="AA45" i="7"/>
  <c r="K45" i="7"/>
  <c r="K49" i="7"/>
  <c r="W45" i="7"/>
  <c r="W49" i="7"/>
  <c r="E49" i="7"/>
  <c r="E45" i="7"/>
  <c r="M45" i="7"/>
  <c r="M49" i="7"/>
  <c r="U45" i="7"/>
  <c r="U49" i="7"/>
  <c r="Y45" i="7"/>
  <c r="Y49" i="7"/>
  <c r="Q62" i="7" l="1"/>
  <c r="Q67" i="7"/>
  <c r="Q66" i="7"/>
  <c r="Q70" i="7" s="1"/>
  <c r="Q72" i="7" s="1"/>
  <c r="AG48" i="7"/>
  <c r="AG60" i="7"/>
  <c r="AG47" i="7"/>
  <c r="M48" i="7"/>
  <c r="M60" i="7"/>
  <c r="M47" i="7"/>
  <c r="AE47" i="7"/>
  <c r="AE48" i="7"/>
  <c r="AE60" i="7"/>
  <c r="W48" i="7"/>
  <c r="W60" i="7"/>
  <c r="W47" i="7"/>
  <c r="I48" i="7"/>
  <c r="I60" i="7"/>
  <c r="I47" i="7"/>
  <c r="O62" i="7"/>
  <c r="O67" i="7"/>
  <c r="O66" i="7"/>
  <c r="O70" i="7" s="1"/>
  <c r="O72" i="7" s="1"/>
  <c r="S47" i="7"/>
  <c r="S48" i="7"/>
  <c r="S60" i="7"/>
  <c r="U48" i="7"/>
  <c r="U60" i="7"/>
  <c r="U47" i="7"/>
  <c r="K48" i="7"/>
  <c r="K60" i="7"/>
  <c r="K47" i="7"/>
  <c r="E47" i="7"/>
  <c r="E48" i="7"/>
  <c r="E60" i="7"/>
  <c r="AA47" i="7"/>
  <c r="AA48" i="7"/>
  <c r="AA60" i="7"/>
  <c r="Y48" i="7"/>
  <c r="Y60" i="7"/>
  <c r="Y47" i="7"/>
  <c r="G47" i="7"/>
  <c r="G48" i="7"/>
  <c r="G60" i="7"/>
  <c r="AC62" i="7"/>
  <c r="AC67" i="7"/>
  <c r="AC66" i="7"/>
  <c r="AC70" i="7" s="1"/>
  <c r="AC72" i="7" s="1"/>
  <c r="I66" i="7" l="1"/>
  <c r="I62" i="7"/>
  <c r="I67" i="7"/>
  <c r="AG66" i="7"/>
  <c r="AG62" i="7"/>
  <c r="AG67" i="7"/>
  <c r="U66" i="7"/>
  <c r="U62" i="7"/>
  <c r="U67" i="7"/>
  <c r="E62" i="7"/>
  <c r="E67" i="7"/>
  <c r="E66" i="7"/>
  <c r="E70" i="7" s="1"/>
  <c r="E72" i="7" s="1"/>
  <c r="Y66" i="7"/>
  <c r="Y62" i="7"/>
  <c r="Y67" i="7"/>
  <c r="M66" i="7"/>
  <c r="M62" i="7"/>
  <c r="M67" i="7"/>
  <c r="AA62" i="7"/>
  <c r="AA67" i="7"/>
  <c r="AA66" i="7"/>
  <c r="W66" i="7"/>
  <c r="W62" i="7"/>
  <c r="W67" i="7"/>
  <c r="G62" i="7"/>
  <c r="G67" i="7"/>
  <c r="G66" i="7"/>
  <c r="G70" i="7" s="1"/>
  <c r="G72" i="7" s="1"/>
  <c r="S62" i="7"/>
  <c r="S67" i="7"/>
  <c r="S66" i="7"/>
  <c r="S70" i="7" s="1"/>
  <c r="S72" i="7" s="1"/>
  <c r="K66" i="7"/>
  <c r="K62" i="7"/>
  <c r="K67" i="7"/>
  <c r="AE62" i="7"/>
  <c r="AE67" i="7"/>
  <c r="AE66" i="7"/>
  <c r="AE70" i="7" s="1"/>
  <c r="AE72" i="7" s="1"/>
  <c r="W70" i="7" l="1"/>
  <c r="AG70" i="7"/>
  <c r="AG72" i="7" s="1"/>
  <c r="AA70" i="7"/>
  <c r="AA72" i="7" s="1"/>
  <c r="Y72" i="7"/>
  <c r="W72" i="7"/>
  <c r="K70" i="7"/>
  <c r="K72" i="7" s="1"/>
  <c r="Y70" i="7"/>
  <c r="U70" i="7"/>
  <c r="U72" i="7" s="1"/>
  <c r="M70" i="7"/>
  <c r="M72" i="7" s="1"/>
  <c r="I70" i="7"/>
  <c r="I72" i="7" s="1"/>
  <c r="B14" i="11"/>
  <c r="C14" i="11"/>
  <c r="D14" i="11" s="1"/>
  <c r="B13" i="13"/>
  <c r="C13" i="13"/>
  <c r="B13" i="4"/>
  <c r="R13" i="4"/>
  <c r="F38" i="4"/>
  <c r="F63" i="4" s="1"/>
  <c r="F97" i="4"/>
  <c r="F105" i="4" s="1"/>
  <c r="B31" i="11"/>
  <c r="D31" i="11" s="1"/>
  <c r="C31" i="11"/>
  <c r="B32" i="11"/>
  <c r="C32" i="11"/>
  <c r="D32" i="11"/>
  <c r="B33" i="11"/>
  <c r="D33" i="11" s="1"/>
  <c r="C33" i="11"/>
  <c r="B34" i="11"/>
  <c r="C34" i="11"/>
  <c r="D34" i="11"/>
  <c r="B36" i="11"/>
  <c r="D36" i="11" s="1"/>
  <c r="C36" i="11"/>
  <c r="C39" i="11"/>
  <c r="B30" i="13"/>
  <c r="C30" i="13"/>
  <c r="C38" i="13" s="1"/>
  <c r="B31" i="13"/>
  <c r="C31" i="13"/>
  <c r="B32" i="13"/>
  <c r="C32" i="13"/>
  <c r="B33" i="13"/>
  <c r="C33" i="13"/>
  <c r="B35" i="13"/>
  <c r="C35" i="13"/>
  <c r="B30" i="4"/>
  <c r="R30" i="4"/>
  <c r="R38" i="4" s="1"/>
  <c r="E30" i="13"/>
  <c r="F30" i="13" s="1"/>
  <c r="B31" i="4"/>
  <c r="R31" i="4"/>
  <c r="E31" i="13" s="1"/>
  <c r="F31" i="13" s="1"/>
  <c r="B32" i="4"/>
  <c r="R32" i="4"/>
  <c r="E32" i="13"/>
  <c r="F32" i="13" s="1"/>
  <c r="B33" i="4"/>
  <c r="R33" i="4"/>
  <c r="E33" i="13" s="1"/>
  <c r="F33" i="13" s="1"/>
  <c r="B35" i="4"/>
  <c r="R35" i="4"/>
  <c r="E35" i="13"/>
  <c r="F35" i="13" s="1"/>
  <c r="C38" i="4"/>
  <c r="B38" i="13" s="1"/>
  <c r="E38" i="4"/>
  <c r="F38" i="13" l="1"/>
  <c r="S38" i="4"/>
  <c r="E38" i="13" s="1"/>
  <c r="B39" i="11"/>
  <c r="B38" i="4"/>
  <c r="D39" i="11" l="1"/>
  <c r="B46" i="11"/>
  <c r="C46" i="11"/>
  <c r="D46" i="11"/>
  <c r="B47" i="11"/>
  <c r="C47" i="11"/>
  <c r="D47" i="11" s="1"/>
  <c r="B50" i="11"/>
  <c r="C50" i="11"/>
  <c r="C55" i="11" s="1"/>
  <c r="D50" i="11"/>
  <c r="B53" i="11"/>
  <c r="C53" i="11"/>
  <c r="B45" i="13"/>
  <c r="C45" i="13"/>
  <c r="B46" i="13"/>
  <c r="C46" i="13" s="1"/>
  <c r="C54" i="13" s="1"/>
  <c r="B49" i="13"/>
  <c r="C49" i="13"/>
  <c r="B52" i="13"/>
  <c r="C52" i="13" s="1"/>
  <c r="B54" i="13"/>
  <c r="B45" i="4"/>
  <c r="R45" i="4"/>
  <c r="B46" i="4"/>
  <c r="R46" i="4"/>
  <c r="R54" i="4" s="1"/>
  <c r="B49" i="4"/>
  <c r="R49" i="4"/>
  <c r="B52" i="4"/>
  <c r="R52" i="4"/>
  <c r="B54" i="4"/>
  <c r="C54" i="4"/>
  <c r="E54" i="4"/>
  <c r="D53" i="11" l="1"/>
  <c r="B55" i="11"/>
  <c r="D55" i="11" l="1"/>
  <c r="B57" i="11"/>
  <c r="B63" i="11" s="1"/>
  <c r="B64" i="11" s="1"/>
  <c r="C57" i="11"/>
  <c r="D57" i="11"/>
  <c r="C63" i="11"/>
  <c r="B56" i="13"/>
  <c r="C56" i="13" s="1"/>
  <c r="C62" i="13" s="1"/>
  <c r="C63" i="13" s="1"/>
  <c r="B56" i="4"/>
  <c r="R56" i="4"/>
  <c r="R62" i="4" s="1"/>
  <c r="R63" i="4" s="1"/>
  <c r="C62" i="4"/>
  <c r="E62" i="4"/>
  <c r="E63" i="4"/>
  <c r="D63" i="11" l="1"/>
  <c r="C64" i="11"/>
  <c r="B62" i="13"/>
  <c r="C63" i="4"/>
  <c r="B62" i="4"/>
  <c r="B63" i="4" s="1"/>
  <c r="D64" i="11" l="1"/>
  <c r="B63" i="13"/>
  <c r="B76" i="11"/>
  <c r="C76" i="11"/>
  <c r="C78" i="11" s="1"/>
  <c r="D76" i="11"/>
  <c r="B78" i="11"/>
  <c r="B75" i="13"/>
  <c r="C75" i="13"/>
  <c r="C77" i="13" s="1"/>
  <c r="B75" i="4"/>
  <c r="R75" i="4"/>
  <c r="C77" i="4"/>
  <c r="B77" i="13" s="1"/>
  <c r="E77" i="4"/>
  <c r="R77" i="4"/>
  <c r="D78" i="11" l="1"/>
  <c r="B77" i="4"/>
  <c r="B80" i="11"/>
  <c r="C80" i="11"/>
  <c r="D80" i="11" s="1"/>
  <c r="B81" i="11"/>
  <c r="B82" i="11" s="1"/>
  <c r="C81" i="11"/>
  <c r="D81" i="11" s="1"/>
  <c r="C82" i="11"/>
  <c r="B79" i="13"/>
  <c r="C79" i="13"/>
  <c r="B80" i="13"/>
  <c r="C80" i="13" s="1"/>
  <c r="B79" i="4"/>
  <c r="R79" i="4"/>
  <c r="S79" i="4"/>
  <c r="E79" i="13" s="1"/>
  <c r="F79" i="13" s="1"/>
  <c r="F81" i="13" s="1"/>
  <c r="B80" i="4"/>
  <c r="R80" i="4"/>
  <c r="S80" i="4" s="1"/>
  <c r="E80" i="13" s="1"/>
  <c r="F80" i="13" s="1"/>
  <c r="B81" i="4"/>
  <c r="C81" i="4"/>
  <c r="B81" i="13" s="1"/>
  <c r="E81" i="4"/>
  <c r="R81" i="4"/>
  <c r="C81" i="13" l="1"/>
  <c r="D82" i="11"/>
  <c r="S81" i="4"/>
  <c r="E81" i="13" s="1"/>
  <c r="B84" i="11"/>
  <c r="D84" i="11" s="1"/>
  <c r="C84" i="11"/>
  <c r="B97" i="11"/>
  <c r="D97" i="11" s="1"/>
  <c r="C97" i="11"/>
  <c r="C98" i="11"/>
  <c r="B83" i="13"/>
  <c r="C83" i="13" s="1"/>
  <c r="C96" i="13" s="1"/>
  <c r="C97" i="13" s="1"/>
  <c r="B83" i="4"/>
  <c r="R83" i="4"/>
  <c r="B96" i="4"/>
  <c r="C96" i="4"/>
  <c r="B96" i="13" s="1"/>
  <c r="E96" i="4"/>
  <c r="R96" i="4"/>
  <c r="R97" i="4" s="1"/>
  <c r="C97" i="4"/>
  <c r="B97" i="13" s="1"/>
  <c r="E97" i="4"/>
  <c r="B98" i="11" l="1"/>
  <c r="D98" i="11" s="1"/>
  <c r="B97" i="4"/>
  <c r="B100" i="11"/>
  <c r="C100" i="11"/>
  <c r="D100" i="11" s="1"/>
  <c r="B105" i="11"/>
  <c r="B106" i="11" s="1"/>
  <c r="C105" i="11"/>
  <c r="D105" i="11" s="1"/>
  <c r="B99" i="13"/>
  <c r="C99" i="13"/>
  <c r="C104" i="13" s="1"/>
  <c r="C105" i="13" s="1"/>
  <c r="B99" i="4"/>
  <c r="R99" i="4"/>
  <c r="R104" i="4" s="1"/>
  <c r="R105" i="4" s="1"/>
  <c r="C104" i="4"/>
  <c r="B104" i="13" s="1"/>
  <c r="E104" i="4"/>
  <c r="E105" i="4" s="1"/>
  <c r="C105" i="4"/>
  <c r="AG258" i="20" s="1"/>
  <c r="B105" i="13" l="1"/>
  <c r="B105" i="4"/>
  <c r="N183" i="27" s="1"/>
  <c r="N194" i="27" s="1"/>
  <c r="C106" i="11"/>
  <c r="D106" i="11" s="1"/>
  <c r="AC455" i="3"/>
  <c r="N184" i="27"/>
  <c r="AB47" i="15"/>
  <c r="AB49" i="15" s="1"/>
  <c r="AC454" i="3"/>
  <c r="F457" i="3" s="1"/>
  <c r="AB255" i="20"/>
  <c r="AG257" i="20" s="1"/>
  <c r="AG259" i="20" s="1"/>
  <c r="AK262" i="20" s="1"/>
  <c r="T801" i="20" s="1"/>
  <c r="AF801" i="20" s="1"/>
  <c r="B104" i="4"/>
  <c r="AB54" i="15" l="1"/>
  <c r="AB55" i="15" s="1"/>
  <c r="E13" i="13"/>
  <c r="F13" i="13" s="1"/>
  <c r="E45" i="13"/>
  <c r="F45" i="13"/>
  <c r="E46" i="13"/>
  <c r="F46" i="13" s="1"/>
  <c r="F54" i="13" s="1"/>
  <c r="F63" i="13" s="1"/>
  <c r="F97" i="13" s="1"/>
  <c r="E52" i="13"/>
  <c r="F52" i="13"/>
  <c r="S54" i="4"/>
  <c r="S63" i="4" l="1"/>
  <c r="E54" i="13"/>
  <c r="S97" i="4" l="1"/>
  <c r="E63" i="13"/>
  <c r="E97" i="13" l="1"/>
  <c r="E99" i="13"/>
  <c r="F99" i="13"/>
  <c r="F104" i="13"/>
  <c r="F105" i="13" s="1"/>
  <c r="F107" i="13" s="1"/>
  <c r="T11" i="15" s="1"/>
  <c r="T23" i="15" s="1"/>
  <c r="S104" i="4"/>
  <c r="E104" i="13" s="1"/>
  <c r="S105" i="4"/>
  <c r="E105" i="13" s="1"/>
  <c r="AD38" i="15" l="1"/>
  <c r="AD40" i="15" s="1"/>
  <c r="Y64" i="15"/>
  <c r="Y68" i="15" s="1"/>
  <c r="T26" i="15"/>
  <c r="T28" i="15" s="1"/>
  <c r="T29" i="15" s="1"/>
  <c r="S107" i="4"/>
  <c r="Y38" i="15" l="1"/>
  <c r="Y40" i="15" s="1"/>
  <c r="Y41" i="15" s="1"/>
  <c r="AB56" i="15" s="1"/>
  <c r="AB57" i="15" s="1"/>
  <c r="M26" i="3"/>
  <c r="P204" i="3" s="1"/>
  <c r="E107" i="13"/>
  <c r="AF540" i="20"/>
  <c r="AF542" i="20" s="1"/>
  <c r="AK548" i="20" s="1"/>
  <c r="T807" i="20" s="1"/>
  <c r="AF807" i="20" s="1"/>
  <c r="AF810" i="20" s="1"/>
  <c r="AC456" i="3"/>
  <c r="AB59" i="15" l="1"/>
  <c r="AB76" i="15" s="1"/>
  <c r="AB77" i="15" s="1"/>
  <c r="I10" i="21" l="1"/>
  <c r="I11" i="21" s="1"/>
  <c r="I16" i="21" s="1"/>
  <c r="H4" i="21" s="1"/>
  <c r="H5" i="21" s="1"/>
  <c r="AB78" i="15"/>
  <c r="AB80" i="15" s="1"/>
  <c r="J81" i="15" s="1"/>
  <c r="M27" i="3"/>
  <c r="P205"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<sst xmlns="http://schemas.openxmlformats.org/spreadsheetml/2006/main" count="5360" uniqueCount="2815">
  <si>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</si>
  <si>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</si>
  <si>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</si>
  <si>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</si>
  <si>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</si>
  <si>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</si>
  <si>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</si>
  <si>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</si>
  <si>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</si>
  <si>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</si>
  <si>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</si>
  <si>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</si>
  <si>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</si>
  <si>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</si>
  <si>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</si>
  <si>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</si>
  <si>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</si>
  <si>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</si>
  <si>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</si>
  <si>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</si>
  <si>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</si>
  <si>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</si>
  <si>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</si>
  <si>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</si>
  <si>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</si>
  <si>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</si>
  <si>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</si>
  <si>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</si>
  <si>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</si>
  <si>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</si>
  <si>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</si>
  <si>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</si>
  <si>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</si>
  <si>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</si>
  <si>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</si>
  <si>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</si>
  <si>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</si>
  <si>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</si>
  <si>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</si>
  <si>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</si>
  <si>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</si>
  <si>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</si>
  <si>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</si>
  <si>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</si>
  <si>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</si>
  <si>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</si>
  <si>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</si>
  <si>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</si>
  <si>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</si>
  <si>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</si>
  <si>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</si>
  <si>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</si>
  <si>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</si>
  <si>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</si>
  <si>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</si>
  <si>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</si>
  <si>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</si>
  <si>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</si>
  <si>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</si>
  <si>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</si>
  <si>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</si>
  <si>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</si>
  <si>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</si>
  <si>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</si>
  <si>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</si>
  <si>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</si>
  <si>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</si>
  <si>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</si>
  <si>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</si>
  <si>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</si>
  <si>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</si>
  <si>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</si>
  <si>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</si>
  <si>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</si>
  <si>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</si>
  <si>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</si>
  <si>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</si>
  <si>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</si>
  <si>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</si>
  <si>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</si>
  <si>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</si>
  <si>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</si>
  <si>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</si>
  <si>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</si>
  <si>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</si>
  <si>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</si>
  <si>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</si>
  <si>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</si>
  <si>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</si>
  <si>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</si>
  <si>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</si>
  <si>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</si>
  <si>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</si>
  <si>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</si>
  <si>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</si>
  <si>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</si>
  <si>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</si>
  <si>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</si>
  <si>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</si>
  <si>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</si>
  <si>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</si>
  <si>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</si>
  <si>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</si>
  <si>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</si>
  <si>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</si>
  <si>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</si>
  <si>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</si>
  <si>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</si>
  <si>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</si>
  <si>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</si>
  <si>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</si>
  <si>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</si>
  <si>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</si>
  <si>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</si>
  <si>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</si>
  <si>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</si>
  <si>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</si>
  <si>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</si>
  <si>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</si>
  <si>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</si>
  <si>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</si>
  <si>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</si>
  <si>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</si>
  <si>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</si>
  <si>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</si>
  <si>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</si>
  <si>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</si>
  <si>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</si>
  <si>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</si>
  <si>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</si>
  <si>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</si>
  <si>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</si>
  <si>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</si>
  <si>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</si>
  <si>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</si>
  <si>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</si>
  <si>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</si>
  <si>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</si>
  <si>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</si>
  <si>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</si>
  <si>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</si>
  <si>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</si>
  <si>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</si>
  <si>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</si>
  <si>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</si>
  <si>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</si>
  <si>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</si>
  <si>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</si>
  <si>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</si>
  <si>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</si>
  <si>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</si>
  <si>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</si>
  <si>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</si>
  <si>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</si>
  <si>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</si>
  <si>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</si>
  <si>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</si>
  <si>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</si>
  <si>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</si>
  <si>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</si>
  <si>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</si>
  <si>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</si>
  <si>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</si>
  <si>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</si>
  <si>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</si>
  <si>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</si>
  <si>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</si>
  <si>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</si>
  <si>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</si>
  <si>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</si>
  <si>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</si>
  <si>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</si>
  <si>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</si>
  <si>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</si>
  <si>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</si>
  <si>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</si>
  <si>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</si>
  <si>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</si>
  <si>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</si>
  <si>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</si>
  <si>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</si>
  <si>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</si>
  <si>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</si>
  <si>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</si>
  <si>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</si>
  <si>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</si>
  <si>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</si>
  <si>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</si>
  <si>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</si>
  <si>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</si>
  <si>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</si>
  <si>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</si>
  <si>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</si>
  <si>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</si>
  <si>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</si>
  <si>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</si>
  <si>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</si>
  <si>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</si>
  <si>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</si>
  <si>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</si>
  <si>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</si>
  <si>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</si>
  <si>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</si>
  <si>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</si>
  <si>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</si>
  <si>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</si>
  <si>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</si>
  <si>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</si>
  <si>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</si>
  <si>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</si>
  <si>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</si>
  <si>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</si>
  <si>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</si>
  <si>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</si>
  <si>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</si>
  <si>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</si>
  <si>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</si>
  <si>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</si>
  <si>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</si>
  <si>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</si>
  <si>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</si>
  <si>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</si>
  <si>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</si>
  <si>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</si>
  <si>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</si>
  <si>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</si>
  <si>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</si>
  <si>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</si>
  <si>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</si>
  <si>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</si>
  <si>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</si>
  <si>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</si>
  <si>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</si>
  <si>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</si>
  <si>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</si>
  <si>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</si>
  <si>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</si>
  <si>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</si>
  <si>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</si>
  <si>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</si>
  <si>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</si>
  <si>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</si>
  <si>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</si>
  <si>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</si>
  <si>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</si>
  <si>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</si>
  <si>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</si>
  <si>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</si>
  <si>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</si>
  <si>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</si>
  <si>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</si>
  <si>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</si>
  <si>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</si>
  <si>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</si>
  <si>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</si>
  <si>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</si>
  <si>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</si>
  <si>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</si>
  <si>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</si>
  <si>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</si>
  <si>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</si>
  <si>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</si>
  <si>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</si>
  <si>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</si>
  <si>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</si>
  <si>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</si>
  <si>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</si>
  <si>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</si>
  <si>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</si>
  <si>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</si>
  <si>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</si>
  <si>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</si>
  <si>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</si>
  <si>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</si>
  <si>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</si>
  <si>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</si>
  <si>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</si>
  <si>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</si>
  <si>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</si>
  <si>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</si>
  <si>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</si>
  <si>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</si>
  <si>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</si>
  <si>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</si>
  <si>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</si>
  <si>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</si>
  <si>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</si>
  <si>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</si>
  <si>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</si>
  <si>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</si>
  <si>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</si>
  <si>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</si>
  <si>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</si>
  <si>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</si>
  <si>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</si>
  <si>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</si>
  <si>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</si>
  <si>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</si>
  <si>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</si>
  <si>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</si>
  <si>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</si>
  <si>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</si>
  <si>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</si>
  <si>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</si>
  <si>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</si>
  <si>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</si>
  <si>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</si>
  <si>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</si>
  <si>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</si>
  <si>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</si>
  <si>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</si>
  <si>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</si>
  <si>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</si>
  <si>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</si>
  <si>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</si>
  <si>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</si>
  <si>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</si>
  <si>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</si>
  <si>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</si>
  <si>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</si>
  <si>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</si>
  <si>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</si>
  <si>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</si>
  <si>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</si>
  <si>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</si>
  <si>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</si>
  <si>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</si>
  <si>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</si>
  <si>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</si>
  <si>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</si>
  <si>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</si>
  <si>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</si>
  <si>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</si>
  <si>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</si>
  <si>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</si>
  <si>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</si>
  <si>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</si>
  <si>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</si>
  <si>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</si>
  <si>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</si>
  <si>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</si>
  <si>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</si>
  <si>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</si>
  <si>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</si>
  <si>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</si>
  <si>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</si>
  <si>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</si>
  <si>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</si>
  <si>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</si>
  <si>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</si>
  <si>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</si>
  <si>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</si>
  <si>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</si>
  <si>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</si>
  <si>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</si>
  <si>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</si>
  <si>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</si>
  <si>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</si>
  <si>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</si>
  <si>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</si>
  <si>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</si>
  <si>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</si>
  <si>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</si>
  <si>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</si>
  <si>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</si>
  <si>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</si>
  <si>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</si>
  <si>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</si>
  <si>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</si>
  <si>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</si>
  <si>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</si>
  <si>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</si>
  <si>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</si>
  <si>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</si>
  <si>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</si>
  <si>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</si>
  <si>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</si>
  <si>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</si>
  <si>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</si>
  <si>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</si>
  <si>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</si>
  <si>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</si>
  <si>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</si>
  <si>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</si>
  <si>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</si>
  <si>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</si>
  <si>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</si>
  <si>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</si>
  <si>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</si>
  <si>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</si>
  <si>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</si>
  <si>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</si>
  <si>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</si>
  <si>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</si>
  <si>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</si>
  <si>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</si>
  <si>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</si>
  <si>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</si>
  <si>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</si>
  <si>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</si>
  <si>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</si>
  <si>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</si>
  <si>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</si>
  <si>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</si>
  <si>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</si>
  <si>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</si>
  <si>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</si>
  <si>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</si>
  <si>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</si>
  <si>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</si>
  <si>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</si>
  <si>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</si>
  <si>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</si>
  <si>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</si>
  <si>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</si>
  <si>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</si>
  <si>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</si>
  <si>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</si>
  <si>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</si>
  <si>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</si>
  <si>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</si>
  <si>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</si>
  <si>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</si>
  <si>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</si>
  <si>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</si>
  <si>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</si>
  <si>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</si>
  <si>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</si>
  <si>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</si>
  <si>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</si>
  <si>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</si>
  <si>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</si>
  <si>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</si>
  <si>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</si>
  <si>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</si>
  <si>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</si>
  <si>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</si>
  <si>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</si>
  <si>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</si>
  <si>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</si>
  <si>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</si>
  <si>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</si>
  <si>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</si>
  <si>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</si>
  <si>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</si>
  <si>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</si>
  <si>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</si>
  <si>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</si>
  <si>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</si>
  <si>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</si>
  <si>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</si>
  <si>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</si>
  <si>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</si>
  <si>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</si>
  <si>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</si>
  <si>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</si>
  <si>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</si>
  <si>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</si>
  <si>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</si>
  <si>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</si>
  <si>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</si>
  <si>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</si>
  <si>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</si>
  <si>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</si>
  <si>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</si>
  <si>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</si>
  <si>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</si>
  <si>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</si>
  <si>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</si>
  <si>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</si>
  <si>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</si>
  <si>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</si>
  <si>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</si>
  <si>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</si>
  <si>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</si>
  <si>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</si>
  <si>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</si>
  <si>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</si>
  <si>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</si>
  <si>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</si>
  <si>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</si>
  <si>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</si>
  <si>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</si>
  <si>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</si>
  <si>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</si>
  <si>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</si>
  <si>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</si>
  <si>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</si>
  <si>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</si>
  <si>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</si>
  <si>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</si>
  <si>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</si>
  <si>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</si>
  <si>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</si>
  <si>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</si>
  <si>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</si>
  <si>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</si>
  <si>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</si>
  <si>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</si>
  <si>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</si>
  <si>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</si>
  <si>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</si>
  <si>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</si>
  <si>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</si>
  <si>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</si>
  <si>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</si>
  <si>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</si>
  <si>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</si>
  <si>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</si>
  <si>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</si>
  <si>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</si>
  <si>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</si>
  <si>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</si>
  <si>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</si>
  <si>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</si>
  <si>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</si>
  <si>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</si>
  <si>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</si>
  <si>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</si>
  <si>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</si>
  <si>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</si>
  <si>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</si>
  <si>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</si>
  <si>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</si>
  <si>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</si>
  <si>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</si>
  <si>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</si>
  <si>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</si>
  <si>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</si>
  <si>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</si>
  <si>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</si>
  <si>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</si>
  <si>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</si>
  <si>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</si>
  <si>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</si>
  <si>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</si>
  <si>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</si>
  <si>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</si>
  <si>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</si>
  <si>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</si>
  <si>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</si>
  <si>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</si>
  <si>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</si>
  <si>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</si>
  <si>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</si>
  <si>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</si>
  <si>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</si>
  <si>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</si>
  <si>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</si>
  <si>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</si>
  <si>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</si>
  <si>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</si>
  <si>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</si>
  <si>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</si>
  <si>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</si>
  <si>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</si>
  <si>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</si>
  <si>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</si>
  <si>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</si>
  <si>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</si>
  <si>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</si>
  <si>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</si>
  <si>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</si>
  <si>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</si>
  <si>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</si>
  <si>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</si>
  <si>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</si>
  <si>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</si>
  <si>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</si>
  <si>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</si>
  <si>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</si>
  <si>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</si>
  <si>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</si>
  <si>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</si>
  <si>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</si>
  <si>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</si>
  <si>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</si>
  <si>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</si>
  <si>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</si>
  <si>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</si>
  <si>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</si>
  <si>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</si>
  <si>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</si>
  <si>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</si>
  <si>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</si>
  <si>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</si>
  <si>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</si>
  <si>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</si>
  <si>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</si>
  <si>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</si>
  <si>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</si>
  <si>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</si>
  <si>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</si>
  <si>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</si>
  <si>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</si>
  <si>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</si>
  <si>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</si>
  <si>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</si>
  <si>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</si>
  <si>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</si>
  <si>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</si>
  <si>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</si>
  <si>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</si>
  <si>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</si>
  <si>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</si>
  <si>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</si>
  <si>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</si>
  <si>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</si>
  <si>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</si>
  <si>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</si>
  <si>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</si>
  <si>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</si>
  <si>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</si>
  <si>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</si>
  <si>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</si>
  <si>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</si>
  <si>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</si>
  <si>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</si>
  <si>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</si>
  <si>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</si>
  <si>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</si>
  <si>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</si>
  <si>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</si>
  <si>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</si>
  <si>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</si>
  <si>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</si>
  <si>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</si>
  <si>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</si>
  <si>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</si>
  <si>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</si>
  <si>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</si>
  <si>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</si>
  <si>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</si>
  <si>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</si>
  <si>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</si>
  <si>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</si>
  <si>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</si>
  <si>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</si>
  <si>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</si>
  <si>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</si>
  <si>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</si>
  <si>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</si>
  <si>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</si>
  <si>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</si>
  <si>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</si>
  <si>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</si>
  <si>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</si>
  <si>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</si>
  <si>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</si>
  <si>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</si>
  <si>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</si>
  <si>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</si>
  <si>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</si>
  <si>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</si>
  <si>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</si>
  <si>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</si>
  <si>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</si>
  <si>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</si>
  <si>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</si>
  <si>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</si>
  <si>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</si>
  <si>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</si>
  <si>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</si>
  <si>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</si>
  <si>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</si>
  <si>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</si>
  <si>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</si>
  <si>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</si>
  <si>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</si>
  <si>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</si>
  <si>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</si>
  <si>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</si>
  <si>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</si>
  <si>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</si>
  <si>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</si>
  <si>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</si>
  <si>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</si>
  <si>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</si>
  <si>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</si>
  <si>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</si>
  <si>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</si>
  <si>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</si>
  <si>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</si>
  <si>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</si>
  <si>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</si>
  <si>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</si>
  <si>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</si>
  <si>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</si>
  <si>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</si>
  <si>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</si>
  <si>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</si>
  <si>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</si>
  <si>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</si>
  <si>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</si>
  <si>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</si>
  <si>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</si>
  <si>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</si>
  <si>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</si>
  <si>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</si>
  <si>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</si>
  <si>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</si>
  <si>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</si>
  <si>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</si>
  <si>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</si>
  <si>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</si>
  <si>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</si>
  <si>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</si>
  <si>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</si>
  <si>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</si>
  <si>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</si>
  <si>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</si>
  <si>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</si>
  <si>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</si>
  <si>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</si>
  <si>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</si>
  <si>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</si>
  <si>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</si>
  <si>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</si>
  <si>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</si>
  <si>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</si>
  <si>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</si>
  <si>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</si>
  <si>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</si>
  <si>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</si>
  <si>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</si>
  <si>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</si>
  <si>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</si>
  <si>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</si>
  <si>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</si>
  <si>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</si>
  <si>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</si>
  <si>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</si>
  <si>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</si>
  <si>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</si>
  <si>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</si>
  <si>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</si>
  <si>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</si>
  <si>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</si>
  <si>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</si>
  <si>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</si>
  <si>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</si>
  <si>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</si>
  <si>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</si>
  <si>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</si>
  <si>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</si>
  <si>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</si>
  <si>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</si>
  <si>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</si>
  <si>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</si>
  <si>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</si>
  <si>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</si>
  <si>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</si>
  <si>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</si>
  <si>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</si>
  <si>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</si>
  <si>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</si>
  <si>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</si>
  <si>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</si>
  <si>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</si>
  <si>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</si>
  <si>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</si>
  <si>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</si>
  <si>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</si>
  <si>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</si>
  <si>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</si>
  <si>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</si>
  <si>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</si>
  <si>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</si>
  <si>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</si>
  <si>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</si>
  <si>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</si>
  <si>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</si>
  <si>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</si>
  <si>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</si>
  <si>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</si>
  <si>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</si>
  <si>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</si>
  <si>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</si>
  <si>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</si>
  <si>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</si>
  <si>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</si>
  <si>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</si>
  <si>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</si>
  <si>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</si>
  <si>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</si>
  <si>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</si>
  <si>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</si>
  <si>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</si>
  <si>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</si>
  <si>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</si>
  <si>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</si>
  <si>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</si>
  <si>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</si>
  <si>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</si>
  <si>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</si>
  <si>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</si>
  <si>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</si>
  <si>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</si>
  <si>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</si>
  <si>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</si>
  <si>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</si>
  <si>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</si>
  <si>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</si>
  <si>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</si>
  <si>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</si>
  <si>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</si>
  <si>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</si>
  <si>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</si>
  <si>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</si>
  <si>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</si>
  <si>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</si>
  <si>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</si>
  <si>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</si>
  <si>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</si>
  <si>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</si>
  <si>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</si>
  <si>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</si>
  <si>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</si>
  <si>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</si>
  <si>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</si>
  <si>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</si>
  <si>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</si>
  <si>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</si>
  <si>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</si>
  <si>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</si>
  <si>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</si>
  <si>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</si>
  <si>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</si>
  <si>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</si>
  <si>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</si>
  <si>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</si>
  <si>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</si>
  <si>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</si>
  <si>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</si>
  <si>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</si>
  <si>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</si>
  <si>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</si>
  <si>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</si>
  <si>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</si>
  <si>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</si>
  <si>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</si>
  <si>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</si>
  <si>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</si>
  <si>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</si>
  <si>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</si>
  <si>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</si>
  <si>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</si>
  <si>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</si>
  <si>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</si>
  <si>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</si>
  <si>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</si>
  <si>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</si>
  <si>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</si>
  <si>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</si>
  <si>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</si>
  <si>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</si>
  <si>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</si>
  <si>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</si>
  <si>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</si>
  <si>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</si>
  <si>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</si>
  <si>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</si>
  <si>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</si>
  <si>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</si>
  <si>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</si>
  <si>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</si>
  <si>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</si>
  <si>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</si>
  <si>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</si>
  <si>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</si>
  <si>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</si>
  <si>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</si>
  <si>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</si>
  <si>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</si>
  <si>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</si>
  <si>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</si>
  <si>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</si>
  <si>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</si>
  <si>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</si>
  <si>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</si>
  <si>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</si>
  <si>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</si>
  <si>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</si>
  <si>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</si>
  <si>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</si>
  <si>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</si>
  <si>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</si>
  <si>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</si>
  <si>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</si>
  <si>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</si>
  <si>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</si>
  <si>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</si>
  <si>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</si>
  <si>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</si>
  <si>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</si>
  <si>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</si>
  <si>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</si>
  <si>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</si>
  <si>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</si>
  <si>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</si>
  <si>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</si>
  <si>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</si>
  <si>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</si>
  <si>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</si>
  <si>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</si>
  <si>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</si>
  <si>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</si>
  <si>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</si>
  <si>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</si>
  <si>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</si>
  <si>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</si>
  <si>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</si>
  <si>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</si>
  <si>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</si>
  <si>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</si>
  <si>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</si>
  <si>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</si>
  <si>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</si>
  <si>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</si>
  <si>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</si>
  <si>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</si>
  <si>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</si>
  <si>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</si>
  <si>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</si>
  <si>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</si>
  <si>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</si>
  <si>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</si>
  <si>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</si>
  <si>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</si>
  <si>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</si>
  <si>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</si>
  <si>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</si>
  <si>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</si>
  <si>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</si>
  <si>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</si>
  <si>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</si>
  <si>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</si>
  <si>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</si>
  <si>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</si>
  <si>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</si>
  <si>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</si>
  <si>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</si>
  <si>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</si>
  <si>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</si>
  <si>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</si>
  <si>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</si>
  <si>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</si>
  <si>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</si>
  <si>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</si>
  <si>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</si>
  <si>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</si>
  <si>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</si>
  <si>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</si>
  <si>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</si>
  <si>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</si>
  <si>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</si>
  <si>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</si>
  <si>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</si>
  <si>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</si>
  <si>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</si>
  <si>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</si>
  <si>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</si>
  <si>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</si>
  <si>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</si>
  <si>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</si>
  <si>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</si>
  <si>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</si>
  <si>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</si>
  <si>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</si>
  <si>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</si>
  <si>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</si>
  <si>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</si>
  <si>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</si>
  <si>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</si>
  <si>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</si>
  <si>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</si>
  <si>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</si>
  <si>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</si>
  <si>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</si>
  <si>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</si>
  <si>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</si>
  <si>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</si>
  <si>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</si>
  <si>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</si>
  <si>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</si>
  <si>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</si>
  <si>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</si>
  <si>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</si>
  <si>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</si>
  <si>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</si>
  <si>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</si>
  <si>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</si>
  <si>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</si>
  <si>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</si>
  <si>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</si>
  <si>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</si>
  <si>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</si>
  <si>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</si>
  <si>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</si>
  <si>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</si>
  <si>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</si>
  <si>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</si>
  <si>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</si>
  <si>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</si>
  <si>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</si>
  <si>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</si>
  <si>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</si>
  <si>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</si>
  <si>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</si>
  <si>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</si>
  <si>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</si>
  <si>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</si>
  <si>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</si>
  <si>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</si>
  <si>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</si>
  <si>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</si>
  <si>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</si>
  <si>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</si>
  <si>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</si>
  <si>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</si>
  <si>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</si>
  <si>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</si>
  <si>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</si>
  <si>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</si>
  <si>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</si>
  <si>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</si>
  <si>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</si>
  <si>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</si>
  <si>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</si>
  <si>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</si>
  <si>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</si>
  <si>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</si>
  <si>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</si>
  <si>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</si>
  <si>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</si>
  <si>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</si>
  <si>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</si>
  <si>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</si>
  <si>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</si>
  <si>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</si>
  <si>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</si>
  <si>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</si>
  <si>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</si>
  <si>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</si>
  <si>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</si>
  <si>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</si>
  <si>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</si>
  <si>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</si>
  <si>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</si>
  <si>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</si>
  <si>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</si>
  <si>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</si>
  <si>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</si>
  <si>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</si>
  <si>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</si>
  <si>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</si>
  <si>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</si>
  <si>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</si>
  <si>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</si>
  <si>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</si>
  <si>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</si>
  <si>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</si>
  <si>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</si>
  <si>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</si>
  <si>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</si>
  <si>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</si>
  <si>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</si>
  <si>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</si>
  <si>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</si>
  <si>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</si>
  <si>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</si>
  <si>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</si>
  <si>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</si>
  <si>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</si>
  <si>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</si>
  <si>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</si>
  <si>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</si>
  <si>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</si>
  <si>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</si>
  <si>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</si>
  <si>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</si>
  <si>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</si>
  <si>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</si>
  <si>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</si>
  <si>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</si>
  <si>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</si>
  <si>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</si>
  <si>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</si>
  <si>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</si>
  <si>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</si>
  <si>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</si>
  <si>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</si>
  <si>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</si>
  <si>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</si>
  <si>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</si>
  <si>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</si>
  <si>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</si>
  <si>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</si>
  <si>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</si>
  <si>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</si>
  <si>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</si>
  <si>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</si>
  <si>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</si>
  <si>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</si>
  <si>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</si>
  <si>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</si>
  <si>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</si>
  <si>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</si>
  <si>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</si>
  <si>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</si>
  <si>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</si>
  <si>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</si>
  <si>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</si>
  <si>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</si>
  <si>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</si>
  <si>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</si>
  <si>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</si>
  <si>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</si>
  <si>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</si>
  <si>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</si>
  <si>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</si>
  <si>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</si>
  <si>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</si>
  <si>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</si>
  <si>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</si>
  <si>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</si>
  <si>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</si>
  <si>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</si>
  <si>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</si>
  <si>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</si>
  <si>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</si>
  <si>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</si>
  <si>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</si>
  <si>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</si>
  <si>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</si>
  <si>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</si>
  <si>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</si>
  <si>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</si>
  <si>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</si>
  <si>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</si>
  <si>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</si>
  <si>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</si>
  <si>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</si>
  <si>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</si>
  <si>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</si>
  <si>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</si>
  <si>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</si>
  <si>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</si>
  <si>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</si>
  <si>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</si>
  <si>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</si>
  <si>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</si>
  <si>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</si>
  <si>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</si>
  <si>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</si>
  <si>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</si>
  <si>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</si>
  <si>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</si>
  <si>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</si>
  <si>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</si>
  <si>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</si>
  <si>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</si>
  <si>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</si>
  <si>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</si>
  <si>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</si>
  <si>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</si>
  <si>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</si>
  <si>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</si>
  <si>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</si>
  <si>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</si>
  <si>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</si>
  <si>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</si>
  <si>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</si>
  <si>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</si>
  <si>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</si>
  <si>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</si>
  <si>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</si>
  <si>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</si>
  <si>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</si>
  <si>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</si>
  <si>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</si>
  <si>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</si>
  <si>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</si>
  <si>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</si>
  <si>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</si>
  <si>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</si>
  <si>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</si>
  <si>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</si>
  <si>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</si>
  <si>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</si>
  <si>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</si>
  <si>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</si>
  <si>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</si>
  <si>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</si>
  <si>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</si>
  <si>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</si>
  <si>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</si>
  <si>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</si>
  <si>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</si>
  <si>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</si>
  <si>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</si>
  <si>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</si>
  <si>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</si>
  <si>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</si>
  <si>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</si>
  <si>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</si>
  <si>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</si>
  <si>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</si>
  <si>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</si>
  <si>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</si>
  <si>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</si>
  <si>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</si>
  <si>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</si>
  <si>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</si>
  <si>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</si>
  <si>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</si>
  <si>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</si>
  <si>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</si>
  <si>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</si>
  <si>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</si>
  <si>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</si>
  <si>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</si>
  <si>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</si>
  <si>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</si>
  <si>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</si>
  <si>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</si>
  <si>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</si>
  <si>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</si>
  <si>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</si>
  <si>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</si>
  <si>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</si>
  <si>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</si>
  <si>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</si>
  <si>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</si>
  <si>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</si>
  <si>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</si>
  <si>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</si>
  <si>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</si>
  <si>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</si>
  <si>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</si>
  <si>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</si>
  <si>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</si>
  <si>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</si>
  <si>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</si>
  <si>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</si>
  <si>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</si>
  <si>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</si>
  <si>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</si>
  <si>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</si>
  <si>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</si>
  <si>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</si>
  <si>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</si>
  <si>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</si>
  <si>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</si>
  <si>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</si>
  <si>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</si>
  <si>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</si>
  <si>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</si>
  <si>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</si>
  <si>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</si>
  <si>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</si>
  <si>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</si>
  <si>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</si>
  <si>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</si>
  <si>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</si>
  <si>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</si>
  <si>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</si>
  <si>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</si>
  <si>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</si>
  <si>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</si>
  <si>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</si>
  <si>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</si>
  <si>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</si>
  <si>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</si>
  <si>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</si>
  <si>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</si>
  <si>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</si>
  <si>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</si>
  <si>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</si>
  <si>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</si>
  <si>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</si>
  <si>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</si>
  <si>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</si>
  <si>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</si>
  <si>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</si>
  <si>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</si>
  <si>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</si>
  <si>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</si>
  <si>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</si>
  <si>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</si>
  <si>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</si>
  <si>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</si>
  <si>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</si>
  <si>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</si>
  <si>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</si>
  <si>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</si>
  <si>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</si>
  <si>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</si>
  <si>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</si>
  <si>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</si>
  <si>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</si>
  <si>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</si>
  <si>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</si>
  <si>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</si>
  <si>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</si>
  <si>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</si>
  <si>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</si>
  <si>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</si>
  <si>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</si>
  <si>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</si>
  <si>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</si>
  <si>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</si>
  <si>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</si>
  <si>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</si>
  <si>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</si>
  <si>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</si>
  <si>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</si>
  <si>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</si>
  <si>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</si>
  <si>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</si>
  <si>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</si>
  <si>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</si>
  <si>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</si>
  <si>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</si>
  <si>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</si>
  <si>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</si>
  <si>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</si>
  <si>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</si>
  <si>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</si>
  <si>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</si>
  <si>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</si>
  <si>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</si>
  <si>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</si>
  <si>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</si>
  <si>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</si>
  <si>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</si>
  <si>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</si>
  <si>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</si>
  <si>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</si>
  <si>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</si>
  <si>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</si>
  <si>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</si>
  <si>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</si>
  <si>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</si>
  <si>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</si>
  <si>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</si>
  <si>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</si>
  <si>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</si>
  <si>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</si>
  <si>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</si>
  <si>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</si>
  <si>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</si>
  <si>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</si>
  <si>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</si>
  <si>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</si>
  <si>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</si>
  <si>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</si>
  <si>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</si>
  <si>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</si>
  <si>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</si>
  <si>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</si>
  <si>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</si>
  <si>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</si>
  <si>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</si>
  <si>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</si>
  <si>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</si>
  <si>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</si>
  <si>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</si>
  <si>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</si>
  <si>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</si>
  <si>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</si>
  <si>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</si>
  <si>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</si>
  <si>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</si>
  <si>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</si>
  <si>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</si>
  <si>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</si>
  <si>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</si>
  <si>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</si>
  <si>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</si>
  <si>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</si>
  <si>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</si>
  <si>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</si>
  <si>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</si>
  <si>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</si>
  <si>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</si>
  <si>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</si>
  <si>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</si>
  <si>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</si>
  <si>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</si>
  <si>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</si>
  <si>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</si>
  <si>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</si>
  <si>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</si>
  <si>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</si>
  <si>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</si>
  <si>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</si>
  <si>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</si>
  <si>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</si>
  <si>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</si>
  <si>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</si>
  <si>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</si>
  <si>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</si>
  <si>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</si>
  <si>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</si>
  <si>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</si>
  <si>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</si>
  <si>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</si>
  <si>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</si>
  <si>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</si>
  <si>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</si>
  <si>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</si>
  <si>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</si>
  <si>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</si>
  <si>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</si>
  <si>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</si>
  <si>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</si>
  <si>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</si>
  <si>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</si>
  <si>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</si>
  <si>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</si>
  <si>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</si>
  <si>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</si>
  <si>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</si>
  <si>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</si>
  <si>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</si>
  <si>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</si>
  <si>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</si>
  <si>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</si>
  <si>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</si>
  <si>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</si>
  <si>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</si>
  <si>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</si>
  <si>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</si>
  <si>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</si>
  <si>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</si>
  <si>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</si>
  <si>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</si>
  <si>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</si>
  <si>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</si>
  <si>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</si>
  <si>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</si>
  <si>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</si>
  <si>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</si>
  <si>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</si>
  <si>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</si>
  <si>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</si>
  <si>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</si>
  <si>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</si>
  <si>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</si>
  <si>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</si>
  <si>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</si>
  <si>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</si>
  <si>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</si>
  <si>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</si>
  <si>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</si>
  <si>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</si>
  <si>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</si>
  <si>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</si>
  <si>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</si>
  <si>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</si>
  <si>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</si>
  <si>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</si>
  <si>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</si>
  <si>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</si>
  <si>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</si>
  <si>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</si>
  <si>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</si>
  <si>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</si>
  <si>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</si>
  <si>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</si>
  <si>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</si>
  <si>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</si>
  <si>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</si>
  <si>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</si>
  <si>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</si>
  <si>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</si>
  <si>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</si>
  <si>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</si>
  <si>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</si>
  <si>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</si>
  <si>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</si>
  <si>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</si>
  <si>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</si>
  <si>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</si>
  <si>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</si>
  <si>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</si>
  <si>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</si>
  <si>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</si>
  <si>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</si>
  <si>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</si>
  <si>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</si>
  <si>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</si>
  <si>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</si>
  <si>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</si>
  <si>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</si>
  <si>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</si>
  <si>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</si>
  <si>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</si>
  <si>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</si>
  <si>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</si>
  <si>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</si>
  <si>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</si>
  <si>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</si>
  <si>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</si>
  <si>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</si>
  <si>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</si>
  <si>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</si>
  <si>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</si>
  <si>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</si>
  <si>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</si>
  <si>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</si>
  <si>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</si>
  <si>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</si>
  <si>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</si>
  <si>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</si>
  <si>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</si>
  <si>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</si>
  <si>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</si>
  <si>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</si>
  <si>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</si>
  <si>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</si>
  <si>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</si>
  <si>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</si>
  <si>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</si>
  <si>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</si>
  <si>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</si>
  <si>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</si>
  <si>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</si>
  <si>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</si>
  <si>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</si>
  <si>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</si>
  <si>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</si>
  <si>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</si>
  <si>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</si>
  <si>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</si>
  <si>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</si>
  <si>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</si>
  <si>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</si>
  <si>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</si>
  <si>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</si>
  <si>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</si>
  <si>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</si>
  <si>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</si>
  <si>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</si>
  <si>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</si>
  <si>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</si>
  <si>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</si>
  <si>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</si>
  <si>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</si>
  <si>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</si>
  <si>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</si>
  <si>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</si>
  <si>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</si>
  <si>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</si>
  <si>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</si>
  <si>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</si>
  <si>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</si>
  <si>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</si>
  <si>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</si>
  <si>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</si>
  <si>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</si>
  <si>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</si>
  <si>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</si>
  <si>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</si>
  <si>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</si>
  <si>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</si>
  <si>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</si>
  <si>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</si>
  <si>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</si>
  <si>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</si>
  <si>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</si>
  <si>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</si>
  <si>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</si>
  <si>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</si>
  <si>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</si>
  <si>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</si>
  <si>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</si>
  <si>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</si>
  <si>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</si>
  <si>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</si>
  <si>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</si>
  <si>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</si>
  <si>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</si>
  <si>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</si>
  <si>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</si>
  <si>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</si>
  <si>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</si>
  <si>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</si>
  <si>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</si>
  <si>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</si>
  <si>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</si>
  <si>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</si>
  <si>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</si>
  <si>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</si>
  <si>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</si>
  <si>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</si>
  <si>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</si>
  <si>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</si>
  <si>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</si>
  <si>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</si>
  <si>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</si>
  <si>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</si>
  <si>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</si>
  <si>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</si>
  <si>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</si>
  <si>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</si>
  <si>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</si>
  <si>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</si>
  <si>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</si>
  <si>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</si>
  <si>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</si>
  <si>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</si>
  <si>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</si>
  <si>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</si>
  <si>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</si>
  <si>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</si>
  <si>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</si>
  <si>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</si>
  <si>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</si>
  <si>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</si>
  <si>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</si>
  <si>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</si>
  <si>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</si>
  <si>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</si>
  <si>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</si>
  <si>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</si>
  <si>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</si>
  <si>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</si>
  <si>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</si>
  <si>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</si>
  <si>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</si>
  <si>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</si>
  <si>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</si>
  <si>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</si>
  <si>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</si>
  <si>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</si>
  <si>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</si>
  <si>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</si>
  <si>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</si>
  <si>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</si>
  <si>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</si>
  <si>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</si>
  <si>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</si>
  <si>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</si>
  <si>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</si>
  <si>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</si>
  <si>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</si>
  <si>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</si>
  <si>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</si>
  <si>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</si>
  <si>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</si>
  <si>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</si>
  <si>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</si>
  <si>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</si>
  <si>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</si>
  <si>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</si>
  <si>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</si>
  <si>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</si>
  <si>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</si>
  <si>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</si>
  <si>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</si>
  <si>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</si>
  <si>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</si>
  <si>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</si>
  <si>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</si>
  <si>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</si>
  <si>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</si>
  <si>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</si>
  <si>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</si>
  <si>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</si>
  <si>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</si>
  <si>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</si>
  <si>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</si>
  <si>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</si>
  <si>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</si>
  <si>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</si>
  <si>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</si>
  <si>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</si>
  <si>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</si>
  <si>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</si>
  <si>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</si>
  <si>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</si>
  <si>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</si>
  <si>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</si>
  <si>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</si>
  <si>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</si>
  <si>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</si>
  <si>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</si>
  <si>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</si>
  <si>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</si>
  <si>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</si>
  <si>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</si>
  <si>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</si>
  <si>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</si>
  <si>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</si>
  <si>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</si>
  <si>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</si>
  <si>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</si>
  <si>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</si>
  <si>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</si>
  <si>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</si>
  <si>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</si>
  <si>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</si>
  <si>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</si>
  <si>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</si>
  <si>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</si>
  <si>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</si>
  <si>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</si>
  <si>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</si>
  <si>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</si>
  <si>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</si>
  <si>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</si>
  <si>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</si>
  <si>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</si>
  <si>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</si>
  <si>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</si>
  <si>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</si>
  <si>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</si>
  <si>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</si>
  <si>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</si>
  <si>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</si>
  <si>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</si>
  <si>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</si>
  <si>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</si>
  <si>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</si>
  <si>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</si>
  <si>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</si>
  <si>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</si>
  <si>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</si>
  <si>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</si>
  <si>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</si>
  <si>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</si>
  <si>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</si>
  <si>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</si>
  <si>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</si>
  <si>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</si>
  <si>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</si>
  <si>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</si>
  <si>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</si>
  <si>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</si>
  <si>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</si>
  <si>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</si>
  <si>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</si>
  <si>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</si>
  <si>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</si>
  <si>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</si>
  <si>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</si>
  <si>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</si>
  <si>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</si>
  <si>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</si>
  <si>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</si>
  <si>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</si>
  <si>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</si>
  <si>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</si>
  <si>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</si>
  <si>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</si>
  <si>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</si>
  <si>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</si>
  <si>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</si>
  <si>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</si>
  <si>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</si>
  <si>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</si>
  <si>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</si>
  <si>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</si>
  <si>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</si>
  <si>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</si>
  <si>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</si>
  <si>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</si>
  <si>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</si>
  <si>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</si>
  <si>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</si>
  <si>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</si>
  <si>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</si>
  <si>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</si>
  <si>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</si>
  <si>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</si>
  <si>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</si>
  <si>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</si>
  <si>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</si>
  <si>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</si>
  <si>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</si>
  <si>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</si>
  <si>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</si>
  <si>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</si>
  <si>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</si>
  <si>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</si>
  <si>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</si>
  <si>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</si>
  <si>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</si>
  <si>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</si>
  <si>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</si>
  <si>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</si>
  <si>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</si>
  <si>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</si>
  <si>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</si>
  <si>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</si>
  <si>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</si>
  <si>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</si>
  <si>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</si>
  <si>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</si>
  <si>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</si>
  <si>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</si>
  <si>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</si>
  <si>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</si>
  <si>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</si>
  <si>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</si>
  <si>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</si>
  <si>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</si>
  <si>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</si>
  <si>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</si>
  <si>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</si>
  <si>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</si>
  <si>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</si>
  <si>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</si>
  <si>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</si>
  <si>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</si>
  <si>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</si>
  <si>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</si>
  <si>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</si>
  <si>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</si>
  <si>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</si>
  <si>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</si>
  <si>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</si>
  <si>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</si>
  <si>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</si>
  <si>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</si>
  <si>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</si>
  <si>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</si>
  <si>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</si>
  <si>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</si>
  <si>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</si>
  <si>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</si>
  <si>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</si>
  <si>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</si>
  <si>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</si>
  <si>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</si>
  <si>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</si>
  <si>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</si>
  <si>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</si>
  <si>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</si>
  <si>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</si>
  <si>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</si>
  <si>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</si>
  <si>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</si>
  <si>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</si>
  <si>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</si>
  <si>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</si>
  <si>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</si>
  <si>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</si>
  <si>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</si>
  <si>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</si>
  <si>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</si>
  <si>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</si>
  <si>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</si>
  <si>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</si>
  <si>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</si>
  <si>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</si>
  <si>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</si>
  <si>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</si>
  <si>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</si>
  <si>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</si>
  <si>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</si>
  <si>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</si>
  <si>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</si>
  <si>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</si>
  <si>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</si>
  <si>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</si>
  <si>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</si>
  <si>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</si>
  <si>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</si>
  <si>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</si>
  <si>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</si>
  <si>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</si>
  <si>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</si>
  <si>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</si>
  <si>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</si>
  <si>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</si>
  <si>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</si>
  <si>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</si>
  <si>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</si>
  <si>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</si>
  <si>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</si>
  <si>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</si>
  <si>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</si>
  <si>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</si>
  <si>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</si>
  <si>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</si>
  <si>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</si>
  <si>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</si>
  <si>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</si>
  <si>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</si>
  <si>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</si>
  <si>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</si>
  <si>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</si>
  <si>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</si>
  <si>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</si>
  <si>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</si>
  <si>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</si>
  <si>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</si>
  <si>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</si>
  <si>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</si>
  <si>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</si>
  <si>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</si>
  <si>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</si>
  <si>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</si>
  <si>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</si>
  <si>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</si>
  <si>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</si>
  <si>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</si>
  <si>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</si>
  <si>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</si>
  <si>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</si>
  <si>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</si>
  <si>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</si>
  <si>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</si>
  <si>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</si>
  <si>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</si>
  <si>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</si>
  <si>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</si>
  <si>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</si>
  <si>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</si>
  <si>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</si>
  <si>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</si>
  <si>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</si>
  <si>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</si>
  <si>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</si>
  <si>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</si>
  <si>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</si>
  <si>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</si>
  <si>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</si>
  <si>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</si>
  <si>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</si>
  <si>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</si>
  <si>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</si>
  <si>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</si>
  <si>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</si>
  <si>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</si>
  <si>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</si>
  <si>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</si>
  <si>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</si>
  <si>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</si>
  <si>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</si>
  <si>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</si>
  <si>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</si>
  <si>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</si>
  <si>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</si>
  <si>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</si>
  <si>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</si>
  <si>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</si>
  <si>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</si>
  <si>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</si>
  <si>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</si>
  <si>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</si>
  <si>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</si>
  <si>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</si>
  <si>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</si>
  <si>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</si>
  <si>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</si>
  <si>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</si>
  <si>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</si>
  <si>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</si>
  <si>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</si>
  <si>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</si>
  <si>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</si>
  <si>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</si>
  <si>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</si>
  <si>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</si>
  <si>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</si>
  <si>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</si>
  <si>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</si>
  <si>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</si>
  <si>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</si>
  <si>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</si>
  <si>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</si>
  <si>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</si>
  <si>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</si>
  <si>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</si>
  <si>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</si>
  <si>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</si>
  <si>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</si>
  <si>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</si>
  <si>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</si>
  <si>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</si>
  <si>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</si>
  <si>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</si>
  <si>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</si>
  <si>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</si>
  <si>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</si>
  <si>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</si>
  <si>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</si>
  <si>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</si>
  <si>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</si>
  <si>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</si>
  <si>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</si>
  <si>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</si>
  <si>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</si>
  <si>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</si>
  <si>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</si>
  <si>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</si>
  <si>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</si>
  <si>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</si>
  <si>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</si>
  <si>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</si>
  <si>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</si>
  <si>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</si>
  <si>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</si>
  <si>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</si>
  <si>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</si>
  <si>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</si>
  <si>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</si>
  <si>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</si>
  <si>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</si>
  <si>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</si>
  <si>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</si>
  <si>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</si>
  <si>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</si>
  <si>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</si>
  <si>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</si>
  <si>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</si>
  <si>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</si>
  <si>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</si>
  <si>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</si>
  <si>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</si>
  <si>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</si>
  <si>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</si>
  <si>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</si>
  <si>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</si>
  <si>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</si>
  <si>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</si>
  <si>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</si>
  <si>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</si>
  <si>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</si>
  <si>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</si>
  <si>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</si>
  <si>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</si>
  <si>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</si>
  <si>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</si>
  <si>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</si>
  <si>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</si>
  <si>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</si>
  <si>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</si>
  <si>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</si>
  <si>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</si>
  <si>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</si>
  <si>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</si>
  <si>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</si>
  <si>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</si>
  <si>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</si>
  <si>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</si>
  <si>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</si>
  <si>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</si>
  <si>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</si>
  <si>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</si>
  <si>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</si>
  <si>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</si>
  <si>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</si>
  <si>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</si>
  <si>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</si>
  <si>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</si>
  <si>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</si>
  <si>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</si>
  <si>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</si>
  <si>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</si>
  <si>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</si>
  <si>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</si>
  <si>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</si>
  <si>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</si>
  <si>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</si>
  <si>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</si>
  <si>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</si>
  <si>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</si>
  <si>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</si>
  <si>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</si>
  <si>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</si>
  <si>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</si>
  <si>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</si>
  <si>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</si>
  <si>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</si>
  <si>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</si>
  <si>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</si>
  <si>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</si>
  <si>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</si>
  <si>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</si>
  <si>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</si>
  <si>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</si>
  <si>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</si>
  <si>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</si>
  <si>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</si>
  <si>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</si>
  <si>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</si>
  <si>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</si>
  <si>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</si>
  <si>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</si>
  <si>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</si>
  <si>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</si>
  <si>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</si>
  <si>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</si>
  <si>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</si>
  <si>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</si>
  <si>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</si>
  <si>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</si>
  <si>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</si>
  <si>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</si>
  <si>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</si>
  <si>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</si>
  <si>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</si>
  <si>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</si>
  <si>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</si>
  <si>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</si>
  <si>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</si>
  <si>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</si>
  <si>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</si>
  <si>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</si>
  <si>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</si>
  <si>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</si>
  <si>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</si>
  <si>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</si>
  <si>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</si>
  <si>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</si>
  <si>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</si>
  <si>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</si>
  <si>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</si>
  <si>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</si>
  <si>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</si>
  <si>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</si>
  <si>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</si>
  <si>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</si>
  <si>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</si>
  <si>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</si>
  <si>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</si>
  <si>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</si>
  <si>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</si>
  <si>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</si>
  <si>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</si>
  <si>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</si>
  <si>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</si>
  <si>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</si>
  <si>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</si>
  <si>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</si>
  <si>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</si>
  <si>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</si>
  <si>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</si>
  <si>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</si>
  <si>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</si>
  <si>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</si>
  <si>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</si>
  <si>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</si>
  <si>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</si>
  <si>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</si>
  <si>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</si>
  <si>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</si>
  <si>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</si>
  <si>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</si>
  <si>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</si>
  <si>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</si>
  <si>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</si>
  <si>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</si>
  <si>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</si>
  <si>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</si>
  <si>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</si>
  <si>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</si>
  <si>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</si>
  <si>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</si>
  <si>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</si>
  <si>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</si>
  <si>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</si>
  <si>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</si>
  <si>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</si>
  <si>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</si>
  <si>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</si>
  <si>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</si>
  <si>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</si>
  <si>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</si>
  <si>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</si>
  <si>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</si>
  <si>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</si>
  <si>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</si>
  <si>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</si>
  <si>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</si>
  <si>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</si>
  <si>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</si>
  <si>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</si>
  <si>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</si>
  <si>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</si>
  <si>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</si>
  <si>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</si>
  <si>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</si>
  <si>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</si>
  <si>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</si>
  <si>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</si>
  <si>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</si>
  <si>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</si>
  <si>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</si>
  <si>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</si>
  <si>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</si>
  <si>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</si>
  <si>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</si>
  <si>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</si>
  <si>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</si>
  <si>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</si>
  <si>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</si>
  <si>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</si>
  <si>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</si>
  <si>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</si>
  <si>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</si>
  <si>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</si>
  <si>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</si>
  <si>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</si>
  <si>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</si>
  <si>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</si>
  <si>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</si>
  <si>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</si>
  <si>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</si>
  <si>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</si>
  <si>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</si>
  <si>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</si>
  <si>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</si>
  <si>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</si>
  <si>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</si>
  <si>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</si>
  <si>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</si>
  <si>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</si>
  <si>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</si>
  <si>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</si>
  <si>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</si>
  <si>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</si>
  <si>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</si>
  <si>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</si>
  <si>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</si>
  <si>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</si>
  <si>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</si>
  <si>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</si>
  <si>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</si>
  <si>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</si>
  <si>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</si>
  <si>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</si>
  <si>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</si>
  <si>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</si>
  <si>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</si>
  <si>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</si>
  <si>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</si>
  <si>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</si>
  <si>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</si>
  <si>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</si>
  <si>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</si>
  <si>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</si>
  <si>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</si>
  <si>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</si>
  <si>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</si>
  <si>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</si>
  <si>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</si>
  <si>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</si>
  <si>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</si>
  <si>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</si>
  <si>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</si>
  <si>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</si>
  <si>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</si>
  <si>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</si>
  <si>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</si>
  <si>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</si>
  <si>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</si>
  <si>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</si>
  <si>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</si>
  <si>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</si>
  <si>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</si>
  <si>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</si>
  <si>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</si>
  <si>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</si>
  <si>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</si>
  <si>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</si>
  <si>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</si>
  <si>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</si>
  <si>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</si>
  <si>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</si>
  <si>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</si>
  <si>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</si>
  <si>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</si>
  <si>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</si>
  <si>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</si>
  <si>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</si>
  <si>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</si>
  <si>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</si>
  <si>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</si>
  <si>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</si>
  <si>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</si>
  <si>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</si>
  <si>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</si>
  <si>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</si>
  <si>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</si>
  <si>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</si>
  <si>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</si>
  <si>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</si>
  <si>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</si>
  <si>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</si>
  <si>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</si>
  <si>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</si>
  <si>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</si>
  <si>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</si>
  <si>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</si>
  <si>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</si>
  <si>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</si>
  <si>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</si>
  <si>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</si>
  <si>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</si>
  <si>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</si>
  <si>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</si>
  <si>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</si>
  <si>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</si>
  <si>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</si>
  <si>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</si>
  <si>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</si>
  <si>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</si>
  <si>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</si>
  <si>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</si>
  <si>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</si>
  <si>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</si>
  <si>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</si>
  <si>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</si>
  <si>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</si>
  <si>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</si>
  <si>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</si>
  <si>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</si>
  <si>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</si>
  <si>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</si>
  <si>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</si>
  <si>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</si>
  <si>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</si>
  <si>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</si>
  <si>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</si>
  <si>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</si>
  <si>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</si>
  <si>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</si>
  <si>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</si>
  <si>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</si>
  <si>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</si>
  <si>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</si>
  <si>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</si>
  <si>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</si>
  <si>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</si>
  <si>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</si>
  <si>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</si>
  <si>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</si>
  <si>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</si>
  <si>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</si>
  <si>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</si>
  <si>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</si>
  <si>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</si>
  <si>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</si>
  <si>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</si>
  <si>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</si>
  <si>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</si>
  <si>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</si>
  <si>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</si>
  <si>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</si>
  <si>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</si>
  <si>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</si>
  <si>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</si>
  <si>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</si>
  <si>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</si>
  <si>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</si>
  <si>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</si>
  <si>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</si>
  <si>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</si>
  <si>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</si>
  <si>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</si>
  <si>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</si>
  <si>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</si>
  <si>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</si>
  <si>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</si>
  <si>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</si>
  <si>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</si>
  <si>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</si>
  <si>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</si>
  <si>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</si>
  <si>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</si>
  <si>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</si>
  <si>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</si>
  <si>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</si>
  <si>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</si>
  <si>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</si>
  <si>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</si>
  <si>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</si>
  <si>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</si>
  <si>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</si>
  <si>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</si>
  <si>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</si>
  <si>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</si>
  <si>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</si>
  <si>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</si>
  <si>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</si>
  <si>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</si>
  <si>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</si>
  <si>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</si>
  <si>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</si>
  <si>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</si>
  <si>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</si>
  <si>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</si>
  <si>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</si>
  <si>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</si>
  <si>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</si>
  <si>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</si>
  <si>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</si>
  <si>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</si>
  <si>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</si>
  <si>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</si>
  <si>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</si>
  <si>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</si>
  <si>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</si>
  <si>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</si>
  <si>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</si>
  <si>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</si>
  <si>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</si>
  <si>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</si>
  <si>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</si>
  <si>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</si>
  <si>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</si>
  <si>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</si>
  <si>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</si>
  <si>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</si>
  <si>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</si>
  <si>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</si>
  <si>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</si>
  <si>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</si>
  <si>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</si>
  <si>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</si>
  <si>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</si>
  <si>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</si>
  <si>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</si>
  <si>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</si>
  <si>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</si>
  <si>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</si>
  <si>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</si>
  <si>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</si>
  <si>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</si>
  <si>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</si>
  <si>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</si>
  <si>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</si>
  <si>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</si>
  <si>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</si>
  <si>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</si>
  <si>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</si>
  <si>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</si>
  <si>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</si>
  <si>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</si>
  <si>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</si>
  <si>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</si>
  <si>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</si>
  <si>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</si>
  <si>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</si>
  <si>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</si>
  <si>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</si>
  <si>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</si>
  <si>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</si>
  <si>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</si>
  <si>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</si>
  <si>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</si>
  <si>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</si>
  <si>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</si>
  <si>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</si>
  <si>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</si>
  <si>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</si>
  <si>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</si>
  <si>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</si>
  <si>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</si>
  <si>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</si>
  <si>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</si>
  <si>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</si>
  <si>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</si>
  <si>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</si>
  <si>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</si>
  <si>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</si>
  <si>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</si>
  <si>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</si>
  <si>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</si>
  <si>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</si>
  <si>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</si>
  <si>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</si>
  <si>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</si>
  <si>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</si>
  <si>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</si>
  <si>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</si>
  <si>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</si>
  <si>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</si>
  <si>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</si>
  <si>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</si>
  <si>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</si>
  <si>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</si>
  <si>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</si>
  <si>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</si>
  <si>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</si>
  <si>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</si>
  <si>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</si>
  <si>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</si>
  <si>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</si>
  <si>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</si>
  <si>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</si>
  <si>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</si>
  <si>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</si>
  <si>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</si>
  <si>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</si>
  <si>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</si>
  <si>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</si>
  <si>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</si>
  <si>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</si>
  <si>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</si>
  <si>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</si>
  <si>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</si>
  <si>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</si>
  <si>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</si>
  <si>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</si>
  <si>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</si>
  <si>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</si>
  <si>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</si>
  <si>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</si>
  <si>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</si>
  <si>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</si>
  <si>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</si>
  <si>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</si>
  <si>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</si>
  <si>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</si>
  <si>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</si>
  <si>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</si>
  <si>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</si>
  <si>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</si>
  <si>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</si>
  <si>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</si>
  <si>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</si>
  <si>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</si>
  <si>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</si>
  <si>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</si>
  <si>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</si>
  <si>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</si>
  <si>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</si>
  <si>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</si>
  <si>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</si>
  <si>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</si>
  <si>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</si>
  <si>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</si>
  <si>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</si>
  <si>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</si>
  <si>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</si>
  <si>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</si>
  <si>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</si>
  <si>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</si>
  <si>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</si>
  <si>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</si>
  <si>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</si>
  <si>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</si>
  <si>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</si>
  <si>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</si>
  <si>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</si>
  <si>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</si>
  <si>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</si>
  <si>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</si>
  <si>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</si>
  <si>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</si>
  <si>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</si>
  <si>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</si>
  <si>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</si>
  <si>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</si>
  <si>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</si>
  <si>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</si>
  <si>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</si>
  <si>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</si>
  <si>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</si>
  <si>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</si>
  <si>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</si>
  <si>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</si>
  <si>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</si>
  <si>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</si>
  <si>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</si>
  <si>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</si>
  <si>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</si>
  <si>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</si>
  <si>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</si>
  <si>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</si>
  <si>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</si>
  <si>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</si>
  <si>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</si>
  <si>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</si>
  <si>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</si>
  <si>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</si>
  <si>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</si>
  <si>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</si>
  <si>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</si>
  <si>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</si>
  <si>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</si>
  <si>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</si>
  <si>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</si>
  <si>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</si>
  <si>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</si>
  <si>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</si>
  <si>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</si>
  <si>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</si>
  <si>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</si>
  <si>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</si>
  <si>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</si>
  <si>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</si>
  <si>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</si>
  <si>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</si>
  <si>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</si>
  <si>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</si>
  <si>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</si>
  <si>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</si>
  <si>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</si>
  <si>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</si>
  <si>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</si>
  <si>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</si>
  <si>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</si>
  <si>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</si>
  <si>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</si>
  <si>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</si>
  <si>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</si>
  <si>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</si>
  <si>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</si>
  <si>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</si>
  <si>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</si>
  <si>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</si>
  <si>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</si>
  <si>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</si>
  <si>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</si>
  <si>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</si>
  <si>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</si>
  <si>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</si>
  <si>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</si>
  <si>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</si>
  <si>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</si>
  <si>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</si>
  <si>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</si>
  <si>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</si>
  <si>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</si>
  <si>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</si>
  <si>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</si>
  <si>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</si>
  <si>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</si>
  <si>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</si>
  <si>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</si>
  <si>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525 N Capitol</t>
  </si>
  <si>
    <t>City of San Jose</t>
  </si>
  <si>
    <t>San Jose</t>
  </si>
  <si>
    <t>525 N Capitol Avenue</t>
  </si>
  <si>
    <t>024-031-25</t>
  </si>
  <si>
    <t>40%/60%</t>
  </si>
  <si>
    <t>525 Capitol LP</t>
  </si>
  <si>
    <t>3416 Via Oporto, Ste 301</t>
  </si>
  <si>
    <t>Newport Beach</t>
  </si>
  <si>
    <t>CA</t>
  </si>
  <si>
    <t>Angela Heyward</t>
  </si>
  <si>
    <t>310-497-3037</t>
  </si>
  <si>
    <t>angela@communitydevpartners.com</t>
  </si>
  <si>
    <t>Community Development Partners</t>
  </si>
  <si>
    <t>525 Capitol CDP LLC</t>
  </si>
  <si>
    <t>FFAH V 525 Capitol, LLC</t>
  </si>
  <si>
    <t>Administrative GP</t>
  </si>
  <si>
    <t>18575 Jamboree Road Suite 120</t>
  </si>
  <si>
    <t>Irvine</t>
  </si>
  <si>
    <t>Mei Luu</t>
  </si>
  <si>
    <t>949-715-8497</t>
  </si>
  <si>
    <t>mei@ffah.org</t>
  </si>
  <si>
    <t>Foundation for Affordable Housing</t>
  </si>
  <si>
    <t>Teresa Pakalski</t>
  </si>
  <si>
    <t>262-490-3939</t>
  </si>
  <si>
    <t>teresa@communitydevpartners.com</t>
  </si>
  <si>
    <t>Developer</t>
  </si>
  <si>
    <t>Newport Beach, CA 92663</t>
  </si>
  <si>
    <t>Cox, Castle, &amp; Nicholson LLP</t>
  </si>
  <si>
    <t>2029 Century Park East, Ste 2100</t>
  </si>
  <si>
    <t>Los Angeles, CA 90067</t>
  </si>
  <si>
    <t>Ofer Elitzur</t>
  </si>
  <si>
    <t>415-262-5165</t>
  </si>
  <si>
    <t>oelitzur@coxcastle.com</t>
  </si>
  <si>
    <t>Novogradac &amp; Company LLP</t>
  </si>
  <si>
    <t>211 E Ocean Blvd, 6th Floor</t>
  </si>
  <si>
    <t>Long Beach, CA 90802</t>
  </si>
  <si>
    <t>Justin Chubb Lurya, CPA</t>
  </si>
  <si>
    <t>562-256-2337</t>
  </si>
  <si>
    <t>justin.chubblurya@novoco.com</t>
  </si>
  <si>
    <t>FPI Management</t>
  </si>
  <si>
    <t>800 Iron Point Road</t>
  </si>
  <si>
    <t>Folsom, CA 95630</t>
  </si>
  <si>
    <t>Dennis Treadaway</t>
  </si>
  <si>
    <t>916-357-5300</t>
  </si>
  <si>
    <t>dennis.treadaway@fpimgt.com</t>
  </si>
  <si>
    <t>Other (Specify below)</t>
  </si>
  <si>
    <t>N/A.</t>
  </si>
  <si>
    <t>Santa Clara Housing Authority</t>
  </si>
  <si>
    <t>HCD IIG</t>
  </si>
  <si>
    <t>Local: Santa Clara County Measure A</t>
  </si>
  <si>
    <t>Federal Davis-Bacon - Section 8 PBVs, State - Santa Clara County Measure A, City of San Jose</t>
  </si>
  <si>
    <t>Application Fees, Late Fees</t>
  </si>
  <si>
    <t>Lighting/AC</t>
  </si>
  <si>
    <t>Other: (Lender Inspection Reports)</t>
  </si>
  <si>
    <t>Other: (Preconstruction Studies &amp; Reports)</t>
  </si>
  <si>
    <t>Veterans</t>
  </si>
  <si>
    <t xml:space="preserve">Other: </t>
  </si>
  <si>
    <t>Other: (Subordinate/Soft Debt Fees)</t>
  </si>
  <si>
    <t>Jacky Morales-Ferrand</t>
  </si>
  <si>
    <t>Director of Housing</t>
  </si>
  <si>
    <t>200 East Santa Clara Street, 12th Floor</t>
  </si>
  <si>
    <t>408-535-3855</t>
  </si>
  <si>
    <t>408-292-6203</t>
  </si>
  <si>
    <t>jacky.morales-ferrand@sanjoseca.gov</t>
  </si>
  <si>
    <t xml:space="preserve">City of San Jose </t>
  </si>
  <si>
    <t xml:space="preserve">200 E. Santa Clara Street, 12th Floor </t>
  </si>
  <si>
    <t>San Jose, CA 95113</t>
  </si>
  <si>
    <t>Banu San</t>
  </si>
  <si>
    <t>650-245-0807</t>
  </si>
  <si>
    <t>banu.san@sanjoseca.gov</t>
  </si>
  <si>
    <t>Valbridge Property Advisors</t>
  </si>
  <si>
    <t>3160 Crow Canyon Place, Suite 245</t>
  </si>
  <si>
    <t>San Ramon, CA 94583</t>
  </si>
  <si>
    <t>Jeremy Bargy</t>
  </si>
  <si>
    <t>925-475-8516</t>
  </si>
  <si>
    <t>408-279-3428</t>
  </si>
  <si>
    <t>jbargy@valbridge.com</t>
  </si>
  <si>
    <t>David Baker Architects</t>
  </si>
  <si>
    <t>460 Second Street #127</t>
  </si>
  <si>
    <t>San Francisco, CA 94107</t>
  </si>
  <si>
    <t>Daniel Simons</t>
  </si>
  <si>
    <t>415-799-4585</t>
  </si>
  <si>
    <t>danielsimons@dbarchitects.com</t>
  </si>
  <si>
    <t>Cahill Contractors Inc</t>
  </si>
  <si>
    <t>2001 Gateway Place Suite 270W</t>
  </si>
  <si>
    <t>San Jose, CA 95110</t>
  </si>
  <si>
    <t>Matt Dennig</t>
  </si>
  <si>
    <t>510-250-8506</t>
  </si>
  <si>
    <t>510-250-8520</t>
  </si>
  <si>
    <t>mdennig@cahill-sf.com</t>
  </si>
  <si>
    <t>Bright Green Strategies, Inc</t>
  </si>
  <si>
    <t>820 Delaware St</t>
  </si>
  <si>
    <t>Berkely, CA 94710</t>
  </si>
  <si>
    <t>Steve Davis</t>
  </si>
  <si>
    <t>steve@brightgreenstrategies.com</t>
  </si>
  <si>
    <t>510-863-1109</t>
  </si>
  <si>
    <t>Laurin Associates</t>
  </si>
  <si>
    <t>1501 Sports Drive Suite A</t>
  </si>
  <si>
    <t>Sacramento, CA 95834</t>
  </si>
  <si>
    <t>Stefanie Williams</t>
  </si>
  <si>
    <t>916-372-6100</t>
  </si>
  <si>
    <t>916-419-6108</t>
  </si>
  <si>
    <t>swilliams@laurinassociates.com</t>
  </si>
  <si>
    <t>Kyle Paine</t>
  </si>
  <si>
    <t>President</t>
  </si>
  <si>
    <t>3416 Via Oporto #301, Newport Beach, CA 92663</t>
  </si>
  <si>
    <t>949-467-1344</t>
  </si>
  <si>
    <t>The City of San Jose</t>
  </si>
  <si>
    <t>Secured by Leasehold Interest</t>
  </si>
  <si>
    <t>Type I and Type V New Construction Multi-Family Development</t>
  </si>
  <si>
    <t>Neighborhood/Community Commercial</t>
  </si>
  <si>
    <t>C-P - Commercial Pedestrian (allows for 100% affordable);
Max Density: 250 du/ac</t>
  </si>
  <si>
    <t>No Change</t>
  </si>
  <si>
    <t>No requirements, project approved through SB-35</t>
  </si>
  <si>
    <t>120 ft</t>
  </si>
  <si>
    <t>City of San Jose - Acq + Construction</t>
  </si>
  <si>
    <t>Santa Clara County Measure A</t>
  </si>
  <si>
    <t>Citibank - Tax Exempt</t>
  </si>
  <si>
    <t>Citibank - Taxable</t>
  </si>
  <si>
    <t>Santa Clara County - Measure A</t>
  </si>
  <si>
    <t>Deferred Costs &amp; Fees</t>
  </si>
  <si>
    <t>325 E. Hillcrest Drive</t>
  </si>
  <si>
    <t>Thousand Oaks</t>
  </si>
  <si>
    <t>Mike Hemmens</t>
  </si>
  <si>
    <t>805-557-0933</t>
  </si>
  <si>
    <t>Tax-Exempt Construction Loan</t>
  </si>
  <si>
    <t>200 E Santa Clara Street</t>
  </si>
  <si>
    <t>Taxable Construction Loan</t>
  </si>
  <si>
    <t>Soft Loan, Residual Receipts</t>
  </si>
  <si>
    <t>Loan, Value of Land</t>
  </si>
  <si>
    <t>150 W Tasman Dr</t>
  </si>
  <si>
    <t>San Jose, CA 95134</t>
  </si>
  <si>
    <t>Natalie Monk</t>
  </si>
  <si>
    <t>408-278-6400</t>
  </si>
  <si>
    <t>2020 W. El Camino Ave Suite 650</t>
  </si>
  <si>
    <t>Sacramento, CA 95833</t>
  </si>
  <si>
    <t>Kenneth Turner</t>
  </si>
  <si>
    <t>916-776-7560</t>
  </si>
  <si>
    <t>3416 Via Oporto #301</t>
  </si>
  <si>
    <t>Deferred Costs</t>
  </si>
  <si>
    <t>Citibank Tax- Exempt</t>
  </si>
  <si>
    <t>Solar Equity</t>
  </si>
  <si>
    <t>Contributed Developer Fee</t>
  </si>
  <si>
    <t>Tax-Exempt Permanent Loan</t>
  </si>
  <si>
    <t>Developer Fee</t>
  </si>
  <si>
    <t>Misc Admin &amp; Office Expense</t>
  </si>
  <si>
    <t>Payroll Taxes and benefits</t>
  </si>
  <si>
    <t>Service Contracts</t>
  </si>
  <si>
    <t>Project-based vouchers (PBVs)</t>
  </si>
  <si>
    <t>895 Dove Street, Suite 450</t>
  </si>
  <si>
    <t>Paul Neal</t>
  </si>
  <si>
    <t>949-438-1054</t>
  </si>
  <si>
    <t>Low Income Housing Tax Credit Equity</t>
  </si>
  <si>
    <t>Santa Clara County</t>
  </si>
  <si>
    <t>R4 Capital - Federal LIHTC</t>
  </si>
  <si>
    <t>R4 Capital - State LIHTC</t>
  </si>
  <si>
    <t>R4 Capital</t>
  </si>
  <si>
    <t>Newpoer Beach, CA</t>
  </si>
  <si>
    <t>pneal@r4cap.com</t>
  </si>
  <si>
    <t>Sacramento, CA 95811</t>
  </si>
  <si>
    <t>Stephen A. Strain</t>
  </si>
  <si>
    <t>916-444-0286</t>
  </si>
  <si>
    <t>916-44-3408</t>
  </si>
  <si>
    <t>Provided</t>
  </si>
  <si>
    <t>Not Applicable</t>
  </si>
  <si>
    <t>Sabelhaus &amp; Strain PC</t>
  </si>
  <si>
    <t>1724 10th Street, Ste. 110</t>
  </si>
  <si>
    <t>sstrain@sabelhauslaw.com</t>
  </si>
  <si>
    <t>1 bedroom</t>
  </si>
  <si>
    <t>2 bedroom</t>
  </si>
  <si>
    <t>3 bedroom</t>
  </si>
  <si>
    <t>Variable</t>
  </si>
  <si>
    <t>Fixed</t>
  </si>
  <si>
    <t>Managing GP</t>
  </si>
  <si>
    <t>Above residual receipts line for cash flow</t>
  </si>
  <si>
    <t>President of the Manager
of the Adminstrative General Partner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</si>
</sst>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25604">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4"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4" fillId="0" borderId="0" applyFont="0" applyFill="0" applyBorder="0" applyAlignment="0" applyProtection="0"/>
    <xf numFmtId="44" fontId="79" fillId="0" borderId="0" applyFont="0" applyFill="0" applyBorder="0" applyAlignment="0" applyProtection="0"/>
    <xf numFmtId="44" fontId="24"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4"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0" fillId="0" borderId="0" applyFont="0" applyFill="0" applyBorder="0" applyAlignment="0" applyProtection="0"/>
    <xf numFmtId="44" fontId="24" fillId="0" borderId="0" applyFont="0" applyFill="0" applyBorder="0" applyAlignment="0" applyProtection="0"/>
    <xf numFmtId="44" fontId="70" fillId="0" borderId="0" applyFont="0" applyFill="0" applyBorder="0" applyAlignment="0" applyProtection="0"/>
    <xf numFmtId="44" fontId="2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4" fillId="0" borderId="0" applyFont="0" applyFill="0" applyBorder="0" applyAlignment="0" applyProtection="0"/>
    <xf numFmtId="44" fontId="60" fillId="0" borderId="0" applyFont="0" applyFill="0" applyBorder="0" applyAlignment="0" applyProtection="0"/>
    <xf numFmtId="44" fontId="24" fillId="0" borderId="0" applyFont="0" applyFill="0" applyBorder="0" applyAlignment="0" applyProtection="0"/>
    <xf numFmtId="44" fontId="71"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75" fillId="0" borderId="0" applyFont="0" applyFill="0" applyBorder="0" applyAlignment="0" applyProtection="0"/>
    <xf numFmtId="44" fontId="24"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7" fillId="0" borderId="0" applyNumberFormat="0" applyBorder="0"/>
    <xf numFmtId="0" fontId="18" fillId="0" borderId="0" applyBorder="0" applyAlignment="0"/>
    <xf numFmtId="0" fontId="19"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4" fillId="0" borderId="0"/>
    <xf numFmtId="0" fontId="24"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4" fillId="0" borderId="0"/>
    <xf numFmtId="0" fontId="84" fillId="0" borderId="0"/>
    <xf numFmtId="0" fontId="24"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4" fillId="0" borderId="0"/>
    <xf numFmtId="0" fontId="60" fillId="0" borderId="0">
      <alignment vertical="top"/>
    </xf>
    <xf numFmtId="0" fontId="84" fillId="0" borderId="0"/>
    <xf numFmtId="0" fontId="84" fillId="0" borderId="0"/>
    <xf numFmtId="0" fontId="84" fillId="0" borderId="0"/>
    <xf numFmtId="0" fontId="84" fillId="0" borderId="0"/>
    <xf numFmtId="0" fontId="2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4" fillId="0" borderId="0"/>
    <xf numFmtId="0" fontId="84" fillId="0" borderId="0"/>
    <xf numFmtId="0" fontId="84" fillId="0" borderId="0"/>
    <xf numFmtId="0" fontId="84" fillId="0" borderId="0"/>
    <xf numFmtId="0" fontId="15" fillId="0" borderId="0" applyProtection="0">
      <protection locked="0"/>
    </xf>
    <xf numFmtId="0" fontId="24" fillId="0" borderId="0" applyProtection="0">
      <protection locked="0"/>
    </xf>
    <xf numFmtId="0" fontId="24" fillId="0" borderId="0" applyProtection="0">
      <protection locked="0"/>
    </xf>
    <xf numFmtId="0" fontId="61" fillId="0" borderId="0"/>
    <xf numFmtId="0" fontId="15"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0"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5" fillId="0" borderId="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9" fontId="15" fillId="0" borderId="0" applyFon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7"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0" fillId="0" borderId="0" applyNumberForma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4" fontId="15" fillId="0" borderId="0" applyFont="0" applyFill="0" applyBorder="0" applyAlignment="0" applyProtection="0"/>
    <xf numFmtId="9" fontId="119" fillId="0" borderId="0" applyFont="0" applyFill="0" applyBorder="0" applyAlignment="0" applyProtection="0"/>
    <xf numFmtId="0" fontId="119" fillId="0" borderId="0"/>
    <xf numFmtId="0" fontId="9" fillId="0" borderId="0"/>
    <xf numFmtId="0" fontId="15" fillId="0" borderId="0"/>
    <xf numFmtId="43"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15" fillId="0" borderId="0" applyBorder="0"/>
    <xf numFmtId="43" fontId="157" fillId="0" borderId="0" applyFon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44" fontId="16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15"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4">
    <xf numFmtId="0" fontId="0" fillId="0" borderId="0" xfId="0"/>
    <xf numFmtId="0" fontId="0" fillId="0" borderId="0" xfId="0" applyAlignment="1">
      <alignment horizontal="center"/>
    </xf>
    <xf numFmtId="0" fontId="22" fillId="0" borderId="0" xfId="0" applyFont="1"/>
    <xf numFmtId="0" fontId="15" fillId="0" borderId="0" xfId="0" applyFont="1"/>
    <xf numFmtId="0" fontId="24" fillId="0" borderId="0" xfId="0" applyFont="1"/>
    <xf numFmtId="0" fontId="0" fillId="0" borderId="4" xfId="0" applyBorder="1"/>
    <xf numFmtId="0" fontId="24" fillId="0" borderId="0" xfId="0" applyFont="1" applyAlignment="1">
      <alignment horizontal="center"/>
    </xf>
    <xf numFmtId="0" fontId="15"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2" fillId="0" borderId="4" xfId="0" applyFont="1" applyBorder="1"/>
    <xf numFmtId="164" fontId="0" fillId="0" borderId="0" xfId="0" applyNumberFormat="1" applyAlignment="1">
      <alignment horizontal="right"/>
    </xf>
    <xf numFmtId="0" fontId="22" fillId="0" borderId="0" xfId="0" applyFont="1" applyAlignment="1">
      <alignment horizontal="center"/>
    </xf>
    <xf numFmtId="0" fontId="15" fillId="0" borderId="0" xfId="543"/>
    <xf numFmtId="0" fontId="24" fillId="0" borderId="0" xfId="0" applyFont="1" applyAlignment="1">
      <alignment horizontal="left" vertical="top" wrapText="1"/>
    </xf>
    <xf numFmtId="0" fontId="30" fillId="0" borderId="0" xfId="0" applyFont="1"/>
    <xf numFmtId="0" fontId="23" fillId="0" borderId="0" xfId="0" applyFont="1" applyAlignment="1">
      <alignment vertical="top"/>
    </xf>
    <xf numFmtId="0" fontId="23" fillId="0" borderId="0" xfId="0" applyFont="1" applyAlignment="1">
      <alignment vertical="top" wrapText="1"/>
    </xf>
    <xf numFmtId="0" fontId="24" fillId="0" borderId="0" xfId="0" applyFont="1" applyAlignment="1">
      <alignment horizontal="left" indent="4"/>
    </xf>
    <xf numFmtId="0" fontId="23" fillId="0" borderId="0" xfId="0" applyFont="1" applyAlignment="1">
      <alignment horizontal="left" vertical="top"/>
    </xf>
    <xf numFmtId="0" fontId="23" fillId="0" borderId="0" xfId="0" applyFont="1" applyAlignment="1">
      <alignment horizontal="left"/>
    </xf>
    <xf numFmtId="0" fontId="23" fillId="0" borderId="0" xfId="0" applyFont="1"/>
    <xf numFmtId="0" fontId="35" fillId="0" borderId="0" xfId="543" applyFont="1"/>
    <xf numFmtId="1" fontId="23" fillId="0" borderId="0" xfId="0" applyNumberFormat="1" applyFont="1" applyAlignment="1">
      <alignment horizontal="left"/>
    </xf>
    <xf numFmtId="0" fontId="25" fillId="0" borderId="0" xfId="0" applyFont="1"/>
    <xf numFmtId="1" fontId="23" fillId="0" borderId="0" xfId="0" applyNumberFormat="1" applyFont="1" applyAlignment="1">
      <alignment horizontal="right"/>
    </xf>
    <xf numFmtId="0" fontId="0" fillId="0" borderId="0" xfId="0" applyAlignment="1">
      <alignment horizontal="right"/>
    </xf>
    <xf numFmtId="0" fontId="34" fillId="0" borderId="0" xfId="0" applyFont="1"/>
    <xf numFmtId="0" fontId="27" fillId="0" borderId="0" xfId="0" applyFont="1"/>
    <xf numFmtId="172" fontId="15" fillId="0" borderId="0" xfId="543" applyNumberFormat="1"/>
    <xf numFmtId="9" fontId="15" fillId="0" borderId="0" xfId="543" applyNumberFormat="1" applyAlignment="1">
      <alignment horizontal="left"/>
    </xf>
    <xf numFmtId="168" fontId="15" fillId="0" borderId="0" xfId="543" applyNumberFormat="1"/>
    <xf numFmtId="0" fontId="24" fillId="0" borderId="0" xfId="0" applyFont="1" applyAlignment="1">
      <alignment horizontal="right"/>
    </xf>
    <xf numFmtId="0" fontId="38" fillId="0" borderId="0" xfId="0" applyFont="1"/>
    <xf numFmtId="0" fontId="24" fillId="0" borderId="0" xfId="0" applyFont="1" applyAlignment="1">
      <alignment horizontal="left"/>
    </xf>
    <xf numFmtId="0" fontId="26" fillId="0" borderId="0" xfId="0" applyFont="1"/>
    <xf numFmtId="0" fontId="28" fillId="0" borderId="0" xfId="0" applyFont="1"/>
    <xf numFmtId="0" fontId="22"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2" fillId="0" borderId="1" xfId="0" applyFont="1" applyBorder="1" applyAlignment="1">
      <alignment horizontal="center" wrapText="1"/>
    </xf>
    <xf numFmtId="0" fontId="22"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2" fillId="0" borderId="4" xfId="0" applyFont="1" applyBorder="1" applyAlignment="1">
      <alignment horizontal="center"/>
    </xf>
    <xf numFmtId="0" fontId="31" fillId="0" borderId="3" xfId="0" applyFont="1" applyBorder="1" applyAlignment="1">
      <alignment horizontal="left"/>
    </xf>
    <xf numFmtId="0" fontId="31" fillId="0" borderId="9" xfId="0" applyFont="1" applyBorder="1" applyAlignment="1">
      <alignment horizontal="left"/>
    </xf>
    <xf numFmtId="0" fontId="22" fillId="0" borderId="4" xfId="0" applyFont="1" applyBorder="1" applyAlignment="1">
      <alignment horizontal="right"/>
    </xf>
    <xf numFmtId="0" fontId="22" fillId="0" borderId="5" xfId="0" applyFont="1" applyBorder="1" applyAlignment="1">
      <alignment horizontal="right"/>
    </xf>
    <xf numFmtId="0" fontId="31" fillId="0" borderId="0" xfId="0" applyFont="1" applyAlignment="1">
      <alignment horizontal="left"/>
    </xf>
    <xf numFmtId="0" fontId="22" fillId="0" borderId="0" xfId="0" applyFont="1" applyAlignment="1">
      <alignment horizontal="right"/>
    </xf>
    <xf numFmtId="0" fontId="22"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4" fillId="0" borderId="11" xfId="0" applyFont="1" applyBorder="1" applyAlignment="1">
      <alignment horizontal="left"/>
    </xf>
    <xf numFmtId="0" fontId="22" fillId="0" borderId="9" xfId="0" applyFont="1" applyBorder="1"/>
    <xf numFmtId="164" fontId="0" fillId="0" borderId="0" xfId="0" applyNumberFormat="1" applyAlignment="1">
      <alignment horizontal="center"/>
    </xf>
    <xf numFmtId="0" fontId="0" fillId="0" borderId="12" xfId="0" applyBorder="1"/>
    <xf numFmtId="0" fontId="24" fillId="0" borderId="3" xfId="0" applyFont="1" applyBorder="1"/>
    <xf numFmtId="0" fontId="24" fillId="0" borderId="0" xfId="543" applyFont="1"/>
    <xf numFmtId="0" fontId="40" fillId="0" borderId="0" xfId="543" applyFont="1"/>
    <xf numFmtId="49" fontId="15" fillId="0" borderId="0" xfId="543" applyNumberFormat="1"/>
    <xf numFmtId="0" fontId="38" fillId="0" borderId="0" xfId="543" applyFont="1"/>
    <xf numFmtId="168" fontId="35" fillId="0" borderId="6" xfId="543" applyNumberFormat="1" applyFont="1" applyBorder="1" applyAlignment="1">
      <alignment horizontal="left"/>
    </xf>
    <xf numFmtId="168" fontId="35" fillId="0" borderId="6" xfId="543" applyNumberFormat="1" applyFont="1" applyBorder="1" applyAlignment="1">
      <alignment horizontal="center"/>
    </xf>
    <xf numFmtId="0" fontId="15" fillId="0" borderId="8" xfId="543" applyBorder="1"/>
    <xf numFmtId="0" fontId="35" fillId="0" borderId="0" xfId="543" applyFont="1" applyAlignment="1">
      <alignment horizontal="center"/>
    </xf>
    <xf numFmtId="0" fontId="34" fillId="0" borderId="9" xfId="543" applyFont="1" applyBorder="1" applyAlignment="1">
      <alignment horizontal="left" vertical="top" wrapText="1"/>
    </xf>
    <xf numFmtId="0" fontId="34" fillId="0" borderId="6" xfId="543" applyFont="1" applyBorder="1" applyAlignment="1">
      <alignment horizontal="center" vertical="top" wrapText="1"/>
    </xf>
    <xf numFmtId="0" fontId="15" fillId="0" borderId="9" xfId="543" applyBorder="1"/>
    <xf numFmtId="0" fontId="15" fillId="0" borderId="10" xfId="543" applyBorder="1"/>
    <xf numFmtId="0" fontId="15" fillId="0" borderId="1" xfId="543" applyBorder="1"/>
    <xf numFmtId="0" fontId="35" fillId="0" borderId="2" xfId="543" applyFont="1" applyBorder="1" applyAlignment="1">
      <alignment horizontal="center"/>
    </xf>
    <xf numFmtId="0" fontId="37" fillId="0" borderId="8" xfId="543" applyFont="1" applyBorder="1" applyAlignment="1">
      <alignment horizontal="left" vertical="top" wrapText="1"/>
    </xf>
    <xf numFmtId="0" fontId="34" fillId="0" borderId="0" xfId="543" applyFont="1" applyAlignment="1">
      <alignment horizontal="center" vertical="top" wrapText="1"/>
    </xf>
    <xf numFmtId="0" fontId="15" fillId="0" borderId="12" xfId="543" applyBorder="1"/>
    <xf numFmtId="0" fontId="37" fillId="0" borderId="0" xfId="543" applyFont="1" applyAlignment="1">
      <alignment horizontal="center" vertical="top" wrapText="1"/>
    </xf>
    <xf numFmtId="0" fontId="37" fillId="0" borderId="9" xfId="543" applyFont="1" applyBorder="1" applyAlignment="1">
      <alignment horizontal="left" vertical="top" wrapText="1"/>
    </xf>
    <xf numFmtId="0" fontId="15" fillId="0" borderId="2" xfId="543" applyBorder="1"/>
    <xf numFmtId="0" fontId="15" fillId="0" borderId="7" xfId="543" applyBorder="1"/>
    <xf numFmtId="0" fontId="34" fillId="0" borderId="0" xfId="543" applyFont="1"/>
    <xf numFmtId="0" fontId="15" fillId="0" borderId="0" xfId="543" applyAlignment="1">
      <alignment horizontal="center"/>
    </xf>
    <xf numFmtId="0" fontId="23" fillId="0" borderId="6" xfId="543" applyFont="1" applyBorder="1" applyAlignment="1">
      <alignment vertical="top" wrapText="1"/>
    </xf>
    <xf numFmtId="0" fontId="24" fillId="0" borderId="0" xfId="0" applyFont="1" applyAlignment="1">
      <alignment horizontal="left" vertical="top"/>
    </xf>
    <xf numFmtId="0" fontId="0" fillId="2" borderId="2" xfId="0" applyFill="1" applyBorder="1"/>
    <xf numFmtId="0" fontId="0" fillId="2" borderId="7" xfId="0" applyFill="1" applyBorder="1"/>
    <xf numFmtId="0" fontId="22" fillId="0" borderId="6" xfId="0" applyFont="1" applyBorder="1" applyAlignment="1">
      <alignment horizontal="right"/>
    </xf>
    <xf numFmtId="0" fontId="21" fillId="0" borderId="0" xfId="0" applyFont="1" applyAlignment="1">
      <alignment horizontal="center" vertical="center"/>
    </xf>
    <xf numFmtId="0" fontId="22" fillId="0" borderId="0" xfId="0" applyFont="1" applyAlignment="1">
      <alignment vertical="top"/>
    </xf>
    <xf numFmtId="166" fontId="0" fillId="0" borderId="0" xfId="0" applyNumberFormat="1" applyAlignment="1">
      <alignment horizontal="right"/>
    </xf>
    <xf numFmtId="0" fontId="45" fillId="0" borderId="0" xfId="0" applyFont="1"/>
    <xf numFmtId="0" fontId="32" fillId="0" borderId="0" xfId="0" applyFont="1"/>
    <xf numFmtId="0" fontId="16" fillId="0" borderId="0" xfId="244" applyBorder="1" applyProtection="1"/>
    <xf numFmtId="0" fontId="16" fillId="0" borderId="0" xfId="244" applyFill="1" applyBorder="1" applyAlignment="1">
      <alignment horizontal="center" vertical="center"/>
    </xf>
    <xf numFmtId="0" fontId="15" fillId="0" borderId="3" xfId="543" applyBorder="1"/>
    <xf numFmtId="0" fontId="37" fillId="0" borderId="4" xfId="543" applyFont="1" applyBorder="1" applyAlignment="1">
      <alignment horizontal="right" vertical="top" wrapText="1"/>
    </xf>
    <xf numFmtId="0" fontId="24" fillId="0" borderId="6" xfId="0" applyFont="1" applyBorder="1"/>
    <xf numFmtId="0" fontId="24" fillId="0" borderId="2" xfId="0" applyFont="1" applyBorder="1"/>
    <xf numFmtId="0" fontId="24" fillId="0" borderId="7" xfId="0" applyFont="1" applyBorder="1"/>
    <xf numFmtId="0" fontId="24" fillId="0" borderId="12" xfId="0" applyFont="1" applyBorder="1"/>
    <xf numFmtId="0" fontId="24" fillId="0" borderId="9" xfId="0" applyFont="1" applyBorder="1"/>
    <xf numFmtId="0" fontId="24" fillId="0" borderId="10" xfId="0" applyFont="1" applyBorder="1"/>
    <xf numFmtId="0" fontId="29" fillId="0" borderId="6" xfId="0" applyFont="1" applyBorder="1" applyAlignment="1">
      <alignment vertical="top" wrapText="1"/>
    </xf>
    <xf numFmtId="0" fontId="29" fillId="0" borderId="5" xfId="0" applyFont="1" applyBorder="1" applyAlignment="1">
      <alignment vertical="top" wrapText="1"/>
    </xf>
    <xf numFmtId="0" fontId="29" fillId="0" borderId="4" xfId="0" applyFont="1" applyBorder="1" applyAlignment="1">
      <alignment vertical="top" wrapText="1"/>
    </xf>
    <xf numFmtId="0" fontId="29" fillId="2" borderId="6" xfId="0" applyFont="1" applyFill="1" applyBorder="1" applyAlignment="1">
      <alignment vertical="top" wrapText="1"/>
    </xf>
    <xf numFmtId="0" fontId="0" fillId="0" borderId="8" xfId="0" applyBorder="1"/>
    <xf numFmtId="0" fontId="22" fillId="0" borderId="2" xfId="0" applyFont="1" applyBorder="1"/>
    <xf numFmtId="0" fontId="24" fillId="0" borderId="0" xfId="0" applyFont="1" applyAlignment="1">
      <alignment vertical="top"/>
    </xf>
    <xf numFmtId="0" fontId="24" fillId="0" borderId="0" xfId="0" applyFont="1" applyAlignment="1">
      <alignment vertical="top" wrapText="1"/>
    </xf>
    <xf numFmtId="0" fontId="15" fillId="0" borderId="0" xfId="0" applyFont="1" applyAlignment="1">
      <alignment horizontal="left"/>
    </xf>
    <xf numFmtId="0" fontId="15" fillId="0" borderId="0" xfId="0" applyFont="1" applyAlignment="1">
      <alignment vertical="top"/>
    </xf>
    <xf numFmtId="0" fontId="44" fillId="0" borderId="0" xfId="0" applyFont="1"/>
    <xf numFmtId="0" fontId="15" fillId="0" borderId="3" xfId="0" applyFont="1" applyBorder="1"/>
    <xf numFmtId="0" fontId="15"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9" fillId="3" borderId="4" xfId="0" applyFont="1" applyFill="1" applyBorder="1" applyAlignment="1">
      <alignment vertical="top" wrapText="1"/>
    </xf>
    <xf numFmtId="0" fontId="29" fillId="3" borderId="5" xfId="0" applyFont="1" applyFill="1" applyBorder="1" applyAlignment="1">
      <alignment vertical="top" wrapText="1"/>
    </xf>
    <xf numFmtId="0" fontId="47" fillId="0" borderId="0" xfId="0" applyFont="1"/>
    <xf numFmtId="0" fontId="24" fillId="0" borderId="4" xfId="0" applyFont="1" applyBorder="1"/>
    <xf numFmtId="0" fontId="22" fillId="0" borderId="2" xfId="0" applyFont="1" applyBorder="1" applyAlignment="1">
      <alignment horizontal="center"/>
    </xf>
    <xf numFmtId="0" fontId="22" fillId="0" borderId="0" xfId="0" applyFont="1" applyAlignment="1">
      <alignment horizontal="center" vertical="center" wrapText="1"/>
    </xf>
    <xf numFmtId="0" fontId="22" fillId="0" borderId="7" xfId="543" applyFont="1" applyBorder="1" applyAlignment="1">
      <alignment horizontal="right"/>
    </xf>
    <xf numFmtId="0" fontId="23" fillId="0" borderId="9" xfId="543" applyFont="1" applyBorder="1"/>
    <xf numFmtId="0" fontId="24" fillId="0" borderId="6" xfId="543" applyFont="1" applyBorder="1"/>
    <xf numFmtId="0" fontId="23" fillId="0" borderId="6" xfId="543" applyFont="1" applyBorder="1" applyAlignment="1">
      <alignment horizontal="right"/>
    </xf>
    <xf numFmtId="0" fontId="22" fillId="0" borderId="0" xfId="0" applyFont="1" applyAlignment="1">
      <alignment horizontal="center" vertical="center"/>
    </xf>
    <xf numFmtId="0" fontId="24"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8"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4" fillId="0" borderId="0" xfId="0" applyNumberFormat="1" applyFont="1" applyAlignment="1">
      <alignment horizontal="left"/>
    </xf>
    <xf numFmtId="0" fontId="56" fillId="0" borderId="0" xfId="0" applyFont="1"/>
    <xf numFmtId="0" fontId="15" fillId="0" borderId="0" xfId="244" applyFont="1" applyFill="1" applyBorder="1" applyAlignment="1" applyProtection="1">
      <alignment horizontal="left"/>
    </xf>
    <xf numFmtId="0" fontId="46" fillId="0" borderId="0" xfId="0" applyFont="1"/>
    <xf numFmtId="0" fontId="46" fillId="0" borderId="0" xfId="244" applyFont="1" applyFill="1" applyBorder="1" applyAlignment="1" applyProtection="1">
      <alignment horizontal="left"/>
    </xf>
    <xf numFmtId="0" fontId="21" fillId="3" borderId="11" xfId="0" applyFont="1" applyFill="1" applyBorder="1" applyAlignment="1">
      <alignment vertical="top"/>
    </xf>
    <xf numFmtId="0" fontId="0" fillId="7" borderId="0" xfId="0" applyFill="1"/>
    <xf numFmtId="0" fontId="35" fillId="0" borderId="0" xfId="0" applyFont="1"/>
    <xf numFmtId="0" fontId="58" fillId="0" borderId="0" xfId="0" applyFont="1"/>
    <xf numFmtId="0" fontId="33" fillId="0" borderId="0" xfId="0" applyFont="1" applyAlignment="1">
      <alignment horizontal="center"/>
    </xf>
    <xf numFmtId="0" fontId="33" fillId="0" borderId="0" xfId="0" applyFont="1"/>
    <xf numFmtId="0" fontId="33" fillId="0" borderId="0" xfId="0" applyFont="1" applyAlignment="1">
      <alignment horizontal="left"/>
    </xf>
    <xf numFmtId="49" fontId="22" fillId="0" borderId="0" xfId="0" applyNumberFormat="1" applyFont="1" applyAlignment="1">
      <alignment horizontal="center"/>
    </xf>
    <xf numFmtId="0" fontId="50" fillId="0" borderId="0" xfId="0" applyFont="1" applyAlignment="1">
      <alignment horizontal="center"/>
    </xf>
    <xf numFmtId="0" fontId="49" fillId="0" borderId="0" xfId="244" applyFont="1" applyAlignment="1" applyProtection="1">
      <alignment horizontal="center"/>
    </xf>
    <xf numFmtId="0" fontId="24" fillId="0" borderId="0" xfId="0" quotePrefix="1" applyFont="1" applyAlignment="1">
      <alignment horizontal="left"/>
    </xf>
    <xf numFmtId="49" fontId="24" fillId="0" borderId="0" xfId="0" applyNumberFormat="1" applyFont="1" applyAlignment="1">
      <alignment horizontal="center"/>
    </xf>
    <xf numFmtId="0" fontId="22" fillId="0" borderId="0" xfId="0" quotePrefix="1" applyFont="1" applyAlignment="1">
      <alignment horizontal="center"/>
    </xf>
    <xf numFmtId="49" fontId="0" fillId="0" borderId="0" xfId="0" applyNumberFormat="1"/>
    <xf numFmtId="0" fontId="47" fillId="0" borderId="0" xfId="0" applyFont="1" applyAlignment="1">
      <alignment horizontal="left"/>
    </xf>
    <xf numFmtId="49" fontId="24" fillId="0" borderId="0" xfId="0" applyNumberFormat="1" applyFont="1"/>
    <xf numFmtId="49" fontId="22" fillId="0" borderId="0" xfId="0" applyNumberFormat="1" applyFont="1" applyAlignment="1">
      <alignment horizontal="left"/>
    </xf>
    <xf numFmtId="168" fontId="24" fillId="0" borderId="0" xfId="0" applyNumberFormat="1" applyFont="1" applyAlignment="1">
      <alignment horizontal="center"/>
    </xf>
    <xf numFmtId="168" fontId="34"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5" fillId="0" borderId="0" xfId="0" applyFont="1" applyAlignment="1">
      <alignment vertical="top" wrapText="1"/>
    </xf>
    <xf numFmtId="0" fontId="53" fillId="0" borderId="4" xfId="0" applyFont="1" applyBorder="1" applyAlignment="1">
      <alignment horizontal="right"/>
    </xf>
    <xf numFmtId="0" fontId="60" fillId="0" borderId="0" xfId="0" applyFont="1"/>
    <xf numFmtId="3" fontId="24" fillId="0" borderId="0" xfId="0" applyNumberFormat="1" applyFont="1" applyAlignment="1">
      <alignment horizontal="center"/>
    </xf>
    <xf numFmtId="168" fontId="15" fillId="0" borderId="0" xfId="0" applyNumberFormat="1" applyFont="1" applyAlignment="1">
      <alignment horizontal="left" vertical="top"/>
    </xf>
    <xf numFmtId="168" fontId="24" fillId="0" borderId="0" xfId="0" applyNumberFormat="1" applyFont="1" applyAlignment="1">
      <alignment horizontal="left" vertical="top"/>
    </xf>
    <xf numFmtId="0" fontId="24" fillId="0" borderId="0" xfId="0" applyFont="1" applyAlignment="1">
      <alignment horizontal="center" vertical="center"/>
    </xf>
    <xf numFmtId="0" fontId="24" fillId="0" borderId="0" xfId="0" applyFont="1" applyAlignment="1">
      <alignment vertical="center"/>
    </xf>
    <xf numFmtId="0" fontId="0" fillId="0" borderId="0" xfId="0" applyAlignment="1">
      <alignment vertical="center"/>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2" fillId="0" borderId="0" xfId="542" applyFont="1" applyProtection="1">
      <protection locked="0"/>
    </xf>
    <xf numFmtId="0" fontId="15" fillId="0" borderId="0" xfId="539" applyProtection="1"/>
    <xf numFmtId="0" fontId="35" fillId="8" borderId="0" xfId="539" applyFont="1" applyFill="1" applyAlignment="1" applyProtection="1">
      <alignment horizontal="centerContinuous"/>
    </xf>
    <xf numFmtId="4" fontId="24" fillId="0" borderId="0" xfId="0" applyNumberFormat="1" applyFont="1"/>
    <xf numFmtId="0" fontId="22" fillId="0" borderId="0" xfId="543" applyFont="1"/>
    <xf numFmtId="0" fontId="24" fillId="0" borderId="0" xfId="543" applyFont="1" applyAlignment="1">
      <alignment horizontal="left"/>
    </xf>
    <xf numFmtId="0" fontId="24" fillId="0" borderId="15" xfId="0" applyFont="1" applyBorder="1"/>
    <xf numFmtId="0" fontId="24" fillId="0" borderId="11" xfId="0" applyFont="1" applyBorder="1"/>
    <xf numFmtId="2" fontId="38" fillId="0" borderId="11" xfId="0" applyNumberFormat="1" applyFont="1" applyBorder="1"/>
    <xf numFmtId="0" fontId="15" fillId="0" borderId="0" xfId="0" applyFont="1" applyProtection="1">
      <protection locked="0"/>
    </xf>
    <xf numFmtId="0" fontId="63" fillId="0" borderId="0" xfId="0" applyFont="1" applyAlignment="1">
      <alignment horizontal="center"/>
    </xf>
    <xf numFmtId="0" fontId="24" fillId="0" borderId="0" xfId="271"/>
    <xf numFmtId="0" fontId="22" fillId="0" borderId="0" xfId="271" applyFont="1"/>
    <xf numFmtId="0" fontId="24" fillId="0" borderId="0" xfId="271" applyAlignment="1">
      <alignment horizontal="left"/>
    </xf>
    <xf numFmtId="0" fontId="16" fillId="0" borderId="0" xfId="244" applyFill="1" applyBorder="1" applyProtection="1">
      <protection locked="0"/>
    </xf>
    <xf numFmtId="168" fontId="22" fillId="0" borderId="2" xfId="543" applyNumberFormat="1" applyFont="1" applyBorder="1" applyAlignment="1">
      <alignment horizontal="center" vertical="center"/>
    </xf>
    <xf numFmtId="0" fontId="37" fillId="0" borderId="0" xfId="543" applyFont="1" applyAlignment="1">
      <alignment horizontal="right" vertical="top" wrapText="1"/>
    </xf>
    <xf numFmtId="0" fontId="35" fillId="0" borderId="2" xfId="543" applyFont="1" applyBorder="1" applyAlignment="1">
      <alignment horizontal="right" vertical="top" wrapText="1"/>
    </xf>
    <xf numFmtId="0" fontId="20" fillId="0" borderId="0" xfId="0" applyFont="1"/>
    <xf numFmtId="0" fontId="65" fillId="0" borderId="0" xfId="0" applyFont="1"/>
    <xf numFmtId="0" fontId="63" fillId="0" borderId="0" xfId="0" applyFont="1"/>
    <xf numFmtId="0" fontId="35"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2" fillId="0" borderId="0" xfId="0" applyNumberFormat="1" applyFont="1" applyAlignment="1">
      <alignment horizontal="center"/>
    </xf>
    <xf numFmtId="3" fontId="0" fillId="0" borderId="0" xfId="0" applyNumberFormat="1" applyAlignment="1">
      <alignment horizontal="center"/>
    </xf>
    <xf numFmtId="3" fontId="24" fillId="0" borderId="0" xfId="0" applyNumberFormat="1" applyFont="1"/>
    <xf numFmtId="0" fontId="64" fillId="0" borderId="0" xfId="0" applyFont="1"/>
    <xf numFmtId="168" fontId="20" fillId="0" borderId="0" xfId="0" applyNumberFormat="1" applyFont="1"/>
    <xf numFmtId="10" fontId="20" fillId="0" borderId="0" xfId="0" applyNumberFormat="1" applyFont="1" applyAlignment="1">
      <alignment horizontal="center"/>
    </xf>
    <xf numFmtId="3" fontId="67" fillId="0" borderId="0" xfId="0" applyNumberFormat="1" applyFont="1"/>
    <xf numFmtId="3" fontId="20" fillId="0" borderId="0" xfId="0" applyNumberFormat="1" applyFont="1"/>
    <xf numFmtId="168" fontId="64" fillId="0" borderId="0" xfId="0" applyNumberFormat="1" applyFont="1"/>
    <xf numFmtId="168" fontId="64" fillId="0" borderId="0" xfId="0" applyNumberFormat="1" applyFont="1" applyAlignment="1">
      <alignment horizontal="center"/>
    </xf>
    <xf numFmtId="0" fontId="20" fillId="5" borderId="0" xfId="0" applyFont="1" applyFill="1" applyAlignment="1">
      <alignment horizontal="left"/>
    </xf>
    <xf numFmtId="0" fontId="20" fillId="5" borderId="0" xfId="0" applyFont="1" applyFill="1"/>
    <xf numFmtId="10" fontId="20" fillId="0" borderId="0" xfId="0" applyNumberFormat="1" applyFont="1"/>
    <xf numFmtId="172" fontId="20" fillId="0" borderId="0" xfId="0" applyNumberFormat="1" applyFont="1"/>
    <xf numFmtId="172" fontId="20" fillId="0" borderId="0" xfId="0" applyNumberFormat="1" applyFont="1" applyAlignment="1">
      <alignment horizontal="center"/>
    </xf>
    <xf numFmtId="0" fontId="20" fillId="0" borderId="6" xfId="0" applyFont="1" applyBorder="1"/>
    <xf numFmtId="10" fontId="20" fillId="0" borderId="6" xfId="0" applyNumberFormat="1" applyFont="1" applyBorder="1" applyAlignment="1">
      <alignment horizontal="center"/>
    </xf>
    <xf numFmtId="3" fontId="20" fillId="0" borderId="6" xfId="0" applyNumberFormat="1" applyFont="1" applyBorder="1"/>
    <xf numFmtId="10" fontId="24" fillId="0" borderId="0" xfId="0" applyNumberFormat="1" applyFont="1" applyAlignment="1">
      <alignment horizontal="center"/>
    </xf>
    <xf numFmtId="3" fontId="24" fillId="0" borderId="0" xfId="0" applyNumberFormat="1" applyFont="1" applyAlignment="1">
      <alignment vertical="top"/>
    </xf>
    <xf numFmtId="10" fontId="22" fillId="0" borderId="0" xfId="0" applyNumberFormat="1" applyFont="1" applyAlignment="1">
      <alignment horizontal="center"/>
    </xf>
    <xf numFmtId="0" fontId="63" fillId="0" borderId="6" xfId="0" applyFont="1" applyBorder="1" applyAlignment="1">
      <alignment horizontal="center"/>
    </xf>
    <xf numFmtId="172" fontId="24" fillId="0" borderId="0" xfId="0" applyNumberFormat="1" applyFont="1" applyAlignment="1">
      <alignment horizontal="center"/>
    </xf>
    <xf numFmtId="10" fontId="68" fillId="0" borderId="0" xfId="0" applyNumberFormat="1" applyFont="1" applyAlignment="1">
      <alignment horizontal="center"/>
    </xf>
    <xf numFmtId="4" fontId="24" fillId="0" borderId="0" xfId="271" applyNumberFormat="1" applyAlignment="1">
      <alignment horizontal="left"/>
    </xf>
    <xf numFmtId="0" fontId="24" fillId="0" borderId="0" xfId="271" applyAlignment="1">
      <alignment horizontal="center"/>
    </xf>
    <xf numFmtId="0" fontId="24" fillId="9" borderId="6" xfId="0" applyFont="1" applyFill="1" applyBorder="1"/>
    <xf numFmtId="0" fontId="24" fillId="0" borderId="4" xfId="271" applyBorder="1"/>
    <xf numFmtId="0" fontId="24" fillId="0" borderId="6" xfId="271" applyBorder="1"/>
    <xf numFmtId="0" fontId="24" fillId="0" borderId="1" xfId="0" applyFont="1" applyBorder="1"/>
    <xf numFmtId="168" fontId="24" fillId="0" borderId="3" xfId="0" applyNumberFormat="1" applyFont="1" applyBorder="1" applyAlignment="1">
      <alignment vertical="top"/>
    </xf>
    <xf numFmtId="168" fontId="24" fillId="0" borderId="4" xfId="0" applyNumberFormat="1" applyFont="1" applyBorder="1" applyAlignment="1">
      <alignment vertical="top"/>
    </xf>
    <xf numFmtId="168" fontId="24" fillId="0" borderId="5" xfId="0" applyNumberFormat="1" applyFont="1" applyBorder="1" applyAlignment="1">
      <alignment vertical="top"/>
    </xf>
    <xf numFmtId="168" fontId="24" fillId="0" borderId="8" xfId="0" applyNumberFormat="1" applyFont="1" applyBorder="1" applyAlignment="1">
      <alignment vertical="top"/>
    </xf>
    <xf numFmtId="168" fontId="24" fillId="0" borderId="0" xfId="0" applyNumberFormat="1" applyFont="1" applyAlignment="1">
      <alignment vertical="top"/>
    </xf>
    <xf numFmtId="0" fontId="24" fillId="0" borderId="0" xfId="0" applyFont="1" applyAlignment="1">
      <alignment horizontal="right" vertical="top"/>
    </xf>
    <xf numFmtId="0" fontId="24"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4" fillId="5" borderId="4" xfId="0" applyFont="1" applyFill="1" applyBorder="1" applyAlignment="1" applyProtection="1">
      <alignment horizontal="left" vertical="top"/>
      <protection locked="0"/>
    </xf>
    <xf numFmtId="0" fontId="24"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4" fontId="24" fillId="0" borderId="0" xfId="0" applyNumberFormat="1" applyFont="1" applyAlignment="1">
      <alignment horizontal="center"/>
    </xf>
    <xf numFmtId="4" fontId="0" fillId="0" borderId="0" xfId="0" applyNumberFormat="1"/>
    <xf numFmtId="0" fontId="34" fillId="0" borderId="1" xfId="543" applyFont="1" applyBorder="1" applyAlignment="1">
      <alignment horizontal="left" vertical="top" wrapText="1"/>
    </xf>
    <xf numFmtId="0" fontId="34" fillId="0" borderId="12" xfId="543" applyFont="1" applyBorder="1" applyAlignment="1">
      <alignment horizontal="center" vertical="top" wrapText="1"/>
    </xf>
    <xf numFmtId="0" fontId="34" fillId="0" borderId="8" xfId="543" applyFont="1" applyBorder="1" applyAlignment="1">
      <alignment horizontal="left" vertical="top" wrapText="1"/>
    </xf>
    <xf numFmtId="0" fontId="29" fillId="3" borderId="4" xfId="271" applyFont="1" applyFill="1" applyBorder="1" applyAlignment="1">
      <alignment vertical="top" wrapText="1"/>
    </xf>
    <xf numFmtId="0" fontId="21" fillId="3" borderId="11" xfId="271" applyFont="1" applyFill="1" applyBorder="1" applyAlignment="1">
      <alignment vertical="top"/>
    </xf>
    <xf numFmtId="0" fontId="22" fillId="0" borderId="9" xfId="271" applyFont="1" applyBorder="1" applyAlignment="1">
      <alignment horizontal="center" wrapText="1"/>
    </xf>
    <xf numFmtId="0" fontId="29" fillId="3" borderId="4" xfId="271" applyFont="1" applyFill="1" applyBorder="1" applyAlignment="1" applyProtection="1">
      <alignment vertical="top" wrapText="1"/>
      <protection locked="0"/>
    </xf>
    <xf numFmtId="0" fontId="29" fillId="3" borderId="5" xfId="271" applyFont="1" applyFill="1" applyBorder="1" applyAlignment="1" applyProtection="1">
      <alignment vertical="top" wrapText="1"/>
      <protection locked="0"/>
    </xf>
    <xf numFmtId="0" fontId="22" fillId="0" borderId="13" xfId="271" applyFont="1" applyBorder="1" applyAlignment="1">
      <alignment horizontal="center" wrapText="1"/>
    </xf>
    <xf numFmtId="0" fontId="47" fillId="2" borderId="11" xfId="271" applyFont="1" applyFill="1" applyBorder="1" applyAlignment="1">
      <alignment horizontal="left" vertical="top" wrapText="1"/>
    </xf>
    <xf numFmtId="0" fontId="24" fillId="0" borderId="11" xfId="271" applyBorder="1" applyAlignment="1" applyProtection="1">
      <alignment vertical="top" wrapText="1"/>
      <protection locked="0"/>
    </xf>
    <xf numFmtId="168" fontId="24" fillId="5" borderId="11" xfId="271" applyNumberFormat="1" applyFill="1" applyBorder="1" applyAlignment="1" applyProtection="1">
      <alignment vertical="top" wrapText="1"/>
      <protection locked="0"/>
    </xf>
    <xf numFmtId="0" fontId="24" fillId="5" borderId="3" xfId="271" applyFill="1" applyBorder="1" applyAlignment="1" applyProtection="1">
      <alignment vertical="top" wrapText="1"/>
      <protection locked="0"/>
    </xf>
    <xf numFmtId="0" fontId="24" fillId="5" borderId="11" xfId="271" applyFill="1" applyBorder="1" applyAlignment="1" applyProtection="1">
      <alignment vertical="top" wrapText="1"/>
      <protection locked="0"/>
    </xf>
    <xf numFmtId="0" fontId="24" fillId="0" borderId="11" xfId="271" applyBorder="1" applyAlignment="1">
      <alignment horizontal="right" vertical="top" wrapText="1"/>
    </xf>
    <xf numFmtId="168" fontId="24" fillId="0" borderId="11" xfId="271" applyNumberFormat="1" applyBorder="1" applyAlignment="1">
      <alignment vertical="top" wrapText="1"/>
    </xf>
    <xf numFmtId="0" fontId="22" fillId="0" borderId="11" xfId="271" applyFont="1" applyBorder="1" applyAlignment="1">
      <alignment horizontal="right" vertical="top" wrapText="1"/>
    </xf>
    <xf numFmtId="0" fontId="24" fillId="5" borderId="11" xfId="271" applyFill="1" applyBorder="1" applyAlignment="1" applyProtection="1">
      <alignment horizontal="right" vertical="top" wrapText="1"/>
      <protection locked="0"/>
    </xf>
    <xf numFmtId="168" fontId="22" fillId="0" borderId="11" xfId="271" applyNumberFormat="1" applyFont="1" applyBorder="1" applyAlignment="1">
      <alignment vertical="top" wrapText="1"/>
    </xf>
    <xf numFmtId="0" fontId="32" fillId="0" borderId="11" xfId="271" applyFont="1" applyBorder="1" applyAlignment="1">
      <alignment horizontal="right" vertical="top" wrapText="1"/>
    </xf>
    <xf numFmtId="0" fontId="29" fillId="0" borderId="0" xfId="271" applyFont="1" applyAlignment="1" applyProtection="1">
      <alignment horizontal="right" vertical="top" wrapText="1"/>
      <protection locked="0"/>
    </xf>
    <xf numFmtId="0" fontId="29" fillId="0" borderId="0" xfId="271" applyFont="1" applyAlignment="1" applyProtection="1">
      <alignment vertical="top" wrapText="1"/>
      <protection locked="0"/>
    </xf>
    <xf numFmtId="0" fontId="24" fillId="0" borderId="5" xfId="271" applyBorder="1" applyAlignment="1" applyProtection="1">
      <alignment vertical="top" wrapText="1"/>
      <protection locked="0"/>
    </xf>
    <xf numFmtId="0" fontId="22" fillId="0" borderId="3" xfId="271" applyFont="1" applyBorder="1" applyAlignment="1">
      <alignment horizontal="left" vertical="top"/>
    </xf>
    <xf numFmtId="0" fontId="24" fillId="0" borderId="4" xfId="271" applyBorder="1" applyAlignment="1" applyProtection="1">
      <alignment horizontal="left" vertical="top"/>
      <protection locked="0"/>
    </xf>
    <xf numFmtId="0" fontId="24" fillId="0" borderId="4" xfId="271" applyBorder="1" applyAlignment="1" applyProtection="1">
      <alignment vertical="top" wrapText="1"/>
      <protection locked="0"/>
    </xf>
    <xf numFmtId="0" fontId="29" fillId="0" borderId="0" xfId="271" applyFont="1" applyAlignment="1">
      <alignment vertical="top" wrapText="1"/>
    </xf>
    <xf numFmtId="0" fontId="24" fillId="0" borderId="4" xfId="271" applyBorder="1" applyAlignment="1">
      <alignment vertical="top" wrapText="1"/>
    </xf>
    <xf numFmtId="0" fontId="47"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61" fillId="0" borderId="0" xfId="542"/>
    <xf numFmtId="0" fontId="24" fillId="8" borderId="0" xfId="542" quotePrefix="1" applyFont="1" applyFill="1" applyAlignment="1">
      <alignment horizontal="left"/>
    </xf>
    <xf numFmtId="0" fontId="24" fillId="8" borderId="0" xfId="542" applyFont="1" applyFill="1"/>
    <xf numFmtId="0" fontId="32"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4" fillId="0" borderId="0" xfId="271" applyAlignment="1">
      <alignment horizontal="left" vertical="top"/>
    </xf>
    <xf numFmtId="0" fontId="22" fillId="0" borderId="0" xfId="271" applyFont="1" applyAlignment="1">
      <alignment horizontal="right"/>
    </xf>
    <xf numFmtId="0" fontId="23" fillId="0" borderId="0" xfId="271" applyFont="1" applyAlignment="1">
      <alignment horizontal="center"/>
    </xf>
    <xf numFmtId="5" fontId="24" fillId="0" borderId="0" xfId="542" applyNumberFormat="1" applyFont="1"/>
    <xf numFmtId="1" fontId="24" fillId="0" borderId="15" xfId="271" applyNumberFormat="1" applyBorder="1"/>
    <xf numFmtId="1" fontId="24" fillId="0" borderId="14" xfId="271" applyNumberFormat="1" applyBorder="1"/>
    <xf numFmtId="0" fontId="23" fillId="0" borderId="6" xfId="271" applyFont="1" applyBorder="1" applyAlignment="1">
      <alignment horizontal="left"/>
    </xf>
    <xf numFmtId="0" fontId="23" fillId="0" borderId="6" xfId="271" applyFont="1" applyBorder="1" applyAlignment="1">
      <alignment horizontal="right"/>
    </xf>
    <xf numFmtId="165" fontId="24" fillId="0" borderId="0" xfId="271" applyNumberFormat="1"/>
    <xf numFmtId="170" fontId="24" fillId="0" borderId="14" xfId="271" applyNumberFormat="1" applyBorder="1"/>
    <xf numFmtId="1" fontId="22" fillId="0" borderId="11" xfId="271" applyNumberFormat="1" applyFont="1" applyBorder="1"/>
    <xf numFmtId="165" fontId="22" fillId="0" borderId="11" xfId="271" applyNumberFormat="1" applyFont="1" applyBorder="1"/>
    <xf numFmtId="3" fontId="55" fillId="0" borderId="11" xfId="0" applyNumberFormat="1" applyFont="1" applyBorder="1" applyAlignment="1">
      <alignment vertical="top" wrapText="1"/>
    </xf>
    <xf numFmtId="166" fontId="24" fillId="0" borderId="0" xfId="0" applyNumberFormat="1" applyFont="1"/>
    <xf numFmtId="0" fontId="0" fillId="0" borderId="0" xfId="0" applyProtection="1">
      <protection locked="0"/>
    </xf>
    <xf numFmtId="0" fontId="22" fillId="0" borderId="0" xfId="271" applyFont="1" applyAlignment="1">
      <alignment horizontal="left"/>
    </xf>
    <xf numFmtId="0" fontId="20" fillId="0" borderId="0" xfId="0" applyFont="1" applyProtection="1">
      <protection locked="0"/>
    </xf>
    <xf numFmtId="0" fontId="20" fillId="0" borderId="0" xfId="271" applyFont="1" applyProtection="1">
      <protection locked="0"/>
    </xf>
    <xf numFmtId="168" fontId="20" fillId="0" borderId="0" xfId="271" applyNumberFormat="1" applyFont="1" applyProtection="1">
      <protection locked="0"/>
    </xf>
    <xf numFmtId="49" fontId="24" fillId="0" borderId="0" xfId="271" applyNumberFormat="1"/>
    <xf numFmtId="0" fontId="28" fillId="0" borderId="1" xfId="0" applyFont="1" applyBorder="1"/>
    <xf numFmtId="0" fontId="15" fillId="0" borderId="2" xfId="0" applyFont="1" applyBorder="1" applyAlignment="1">
      <alignment horizontal="left"/>
    </xf>
    <xf numFmtId="0" fontId="15" fillId="0" borderId="2" xfId="0" applyFont="1" applyBorder="1"/>
    <xf numFmtId="0" fontId="28" fillId="0" borderId="8" xfId="0" applyFont="1" applyBorder="1"/>
    <xf numFmtId="0" fontId="28" fillId="0" borderId="9" xfId="0" applyFont="1" applyBorder="1"/>
    <xf numFmtId="0" fontId="22"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4" fillId="5" borderId="0" xfId="0" applyNumberFormat="1" applyFont="1" applyFill="1" applyAlignment="1">
      <alignment horizontal="center"/>
    </xf>
    <xf numFmtId="0" fontId="24" fillId="0" borderId="0" xfId="271" applyAlignment="1" applyProtection="1">
      <alignment horizontal="left"/>
      <protection locked="0"/>
    </xf>
    <xf numFmtId="0" fontId="24" fillId="0" borderId="0" xfId="0" applyFont="1" applyAlignment="1" applyProtection="1">
      <alignment horizontal="left"/>
      <protection locked="0"/>
    </xf>
    <xf numFmtId="0" fontId="74" fillId="0" borderId="0" xfId="0" applyFont="1" applyAlignment="1">
      <alignment horizontal="left" vertical="center"/>
    </xf>
    <xf numFmtId="0" fontId="34" fillId="0" borderId="2" xfId="543" applyFont="1" applyBorder="1" applyAlignment="1">
      <alignment horizontal="center" vertical="top" wrapText="1"/>
    </xf>
    <xf numFmtId="49" fontId="45" fillId="0" borderId="0" xfId="0" applyNumberFormat="1" applyFont="1" applyAlignment="1">
      <alignment horizontal="center"/>
    </xf>
    <xf numFmtId="0" fontId="50" fillId="0" borderId="0" xfId="271" applyFont="1" applyAlignment="1">
      <alignment horizontal="center"/>
    </xf>
    <xf numFmtId="49" fontId="24" fillId="0" borderId="0" xfId="271" applyNumberForma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29"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2" fillId="0" borderId="0" xfId="0" applyFont="1" applyAlignment="1">
      <alignment horizontal="left" vertical="top" wrapText="1"/>
    </xf>
    <xf numFmtId="0" fontId="24" fillId="0" borderId="0" xfId="0" applyFont="1" applyAlignment="1">
      <alignment horizontal="right" vertical="top" wrapText="1"/>
    </xf>
    <xf numFmtId="10" fontId="24"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2" fillId="0" borderId="2" xfId="543" applyFont="1" applyBorder="1" applyAlignment="1">
      <alignment horizontal="center"/>
    </xf>
    <xf numFmtId="0" fontId="0" fillId="0" borderId="0" xfId="543" applyFont="1"/>
    <xf numFmtId="0" fontId="16"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2" fillId="8" borderId="11" xfId="542" applyFont="1" applyFill="1" applyBorder="1" applyAlignment="1">
      <alignment horizontal="left"/>
    </xf>
    <xf numFmtId="0" fontId="22"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2" fillId="0" borderId="0" xfId="271" applyFont="1" applyAlignment="1" applyProtection="1">
      <alignment horizontal="center" wrapText="1"/>
      <protection locked="0"/>
    </xf>
    <xf numFmtId="0" fontId="24" fillId="0" borderId="0" xfId="271" applyAlignment="1" applyProtection="1">
      <alignment vertical="top" wrapText="1"/>
      <protection locked="0"/>
    </xf>
    <xf numFmtId="0" fontId="22" fillId="0" borderId="0" xfId="271" applyFont="1" applyAlignment="1" applyProtection="1">
      <alignment vertical="top" wrapText="1"/>
      <protection locked="0"/>
    </xf>
    <xf numFmtId="0" fontId="22" fillId="0" borderId="8" xfId="271" applyFont="1" applyBorder="1" applyAlignment="1" applyProtection="1">
      <alignment horizontal="center" wrapText="1"/>
      <protection locked="0"/>
    </xf>
    <xf numFmtId="0" fontId="24" fillId="0" borderId="8" xfId="271" applyBorder="1" applyAlignment="1" applyProtection="1">
      <alignment vertical="top" wrapText="1"/>
      <protection locked="0"/>
    </xf>
    <xf numFmtId="0" fontId="22" fillId="0" borderId="8" xfId="271" applyFont="1" applyBorder="1" applyAlignment="1" applyProtection="1">
      <alignment vertical="top" wrapText="1"/>
      <protection locked="0"/>
    </xf>
    <xf numFmtId="0" fontId="15" fillId="0" borderId="0" xfId="0" applyFont="1" applyAlignment="1">
      <alignment horizontal="center"/>
    </xf>
    <xf numFmtId="0" fontId="29" fillId="0" borderId="8" xfId="569" applyFont="1" applyBorder="1" applyAlignment="1">
      <alignment vertical="top" wrapText="1"/>
    </xf>
    <xf numFmtId="0" fontId="29"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8"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2"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0" fillId="0" borderId="0" xfId="569" applyFont="1" applyAlignment="1">
      <alignment vertical="top" wrapText="1"/>
    </xf>
    <xf numFmtId="0" fontId="30" fillId="0" borderId="12" xfId="569" applyFont="1" applyBorder="1" applyAlignment="1">
      <alignment vertical="top" wrapText="1"/>
    </xf>
    <xf numFmtId="0" fontId="30"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5" fillId="0" borderId="0" xfId="569" applyAlignment="1">
      <alignment vertical="top" wrapText="1"/>
    </xf>
    <xf numFmtId="0" fontId="15" fillId="0" borderId="0" xfId="569" applyAlignment="1">
      <alignment vertical="top"/>
    </xf>
    <xf numFmtId="0" fontId="52" fillId="0" borderId="0" xfId="569" applyFont="1" applyAlignment="1">
      <alignment horizontal="right" vertical="top" wrapText="1"/>
    </xf>
    <xf numFmtId="0" fontId="22" fillId="0" borderId="0" xfId="569" applyFont="1" applyAlignment="1">
      <alignment horizontal="left" vertical="top" wrapText="1"/>
    </xf>
    <xf numFmtId="168" fontId="52" fillId="0" borderId="0" xfId="569" applyNumberFormat="1" applyFont="1" applyAlignment="1">
      <alignment horizontal="right" vertical="top" wrapText="1"/>
    </xf>
    <xf numFmtId="0" fontId="15" fillId="0" borderId="0" xfId="569" applyAlignment="1" applyProtection="1">
      <alignment horizontal="left" vertical="top" wrapText="1"/>
      <protection locked="0"/>
    </xf>
    <xf numFmtId="0" fontId="15" fillId="0" borderId="0" xfId="569" applyAlignment="1">
      <alignment horizontal="right" vertical="top" wrapText="1"/>
    </xf>
    <xf numFmtId="0" fontId="15"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29"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5" fillId="0" borderId="0" xfId="569"/>
    <xf numFmtId="0" fontId="21" fillId="0" borderId="0" xfId="569" applyFont="1" applyAlignment="1">
      <alignment horizontal="center" vertical="center"/>
    </xf>
    <xf numFmtId="0" fontId="22" fillId="0" borderId="0" xfId="569" applyFont="1"/>
    <xf numFmtId="0" fontId="15" fillId="0" borderId="1" xfId="569" applyBorder="1"/>
    <xf numFmtId="0" fontId="15" fillId="0" borderId="2" xfId="569" applyBorder="1"/>
    <xf numFmtId="0" fontId="15" fillId="0" borderId="8" xfId="569" applyBorder="1"/>
    <xf numFmtId="0" fontId="15" fillId="0" borderId="9" xfId="569" applyBorder="1"/>
    <xf numFmtId="0" fontId="15" fillId="0" borderId="6" xfId="569" applyBorder="1"/>
    <xf numFmtId="0" fontId="23" fillId="0" borderId="0" xfId="569" applyFont="1"/>
    <xf numFmtId="0" fontId="15" fillId="0" borderId="7" xfId="569" applyBorder="1"/>
    <xf numFmtId="0" fontId="15" fillId="0" borderId="12" xfId="569" applyBorder="1"/>
    <xf numFmtId="0" fontId="15" fillId="0" borderId="10" xfId="569" applyBorder="1"/>
    <xf numFmtId="0" fontId="23" fillId="0" borderId="0" xfId="569" applyFont="1" applyAlignment="1">
      <alignment vertical="top" wrapText="1"/>
    </xf>
    <xf numFmtId="0" fontId="15" fillId="0" borderId="0" xfId="569" applyAlignment="1">
      <alignment horizontal="right"/>
    </xf>
    <xf numFmtId="0" fontId="15" fillId="0" borderId="0" xfId="569" applyAlignment="1">
      <alignment wrapText="1"/>
    </xf>
    <xf numFmtId="0" fontId="15" fillId="0" borderId="0" xfId="569" applyAlignment="1">
      <alignment vertical="center"/>
    </xf>
    <xf numFmtId="0" fontId="39" fillId="0" borderId="0" xfId="569" applyFont="1" applyAlignment="1">
      <alignment vertical="center" wrapText="1"/>
    </xf>
    <xf numFmtId="0" fontId="33" fillId="0" borderId="0" xfId="569" applyFont="1" applyAlignment="1">
      <alignment vertical="top" wrapText="1"/>
    </xf>
    <xf numFmtId="0" fontId="22" fillId="0" borderId="0" xfId="569" applyFont="1" applyAlignment="1">
      <alignment vertical="top" wrapText="1"/>
    </xf>
    <xf numFmtId="0" fontId="23" fillId="0" borderId="0" xfId="569" applyFont="1" applyAlignment="1">
      <alignment horizontal="left" vertical="top" wrapText="1"/>
    </xf>
    <xf numFmtId="164" fontId="15" fillId="0" borderId="0" xfId="569" applyNumberFormat="1" applyAlignment="1">
      <alignment horizontal="right"/>
    </xf>
    <xf numFmtId="168" fontId="15" fillId="0" borderId="0" xfId="569" applyNumberFormat="1" applyAlignment="1">
      <alignment horizontal="right"/>
    </xf>
    <xf numFmtId="0" fontId="106" fillId="0" borderId="0" xfId="569" applyFont="1" applyAlignment="1">
      <alignment horizontal="left" vertical="top" wrapText="1"/>
    </xf>
    <xf numFmtId="168" fontId="15" fillId="0" borderId="0" xfId="569" applyNumberFormat="1" applyAlignment="1">
      <alignment wrapText="1"/>
    </xf>
    <xf numFmtId="0" fontId="20" fillId="0" borderId="11" xfId="253" applyFont="1" applyBorder="1" applyAlignment="1">
      <alignment horizontal="center" wrapText="1"/>
    </xf>
    <xf numFmtId="0" fontId="20" fillId="0" borderId="0" xfId="253" applyFont="1" applyAlignment="1">
      <alignment horizontal="center" wrapText="1"/>
    </xf>
    <xf numFmtId="3" fontId="20" fillId="0" borderId="11" xfId="271" applyNumberFormat="1" applyFont="1" applyBorder="1"/>
    <xf numFmtId="3" fontId="20"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0" fillId="0" borderId="11" xfId="271" applyNumberFormat="1" applyFont="1" applyBorder="1"/>
    <xf numFmtId="168" fontId="20" fillId="0" borderId="0" xfId="271" applyNumberFormat="1" applyFont="1"/>
    <xf numFmtId="0" fontId="20" fillId="0" borderId="0" xfId="271" applyFont="1"/>
    <xf numFmtId="0" fontId="52" fillId="0" borderId="0" xfId="569" applyFont="1" applyAlignment="1">
      <alignment horizontal="left"/>
    </xf>
    <xf numFmtId="0" fontId="15" fillId="0" borderId="3" xfId="569" applyBorder="1"/>
    <xf numFmtId="0" fontId="0" fillId="5" borderId="6" xfId="0" applyFill="1" applyBorder="1" applyProtection="1">
      <protection locked="0"/>
    </xf>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5" fillId="0" borderId="0" xfId="1192" applyNumberFormat="1" applyAlignment="1">
      <alignment horizontal="left" vertical="top" wrapText="1"/>
    </xf>
    <xf numFmtId="0" fontId="15" fillId="0" borderId="0" xfId="0" applyFont="1" applyAlignment="1">
      <alignment horizontal="left" vertical="top" wrapText="1"/>
    </xf>
    <xf numFmtId="0" fontId="15" fillId="0" borderId="0" xfId="271" applyFont="1" applyAlignment="1">
      <alignment horizontal="left" vertical="top" wrapText="1"/>
    </xf>
    <xf numFmtId="0" fontId="22" fillId="0" borderId="12" xfId="543" applyFont="1" applyBorder="1" applyAlignment="1">
      <alignment horizontal="right"/>
    </xf>
    <xf numFmtId="0" fontId="34" fillId="0" borderId="0" xfId="543" applyFont="1" applyAlignment="1">
      <alignment horizontal="center"/>
    </xf>
    <xf numFmtId="4" fontId="15" fillId="0" borderId="0" xfId="569" applyNumberFormat="1" applyAlignment="1">
      <alignment horizontal="left"/>
    </xf>
    <xf numFmtId="0" fontId="15" fillId="0" borderId="0" xfId="569" applyAlignment="1">
      <alignment horizontal="left" vertical="top" wrapText="1"/>
    </xf>
    <xf numFmtId="0" fontId="15" fillId="0" borderId="0" xfId="569" applyAlignment="1">
      <alignment horizontal="left"/>
    </xf>
    <xf numFmtId="0" fontId="15" fillId="0" borderId="0" xfId="1192" applyAlignment="1">
      <alignment horizontal="left"/>
    </xf>
    <xf numFmtId="0" fontId="22" fillId="0" borderId="0" xfId="569" applyFont="1" applyAlignment="1">
      <alignment horizontal="left"/>
    </xf>
    <xf numFmtId="0" fontId="44" fillId="0" borderId="0" xfId="1192" applyFont="1"/>
    <xf numFmtId="0" fontId="52" fillId="0" borderId="11" xfId="0" applyFont="1" applyBorder="1" applyAlignment="1">
      <alignment horizontal="right" vertical="center"/>
    </xf>
    <xf numFmtId="0" fontId="15" fillId="0" borderId="0" xfId="1192" applyAlignment="1">
      <alignment horizontal="left" vertical="top" wrapText="1"/>
    </xf>
    <xf numFmtId="0" fontId="44" fillId="0" borderId="0" xfId="0" applyFont="1" applyAlignment="1">
      <alignment vertical="top" wrapText="1"/>
    </xf>
    <xf numFmtId="0" fontId="44" fillId="0" borderId="0" xfId="0" applyFont="1" applyAlignment="1">
      <alignment horizontal="left" vertical="top" wrapText="1"/>
    </xf>
    <xf numFmtId="6" fontId="53" fillId="0" borderId="0" xfId="569" applyNumberFormat="1" applyFont="1" applyAlignment="1">
      <alignment horizontal="right" vertical="top"/>
    </xf>
    <xf numFmtId="0" fontId="15" fillId="0" borderId="0" xfId="0" applyFont="1" applyAlignment="1">
      <alignment vertical="top" wrapText="1"/>
    </xf>
    <xf numFmtId="168" fontId="24" fillId="0" borderId="0" xfId="0" applyNumberFormat="1" applyFont="1" applyAlignment="1">
      <alignment horizontal="right"/>
    </xf>
    <xf numFmtId="168" fontId="24" fillId="0" borderId="28" xfId="540" applyNumberFormat="1" applyBorder="1" applyAlignment="1" applyProtection="1">
      <alignment horizontal="center"/>
    </xf>
    <xf numFmtId="168" fontId="24" fillId="0" borderId="29" xfId="540" applyNumberFormat="1" applyBorder="1" applyAlignment="1" applyProtection="1">
      <alignment horizontal="center"/>
    </xf>
    <xf numFmtId="168" fontId="24" fillId="0" borderId="30" xfId="540" applyNumberFormat="1" applyBorder="1" applyAlignment="1" applyProtection="1">
      <alignment horizontal="center"/>
    </xf>
    <xf numFmtId="168" fontId="24" fillId="0" borderId="31" xfId="540" applyNumberFormat="1" applyBorder="1" applyAlignment="1" applyProtection="1">
      <alignment horizontal="center"/>
    </xf>
    <xf numFmtId="168" fontId="24" fillId="0" borderId="32" xfId="540" applyNumberFormat="1" applyBorder="1" applyAlignment="1" applyProtection="1">
      <alignment horizontal="center"/>
    </xf>
    <xf numFmtId="168" fontId="24" fillId="0" borderId="33" xfId="540" applyNumberFormat="1" applyBorder="1" applyAlignment="1" applyProtection="1">
      <alignment horizontal="center"/>
    </xf>
    <xf numFmtId="168" fontId="24" fillId="0" borderId="34" xfId="540" applyNumberFormat="1" applyBorder="1" applyAlignment="1" applyProtection="1">
      <alignment horizontal="center"/>
    </xf>
    <xf numFmtId="168" fontId="24" fillId="0" borderId="35" xfId="540" applyNumberFormat="1" applyBorder="1" applyAlignment="1" applyProtection="1">
      <alignment horizontal="center"/>
    </xf>
    <xf numFmtId="168" fontId="24" fillId="0" borderId="36" xfId="540" applyNumberFormat="1" applyBorder="1" applyAlignment="1" applyProtection="1">
      <alignment horizontal="center"/>
    </xf>
    <xf numFmtId="168" fontId="24" fillId="0" borderId="37" xfId="540" applyNumberFormat="1" applyBorder="1" applyAlignment="1" applyProtection="1">
      <alignment horizontal="center"/>
    </xf>
    <xf numFmtId="168" fontId="24" fillId="0" borderId="38" xfId="540" applyNumberFormat="1" applyBorder="1" applyAlignment="1" applyProtection="1">
      <alignment horizontal="center"/>
    </xf>
    <xf numFmtId="168" fontId="24" fillId="0" borderId="39" xfId="540" applyNumberFormat="1" applyBorder="1" applyAlignment="1" applyProtection="1">
      <alignment horizontal="center"/>
    </xf>
    <xf numFmtId="168" fontId="24" fillId="0" borderId="40" xfId="540" applyNumberFormat="1" applyBorder="1" applyAlignment="1" applyProtection="1">
      <alignment horizontal="center"/>
    </xf>
    <xf numFmtId="168" fontId="24" fillId="0" borderId="0" xfId="540" applyNumberFormat="1" applyAlignment="1" applyProtection="1">
      <alignment horizontal="center"/>
    </xf>
    <xf numFmtId="168" fontId="24" fillId="0" borderId="14" xfId="540" applyNumberFormat="1" applyBorder="1" applyAlignment="1" applyProtection="1">
      <alignment horizontal="center"/>
    </xf>
    <xf numFmtId="168" fontId="24" fillId="0" borderId="41" xfId="540" applyNumberFormat="1" applyBorder="1" applyAlignment="1" applyProtection="1">
      <alignment horizontal="center"/>
    </xf>
    <xf numFmtId="168" fontId="24" fillId="0" borderId="42" xfId="540" applyNumberFormat="1" applyBorder="1" applyAlignment="1" applyProtection="1">
      <alignment horizontal="center"/>
    </xf>
    <xf numFmtId="168" fontId="24" fillId="0" borderId="43" xfId="540" applyNumberFormat="1" applyBorder="1" applyAlignment="1" applyProtection="1">
      <alignment horizontal="center"/>
    </xf>
    <xf numFmtId="168" fontId="24" fillId="0" borderId="44" xfId="540" applyNumberFormat="1" applyBorder="1" applyAlignment="1" applyProtection="1">
      <alignment horizontal="center"/>
    </xf>
    <xf numFmtId="0" fontId="15" fillId="0" borderId="0" xfId="1192"/>
    <xf numFmtId="0" fontId="15" fillId="0" borderId="0" xfId="0" applyFont="1" applyAlignment="1">
      <alignment wrapText="1"/>
    </xf>
    <xf numFmtId="0" fontId="44" fillId="0" borderId="0" xfId="0" applyFont="1" applyAlignment="1">
      <alignment horizontal="left" vertical="top"/>
    </xf>
    <xf numFmtId="0" fontId="44" fillId="0" borderId="0" xfId="0" applyFont="1" applyAlignment="1">
      <alignment vertical="top"/>
    </xf>
    <xf numFmtId="0" fontId="15" fillId="0" borderId="0" xfId="569" applyAlignment="1">
      <alignment horizontal="center"/>
    </xf>
    <xf numFmtId="0" fontId="33" fillId="0" borderId="0" xfId="569" applyFont="1" applyAlignment="1">
      <alignment horizontal="left"/>
    </xf>
    <xf numFmtId="0" fontId="33" fillId="0" borderId="0" xfId="569" applyFont="1" applyAlignment="1">
      <alignment horizontal="center"/>
    </xf>
    <xf numFmtId="49" fontId="22" fillId="0" borderId="0" xfId="569" applyNumberFormat="1" applyFont="1" applyAlignment="1">
      <alignment horizontal="center"/>
    </xf>
    <xf numFmtId="0" fontId="50" fillId="0" borderId="0" xfId="569" applyFont="1" applyAlignment="1">
      <alignment horizontal="center"/>
    </xf>
    <xf numFmtId="0" fontId="15" fillId="5" borderId="6" xfId="569" applyFill="1" applyBorder="1" applyProtection="1">
      <protection locked="0"/>
    </xf>
    <xf numFmtId="0" fontId="16" fillId="0" borderId="0" xfId="244" applyAlignment="1" applyProtection="1">
      <alignment horizontal="center"/>
    </xf>
    <xf numFmtId="49" fontId="15" fillId="0" borderId="0" xfId="569" applyNumberFormat="1" applyAlignment="1">
      <alignment horizontal="center"/>
    </xf>
    <xf numFmtId="0" fontId="15" fillId="0" borderId="0" xfId="569" applyAlignment="1">
      <alignment horizontal="center" vertical="center"/>
    </xf>
    <xf numFmtId="0" fontId="15" fillId="0" borderId="0" xfId="1192" applyAlignment="1">
      <alignment horizontal="center"/>
    </xf>
    <xf numFmtId="0" fontId="22" fillId="0" borderId="0" xfId="569" applyFont="1" applyAlignment="1">
      <alignment horizontal="center"/>
    </xf>
    <xf numFmtId="0" fontId="15" fillId="0" borderId="0" xfId="569" applyAlignment="1">
      <alignment horizontal="left" indent="4"/>
    </xf>
    <xf numFmtId="0" fontId="15" fillId="0" borderId="0" xfId="569" quotePrefix="1" applyAlignment="1">
      <alignment horizontal="left"/>
    </xf>
    <xf numFmtId="0" fontId="33" fillId="0" borderId="0" xfId="569" applyFont="1"/>
    <xf numFmtId="0" fontId="15" fillId="0" borderId="0" xfId="1192" applyAlignment="1" applyProtection="1">
      <alignment horizontal="left"/>
      <protection locked="0"/>
    </xf>
    <xf numFmtId="0" fontId="15" fillId="0" borderId="0" xfId="569" applyAlignment="1" applyProtection="1">
      <alignment horizontal="left"/>
      <protection locked="0"/>
    </xf>
    <xf numFmtId="49" fontId="15" fillId="0" borderId="0" xfId="1192" applyNumberFormat="1" applyAlignment="1">
      <alignment horizontal="center"/>
    </xf>
    <xf numFmtId="0" fontId="50" fillId="0" borderId="0" xfId="1192" applyFont="1" applyAlignment="1">
      <alignment horizontal="center"/>
    </xf>
    <xf numFmtId="0" fontId="22" fillId="0" borderId="0" xfId="1192" applyFont="1" applyAlignment="1">
      <alignment horizontal="left"/>
    </xf>
    <xf numFmtId="4" fontId="15" fillId="0" borderId="0" xfId="1192" applyNumberFormat="1" applyAlignment="1">
      <alignment horizontal="left"/>
    </xf>
    <xf numFmtId="0" fontId="22" fillId="0" borderId="0" xfId="569" quotePrefix="1" applyFont="1" applyAlignment="1">
      <alignment horizontal="center"/>
    </xf>
    <xf numFmtId="49" fontId="15" fillId="0" borderId="0" xfId="569" applyNumberFormat="1"/>
    <xf numFmtId="0" fontId="47" fillId="0" borderId="0" xfId="569" applyFont="1" applyAlignment="1">
      <alignment horizontal="left"/>
    </xf>
    <xf numFmtId="4" fontId="50" fillId="0" borderId="0" xfId="569" applyNumberFormat="1" applyFont="1" applyAlignment="1">
      <alignment horizontal="center"/>
    </xf>
    <xf numFmtId="4" fontId="15" fillId="0" borderId="0" xfId="569" applyNumberFormat="1" applyAlignment="1">
      <alignment horizontal="center"/>
    </xf>
    <xf numFmtId="4" fontId="15" fillId="0" borderId="0" xfId="569" applyNumberFormat="1"/>
    <xf numFmtId="0" fontId="45" fillId="0" borderId="0" xfId="569" applyFont="1" applyAlignment="1">
      <alignment horizontal="left"/>
    </xf>
    <xf numFmtId="0" fontId="16"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5" fillId="0" borderId="11" xfId="271" applyFont="1" applyBorder="1" applyAlignment="1">
      <alignment horizontal="right" vertical="top" wrapText="1"/>
    </xf>
    <xf numFmtId="0" fontId="23"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3"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5" fillId="0" borderId="0" xfId="271" applyFont="1" applyAlignment="1">
      <alignment horizontal="left" vertical="top"/>
    </xf>
    <xf numFmtId="0" fontId="52" fillId="0" borderId="0" xfId="569" applyFont="1"/>
    <xf numFmtId="0" fontId="15" fillId="0" borderId="0" xfId="0" applyFont="1" applyAlignment="1">
      <alignment horizontal="left" vertical="top"/>
    </xf>
    <xf numFmtId="4" fontId="15" fillId="0" borderId="0" xfId="1192" applyNumberFormat="1" applyAlignment="1">
      <alignment vertical="top" wrapText="1"/>
    </xf>
    <xf numFmtId="0" fontId="22" fillId="0" borderId="16" xfId="271" applyFont="1" applyBorder="1"/>
    <xf numFmtId="0" fontId="59" fillId="0" borderId="0" xfId="569" applyFont="1"/>
    <xf numFmtId="0" fontId="39" fillId="0" borderId="0" xfId="569" applyFont="1"/>
    <xf numFmtId="0" fontId="15" fillId="0" borderId="0" xfId="1192" applyAlignment="1">
      <alignment vertical="top" wrapText="1"/>
    </xf>
    <xf numFmtId="49" fontId="15" fillId="0" borderId="0" xfId="1192" applyNumberFormat="1" applyAlignment="1">
      <alignment vertical="top" wrapText="1"/>
    </xf>
    <xf numFmtId="0" fontId="54" fillId="0" borderId="9" xfId="543" applyFont="1" applyBorder="1" applyAlignment="1">
      <alignment vertical="top"/>
    </xf>
    <xf numFmtId="0" fontId="15"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5" fillId="0" borderId="8" xfId="543" applyNumberFormat="1" applyBorder="1"/>
    <xf numFmtId="0" fontId="15" fillId="0" borderId="8" xfId="4495" applyFont="1" applyBorder="1"/>
    <xf numFmtId="0" fontId="15" fillId="0" borderId="0" xfId="4495" applyFont="1"/>
    <xf numFmtId="0" fontId="21" fillId="0" borderId="0" xfId="4495" applyFont="1" applyAlignment="1">
      <alignment horizontal="center" vertical="center"/>
    </xf>
    <xf numFmtId="0" fontId="22" fillId="0" borderId="0" xfId="4495" applyFont="1" applyAlignment="1">
      <alignment horizontal="left"/>
    </xf>
    <xf numFmtId="0" fontId="22" fillId="0" borderId="0" xfId="4495" applyFont="1"/>
    <xf numFmtId="0" fontId="25" fillId="0" borderId="0" xfId="4495" applyFont="1" applyAlignment="1">
      <alignment horizontal="center" vertical="center"/>
    </xf>
    <xf numFmtId="0" fontId="25" fillId="0" borderId="27" xfId="4495" applyFont="1" applyBorder="1" applyAlignment="1">
      <alignment horizontal="center" vertical="center"/>
    </xf>
    <xf numFmtId="0" fontId="25" fillId="0" borderId="46" xfId="4495" applyFont="1" applyBorder="1" applyAlignment="1">
      <alignment horizontal="center" vertical="center"/>
    </xf>
    <xf numFmtId="0" fontId="22" fillId="0" borderId="0" xfId="4495" applyFont="1" applyAlignment="1">
      <alignment horizontal="right"/>
    </xf>
    <xf numFmtId="0" fontId="33" fillId="0" borderId="0" xfId="4495" applyFont="1" applyAlignment="1">
      <alignment horizontal="left" vertical="center"/>
    </xf>
    <xf numFmtId="0" fontId="15" fillId="0" borderId="0" xfId="1192" quotePrefix="1" applyAlignment="1">
      <alignment horizontal="center"/>
    </xf>
    <xf numFmtId="0" fontId="45" fillId="0" borderId="0" xfId="4495" applyFont="1" applyAlignment="1">
      <alignment horizontal="left" vertical="center"/>
    </xf>
    <xf numFmtId="49" fontId="23" fillId="0" borderId="0" xfId="4495" applyNumberFormat="1" applyFont="1" applyAlignment="1">
      <alignment horizontal="left" vertical="top"/>
    </xf>
    <xf numFmtId="0" fontId="15" fillId="0" borderId="47" xfId="4495" applyFont="1" applyBorder="1" applyAlignment="1">
      <alignment horizontal="left" vertical="center"/>
    </xf>
    <xf numFmtId="0" fontId="25" fillId="0" borderId="48" xfId="4495" applyFont="1" applyBorder="1" applyAlignment="1">
      <alignment horizontal="center" vertical="center"/>
    </xf>
    <xf numFmtId="0" fontId="23" fillId="0" borderId="0" xfId="4495" applyFont="1"/>
    <xf numFmtId="0" fontId="23"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5"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5" fillId="0" borderId="0" xfId="4496" applyFont="1" applyAlignment="1">
      <alignment vertical="center"/>
    </xf>
    <xf numFmtId="0" fontId="23" fillId="0" borderId="3" xfId="4495" applyFont="1" applyBorder="1" applyAlignment="1">
      <alignment vertical="top" wrapText="1"/>
    </xf>
    <xf numFmtId="0" fontId="23" fillId="0" borderId="4" xfId="4495" applyFont="1" applyBorder="1" applyAlignment="1">
      <alignment vertical="top" wrapText="1"/>
    </xf>
    <xf numFmtId="164" fontId="119" fillId="0" borderId="4" xfId="4495" applyNumberFormat="1" applyBorder="1" applyAlignment="1">
      <alignment horizontal="right"/>
    </xf>
    <xf numFmtId="0" fontId="23" fillId="0" borderId="4" xfId="4495" applyFont="1" applyBorder="1"/>
    <xf numFmtId="0" fontId="22" fillId="0" borderId="5" xfId="4495" applyFont="1" applyBorder="1" applyAlignment="1">
      <alignment horizontal="right"/>
    </xf>
    <xf numFmtId="0" fontId="15" fillId="0" borderId="16" xfId="4495" applyFont="1" applyBorder="1"/>
    <xf numFmtId="0" fontId="15" fillId="0" borderId="16" xfId="4495" applyFont="1" applyBorder="1" applyAlignment="1">
      <alignment horizontal="left" vertical="top"/>
    </xf>
    <xf numFmtId="0" fontId="23" fillId="0" borderId="16" xfId="4495" applyFont="1" applyBorder="1" applyAlignment="1">
      <alignment horizontal="left" vertical="top" wrapText="1"/>
    </xf>
    <xf numFmtId="0" fontId="23" fillId="0" borderId="45" xfId="4495" applyFont="1" applyBorder="1" applyAlignment="1">
      <alignment horizontal="left" vertical="top" wrapText="1"/>
    </xf>
    <xf numFmtId="0" fontId="119" fillId="0" borderId="0" xfId="4495"/>
    <xf numFmtId="0" fontId="16" fillId="0" borderId="0" xfId="244" applyFill="1" applyBorder="1" applyAlignment="1" applyProtection="1">
      <alignment horizontal="left" vertical="top"/>
    </xf>
    <xf numFmtId="0" fontId="16" fillId="0" borderId="0" xfId="244" applyFill="1" applyBorder="1" applyAlignment="1" applyProtection="1">
      <alignment horizontal="left" vertical="top" wrapText="1"/>
    </xf>
    <xf numFmtId="0" fontId="23" fillId="0" borderId="0" xfId="4495" applyFont="1" applyAlignment="1">
      <alignment horizontal="left" vertical="top" wrapText="1"/>
    </xf>
    <xf numFmtId="0" fontId="23" fillId="0" borderId="0" xfId="4495" applyFont="1" applyAlignment="1">
      <alignment horizontal="right" vertical="top"/>
    </xf>
    <xf numFmtId="0" fontId="15"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2" fillId="0" borderId="57" xfId="4495" applyFont="1" applyBorder="1"/>
    <xf numFmtId="0" fontId="22" fillId="0" borderId="58" xfId="4495" applyFont="1" applyBorder="1"/>
    <xf numFmtId="0" fontId="22" fillId="0" borderId="58" xfId="4495" applyFont="1" applyBorder="1" applyAlignment="1">
      <alignment horizontal="right"/>
    </xf>
    <xf numFmtId="0" fontId="22"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5" fillId="0" borderId="57" xfId="4495" applyFont="1" applyBorder="1" applyAlignment="1">
      <alignment horizontal="center" vertical="center"/>
    </xf>
    <xf numFmtId="0" fontId="25" fillId="0" borderId="58" xfId="4495" applyFont="1" applyBorder="1" applyAlignment="1">
      <alignment horizontal="center" vertical="center"/>
    </xf>
    <xf numFmtId="0" fontId="25" fillId="0" borderId="59" xfId="4495" applyFont="1" applyBorder="1" applyAlignment="1">
      <alignment horizontal="center" vertical="center"/>
    </xf>
    <xf numFmtId="0" fontId="22" fillId="0" borderId="0" xfId="4495" applyFont="1" applyAlignment="1">
      <alignment horizontal="center"/>
    </xf>
    <xf numFmtId="0" fontId="22" fillId="0" borderId="8" xfId="4495" applyFont="1" applyBorder="1"/>
    <xf numFmtId="0" fontId="23" fillId="0" borderId="0" xfId="4495" applyFont="1" applyAlignment="1">
      <alignment horizontal="left"/>
    </xf>
    <xf numFmtId="0" fontId="22" fillId="0" borderId="0" xfId="4495" applyFont="1" applyAlignment="1">
      <alignment horizontal="center" vertical="top"/>
    </xf>
    <xf numFmtId="0" fontId="15" fillId="0" borderId="0" xfId="4495" applyFont="1" applyAlignment="1">
      <alignment horizontal="center"/>
    </xf>
    <xf numFmtId="0" fontId="31" fillId="0" borderId="0" xfId="4495" applyFont="1"/>
    <xf numFmtId="0" fontId="23" fillId="0" borderId="8" xfId="4495" applyFont="1" applyBorder="1"/>
    <xf numFmtId="0" fontId="52" fillId="0" borderId="8" xfId="4495" applyFont="1" applyBorder="1"/>
    <xf numFmtId="1" fontId="15" fillId="0" borderId="0" xfId="1192" applyNumberFormat="1"/>
    <xf numFmtId="0" fontId="15" fillId="0" borderId="3" xfId="4495" applyFont="1" applyBorder="1"/>
    <xf numFmtId="0" fontId="15" fillId="0" borderId="4" xfId="4495" applyFont="1" applyBorder="1"/>
    <xf numFmtId="0" fontId="15" fillId="0" borderId="0" xfId="1192" applyAlignment="1">
      <alignment wrapText="1"/>
    </xf>
    <xf numFmtId="0" fontId="23" fillId="0" borderId="0" xfId="4495" applyFont="1" applyAlignment="1">
      <alignment vertical="top" wrapText="1"/>
    </xf>
    <xf numFmtId="0" fontId="23" fillId="0" borderId="0" xfId="1192" applyFont="1"/>
    <xf numFmtId="0" fontId="15" fillId="0" borderId="0" xfId="4495" applyFont="1" applyAlignment="1">
      <alignment horizontal="left"/>
    </xf>
    <xf numFmtId="0" fontId="23" fillId="0" borderId="3" xfId="4495" applyFont="1" applyBorder="1"/>
    <xf numFmtId="0" fontId="15" fillId="0" borderId="4" xfId="4495" applyFont="1" applyBorder="1" applyAlignment="1">
      <alignment horizontal="right"/>
    </xf>
    <xf numFmtId="1" fontId="15" fillId="0" borderId="0" xfId="4495" applyNumberFormat="1" applyFont="1" applyAlignment="1">
      <alignment horizontal="center"/>
    </xf>
    <xf numFmtId="0" fontId="52" fillId="0" borderId="0" xfId="4495" applyFont="1"/>
    <xf numFmtId="0" fontId="15" fillId="0" borderId="0" xfId="4495" applyFont="1" applyAlignment="1">
      <alignment horizontal="right"/>
    </xf>
    <xf numFmtId="0" fontId="23" fillId="0" borderId="0" xfId="4495" applyFont="1" applyAlignment="1">
      <alignment vertical="top"/>
    </xf>
    <xf numFmtId="0" fontId="23" fillId="0" borderId="27" xfId="4495" applyFont="1" applyBorder="1"/>
    <xf numFmtId="0" fontId="22" fillId="0" borderId="0" xfId="4495" applyFont="1" applyAlignment="1">
      <alignment vertical="top"/>
    </xf>
    <xf numFmtId="0" fontId="33" fillId="0" borderId="0" xfId="4495" applyFont="1" applyAlignment="1">
      <alignment vertical="top" wrapText="1"/>
    </xf>
    <xf numFmtId="0" fontId="22" fillId="0" borderId="0" xfId="4495" applyFont="1" applyAlignment="1">
      <alignment horizontal="left" vertical="top" wrapText="1"/>
    </xf>
    <xf numFmtId="0" fontId="15" fillId="0" borderId="0" xfId="4495" applyFont="1" applyAlignment="1">
      <alignment horizontal="left" vertical="top"/>
    </xf>
    <xf numFmtId="0" fontId="33" fillId="0" borderId="0" xfId="4495" applyFont="1" applyAlignment="1">
      <alignment vertical="top"/>
    </xf>
    <xf numFmtId="0" fontId="15" fillId="0" borderId="10" xfId="4495" applyFont="1" applyBorder="1" applyAlignment="1">
      <alignment horizontal="center"/>
    </xf>
    <xf numFmtId="0" fontId="15" fillId="0" borderId="16" xfId="4495" applyFont="1" applyBorder="1" applyAlignment="1">
      <alignment horizontal="center"/>
    </xf>
    <xf numFmtId="0" fontId="31" fillId="0" borderId="16" xfId="4495" applyFont="1" applyBorder="1"/>
    <xf numFmtId="0" fontId="23" fillId="0" borderId="16" xfId="4495" applyFont="1" applyBorder="1"/>
    <xf numFmtId="0" fontId="15" fillId="0" borderId="0" xfId="4496" applyFont="1" applyAlignment="1">
      <alignment vertical="top" wrapText="1"/>
    </xf>
    <xf numFmtId="0" fontId="22" fillId="0" borderId="0" xfId="1192" applyFont="1" applyAlignment="1">
      <alignment horizontal="right"/>
    </xf>
    <xf numFmtId="0" fontId="15" fillId="0" borderId="0" xfId="4496" applyFont="1"/>
    <xf numFmtId="0" fontId="15" fillId="0" borderId="0" xfId="4496" applyFont="1" applyAlignment="1">
      <alignment horizontal="left"/>
    </xf>
    <xf numFmtId="0" fontId="15" fillId="0" borderId="0" xfId="4496" applyFont="1" applyAlignment="1">
      <alignment horizontal="right"/>
    </xf>
    <xf numFmtId="0" fontId="23" fillId="0" borderId="0" xfId="4496" applyFont="1" applyAlignment="1">
      <alignment vertical="top" wrapText="1"/>
    </xf>
    <xf numFmtId="0" fontId="15" fillId="0" borderId="4" xfId="4496" applyFont="1" applyBorder="1"/>
    <xf numFmtId="0" fontId="22" fillId="0" borderId="4" xfId="4496" applyFont="1" applyBorder="1" applyAlignment="1">
      <alignment horizontal="right"/>
    </xf>
    <xf numFmtId="0" fontId="23" fillId="0" borderId="27" xfId="4495" applyFont="1" applyBorder="1" applyAlignment="1">
      <alignment horizontal="left" vertical="top"/>
    </xf>
    <xf numFmtId="0" fontId="15" fillId="0" borderId="27" xfId="4495" applyFont="1" applyBorder="1" applyAlignment="1">
      <alignment horizontal="left" vertical="top"/>
    </xf>
    <xf numFmtId="0" fontId="22" fillId="0" borderId="27" xfId="4495" applyFont="1" applyBorder="1" applyAlignment="1">
      <alignment horizontal="right"/>
    </xf>
    <xf numFmtId="0" fontId="15" fillId="0" borderId="27" xfId="4495" applyFont="1" applyBorder="1" applyAlignment="1">
      <alignment horizontal="center"/>
    </xf>
    <xf numFmtId="0" fontId="15" fillId="0" borderId="46" xfId="4495" applyFont="1" applyBorder="1" applyAlignment="1">
      <alignment horizontal="center"/>
    </xf>
    <xf numFmtId="164" fontId="23" fillId="0" borderId="0" xfId="4495" applyNumberFormat="1" applyFont="1" applyAlignment="1">
      <alignment horizontal="left" vertical="top" wrapText="1"/>
    </xf>
    <xf numFmtId="0" fontId="26" fillId="0" borderId="0" xfId="4495" applyFont="1"/>
    <xf numFmtId="0" fontId="23" fillId="0" borderId="0" xfId="4495" applyFont="1" applyAlignment="1">
      <alignment horizontal="right"/>
    </xf>
    <xf numFmtId="0" fontId="15" fillId="0" borderId="27" xfId="543" applyBorder="1"/>
    <xf numFmtId="0" fontId="15" fillId="0" borderId="46" xfId="543" applyBorder="1"/>
    <xf numFmtId="0" fontId="22" fillId="0" borderId="0" xfId="4495" applyFont="1" applyAlignment="1">
      <alignment horizontal="left" vertical="top"/>
    </xf>
    <xf numFmtId="1" fontId="119" fillId="0" borderId="0" xfId="4495" applyNumberFormat="1"/>
    <xf numFmtId="0" fontId="15" fillId="0" borderId="0" xfId="4495" applyFont="1" applyAlignment="1">
      <alignment vertical="top" wrapText="1"/>
    </xf>
    <xf numFmtId="0" fontId="15" fillId="0" borderId="0" xfId="4495" applyFont="1" applyAlignment="1">
      <alignment horizontal="left" vertical="top" wrapText="1"/>
    </xf>
    <xf numFmtId="0" fontId="15" fillId="0" borderId="50" xfId="4495" applyFont="1" applyBorder="1" applyAlignment="1">
      <alignment vertical="top"/>
    </xf>
    <xf numFmtId="0" fontId="15" fillId="0" borderId="51" xfId="4495" applyFont="1" applyBorder="1" applyAlignment="1">
      <alignment vertical="top"/>
    </xf>
    <xf numFmtId="0" fontId="15" fillId="0" borderId="52" xfId="4495" applyFont="1" applyBorder="1" applyAlignment="1">
      <alignment vertical="top"/>
    </xf>
    <xf numFmtId="1" fontId="23" fillId="0" borderId="8" xfId="4495" applyNumberFormat="1" applyFont="1" applyBorder="1"/>
    <xf numFmtId="0" fontId="15" fillId="0" borderId="0" xfId="543" applyAlignment="1">
      <alignment vertical="top"/>
    </xf>
    <xf numFmtId="0" fontId="23" fillId="0" borderId="51" xfId="4495" applyFont="1" applyBorder="1" applyAlignment="1">
      <alignment horizontal="left" vertical="top"/>
    </xf>
    <xf numFmtId="0" fontId="23" fillId="0" borderId="52" xfId="4495" applyFont="1" applyBorder="1" applyAlignment="1">
      <alignment horizontal="left" vertical="top"/>
    </xf>
    <xf numFmtId="0" fontId="119" fillId="0" borderId="0" xfId="4495" applyAlignment="1" applyProtection="1">
      <alignment horizontal="center"/>
      <protection locked="0"/>
    </xf>
    <xf numFmtId="0" fontId="15" fillId="0" borderId="53" xfId="4495" applyFont="1" applyBorder="1" applyAlignment="1">
      <alignment vertical="top"/>
    </xf>
    <xf numFmtId="0" fontId="15" fillId="0" borderId="54" xfId="4495" applyFont="1" applyBorder="1" applyAlignment="1">
      <alignment vertical="top" wrapText="1"/>
    </xf>
    <xf numFmtId="0" fontId="60" fillId="0" borderId="53" xfId="4495" applyFont="1" applyBorder="1"/>
    <xf numFmtId="0" fontId="23" fillId="0" borderId="54" xfId="4495" applyFont="1" applyBorder="1" applyAlignment="1">
      <alignment horizontal="left" vertical="top"/>
    </xf>
    <xf numFmtId="0" fontId="15" fillId="0" borderId="53" xfId="4495" applyFont="1" applyBorder="1" applyAlignment="1">
      <alignment vertical="center" wrapText="1"/>
    </xf>
    <xf numFmtId="0" fontId="60" fillId="0" borderId="57" xfId="4495" applyFont="1" applyBorder="1"/>
    <xf numFmtId="0" fontId="23" fillId="0" borderId="58" xfId="4495" applyFont="1" applyBorder="1" applyAlignment="1">
      <alignment horizontal="left" vertical="top"/>
    </xf>
    <xf numFmtId="0" fontId="23" fillId="0" borderId="12" xfId="4495" applyFont="1" applyBorder="1"/>
    <xf numFmtId="0" fontId="15" fillId="0" borderId="57" xfId="4495" applyFont="1" applyBorder="1" applyAlignment="1">
      <alignment vertical="center"/>
    </xf>
    <xf numFmtId="0" fontId="15" fillId="0" borderId="58" xfId="4495" applyFont="1" applyBorder="1" applyAlignment="1">
      <alignment vertical="top"/>
    </xf>
    <xf numFmtId="0" fontId="15" fillId="0" borderId="59" xfId="4495" applyFont="1" applyBorder="1" applyAlignment="1">
      <alignment vertical="top"/>
    </xf>
    <xf numFmtId="0" fontId="15" fillId="0" borderId="0" xfId="4495" applyFont="1" applyAlignment="1">
      <alignment vertical="top"/>
    </xf>
    <xf numFmtId="0" fontId="23" fillId="0" borderId="4" xfId="4495" applyFont="1" applyBorder="1" applyAlignment="1">
      <alignment horizontal="left" vertical="top"/>
    </xf>
    <xf numFmtId="0" fontId="15" fillId="0" borderId="4" xfId="4495" applyFont="1" applyBorder="1" applyAlignment="1">
      <alignment horizontal="left" vertical="top"/>
    </xf>
    <xf numFmtId="0" fontId="15" fillId="0" borderId="2" xfId="4495" applyFont="1" applyBorder="1"/>
    <xf numFmtId="0" fontId="23" fillId="0" borderId="2" xfId="4495" applyFont="1" applyBorder="1"/>
    <xf numFmtId="0" fontId="15" fillId="0" borderId="2" xfId="4495" applyFont="1" applyBorder="1" applyAlignment="1">
      <alignment horizontal="center"/>
    </xf>
    <xf numFmtId="0" fontId="23" fillId="0" borderId="7" xfId="4495" applyFont="1" applyBorder="1"/>
    <xf numFmtId="0" fontId="31" fillId="0" borderId="0" xfId="4495" applyFont="1" applyAlignment="1">
      <alignment horizontal="right"/>
    </xf>
    <xf numFmtId="0" fontId="125" fillId="0" borderId="0" xfId="4495" applyFont="1" applyAlignment="1">
      <alignment horizontal="left" vertical="top" wrapText="1"/>
    </xf>
    <xf numFmtId="0" fontId="31" fillId="0" borderId="0" xfId="4495" applyFont="1" applyAlignment="1">
      <alignment horizontal="left" vertical="top"/>
    </xf>
    <xf numFmtId="0" fontId="23" fillId="0" borderId="0" xfId="4495" quotePrefix="1" applyFont="1" applyAlignment="1">
      <alignment horizontal="right"/>
    </xf>
    <xf numFmtId="0" fontId="15" fillId="0" borderId="0" xfId="4497"/>
    <xf numFmtId="0" fontId="23" fillId="0" borderId="0" xfId="4495" applyFont="1" applyAlignment="1">
      <alignment horizontal="left" vertical="top" wrapText="1" shrinkToFit="1"/>
    </xf>
    <xf numFmtId="0" fontId="119" fillId="0" borderId="0" xfId="4495" applyAlignment="1">
      <alignment vertical="top" wrapText="1"/>
    </xf>
    <xf numFmtId="0" fontId="23" fillId="0" borderId="4" xfId="4495" applyFont="1" applyBorder="1" applyAlignment="1">
      <alignment horizontal="left" vertical="top" wrapText="1" shrinkToFit="1"/>
    </xf>
    <xf numFmtId="0" fontId="31" fillId="0" borderId="8" xfId="4495" applyFont="1" applyBorder="1"/>
    <xf numFmtId="0" fontId="23" fillId="0" borderId="0" xfId="4495" applyFont="1" applyAlignment="1">
      <alignment horizontal="center"/>
    </xf>
    <xf numFmtId="0" fontId="23" fillId="0" borderId="0" xfId="4495" quotePrefix="1" applyFont="1"/>
    <xf numFmtId="0" fontId="23" fillId="0" borderId="0" xfId="4495" applyFont="1" applyAlignment="1">
      <alignment horizontal="left" vertical="top" shrinkToFit="1"/>
    </xf>
    <xf numFmtId="0" fontId="45" fillId="0" borderId="0" xfId="4495" applyFont="1"/>
    <xf numFmtId="0" fontId="23" fillId="0" borderId="3" xfId="4495" applyFont="1" applyBorder="1" applyAlignment="1">
      <alignment horizontal="center"/>
    </xf>
    <xf numFmtId="0" fontId="119" fillId="0" borderId="8" xfId="4495" applyBorder="1"/>
    <xf numFmtId="0" fontId="22" fillId="0" borderId="8" xfId="4495" applyFont="1" applyBorder="1" applyAlignment="1">
      <alignment vertical="top"/>
    </xf>
    <xf numFmtId="0" fontId="119" fillId="0" borderId="0" xfId="4495" applyAlignment="1">
      <alignment vertical="top"/>
    </xf>
    <xf numFmtId="0" fontId="22"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5" fillId="0" borderId="0" xfId="4497" applyNumberFormat="1"/>
    <xf numFmtId="1" fontId="23"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3" fillId="0" borderId="6" xfId="4495" applyFont="1" applyBorder="1"/>
    <xf numFmtId="1" fontId="23" fillId="0" borderId="8" xfId="4495" applyNumberFormat="1" applyFont="1" applyBorder="1" applyAlignment="1">
      <alignment horizontal="center" vertical="top"/>
    </xf>
    <xf numFmtId="0" fontId="119" fillId="0" borderId="12" xfId="4495" applyBorder="1"/>
    <xf numFmtId="0" fontId="23" fillId="0" borderId="9" xfId="4495" applyFont="1" applyBorder="1"/>
    <xf numFmtId="0" fontId="119" fillId="0" borderId="10" xfId="4495" applyBorder="1"/>
    <xf numFmtId="0" fontId="31" fillId="0" borderId="3" xfId="4495" applyFont="1" applyBorder="1"/>
    <xf numFmtId="0" fontId="22" fillId="0" borderId="4" xfId="4495" applyFont="1" applyBorder="1"/>
    <xf numFmtId="0" fontId="119" fillId="0" borderId="12" xfId="4495" applyBorder="1" applyAlignment="1">
      <alignment vertical="top"/>
    </xf>
    <xf numFmtId="0" fontId="31"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1" fillId="0" borderId="9" xfId="4495" applyFont="1" applyBorder="1"/>
    <xf numFmtId="0" fontId="23" fillId="0" borderId="10" xfId="4495" applyFont="1" applyBorder="1"/>
    <xf numFmtId="0" fontId="129" fillId="0" borderId="0" xfId="4495" applyFont="1" applyAlignment="1">
      <alignment wrapText="1"/>
    </xf>
    <xf numFmtId="0" fontId="31" fillId="0" borderId="9" xfId="4495" applyFont="1" applyBorder="1" applyAlignment="1">
      <alignment horizontal="center"/>
    </xf>
    <xf numFmtId="0" fontId="22" fillId="0" borderId="10" xfId="4495" applyFont="1" applyBorder="1"/>
    <xf numFmtId="0" fontId="33" fillId="0" borderId="0" xfId="4495" applyFont="1"/>
    <xf numFmtId="0" fontId="23" fillId="0" borderId="50" xfId="4495" applyFont="1" applyBorder="1"/>
    <xf numFmtId="0" fontId="23" fillId="0" borderId="51" xfId="4495" applyFont="1" applyBorder="1"/>
    <xf numFmtId="1" fontId="23" fillId="0" borderId="51" xfId="4495" quotePrefix="1" applyNumberFormat="1" applyFont="1" applyBorder="1" applyAlignment="1">
      <alignment horizontal="center" vertical="top"/>
    </xf>
    <xf numFmtId="0" fontId="22" fillId="0" borderId="51" xfId="4495" applyFont="1" applyBorder="1"/>
    <xf numFmtId="0" fontId="22" fillId="0" borderId="52" xfId="4495" applyFont="1" applyBorder="1" applyAlignment="1">
      <alignment horizontal="center"/>
    </xf>
    <xf numFmtId="0" fontId="15" fillId="0" borderId="53" xfId="4495" applyFont="1" applyBorder="1"/>
    <xf numFmtId="1" fontId="23" fillId="0" borderId="0" xfId="4495" quotePrefix="1" applyNumberFormat="1" applyFont="1" applyAlignment="1">
      <alignment horizontal="center" vertical="top"/>
    </xf>
    <xf numFmtId="0" fontId="22" fillId="0" borderId="54" xfId="4495" applyFont="1" applyBorder="1" applyAlignment="1">
      <alignment horizontal="center"/>
    </xf>
    <xf numFmtId="0" fontId="31" fillId="0" borderId="0" xfId="4495" applyFont="1" applyAlignment="1">
      <alignment vertical="top"/>
    </xf>
    <xf numFmtId="0" fontId="23" fillId="0" borderId="61" xfId="4495" applyFont="1" applyBorder="1"/>
    <xf numFmtId="0" fontId="119" fillId="0" borderId="58" xfId="4495" applyBorder="1" applyAlignment="1">
      <alignment horizontal="center"/>
    </xf>
    <xf numFmtId="1" fontId="23" fillId="0" borderId="58" xfId="4495" quotePrefix="1" applyNumberFormat="1" applyFont="1" applyBorder="1" applyAlignment="1">
      <alignment horizontal="center" vertical="top"/>
    </xf>
    <xf numFmtId="0" fontId="31" fillId="0" borderId="58" xfId="4495" applyFont="1" applyBorder="1" applyAlignment="1">
      <alignment vertical="top"/>
    </xf>
    <xf numFmtId="0" fontId="23" fillId="0" borderId="58" xfId="4495" applyFont="1" applyBorder="1" applyAlignment="1">
      <alignment vertical="top" wrapText="1"/>
    </xf>
    <xf numFmtId="0" fontId="23" fillId="0" borderId="58" xfId="4495" applyFont="1" applyBorder="1"/>
    <xf numFmtId="0" fontId="22" fillId="0" borderId="58" xfId="4495" applyFont="1" applyBorder="1" applyAlignment="1">
      <alignment horizontal="center"/>
    </xf>
    <xf numFmtId="0" fontId="119" fillId="0" borderId="61" xfId="4495" applyBorder="1"/>
    <xf numFmtId="0" fontId="119" fillId="0" borderId="0" xfId="4495" applyAlignment="1">
      <alignment horizontal="center"/>
    </xf>
    <xf numFmtId="0" fontId="15" fillId="0" borderId="53" xfId="543" applyBorder="1"/>
    <xf numFmtId="0" fontId="23" fillId="0" borderId="54" xfId="4495" applyFont="1" applyBorder="1"/>
    <xf numFmtId="0" fontId="15" fillId="0" borderId="58" xfId="543" applyBorder="1"/>
    <xf numFmtId="1" fontId="23" fillId="0" borderId="58" xfId="4495" applyNumberFormat="1" applyFont="1" applyBorder="1" applyAlignment="1">
      <alignment horizontal="center" vertical="top"/>
    </xf>
    <xf numFmtId="0" fontId="31" fillId="0" borderId="58" xfId="4495" applyFont="1" applyBorder="1" applyAlignment="1">
      <alignment vertical="center"/>
    </xf>
    <xf numFmtId="0" fontId="119" fillId="0" borderId="58" xfId="4495" applyBorder="1" applyAlignment="1">
      <alignment vertical="top" wrapText="1"/>
    </xf>
    <xf numFmtId="0" fontId="15" fillId="0" borderId="58" xfId="4495" applyFont="1" applyBorder="1"/>
    <xf numFmtId="0" fontId="31" fillId="0" borderId="0" xfId="4495" applyFont="1" applyAlignment="1">
      <alignment vertical="center"/>
    </xf>
    <xf numFmtId="0" fontId="23" fillId="0" borderId="53" xfId="4495" applyFont="1" applyBorder="1"/>
    <xf numFmtId="0" fontId="15" fillId="0" borderId="57" xfId="543" applyBorder="1"/>
    <xf numFmtId="0" fontId="23" fillId="0" borderId="58" xfId="4495" applyFont="1" applyBorder="1" applyAlignment="1">
      <alignment vertical="top"/>
    </xf>
    <xf numFmtId="0" fontId="23" fillId="0" borderId="59" xfId="4495" applyFont="1" applyBorder="1"/>
    <xf numFmtId="0" fontId="23" fillId="0" borderId="57" xfId="4495" applyFont="1" applyBorder="1"/>
    <xf numFmtId="0" fontId="15" fillId="0" borderId="51" xfId="4495" applyFont="1" applyBorder="1"/>
    <xf numFmtId="0" fontId="23" fillId="0" borderId="52" xfId="4495" applyFont="1" applyBorder="1"/>
    <xf numFmtId="0" fontId="15" fillId="0" borderId="50" xfId="543" applyBorder="1"/>
    <xf numFmtId="0" fontId="15" fillId="0" borderId="51" xfId="543" applyBorder="1"/>
    <xf numFmtId="0" fontId="15" fillId="0" borderId="52" xfId="543" applyBorder="1"/>
    <xf numFmtId="0" fontId="23" fillId="0" borderId="0" xfId="4495" applyFont="1" applyAlignment="1">
      <alignment wrapText="1"/>
    </xf>
    <xf numFmtId="0" fontId="22" fillId="0" borderId="54" xfId="4495" applyFont="1" applyBorder="1" applyAlignment="1">
      <alignment horizontal="center" vertical="top"/>
    </xf>
    <xf numFmtId="0" fontId="119" fillId="0" borderId="53" xfId="4495" applyBorder="1" applyAlignment="1">
      <alignment horizontal="center"/>
    </xf>
    <xf numFmtId="2" fontId="23" fillId="0" borderId="0" xfId="4495" applyNumberFormat="1" applyFont="1" applyAlignment="1">
      <alignment horizontal="right"/>
    </xf>
    <xf numFmtId="2" fontId="23" fillId="0" borderId="8" xfId="4495" applyNumberFormat="1" applyFont="1" applyBorder="1" applyAlignment="1">
      <alignment horizontal="left"/>
    </xf>
    <xf numFmtId="0" fontId="23"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2" fillId="0" borderId="59" xfId="4495" applyFont="1" applyBorder="1" applyAlignment="1">
      <alignment horizontal="center"/>
    </xf>
    <xf numFmtId="9" fontId="23" fillId="0" borderId="0" xfId="4495" applyNumberFormat="1" applyFont="1" applyAlignment="1">
      <alignment horizontal="left"/>
    </xf>
    <xf numFmtId="0" fontId="15" fillId="0" borderId="17" xfId="543" applyBorder="1"/>
    <xf numFmtId="0" fontId="15" fillId="0" borderId="16" xfId="543" applyBorder="1"/>
    <xf numFmtId="0" fontId="15" fillId="0" borderId="51" xfId="4495" quotePrefix="1" applyFont="1" applyBorder="1" applyAlignment="1">
      <alignment horizontal="center" vertical="top"/>
    </xf>
    <xf numFmtId="0" fontId="23" fillId="0" borderId="53" xfId="4495" applyFont="1" applyBorder="1" applyAlignment="1">
      <alignment horizontal="left" vertical="top"/>
    </xf>
    <xf numFmtId="0" fontId="23" fillId="0" borderId="0" xfId="4495" applyFont="1" applyAlignment="1">
      <alignment horizontal="center" vertical="top"/>
    </xf>
    <xf numFmtId="0" fontId="23" fillId="0" borderId="57" xfId="4495" applyFont="1" applyBorder="1" applyAlignment="1">
      <alignment horizontal="left" vertical="top"/>
    </xf>
    <xf numFmtId="0" fontId="23" fillId="0" borderId="58" xfId="4495" applyFont="1" applyBorder="1" applyAlignment="1">
      <alignment horizontal="center" vertical="top"/>
    </xf>
    <xf numFmtId="0" fontId="119" fillId="0" borderId="58" xfId="4495" applyBorder="1"/>
    <xf numFmtId="0" fontId="22" fillId="0" borderId="58" xfId="4495" applyFont="1" applyBorder="1" applyAlignment="1">
      <alignment vertical="top"/>
    </xf>
    <xf numFmtId="0" fontId="22" fillId="0" borderId="58" xfId="4495" applyFont="1" applyBorder="1" applyAlignment="1">
      <alignment horizontal="left" vertical="top"/>
    </xf>
    <xf numFmtId="0" fontId="22" fillId="0" borderId="51" xfId="4495" applyFont="1" applyBorder="1" applyAlignment="1">
      <alignment horizontal="left" vertical="top"/>
    </xf>
    <xf numFmtId="0" fontId="22" fillId="0" borderId="53" xfId="4495" applyFont="1" applyBorder="1" applyAlignment="1">
      <alignment horizontal="left" vertical="top"/>
    </xf>
    <xf numFmtId="0" fontId="52" fillId="0" borderId="0" xfId="4495" applyFont="1" applyAlignment="1">
      <alignment horizontal="left" vertical="top"/>
    </xf>
    <xf numFmtId="0" fontId="23"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1" fillId="0" borderId="53" xfId="4495" applyFont="1" applyBorder="1"/>
    <xf numFmtId="2" fontId="23" fillId="0" borderId="8" xfId="4495" applyNumberFormat="1" applyFont="1" applyBorder="1" applyAlignment="1">
      <alignment horizontal="right"/>
    </xf>
    <xf numFmtId="0" fontId="22"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2" fillId="0" borderId="58" xfId="4495" applyNumberFormat="1" applyFont="1" applyBorder="1" applyAlignment="1">
      <alignment vertical="top"/>
    </xf>
    <xf numFmtId="172" fontId="22" fillId="0" borderId="8" xfId="543" applyNumberFormat="1" applyFont="1" applyBorder="1"/>
    <xf numFmtId="172" fontId="22" fillId="0" borderId="0" xfId="543" applyNumberFormat="1" applyFont="1"/>
    <xf numFmtId="0" fontId="31" fillId="0" borderId="0" xfId="4495" applyFont="1" applyAlignment="1">
      <alignment wrapText="1"/>
    </xf>
    <xf numFmtId="0" fontId="31" fillId="0" borderId="0" xfId="4495" applyFont="1" applyAlignment="1">
      <alignment horizontal="center"/>
    </xf>
    <xf numFmtId="0" fontId="31" fillId="0" borderId="0" xfId="4495" applyFont="1" applyAlignment="1">
      <alignment vertical="center" wrapText="1"/>
    </xf>
    <xf numFmtId="180" fontId="23" fillId="0" borderId="0" xfId="4495" applyNumberFormat="1" applyFont="1" applyAlignment="1">
      <alignment horizontal="center"/>
    </xf>
    <xf numFmtId="1" fontId="23" fillId="0" borderId="0" xfId="4495" applyNumberFormat="1" applyFont="1" applyAlignment="1">
      <alignment horizontal="center"/>
    </xf>
    <xf numFmtId="0" fontId="22" fillId="0" borderId="51" xfId="4495" applyFont="1" applyBorder="1" applyAlignment="1">
      <alignment horizontal="center"/>
    </xf>
    <xf numFmtId="0" fontId="22" fillId="0" borderId="51" xfId="4495" applyFont="1" applyBorder="1" applyAlignment="1">
      <alignment vertical="top"/>
    </xf>
    <xf numFmtId="0" fontId="22" fillId="0" borderId="53" xfId="4495" applyFont="1" applyBorder="1"/>
    <xf numFmtId="0" fontId="15" fillId="0" borderId="54" xfId="543" applyBorder="1"/>
    <xf numFmtId="49" fontId="23" fillId="0" borderId="0" xfId="4495" applyNumberFormat="1" applyFont="1" applyAlignment="1">
      <alignment horizontal="left" vertical="center" wrapText="1"/>
    </xf>
    <xf numFmtId="0" fontId="15" fillId="0" borderId="57" xfId="4495" applyFont="1" applyBorder="1"/>
    <xf numFmtId="1" fontId="15" fillId="0" borderId="0" xfId="4495" applyNumberFormat="1" applyFont="1" applyAlignment="1">
      <alignment vertical="center"/>
    </xf>
    <xf numFmtId="0" fontId="33" fillId="0" borderId="50" xfId="4495" applyFont="1" applyBorder="1"/>
    <xf numFmtId="0" fontId="23" fillId="0" borderId="51" xfId="4495" applyFont="1" applyBorder="1" applyAlignment="1">
      <alignment horizontal="center" vertical="top"/>
    </xf>
    <xf numFmtId="0" fontId="23" fillId="0" borderId="51" xfId="4495" applyFont="1" applyBorder="1" applyAlignment="1">
      <alignment vertical="top" wrapText="1"/>
    </xf>
    <xf numFmtId="0" fontId="23" fillId="0" borderId="51" xfId="4495" applyFont="1" applyBorder="1" applyAlignment="1">
      <alignment horizontal="left" vertical="top" wrapText="1"/>
    </xf>
    <xf numFmtId="0" fontId="15" fillId="0" borderId="0" xfId="4495" quotePrefix="1" applyFont="1" applyAlignment="1">
      <alignment horizontal="center" vertical="top"/>
    </xf>
    <xf numFmtId="1" fontId="23" fillId="0" borderId="0" xfId="4495" quotePrefix="1" applyNumberFormat="1" applyFont="1" applyAlignment="1">
      <alignment wrapText="1"/>
    </xf>
    <xf numFmtId="0" fontId="23" fillId="0" borderId="6" xfId="4495" applyFont="1" applyBorder="1" applyAlignment="1">
      <alignment horizontal="right"/>
    </xf>
    <xf numFmtId="0" fontId="121" fillId="0" borderId="0" xfId="4496" applyFont="1" applyAlignment="1">
      <alignment wrapText="1"/>
    </xf>
    <xf numFmtId="0" fontId="15" fillId="0" borderId="0" xfId="4496" applyFont="1" applyAlignment="1">
      <alignment wrapText="1"/>
    </xf>
    <xf numFmtId="0" fontId="31" fillId="0" borderId="51" xfId="4495" applyFont="1" applyBorder="1" applyAlignment="1">
      <alignment vertical="top"/>
    </xf>
    <xf numFmtId="0" fontId="15" fillId="0" borderId="51" xfId="4496" applyFont="1" applyBorder="1" applyAlignment="1">
      <alignment wrapText="1"/>
    </xf>
    <xf numFmtId="0" fontId="22" fillId="0" borderId="51" xfId="4495" applyFont="1" applyBorder="1" applyAlignment="1">
      <alignment horizontal="right"/>
    </xf>
    <xf numFmtId="0" fontId="15" fillId="0" borderId="52" xfId="4495" applyFont="1" applyBorder="1" applyAlignment="1">
      <alignment horizontal="center"/>
    </xf>
    <xf numFmtId="0" fontId="15" fillId="0" borderId="53" xfId="4495" applyFont="1" applyBorder="1" applyAlignment="1">
      <alignment horizontal="left" vertical="top"/>
    </xf>
    <xf numFmtId="0" fontId="15" fillId="0" borderId="54" xfId="4495" applyFont="1" applyBorder="1" applyAlignment="1">
      <alignment horizontal="left" vertical="top"/>
    </xf>
    <xf numFmtId="0" fontId="15" fillId="0" borderId="54" xfId="4495" applyFont="1" applyBorder="1" applyAlignment="1">
      <alignment horizontal="center"/>
    </xf>
    <xf numFmtId="0" fontId="15" fillId="0" borderId="59" xfId="4495" applyFont="1" applyBorder="1" applyAlignment="1">
      <alignment horizontal="center"/>
    </xf>
    <xf numFmtId="9" fontId="15" fillId="0" borderId="0" xfId="4496" applyNumberFormat="1" applyFont="1" applyAlignment="1">
      <alignment horizontal="center"/>
    </xf>
    <xf numFmtId="1" fontId="15" fillId="0" borderId="0" xfId="543" applyNumberFormat="1"/>
    <xf numFmtId="0" fontId="23" fillId="0" borderId="1" xfId="4495" applyFont="1" applyBorder="1"/>
    <xf numFmtId="0" fontId="22" fillId="0" borderId="0" xfId="4495" applyFont="1" applyAlignment="1">
      <alignment horizontal="center" wrapText="1"/>
    </xf>
    <xf numFmtId="0" fontId="22" fillId="0" borderId="9" xfId="4495" applyFont="1" applyBorder="1" applyAlignment="1">
      <alignment horizontal="left"/>
    </xf>
    <xf numFmtId="0" fontId="22" fillId="0" borderId="3" xfId="4495" applyFont="1" applyBorder="1" applyAlignment="1">
      <alignment horizontal="left"/>
    </xf>
    <xf numFmtId="0" fontId="22" fillId="0" borderId="4" xfId="4495" applyFont="1" applyBorder="1" applyAlignment="1">
      <alignment horizontal="left"/>
    </xf>
    <xf numFmtId="0" fontId="15" fillId="0" borderId="2" xfId="4495" applyFont="1" applyBorder="1" applyAlignment="1">
      <alignment horizontal="left"/>
    </xf>
    <xf numFmtId="0" fontId="22" fillId="0" borderId="2" xfId="4495" applyFont="1" applyBorder="1" applyAlignment="1">
      <alignment horizontal="left"/>
    </xf>
    <xf numFmtId="0" fontId="22" fillId="0" borderId="5" xfId="4495" applyFont="1" applyBorder="1" applyAlignment="1">
      <alignment horizontal="left"/>
    </xf>
    <xf numFmtId="180" fontId="63" fillId="0" borderId="0" xfId="4495" applyNumberFormat="1" applyFont="1" applyAlignment="1">
      <alignment horizontal="center" vertical="center"/>
    </xf>
    <xf numFmtId="0" fontId="15" fillId="0" borderId="12" xfId="4495" applyFont="1" applyBorder="1" applyAlignment="1">
      <alignment vertical="top"/>
    </xf>
    <xf numFmtId="0" fontId="45" fillId="0" borderId="0" xfId="4495" applyFont="1" applyAlignment="1">
      <alignment vertical="top" wrapText="1"/>
    </xf>
    <xf numFmtId="0" fontId="15" fillId="0" borderId="51" xfId="4495" applyFont="1" applyBorder="1" applyAlignment="1">
      <alignment horizontal="left" vertical="top" wrapText="1"/>
    </xf>
    <xf numFmtId="0" fontId="15" fillId="0" borderId="51" xfId="4495" applyFont="1" applyBorder="1" applyAlignment="1">
      <alignment horizontal="right"/>
    </xf>
    <xf numFmtId="0" fontId="15" fillId="0" borderId="52" xfId="4495" applyFont="1" applyBorder="1" applyAlignment="1">
      <alignment horizontal="right"/>
    </xf>
    <xf numFmtId="0" fontId="15" fillId="0" borderId="54" xfId="4495" applyFont="1" applyBorder="1" applyAlignment="1">
      <alignment horizontal="right"/>
    </xf>
    <xf numFmtId="0" fontId="15" fillId="0" borderId="58" xfId="4495" applyFont="1" applyBorder="1" applyAlignment="1">
      <alignment horizontal="left" vertical="top" wrapText="1"/>
    </xf>
    <xf numFmtId="0" fontId="15" fillId="0" borderId="58" xfId="4495" applyFont="1" applyBorder="1" applyAlignment="1">
      <alignment horizontal="right"/>
    </xf>
    <xf numFmtId="0" fontId="15" fillId="0" borderId="59" xfId="4495" applyFont="1" applyBorder="1" applyAlignment="1">
      <alignment horizontal="right"/>
    </xf>
    <xf numFmtId="0" fontId="45" fillId="0" borderId="0" xfId="4495" applyFont="1" applyAlignment="1">
      <alignment horizontal="left" vertical="top" wrapText="1"/>
    </xf>
    <xf numFmtId="0" fontId="15" fillId="0" borderId="0" xfId="1192" applyAlignment="1">
      <alignment horizontal="left" vertical="top"/>
    </xf>
    <xf numFmtId="0" fontId="33" fillId="0" borderId="0" xfId="1192" applyFont="1" applyAlignment="1">
      <alignment horizontal="left" vertical="top"/>
    </xf>
    <xf numFmtId="0" fontId="15" fillId="0" borderId="0" xfId="1192" applyAlignment="1">
      <alignment vertical="top"/>
    </xf>
    <xf numFmtId="168" fontId="15" fillId="0" borderId="0" xfId="1192" applyNumberFormat="1"/>
    <xf numFmtId="165" fontId="15" fillId="0" borderId="0" xfId="1192" applyNumberFormat="1"/>
    <xf numFmtId="165" fontId="15" fillId="0" borderId="0" xfId="1192" applyNumberFormat="1" applyAlignment="1">
      <alignment horizontal="right"/>
    </xf>
    <xf numFmtId="2" fontId="15" fillId="0" borderId="0" xfId="1192" applyNumberFormat="1"/>
    <xf numFmtId="6" fontId="15" fillId="0" borderId="0" xfId="1192" applyNumberFormat="1"/>
    <xf numFmtId="0" fontId="22" fillId="0" borderId="0" xfId="1192" applyFont="1"/>
    <xf numFmtId="0" fontId="45" fillId="0" borderId="0" xfId="1192" applyFont="1"/>
    <xf numFmtId="168" fontId="15" fillId="0" borderId="0" xfId="4495" applyNumberFormat="1" applyFont="1"/>
    <xf numFmtId="0" fontId="22"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5" fillId="0" borderId="0" xfId="1192" applyNumberFormat="1" applyAlignment="1">
      <alignment horizontal="center"/>
    </xf>
    <xf numFmtId="9" fontId="15" fillId="0" borderId="0" xfId="1192" applyNumberFormat="1"/>
    <xf numFmtId="0" fontId="15" fillId="0" borderId="0" xfId="1192" applyAlignment="1">
      <alignment horizontal="right"/>
    </xf>
    <xf numFmtId="0" fontId="15" fillId="0" borderId="53" xfId="4495" applyFont="1" applyBorder="1" applyAlignment="1">
      <alignment horizontal="left"/>
    </xf>
    <xf numFmtId="6" fontId="22" fillId="0" borderId="0" xfId="1192" applyNumberFormat="1" applyFont="1" applyAlignment="1">
      <alignment horizontal="right"/>
    </xf>
    <xf numFmtId="165" fontId="15" fillId="0" borderId="0" xfId="4495" applyNumberFormat="1" applyFont="1"/>
    <xf numFmtId="0" fontId="53" fillId="0" borderId="4" xfId="4495" applyFont="1" applyBorder="1"/>
    <xf numFmtId="0" fontId="35" fillId="0" borderId="0" xfId="543" applyFont="1" applyAlignment="1">
      <alignment vertical="center" wrapText="1"/>
    </xf>
    <xf numFmtId="1" fontId="22" fillId="0" borderId="13" xfId="271" applyNumberFormat="1" applyFont="1" applyBorder="1"/>
    <xf numFmtId="1" fontId="24" fillId="0" borderId="13" xfId="271" applyNumberFormat="1" applyBorder="1"/>
    <xf numFmtId="0" fontId="15" fillId="0" borderId="11" xfId="0" applyFont="1" applyBorder="1"/>
    <xf numFmtId="9" fontId="15"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3" fillId="0" borderId="0" xfId="4495" applyNumberFormat="1" applyFont="1"/>
    <xf numFmtId="0" fontId="22" fillId="0" borderId="8" xfId="0" applyFont="1" applyBorder="1" applyAlignment="1">
      <alignment horizontal="center" vertical="center" wrapText="1"/>
    </xf>
    <xf numFmtId="0" fontId="22"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4" fillId="0" borderId="3" xfId="0" applyFont="1" applyBorder="1" applyAlignment="1">
      <alignment horizontal="center"/>
    </xf>
    <xf numFmtId="0" fontId="24" fillId="0" borderId="4" xfId="0" applyFont="1" applyBorder="1" applyAlignment="1">
      <alignment horizontal="center"/>
    </xf>
    <xf numFmtId="0" fontId="24" fillId="0" borderId="5" xfId="0" applyFont="1" applyBorder="1" applyAlignment="1">
      <alignment horizontal="center"/>
    </xf>
    <xf numFmtId="0" fontId="22" fillId="0" borderId="7" xfId="0" applyFont="1" applyBorder="1" applyAlignment="1">
      <alignment horizontal="right"/>
    </xf>
    <xf numFmtId="0" fontId="0" fillId="0" borderId="0" xfId="0" applyAlignment="1" applyProtection="1">
      <alignment horizontal="left" vertical="top" wrapText="1"/>
      <protection locked="0"/>
    </xf>
    <xf numFmtId="2" fontId="15" fillId="0" borderId="0" xfId="0" applyNumberFormat="1" applyFont="1"/>
    <xf numFmtId="0" fontId="15" fillId="0" borderId="9" xfId="0" applyFont="1" applyBorder="1" applyAlignment="1">
      <alignment horizontal="left"/>
    </xf>
    <xf numFmtId="0" fontId="15" fillId="0" borderId="6" xfId="0" applyFont="1" applyBorder="1"/>
    <xf numFmtId="0" fontId="15" fillId="0" borderId="9" xfId="0" applyFont="1" applyBorder="1"/>
    <xf numFmtId="0" fontId="48" fillId="0" borderId="0" xfId="0" applyFont="1" applyAlignment="1">
      <alignment horizontal="center"/>
    </xf>
    <xf numFmtId="0" fontId="21" fillId="0" borderId="0" xfId="0" applyFont="1" applyAlignment="1">
      <alignment horizontal="center" vertical="center" wrapText="1"/>
    </xf>
    <xf numFmtId="0" fontId="30" fillId="0" borderId="0" xfId="0" applyFont="1" applyAlignment="1">
      <alignment horizontal="center"/>
    </xf>
    <xf numFmtId="0" fontId="23" fillId="0" borderId="0" xfId="0" applyFont="1" applyAlignment="1">
      <alignment horizontal="center"/>
    </xf>
    <xf numFmtId="0" fontId="22" fillId="0" borderId="3" xfId="0" applyFont="1" applyBorder="1"/>
    <xf numFmtId="0" fontId="22" fillId="0" borderId="4" xfId="271" applyFont="1" applyBorder="1"/>
    <xf numFmtId="0" fontId="22" fillId="0" borderId="3" xfId="271" applyFont="1" applyBorder="1"/>
    <xf numFmtId="0" fontId="22" fillId="0" borderId="5" xfId="271" applyFont="1" applyBorder="1"/>
    <xf numFmtId="0" fontId="15" fillId="0" borderId="58" xfId="4495" applyFont="1" applyBorder="1" applyAlignment="1">
      <alignment vertical="center" wrapText="1"/>
    </xf>
    <xf numFmtId="0" fontId="15" fillId="0" borderId="59" xfId="4495" applyFont="1" applyBorder="1" applyAlignment="1">
      <alignment vertical="center" wrapText="1"/>
    </xf>
    <xf numFmtId="0" fontId="15" fillId="0" borderId="0" xfId="4495" applyFont="1" applyAlignment="1">
      <alignment horizontal="left" vertical="center" wrapText="1"/>
    </xf>
    <xf numFmtId="0" fontId="22" fillId="0" borderId="5" xfId="0" applyFont="1" applyBorder="1"/>
    <xf numFmtId="168" fontId="20" fillId="43" borderId="0" xfId="0" applyNumberFormat="1" applyFont="1" applyFill="1"/>
    <xf numFmtId="9" fontId="23" fillId="0" borderId="0" xfId="543" applyNumberFormat="1" applyFont="1" applyAlignment="1">
      <alignment horizontal="center"/>
    </xf>
    <xf numFmtId="171" fontId="15" fillId="0" borderId="0" xfId="543" applyNumberFormat="1"/>
    <xf numFmtId="171" fontId="15" fillId="0" borderId="11" xfId="543" applyNumberFormat="1" applyBorder="1"/>
    <xf numFmtId="1" fontId="15" fillId="0" borderId="11" xfId="543" applyNumberFormat="1" applyBorder="1" applyAlignment="1">
      <alignment horizontal="center"/>
    </xf>
    <xf numFmtId="0" fontId="41" fillId="0" borderId="8" xfId="543" applyFont="1" applyBorder="1" applyAlignment="1">
      <alignment vertical="center" wrapText="1"/>
    </xf>
    <xf numFmtId="0" fontId="41" fillId="0" borderId="0" xfId="543" applyFont="1" applyAlignment="1">
      <alignment vertical="center" wrapText="1"/>
    </xf>
    <xf numFmtId="0" fontId="41" fillId="0" borderId="12" xfId="543" applyFont="1" applyBorder="1" applyAlignment="1">
      <alignment vertical="center" wrapText="1"/>
    </xf>
    <xf numFmtId="0" fontId="41" fillId="0" borderId="9" xfId="543" applyFont="1" applyBorder="1" applyAlignment="1">
      <alignment vertical="center" wrapText="1"/>
    </xf>
    <xf numFmtId="0" fontId="41" fillId="0" borderId="6" xfId="543" applyFont="1" applyBorder="1" applyAlignment="1">
      <alignment vertical="center" wrapText="1"/>
    </xf>
    <xf numFmtId="0" fontId="41" fillId="0" borderId="10" xfId="543" applyFont="1" applyBorder="1" applyAlignment="1">
      <alignment vertical="center" wrapText="1"/>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35" fillId="0" borderId="12" xfId="543" applyFont="1" applyBorder="1" applyAlignment="1">
      <alignment horizontal="center" vertical="top"/>
    </xf>
    <xf numFmtId="0" fontId="36" fillId="0" borderId="7" xfId="543" applyFont="1" applyBorder="1"/>
    <xf numFmtId="0" fontId="15" fillId="0" borderId="12" xfId="543" quotePrefix="1" applyBorder="1"/>
    <xf numFmtId="0" fontId="52" fillId="0" borderId="2" xfId="569" applyFont="1" applyBorder="1" applyAlignment="1">
      <alignment vertical="top"/>
    </xf>
    <xf numFmtId="0" fontId="25" fillId="0" borderId="0" xfId="4495" applyFont="1"/>
    <xf numFmtId="0" fontId="15" fillId="0" borderId="0" xfId="4495" applyFont="1" applyAlignment="1">
      <alignment vertical="top" wrapText="1" shrinkToFit="1"/>
    </xf>
    <xf numFmtId="0" fontId="155" fillId="0" borderId="0" xfId="4495" applyFont="1"/>
    <xf numFmtId="164" fontId="15" fillId="0" borderId="0" xfId="1192" applyNumberFormat="1" applyAlignment="1">
      <alignment horizontal="right"/>
    </xf>
    <xf numFmtId="164" fontId="15" fillId="0" borderId="0" xfId="4495" applyNumberFormat="1" applyFont="1" applyAlignment="1">
      <alignment horizontal="right"/>
    </xf>
    <xf numFmtId="0" fontId="15" fillId="0" borderId="0" xfId="4495" applyFont="1" applyAlignment="1">
      <alignment horizontal="left" vertical="top" wrapText="1" shrinkToFit="1"/>
    </xf>
    <xf numFmtId="0" fontId="15" fillId="0" borderId="6" xfId="4495" applyFont="1" applyBorder="1" applyAlignment="1">
      <alignment vertical="top" wrapText="1"/>
    </xf>
    <xf numFmtId="0" fontId="155" fillId="0" borderId="4" xfId="4495" applyFont="1" applyBorder="1"/>
    <xf numFmtId="0" fontId="15" fillId="0" borderId="4" xfId="4495" applyFont="1" applyBorder="1" applyAlignment="1">
      <alignment horizontal="left" vertical="top" wrapText="1" shrinkToFit="1"/>
    </xf>
    <xf numFmtId="0" fontId="25" fillId="0" borderId="0" xfId="4495" applyFont="1" applyAlignment="1">
      <alignment horizontal="left" vertical="top"/>
    </xf>
    <xf numFmtId="0" fontId="15" fillId="0" borderId="0" xfId="4495" applyFont="1" applyAlignment="1">
      <alignment vertical="center" wrapText="1" shrinkToFit="1"/>
    </xf>
    <xf numFmtId="0" fontId="15" fillId="0" borderId="0" xfId="4495" applyFont="1" applyAlignment="1">
      <alignment horizontal="left" vertical="top" shrinkToFit="1"/>
    </xf>
    <xf numFmtId="0" fontId="15" fillId="0" borderId="0" xfId="4495" applyFont="1" applyAlignment="1">
      <alignment horizontal="left" vertical="center" shrinkToFit="1"/>
    </xf>
    <xf numFmtId="0" fontId="25" fillId="0" borderId="4" xfId="4495" applyFont="1" applyBorder="1"/>
    <xf numFmtId="0" fontId="15" fillId="0" borderId="4" xfId="4495" applyFont="1" applyBorder="1" applyAlignment="1">
      <alignment horizontal="left" vertical="top" shrinkToFit="1"/>
    </xf>
    <xf numFmtId="0" fontId="15" fillId="0" borderId="0" xfId="4495" applyFont="1" applyAlignment="1">
      <alignment vertical="center"/>
    </xf>
    <xf numFmtId="0" fontId="21" fillId="0" borderId="0" xfId="4495" applyFont="1"/>
    <xf numFmtId="0" fontId="25" fillId="0" borderId="0" xfId="4495" applyFont="1" applyAlignment="1">
      <alignment horizontal="center"/>
    </xf>
    <xf numFmtId="0" fontId="15" fillId="0" borderId="4" xfId="4495" applyFont="1" applyBorder="1" applyAlignment="1">
      <alignment horizontal="left" vertical="top" wrapText="1"/>
    </xf>
    <xf numFmtId="44" fontId="15" fillId="0" borderId="0" xfId="707" applyFont="1" applyFill="1" applyBorder="1" applyAlignment="1" applyProtection="1">
      <alignment horizontal="left" vertical="top" wrapText="1"/>
    </xf>
    <xf numFmtId="44" fontId="15" fillId="0" borderId="4" xfId="707" applyFont="1" applyFill="1" applyBorder="1" applyAlignment="1" applyProtection="1">
      <alignment horizontal="left" vertical="top" wrapText="1"/>
    </xf>
    <xf numFmtId="164" fontId="33" fillId="0" borderId="0" xfId="4495" applyNumberFormat="1" applyFont="1" applyAlignment="1">
      <alignment horizontal="left"/>
    </xf>
    <xf numFmtId="0" fontId="25" fillId="0" borderId="0" xfId="4495" applyFont="1" applyAlignment="1">
      <alignment horizontal="left"/>
    </xf>
    <xf numFmtId="0" fontId="15" fillId="0" borderId="4" xfId="4495" applyFont="1" applyBorder="1" applyAlignment="1">
      <alignment vertical="top" wrapText="1"/>
    </xf>
    <xf numFmtId="0" fontId="25" fillId="0" borderId="4" xfId="4495" applyFont="1" applyBorder="1" applyAlignment="1">
      <alignment horizontal="left" vertical="top"/>
    </xf>
    <xf numFmtId="0" fontId="15" fillId="0" borderId="0" xfId="4495" applyFont="1" applyAlignment="1">
      <alignment horizontal="left" vertical="center" wrapText="1" shrinkToFit="1"/>
    </xf>
    <xf numFmtId="0" fontId="15" fillId="0" borderId="6" xfId="4495" applyFont="1" applyBorder="1" applyAlignment="1">
      <alignment horizontal="left" vertical="top" wrapText="1"/>
    </xf>
    <xf numFmtId="2" fontId="117" fillId="0" borderId="0" xfId="0" applyNumberFormat="1" applyFont="1" applyAlignment="1">
      <alignment horizontal="center"/>
    </xf>
    <xf numFmtId="9" fontId="15" fillId="0" borderId="0" xfId="4494" applyFont="1" applyAlignment="1">
      <alignment horizontal="center"/>
    </xf>
    <xf numFmtId="3" fontId="15" fillId="0" borderId="0" xfId="0" applyNumberFormat="1" applyFont="1"/>
    <xf numFmtId="10" fontId="15" fillId="0" borderId="0" xfId="0" applyNumberFormat="1" applyFont="1" applyAlignment="1">
      <alignment horizontal="center"/>
    </xf>
    <xf numFmtId="168" fontId="15" fillId="0" borderId="0" xfId="0" applyNumberFormat="1" applyFont="1"/>
    <xf numFmtId="172" fontId="15" fillId="0" borderId="11" xfId="0" applyNumberFormat="1" applyFont="1" applyBorder="1" applyAlignment="1">
      <alignment horizontal="center"/>
    </xf>
    <xf numFmtId="168" fontId="15" fillId="5" borderId="0" xfId="0" applyNumberFormat="1" applyFont="1" applyFill="1"/>
    <xf numFmtId="3" fontId="15" fillId="5" borderId="0" xfId="0" applyNumberFormat="1" applyFont="1" applyFill="1"/>
    <xf numFmtId="0" fontId="15" fillId="5" borderId="0" xfId="0" applyFont="1" applyFill="1"/>
    <xf numFmtId="3" fontId="15" fillId="5" borderId="6" xfId="0" applyNumberFormat="1" applyFont="1" applyFill="1" applyBorder="1"/>
    <xf numFmtId="3" fontId="15" fillId="0" borderId="6" xfId="0" applyNumberFormat="1" applyFont="1" applyBorder="1"/>
    <xf numFmtId="168" fontId="15" fillId="0" borderId="0" xfId="0" applyNumberFormat="1" applyFont="1" applyAlignment="1">
      <alignment horizontal="center"/>
    </xf>
    <xf numFmtId="3" fontId="15" fillId="0" borderId="0" xfId="0" applyNumberFormat="1" applyFont="1" applyAlignment="1">
      <alignment horizontal="center"/>
    </xf>
    <xf numFmtId="0" fontId="15" fillId="0" borderId="50" xfId="4495" applyFont="1" applyBorder="1" applyAlignment="1">
      <alignment vertical="center"/>
    </xf>
    <xf numFmtId="0" fontId="15" fillId="0" borderId="51" xfId="4495" applyFont="1" applyBorder="1" applyAlignment="1">
      <alignment vertical="center"/>
    </xf>
    <xf numFmtId="0" fontId="15" fillId="0" borderId="52" xfId="4495" applyFont="1" applyBorder="1" applyAlignment="1">
      <alignment vertical="center"/>
    </xf>
    <xf numFmtId="0" fontId="15" fillId="0" borderId="54" xfId="4495" applyFont="1" applyBorder="1" applyAlignment="1">
      <alignment vertical="center" wrapText="1"/>
    </xf>
    <xf numFmtId="0" fontId="15" fillId="0" borderId="53" xfId="4495" applyFont="1" applyBorder="1" applyAlignment="1">
      <alignment vertical="top" wrapText="1"/>
    </xf>
    <xf numFmtId="0" fontId="15" fillId="0" borderId="58" xfId="0" applyFont="1" applyBorder="1" applyAlignment="1">
      <alignment horizontal="left"/>
    </xf>
    <xf numFmtId="9" fontId="15" fillId="0" borderId="0" xfId="543" applyNumberFormat="1" applyAlignment="1">
      <alignment horizontal="center"/>
    </xf>
    <xf numFmtId="0" fontId="47" fillId="0" borderId="0" xfId="4496" applyFont="1"/>
    <xf numFmtId="168" fontId="52" fillId="5" borderId="11" xfId="0" applyNumberFormat="1" applyFont="1" applyFill="1" applyBorder="1" applyAlignment="1" applyProtection="1">
      <alignment vertical="top" wrapText="1"/>
      <protection locked="0"/>
    </xf>
    <xf numFmtId="0" fontId="15" fillId="0" borderId="0" xfId="0" applyFont="1" applyAlignment="1">
      <alignment horizontal="left" wrapText="1"/>
    </xf>
    <xf numFmtId="4" fontId="33" fillId="0" borderId="0" xfId="0" applyNumberFormat="1" applyFont="1" applyAlignment="1">
      <alignment horizontal="left"/>
    </xf>
    <xf numFmtId="4" fontId="15" fillId="0" borderId="0" xfId="0" applyNumberFormat="1" applyFont="1" applyAlignment="1">
      <alignment horizontal="left" vertical="top" wrapText="1"/>
    </xf>
    <xf numFmtId="0" fontId="22" fillId="0" borderId="4" xfId="0" applyFont="1" applyBorder="1" applyAlignment="1">
      <alignment horizontal="left"/>
    </xf>
    <xf numFmtId="4" fontId="15" fillId="0" borderId="0" xfId="0" applyNumberFormat="1" applyFont="1" applyAlignment="1">
      <alignment horizontal="left"/>
    </xf>
    <xf numFmtId="43" fontId="50" fillId="0" borderId="0" xfId="4504" applyFont="1" applyAlignment="1" applyProtection="1">
      <alignment horizontal="center"/>
    </xf>
    <xf numFmtId="43" fontId="15" fillId="0" borderId="0" xfId="4504" applyFont="1" applyAlignment="1" applyProtection="1">
      <alignment horizontal="center"/>
    </xf>
    <xf numFmtId="43" fontId="15" fillId="0" borderId="0" xfId="4504" applyFont="1" applyProtection="1"/>
    <xf numFmtId="49" fontId="15" fillId="0" borderId="0" xfId="0" applyNumberFormat="1" applyFont="1"/>
    <xf numFmtId="49" fontId="15" fillId="0" borderId="0" xfId="0" applyNumberFormat="1" applyFont="1" applyAlignment="1">
      <alignment horizontal="center"/>
    </xf>
    <xf numFmtId="4" fontId="15" fillId="0" borderId="0" xfId="0" applyNumberFormat="1" applyFont="1" applyAlignment="1">
      <alignment vertical="top" wrapText="1"/>
    </xf>
    <xf numFmtId="0" fontId="15" fillId="0" borderId="0" xfId="0" quotePrefix="1" applyFont="1"/>
    <xf numFmtId="0" fontId="45" fillId="0" borderId="0" xfId="0" applyFont="1" applyAlignment="1">
      <alignment horizontal="left"/>
    </xf>
    <xf numFmtId="0" fontId="15" fillId="0" borderId="4" xfId="0" applyFont="1" applyBorder="1" applyAlignment="1">
      <alignment horizontal="left"/>
    </xf>
    <xf numFmtId="0" fontId="15" fillId="0" borderId="0" xfId="0" quotePrefix="1" applyFont="1" applyAlignment="1">
      <alignment horizontal="left"/>
    </xf>
    <xf numFmtId="0" fontId="15" fillId="0" borderId="0" xfId="0" quotePrefix="1" applyFont="1" applyAlignment="1">
      <alignment horizontal="left" vertical="top"/>
    </xf>
    <xf numFmtId="0" fontId="45" fillId="0" borderId="0" xfId="1192" applyFont="1" applyAlignment="1">
      <alignment horizontal="left"/>
    </xf>
    <xf numFmtId="0" fontId="50" fillId="0" borderId="0" xfId="0" applyFont="1" applyAlignment="1">
      <alignment horizontal="center" vertical="center"/>
    </xf>
    <xf numFmtId="49" fontId="22" fillId="0" borderId="0" xfId="0" applyNumberFormat="1" applyFont="1" applyAlignment="1">
      <alignment horizontal="center" vertical="center"/>
    </xf>
    <xf numFmtId="49" fontId="15" fillId="0" borderId="0" xfId="0" applyNumberFormat="1" applyFont="1" applyAlignment="1">
      <alignment vertical="center"/>
    </xf>
    <xf numFmtId="4" fontId="15" fillId="0" borderId="0" xfId="0" applyNumberFormat="1" applyFont="1" applyAlignment="1">
      <alignment horizontal="center"/>
    </xf>
    <xf numFmtId="4" fontId="15" fillId="0" borderId="0" xfId="0" applyNumberFormat="1" applyFont="1"/>
    <xf numFmtId="10" fontId="15"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5" fillId="0" borderId="0" xfId="1192" quotePrefix="1" applyNumberFormat="1" applyAlignment="1">
      <alignment horizontal="center"/>
    </xf>
    <xf numFmtId="0" fontId="121" fillId="0" borderId="0" xfId="4495" applyFont="1"/>
    <xf numFmtId="10" fontId="121" fillId="0" borderId="0" xfId="4495" applyNumberFormat="1" applyFont="1"/>
    <xf numFmtId="172" fontId="15" fillId="0" borderId="0" xfId="4495" applyNumberFormat="1" applyFont="1"/>
    <xf numFmtId="0" fontId="38" fillId="0" borderId="0" xfId="0" applyFont="1" applyAlignment="1">
      <alignment horizontal="center"/>
    </xf>
    <xf numFmtId="0" fontId="34" fillId="0" borderId="0" xfId="0" applyFont="1" applyAlignment="1">
      <alignment horizontal="left"/>
    </xf>
    <xf numFmtId="0" fontId="0" fillId="0" borderId="10" xfId="0" applyBorder="1" applyAlignment="1">
      <alignment horizontal="left"/>
    </xf>
    <xf numFmtId="1" fontId="15" fillId="0" borderId="0" xfId="1192" applyNumberFormat="1" applyAlignment="1">
      <alignment horizontal="center"/>
    </xf>
    <xf numFmtId="0" fontId="119" fillId="0" borderId="63" xfId="4495" applyBorder="1"/>
    <xf numFmtId="0" fontId="52" fillId="0" borderId="0" xfId="271" applyFont="1" applyAlignment="1">
      <alignment vertical="top"/>
    </xf>
    <xf numFmtId="0" fontId="22" fillId="0" borderId="11" xfId="0" applyFont="1" applyBorder="1" applyAlignment="1">
      <alignment horizontal="right" vertical="top" wrapText="1"/>
    </xf>
    <xf numFmtId="0" fontId="24" fillId="0" borderId="11" xfId="271" applyBorder="1" applyAlignment="1" applyProtection="1">
      <alignment horizontal="right" vertical="top" wrapText="1"/>
      <protection locked="0"/>
    </xf>
    <xf numFmtId="0" fontId="15" fillId="0" borderId="54" xfId="4495" applyFont="1" applyBorder="1" applyAlignment="1">
      <alignment vertical="top"/>
    </xf>
    <xf numFmtId="9" fontId="24" fillId="0" borderId="0" xfId="0" applyNumberFormat="1" applyFont="1"/>
    <xf numFmtId="0" fontId="15" fillId="0" borderId="16" xfId="569" applyBorder="1" applyAlignment="1">
      <alignment horizontal="center"/>
    </xf>
    <xf numFmtId="164" fontId="15" fillId="0" borderId="57" xfId="4495" applyNumberFormat="1" applyFont="1" applyBorder="1" applyAlignment="1">
      <alignment vertical="top" wrapText="1"/>
    </xf>
    <xf numFmtId="164" fontId="15" fillId="0" borderId="58" xfId="4495" applyNumberFormat="1" applyFont="1" applyBorder="1" applyAlignment="1">
      <alignment vertical="top" wrapText="1"/>
    </xf>
    <xf numFmtId="164" fontId="15" fillId="0" borderId="59" xfId="4495" applyNumberFormat="1" applyFont="1" applyBorder="1" applyAlignment="1">
      <alignment vertical="top" wrapText="1"/>
    </xf>
    <xf numFmtId="0" fontId="22" fillId="0" borderId="0" xfId="1192" applyFont="1" applyAlignment="1">
      <alignment horizontal="left" vertical="top" wrapText="1"/>
    </xf>
    <xf numFmtId="0" fontId="15" fillId="0" borderId="16" xfId="569" applyBorder="1"/>
    <xf numFmtId="0" fontId="15" fillId="0" borderId="4" xfId="569" applyBorder="1"/>
    <xf numFmtId="0" fontId="22" fillId="0" borderId="4" xfId="569" applyFont="1" applyBorder="1"/>
    <xf numFmtId="49" fontId="15" fillId="0" borderId="4" xfId="569" applyNumberFormat="1" applyBorder="1"/>
    <xf numFmtId="0" fontId="161" fillId="0" borderId="0" xfId="0" applyFont="1"/>
    <xf numFmtId="0" fontId="15" fillId="0" borderId="0" xfId="0" applyFont="1" applyAlignment="1">
      <alignment horizontal="right"/>
    </xf>
    <xf numFmtId="1" fontId="15" fillId="0" borderId="0" xfId="0" applyNumberFormat="1" applyFont="1" applyAlignment="1">
      <alignment horizontal="center"/>
    </xf>
    <xf numFmtId="0" fontId="22" fillId="0" borderId="0" xfId="0" applyFont="1" applyAlignment="1">
      <alignment horizontal="left" vertical="center"/>
    </xf>
    <xf numFmtId="0" fontId="15" fillId="0" borderId="0" xfId="0" applyFont="1" applyAlignment="1">
      <alignment horizontal="left" vertical="center"/>
    </xf>
    <xf numFmtId="0" fontId="22" fillId="0" borderId="0" xfId="569" applyFont="1" applyAlignment="1">
      <alignment vertical="top"/>
    </xf>
    <xf numFmtId="0" fontId="16" fillId="0" borderId="0" xfId="244" applyAlignment="1"/>
    <xf numFmtId="0" fontId="22" fillId="0" borderId="0" xfId="0" applyFont="1" applyAlignment="1">
      <alignment vertical="top" wrapText="1"/>
    </xf>
    <xf numFmtId="49" fontId="22" fillId="0" borderId="0" xfId="0" applyNumberFormat="1" applyFont="1"/>
    <xf numFmtId="49" fontId="22" fillId="0" borderId="0" xfId="0" applyNumberFormat="1" applyFont="1" applyAlignment="1">
      <alignment vertical="top"/>
    </xf>
    <xf numFmtId="0" fontId="38" fillId="0" borderId="11" xfId="0" applyFont="1" applyBorder="1"/>
    <xf numFmtId="175" fontId="15"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2"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82" fontId="97" fillId="0" borderId="11" xfId="4496" applyNumberFormat="1" applyFont="1" applyBorder="1" applyAlignment="1">
      <alignment horizontal="left"/>
    </xf>
    <xf numFmtId="1" fontId="97" fillId="0" borderId="0" xfId="4496" applyNumberFormat="1" applyFont="1"/>
    <xf numFmtId="2" fontId="97" fillId="0" borderId="0" xfId="4496" applyNumberFormat="1" applyFont="1" applyAlignment="1">
      <alignment horizontal="center"/>
    </xf>
    <xf numFmtId="2"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2"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0" fillId="0" borderId="11" xfId="271" applyNumberFormat="1" applyFont="1" applyBorder="1" applyAlignment="1">
      <alignment horizontal="center"/>
    </xf>
    <xf numFmtId="3" fontId="20" fillId="43" borderId="11" xfId="271" applyNumberFormat="1" applyFont="1" applyFill="1" applyBorder="1" applyAlignment="1" applyProtection="1">
      <alignment horizontal="center"/>
      <protection locked="0"/>
    </xf>
    <xf numFmtId="3" fontId="20" fillId="43" borderId="11" xfId="271" applyNumberFormat="1" applyFont="1" applyFill="1" applyBorder="1" applyProtection="1">
      <protection locked="0"/>
    </xf>
    <xf numFmtId="0" fontId="97" fillId="0" borderId="0" xfId="4496" applyFont="1" applyAlignment="1">
      <alignment horizontal="right"/>
    </xf>
    <xf numFmtId="168" fontId="24"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71" xfId="4496" applyFont="1" applyBorder="1" applyAlignment="1">
      <alignment horizontal="center" vertical="top" wrapText="1"/>
    </xf>
    <xf numFmtId="0" fontId="136" fillId="0" borderId="71" xfId="4496" applyFont="1" applyBorder="1" applyAlignment="1">
      <alignment horizontal="center"/>
    </xf>
    <xf numFmtId="0" fontId="166"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86"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97" fillId="0" borderId="15" xfId="4496" applyNumberFormat="1" applyFont="1" applyBorder="1"/>
    <xf numFmtId="182" fontId="136" fillId="0" borderId="71" xfId="8722" applyNumberFormat="1" applyFont="1" applyBorder="1" applyProtection="1"/>
    <xf numFmtId="9" fontId="97" fillId="0" borderId="15" xfId="4494" applyFont="1" applyFill="1" applyBorder="1" applyAlignment="1" applyProtection="1">
      <alignment horizontal="right"/>
    </xf>
    <xf numFmtId="182" fontId="136" fillId="0" borderId="71" xfId="4496" applyNumberFormat="1" applyFont="1" applyBorder="1"/>
    <xf numFmtId="0" fontId="166" fillId="0" borderId="0" xfId="4496" applyFont="1" applyAlignment="1">
      <alignment horizontal="right"/>
    </xf>
    <xf numFmtId="0" fontId="97" fillId="0" borderId="0" xfId="4496" applyFont="1" applyAlignment="1">
      <alignment horizontal="right" vertical="top" wrapText="1" indent="1"/>
    </xf>
    <xf numFmtId="182" fontId="97" fillId="0" borderId="6" xfId="8722"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2"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2"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70" xfId="4496" applyFont="1" applyBorder="1" applyAlignment="1">
      <alignment horizontal="right" indent="1"/>
    </xf>
    <xf numFmtId="0" fontId="97" fillId="0" borderId="80" xfId="4496" applyFont="1" applyBorder="1" applyAlignment="1">
      <alignment horizontal="right" indent="1"/>
    </xf>
    <xf numFmtId="0" fontId="97" fillId="0" borderId="80" xfId="4496" quotePrefix="1" applyFont="1" applyBorder="1" applyAlignment="1">
      <alignment horizontal="right" indent="1"/>
    </xf>
    <xf numFmtId="0" fontId="97" fillId="0" borderId="72" xfId="4496" applyFont="1" applyBorder="1" applyAlignment="1">
      <alignment horizontal="right" indent="1"/>
    </xf>
    <xf numFmtId="182" fontId="97" fillId="0" borderId="74" xfId="4496" applyNumberFormat="1" applyFont="1" applyBorder="1"/>
    <xf numFmtId="182" fontId="97" fillId="0" borderId="91" xfId="4496" applyNumberFormat="1" applyFont="1" applyBorder="1"/>
    <xf numFmtId="182" fontId="97" fillId="0" borderId="93" xfId="4496" applyNumberFormat="1" applyFont="1" applyBorder="1"/>
    <xf numFmtId="175" fontId="22" fillId="0" borderId="0" xfId="543" applyNumberFormat="1" applyFont="1" applyAlignment="1">
      <alignment vertical="center"/>
    </xf>
    <xf numFmtId="10" fontId="136" fillId="0" borderId="0" xfId="4494" applyNumberFormat="1" applyFont="1" applyProtection="1"/>
    <xf numFmtId="0" fontId="22"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71"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3" xfId="4496" applyNumberFormat="1" applyFont="1" applyBorder="1"/>
    <xf numFmtId="0" fontId="136" fillId="0" borderId="4" xfId="4496" applyFont="1" applyBorder="1" applyAlignment="1">
      <alignment horizontal="left" indent="1"/>
    </xf>
    <xf numFmtId="0" fontId="97" fillId="0" borderId="4" xfId="4496" applyFont="1" applyBorder="1"/>
    <xf numFmtId="0" fontId="33" fillId="0" borderId="0" xfId="4495" applyFont="1" applyAlignment="1">
      <alignment vertical="center"/>
    </xf>
    <xf numFmtId="0" fontId="121" fillId="0" borderId="0" xfId="4496" applyFont="1" applyAlignment="1">
      <alignment vertical="center" wrapText="1"/>
    </xf>
    <xf numFmtId="0" fontId="20" fillId="43" borderId="0" xfId="1192" applyFont="1" applyFill="1"/>
    <xf numFmtId="3" fontId="67" fillId="43" borderId="6" xfId="1192" applyNumberFormat="1" applyFont="1" applyFill="1" applyBorder="1"/>
    <xf numFmtId="0" fontId="168" fillId="0" borderId="0" xfId="0" applyFont="1"/>
    <xf numFmtId="0" fontId="20" fillId="0" borderId="11" xfId="253" applyFont="1" applyBorder="1" applyAlignment="1" applyProtection="1">
      <alignment horizontal="center" wrapText="1"/>
      <protection locked="0"/>
    </xf>
    <xf numFmtId="0" fontId="169" fillId="0" borderId="0" xfId="0" applyFont="1"/>
    <xf numFmtId="0" fontId="170"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5" fillId="43" borderId="3" xfId="569" applyFill="1" applyBorder="1"/>
    <xf numFmtId="0" fontId="175" fillId="0" borderId="0" xfId="0" applyFont="1" applyAlignment="1">
      <alignment horizontal="right"/>
    </xf>
    <xf numFmtId="1" fontId="23"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3" fillId="0" borderId="0" xfId="8726"/>
    <xf numFmtId="0" fontId="102" fillId="0" borderId="0" xfId="8726" applyFont="1"/>
    <xf numFmtId="0" fontId="154" fillId="0" borderId="0" xfId="8726" applyFont="1"/>
    <xf numFmtId="0" fontId="3" fillId="48" borderId="44" xfId="8726" applyFill="1" applyBorder="1"/>
    <xf numFmtId="0" fontId="3" fillId="48" borderId="42" xfId="8726" applyFill="1" applyBorder="1"/>
    <xf numFmtId="0" fontId="3" fillId="48" borderId="41" xfId="8726" applyFill="1" applyBorder="1"/>
    <xf numFmtId="0" fontId="3" fillId="44" borderId="44" xfId="8726" applyFill="1" applyBorder="1"/>
    <xf numFmtId="0" fontId="3" fillId="44" borderId="42" xfId="8726" applyFill="1" applyBorder="1"/>
    <xf numFmtId="0" fontId="3" fillId="44" borderId="86" xfId="8726" applyFill="1" applyBorder="1"/>
    <xf numFmtId="0" fontId="3" fillId="48" borderId="0" xfId="8726" applyFill="1"/>
    <xf numFmtId="0" fontId="3" fillId="44" borderId="41" xfId="8726" applyFill="1" applyBorder="1"/>
    <xf numFmtId="0" fontId="3" fillId="44" borderId="0" xfId="8726" applyFill="1"/>
    <xf numFmtId="0" fontId="3" fillId="44" borderId="66" xfId="8726" applyFill="1" applyBorder="1"/>
    <xf numFmtId="0" fontId="3" fillId="44" borderId="0" xfId="8726" applyFill="1" applyAlignment="1">
      <alignment horizontal="left"/>
    </xf>
    <xf numFmtId="0" fontId="3" fillId="48" borderId="86" xfId="8726" applyFill="1" applyBorder="1"/>
    <xf numFmtId="0" fontId="3" fillId="48" borderId="66" xfId="8726" applyFill="1" applyBorder="1"/>
    <xf numFmtId="49" fontId="101" fillId="48" borderId="66" xfId="8726" applyNumberFormat="1" applyFont="1" applyFill="1" applyBorder="1" applyAlignment="1">
      <alignment horizontal="right" vertical="top"/>
    </xf>
    <xf numFmtId="0" fontId="101" fillId="48" borderId="0" xfId="8726" applyFont="1" applyFill="1"/>
    <xf numFmtId="0" fontId="101" fillId="48" borderId="66" xfId="8726" applyFont="1" applyFill="1" applyBorder="1"/>
    <xf numFmtId="0" fontId="101" fillId="48" borderId="41" xfId="8726" applyFont="1" applyFill="1" applyBorder="1" applyAlignment="1">
      <alignment horizontal="center"/>
    </xf>
    <xf numFmtId="0" fontId="102" fillId="48" borderId="0" xfId="8726" applyFont="1" applyFill="1"/>
    <xf numFmtId="0" fontId="3" fillId="48" borderId="69" xfId="8726" applyFill="1" applyBorder="1"/>
    <xf numFmtId="168" fontId="158" fillId="48" borderId="68" xfId="700" applyNumberFormat="1" applyFont="1" applyFill="1" applyBorder="1" applyAlignment="1" applyProtection="1">
      <protection locked="0"/>
    </xf>
    <xf numFmtId="0" fontId="163" fillId="48" borderId="0" xfId="8726" applyFont="1" applyFill="1"/>
    <xf numFmtId="0" fontId="148" fillId="47" borderId="91" xfId="8726" applyFont="1" applyFill="1" applyBorder="1" applyAlignment="1">
      <alignment horizontal="center"/>
    </xf>
    <xf numFmtId="0" fontId="148" fillId="47" borderId="11" xfId="8726" applyFont="1" applyFill="1" applyBorder="1" applyAlignment="1">
      <alignment horizontal="center"/>
    </xf>
    <xf numFmtId="0" fontId="162" fillId="47" borderId="91" xfId="8726" applyFont="1" applyFill="1" applyBorder="1"/>
    <xf numFmtId="0" fontId="162" fillId="47" borderId="11" xfId="8726" applyFont="1" applyFill="1" applyBorder="1"/>
    <xf numFmtId="0" fontId="3" fillId="45" borderId="69" xfId="8726" applyFill="1" applyBorder="1"/>
    <xf numFmtId="0" fontId="3" fillId="45" borderId="68" xfId="8726" applyFill="1" applyBorder="1"/>
    <xf numFmtId="0" fontId="101" fillId="45" borderId="68" xfId="8726" applyFont="1" applyFill="1" applyBorder="1"/>
    <xf numFmtId="0" fontId="101" fillId="45" borderId="67" xfId="8726" applyFont="1" applyFill="1" applyBorder="1"/>
    <xf numFmtId="0" fontId="101" fillId="45" borderId="69" xfId="8726" applyFont="1" applyFill="1" applyBorder="1"/>
    <xf numFmtId="0" fontId="3" fillId="48" borderId="0" xfId="8726" applyFill="1" applyAlignment="1">
      <alignment horizontal="left"/>
    </xf>
    <xf numFmtId="0" fontId="152" fillId="48" borderId="0" xfId="8726" applyFont="1" applyFill="1"/>
    <xf numFmtId="0" fontId="101" fillId="45" borderId="89" xfId="8726" applyFont="1" applyFill="1" applyBorder="1"/>
    <xf numFmtId="0" fontId="101" fillId="45" borderId="76" xfId="8726" applyFont="1" applyFill="1" applyBorder="1"/>
    <xf numFmtId="0" fontId="101" fillId="45" borderId="75" xfId="8726" applyFont="1" applyFill="1" applyBorder="1"/>
    <xf numFmtId="0" fontId="101" fillId="45" borderId="31" xfId="8726" applyFont="1" applyFill="1" applyBorder="1"/>
    <xf numFmtId="0" fontId="101" fillId="45" borderId="29" xfId="8726" applyFont="1" applyFill="1" applyBorder="1"/>
    <xf numFmtId="0" fontId="101" fillId="45" borderId="65" xfId="8726" applyFont="1" applyFill="1" applyBorder="1"/>
    <xf numFmtId="0" fontId="3" fillId="45" borderId="83" xfId="8726" applyFill="1" applyBorder="1"/>
    <xf numFmtId="0" fontId="3" fillId="45" borderId="82" xfId="8726" applyFill="1" applyBorder="1"/>
    <xf numFmtId="0" fontId="3" fillId="45" borderId="81" xfId="8726" applyFill="1" applyBorder="1"/>
    <xf numFmtId="0" fontId="101" fillId="45" borderId="81" xfId="8726" applyFont="1" applyFill="1" applyBorder="1"/>
    <xf numFmtId="0" fontId="3" fillId="45" borderId="31" xfId="8726" applyFill="1" applyBorder="1"/>
    <xf numFmtId="0" fontId="3" fillId="45" borderId="29" xfId="8726" applyFill="1" applyBorder="1"/>
    <xf numFmtId="0" fontId="3" fillId="45" borderId="67" xfId="8726" applyFill="1" applyBorder="1"/>
    <xf numFmtId="0" fontId="85" fillId="0" borderId="0" xfId="8726" applyFont="1"/>
    <xf numFmtId="0" fontId="3" fillId="45" borderId="99" xfId="8726" applyFill="1" applyBorder="1"/>
    <xf numFmtId="0" fontId="3" fillId="45" borderId="65" xfId="8726" applyFill="1" applyBorder="1"/>
    <xf numFmtId="0" fontId="101" fillId="45" borderId="28" xfId="8726" applyFont="1" applyFill="1" applyBorder="1"/>
    <xf numFmtId="0" fontId="3" fillId="52" borderId="101" xfId="8726" applyFill="1" applyBorder="1"/>
    <xf numFmtId="0" fontId="3" fillId="51" borderId="101" xfId="8726" applyFill="1" applyBorder="1"/>
    <xf numFmtId="0" fontId="101" fillId="50" borderId="100" xfId="8726" applyFont="1" applyFill="1" applyBorder="1"/>
    <xf numFmtId="0" fontId="101" fillId="0" borderId="0" xfId="8726" applyFont="1"/>
    <xf numFmtId="0" fontId="101" fillId="48" borderId="41" xfId="8726" applyFont="1" applyFill="1" applyBorder="1"/>
    <xf numFmtId="0" fontId="150" fillId="48" borderId="0" xfId="8726" applyFont="1" applyFill="1"/>
    <xf numFmtId="182" fontId="164" fillId="48" borderId="0" xfId="8727" applyNumberFormat="1" applyFont="1" applyFill="1" applyBorder="1" applyAlignment="1"/>
    <xf numFmtId="0" fontId="22" fillId="0" borderId="4" xfId="569" applyFont="1" applyBorder="1" applyAlignment="1">
      <alignment horizontal="center"/>
    </xf>
    <xf numFmtId="43" fontId="22" fillId="0" borderId="0" xfId="4504" applyFont="1" applyAlignment="1" applyProtection="1">
      <alignment horizontal="center"/>
    </xf>
    <xf numFmtId="0" fontId="22" fillId="0" borderId="0" xfId="569" applyFont="1" applyAlignment="1">
      <alignment horizontal="center" vertical="center"/>
    </xf>
    <xf numFmtId="0" fontId="22" fillId="0" borderId="16" xfId="569" applyFont="1" applyBorder="1" applyAlignment="1">
      <alignment horizontal="center"/>
    </xf>
    <xf numFmtId="49" fontId="22" fillId="0" borderId="4" xfId="569" applyNumberFormat="1" applyFont="1" applyBorder="1" applyAlignment="1">
      <alignment horizontal="center"/>
    </xf>
    <xf numFmtId="4" fontId="22" fillId="0" borderId="0" xfId="569" applyNumberFormat="1" applyFont="1" applyAlignment="1">
      <alignment horizontal="center"/>
    </xf>
    <xf numFmtId="0" fontId="15" fillId="0" borderId="0" xfId="569" applyAlignment="1">
      <alignment horizontal="center" wrapText="1"/>
    </xf>
    <xf numFmtId="165" fontId="15" fillId="0" borderId="0" xfId="4494" applyNumberFormat="1" applyFont="1" applyAlignment="1">
      <alignment horizontal="center"/>
    </xf>
    <xf numFmtId="10" fontId="15" fillId="0" borderId="11" xfId="4494" applyNumberFormat="1" applyFont="1" applyBorder="1" applyAlignment="1">
      <alignment horizontal="center"/>
    </xf>
    <xf numFmtId="0" fontId="21" fillId="3" borderId="0" xfId="0" applyFont="1" applyFill="1" applyAlignment="1">
      <alignment horizontal="center" vertical="center" wrapText="1"/>
    </xf>
    <xf numFmtId="0" fontId="21" fillId="3" borderId="16" xfId="0" applyFont="1" applyFill="1" applyBorder="1" applyAlignment="1">
      <alignment horizontal="center" vertical="center" wrapText="1"/>
    </xf>
    <xf numFmtId="0" fontId="15" fillId="0" borderId="0" xfId="0" applyFont="1" applyAlignment="1">
      <alignment horizontal="left" vertical="top" wrapText="1"/>
    </xf>
    <xf numFmtId="0" fontId="104" fillId="0" borderId="0" xfId="0" applyFont="1" applyAlignment="1">
      <alignment horizontal="left" vertical="top" wrapText="1"/>
    </xf>
    <xf numFmtId="0" fontId="44" fillId="0" borderId="0" xfId="0" applyFont="1" applyAlignment="1">
      <alignment horizontal="left" vertical="top" wrapText="1"/>
    </xf>
    <xf numFmtId="0" fontId="112" fillId="0" borderId="0" xfId="0" applyFont="1" applyAlignment="1">
      <alignment horizontal="left" wrapText="1"/>
    </xf>
    <xf numFmtId="0" fontId="15" fillId="0" borderId="0" xfId="0" applyFont="1" applyAlignment="1">
      <alignment horizontal="left" wrapText="1"/>
    </xf>
    <xf numFmtId="0" fontId="24" fillId="0" borderId="0" xfId="0" applyFont="1" applyAlignment="1">
      <alignment horizontal="left" wrapText="1"/>
    </xf>
    <xf numFmtId="0" fontId="16" fillId="0" borderId="0" xfId="244" applyAlignment="1" applyProtection="1">
      <alignment horizontal="left"/>
    </xf>
    <xf numFmtId="0" fontId="16" fillId="0" borderId="0" xfId="244"/>
    <xf numFmtId="0" fontId="0" fillId="0" borderId="0" xfId="0"/>
    <xf numFmtId="0" fontId="15" fillId="0" borderId="0" xfId="1192" applyAlignment="1">
      <alignment horizontal="left" vertical="top" wrapText="1"/>
    </xf>
    <xf numFmtId="0" fontId="22" fillId="0" borderId="0" xfId="0" applyFont="1" applyAlignment="1">
      <alignment horizontal="left" vertical="top" wrapText="1"/>
    </xf>
    <xf numFmtId="0" fontId="15" fillId="0" borderId="0" xfId="0" applyFont="1" applyAlignment="1">
      <alignment horizontal="left"/>
    </xf>
    <xf numFmtId="0" fontId="33" fillId="0" borderId="0" xfId="1192" applyFont="1" applyAlignment="1">
      <alignment horizontal="left"/>
    </xf>
    <xf numFmtId="0" fontId="15" fillId="0" borderId="0" xfId="1192" applyAlignment="1">
      <alignment horizontal="left"/>
    </xf>
    <xf numFmtId="4" fontId="15" fillId="0" borderId="0" xfId="1192" applyNumberFormat="1" applyAlignment="1">
      <alignment horizontal="left" vertical="top" wrapText="1"/>
    </xf>
    <xf numFmtId="0" fontId="22" fillId="0" borderId="4" xfId="569" applyFont="1" applyBorder="1" applyAlignment="1">
      <alignment horizontal="left"/>
    </xf>
    <xf numFmtId="0" fontId="33" fillId="0" borderId="0" xfId="0" applyFont="1" applyAlignment="1">
      <alignment horizontal="left"/>
    </xf>
    <xf numFmtId="0" fontId="22" fillId="0" borderId="0" xfId="271" applyFont="1" applyAlignment="1">
      <alignment horizontal="left" vertical="top" wrapText="1"/>
    </xf>
    <xf numFmtId="0" fontId="0" fillId="0" borderId="0" xfId="0" applyAlignment="1">
      <alignment horizontal="left" vertical="top" wrapText="1"/>
    </xf>
    <xf numFmtId="0" fontId="24" fillId="0" borderId="0" xfId="0" applyFont="1" applyAlignment="1">
      <alignment horizontal="left"/>
    </xf>
    <xf numFmtId="0" fontId="15" fillId="0" borderId="0" xfId="271" applyFont="1" applyAlignment="1" applyProtection="1">
      <alignment horizontal="left" vertical="top" wrapText="1"/>
      <protection locked="0"/>
    </xf>
    <xf numFmtId="0" fontId="16" fillId="0" borderId="0" xfId="244" applyAlignment="1">
      <alignment horizontal="left"/>
    </xf>
    <xf numFmtId="0" fontId="22" fillId="0" borderId="0" xfId="0" applyFont="1" applyAlignment="1">
      <alignment horizontal="left"/>
    </xf>
    <xf numFmtId="0" fontId="22" fillId="0" borderId="16" xfId="0" applyFont="1" applyBorder="1" applyAlignment="1">
      <alignment horizontal="left"/>
    </xf>
    <xf numFmtId="0" fontId="15" fillId="0" borderId="27" xfId="0" applyFont="1" applyBorder="1" applyAlignment="1">
      <alignment horizontal="left"/>
    </xf>
    <xf numFmtId="4" fontId="15" fillId="0" borderId="0" xfId="569" applyNumberFormat="1" applyAlignment="1">
      <alignment horizontal="left" vertical="top" wrapText="1"/>
    </xf>
    <xf numFmtId="0" fontId="33" fillId="0" borderId="0" xfId="569" applyFont="1" applyAlignment="1">
      <alignment horizontal="left"/>
    </xf>
    <xf numFmtId="0" fontId="15" fillId="0" borderId="0" xfId="569" applyAlignment="1">
      <alignment horizontal="left" vertical="top" wrapText="1"/>
    </xf>
    <xf numFmtId="0" fontId="15" fillId="0" borderId="0" xfId="569" applyAlignment="1">
      <alignment horizontal="left"/>
    </xf>
    <xf numFmtId="0" fontId="33" fillId="0" borderId="0" xfId="569" applyFont="1" applyAlignment="1">
      <alignment horizontal="left" vertical="top" wrapText="1"/>
    </xf>
    <xf numFmtId="0" fontId="15" fillId="0" borderId="0" xfId="569" applyAlignment="1">
      <alignment horizontal="left" vertical="top"/>
    </xf>
    <xf numFmtId="0" fontId="15" fillId="0" borderId="0" xfId="271" applyFont="1" applyAlignment="1">
      <alignment horizontal="left" vertical="top" wrapText="1"/>
    </xf>
    <xf numFmtId="0" fontId="24" fillId="0" borderId="0" xfId="0" applyFont="1" applyAlignment="1">
      <alignment horizontal="left" vertical="top"/>
    </xf>
    <xf numFmtId="0" fontId="33" fillId="0" borderId="0" xfId="0" applyFont="1" applyAlignment="1">
      <alignment horizontal="left" vertical="top" wrapText="1"/>
    </xf>
    <xf numFmtId="0" fontId="33" fillId="0" borderId="0" xfId="0" applyFont="1" applyAlignment="1">
      <alignment horizontal="center"/>
    </xf>
    <xf numFmtId="0" fontId="0" fillId="0" borderId="0" xfId="0" applyAlignment="1">
      <alignment horizontal="center"/>
    </xf>
    <xf numFmtId="0" fontId="22" fillId="0" borderId="0" xfId="0" applyFont="1" applyAlignment="1">
      <alignment horizontal="center"/>
    </xf>
    <xf numFmtId="49" fontId="15" fillId="0" borderId="0" xfId="0" applyNumberFormat="1" applyFont="1" applyAlignment="1">
      <alignment horizontal="left" vertical="top" wrapText="1"/>
    </xf>
    <xf numFmtId="49" fontId="15" fillId="0" borderId="0" xfId="1192" applyNumberFormat="1" applyAlignment="1">
      <alignment horizontal="left" vertical="top" wrapText="1"/>
    </xf>
    <xf numFmtId="4" fontId="33" fillId="0" borderId="0" xfId="0" applyNumberFormat="1" applyFont="1" applyAlignment="1">
      <alignment horizontal="left"/>
    </xf>
    <xf numFmtId="4" fontId="15" fillId="0" borderId="0" xfId="0" applyNumberFormat="1" applyFont="1" applyAlignment="1">
      <alignment horizontal="left" vertical="top" wrapText="1"/>
    </xf>
    <xf numFmtId="4" fontId="16" fillId="0" borderId="0" xfId="244" applyNumberFormat="1" applyFill="1" applyAlignment="1" applyProtection="1">
      <alignment horizontal="left"/>
    </xf>
    <xf numFmtId="0" fontId="22" fillId="0" borderId="0" xfId="569" applyFont="1" applyAlignment="1">
      <alignment horizontal="left" vertical="top"/>
    </xf>
    <xf numFmtId="0" fontId="15" fillId="0" borderId="0" xfId="0" applyFont="1" applyAlignment="1">
      <alignment horizontal="left" vertical="top"/>
    </xf>
    <xf numFmtId="0" fontId="16" fillId="0" borderId="0" xfId="244" quotePrefix="1" applyAlignment="1" applyProtection="1">
      <alignment horizontal="left"/>
    </xf>
    <xf numFmtId="0" fontId="22" fillId="0" borderId="4" xfId="0" applyFont="1" applyBorder="1" applyAlignment="1">
      <alignment horizontal="left"/>
    </xf>
    <xf numFmtId="0" fontId="22" fillId="0" borderId="4" xfId="569" applyFont="1" applyBorder="1" applyAlignment="1">
      <alignment horizontal="left" vertical="top"/>
    </xf>
    <xf numFmtId="0" fontId="33" fillId="0" borderId="0" xfId="569" applyFont="1" applyAlignment="1">
      <alignment horizontal="left" vertical="top"/>
    </xf>
    <xf numFmtId="0" fontId="33" fillId="0" borderId="0" xfId="0" applyFont="1" applyAlignment="1">
      <alignment horizontal="left" wrapText="1"/>
    </xf>
    <xf numFmtId="4" fontId="15" fillId="0" borderId="0" xfId="569" applyNumberFormat="1" applyAlignment="1">
      <alignment horizontal="left"/>
    </xf>
    <xf numFmtId="4" fontId="33" fillId="0" borderId="0" xfId="569" applyNumberFormat="1" applyFont="1" applyAlignment="1">
      <alignment horizontal="left" vertical="top" wrapText="1"/>
    </xf>
    <xf numFmtId="0" fontId="113" fillId="0" borderId="0" xfId="569" applyFont="1" applyAlignment="1">
      <alignment horizontal="center"/>
    </xf>
    <xf numFmtId="0" fontId="114" fillId="0" borderId="0" xfId="569" applyFont="1"/>
    <xf numFmtId="0" fontId="15" fillId="0" borderId="0" xfId="569" applyAlignment="1">
      <alignment wrapText="1"/>
    </xf>
    <xf numFmtId="0" fontId="22" fillId="0" borderId="0" xfId="569" applyFont="1" applyAlignment="1">
      <alignment wrapText="1"/>
    </xf>
    <xf numFmtId="0" fontId="30" fillId="0" borderId="0" xfId="569" applyFont="1" applyAlignment="1">
      <alignment horizontal="center"/>
    </xf>
    <xf numFmtId="0" fontId="15" fillId="0" borderId="0" xfId="569"/>
    <xf numFmtId="0" fontId="15" fillId="0" borderId="0" xfId="1192" applyAlignment="1">
      <alignment vertical="top" wrapText="1"/>
    </xf>
    <xf numFmtId="4" fontId="15" fillId="0" borderId="0" xfId="0" applyNumberFormat="1" applyFont="1" applyAlignment="1">
      <alignment horizontal="left"/>
    </xf>
    <xf numFmtId="0" fontId="33" fillId="0" borderId="0" xfId="0" applyFont="1" applyAlignment="1">
      <alignment horizontal="left" vertical="top"/>
    </xf>
    <xf numFmtId="0" fontId="15" fillId="0" borderId="0" xfId="0" applyFont="1" applyAlignment="1">
      <alignment horizontal="left" vertical="center" wrapText="1"/>
    </xf>
    <xf numFmtId="0" fontId="15" fillId="0" borderId="0" xfId="569" applyAlignment="1">
      <alignment horizontal="left" wrapText="1"/>
    </xf>
    <xf numFmtId="0" fontId="15" fillId="0" borderId="0" xfId="0" applyFont="1" applyAlignment="1">
      <alignment vertical="top" wrapText="1"/>
    </xf>
    <xf numFmtId="0" fontId="16" fillId="0" borderId="0" xfId="244" applyFill="1" applyBorder="1" applyAlignment="1">
      <alignment horizontal="left" vertical="top" wrapText="1"/>
    </xf>
    <xf numFmtId="0" fontId="22" fillId="0" borderId="0" xfId="0" applyFont="1" applyAlignment="1">
      <alignment vertical="top" wrapText="1"/>
    </xf>
    <xf numFmtId="0" fontId="33" fillId="0" borderId="0" xfId="1192" applyFont="1" applyAlignment="1">
      <alignment horizontal="left" vertical="top" wrapText="1"/>
    </xf>
    <xf numFmtId="0" fontId="22" fillId="0" borderId="0" xfId="1192" applyFont="1" applyAlignment="1">
      <alignment horizontal="left" vertical="top" wrapText="1"/>
    </xf>
    <xf numFmtId="0" fontId="15" fillId="0" borderId="0" xfId="569" applyAlignment="1">
      <alignment vertical="top" wrapText="1"/>
    </xf>
    <xf numFmtId="4" fontId="33" fillId="0" borderId="0" xfId="0" applyNumberFormat="1" applyFont="1" applyAlignment="1">
      <alignment horizontal="left" vertical="top" wrapText="1"/>
    </xf>
    <xf numFmtId="0" fontId="15" fillId="0" borderId="0" xfId="0" quotePrefix="1" applyFont="1" applyAlignment="1">
      <alignment horizontal="left" vertical="top"/>
    </xf>
    <xf numFmtId="0" fontId="15" fillId="0" borderId="0" xfId="0" quotePrefix="1" applyFont="1" applyAlignment="1">
      <alignment horizontal="left" vertical="top" wrapText="1"/>
    </xf>
    <xf numFmtId="0" fontId="22" fillId="0" borderId="0" xfId="569" applyFont="1" applyAlignment="1">
      <alignment horizontal="center"/>
    </xf>
    <xf numFmtId="0" fontId="16" fillId="0" borderId="0" xfId="244" applyNumberFormat="1" applyFill="1" applyAlignment="1" applyProtection="1">
      <alignment horizontal="left"/>
    </xf>
    <xf numFmtId="0" fontId="33" fillId="0" borderId="0" xfId="569" applyFont="1" applyAlignment="1">
      <alignment horizontal="left" wrapText="1"/>
    </xf>
    <xf numFmtId="0" fontId="33" fillId="0" borderId="0" xfId="569" applyFont="1" applyAlignment="1">
      <alignment horizontal="center" wrapText="1"/>
    </xf>
    <xf numFmtId="0" fontId="22" fillId="0" borderId="0" xfId="0" applyFont="1" applyAlignment="1">
      <alignment horizontal="left" vertical="top"/>
    </xf>
    <xf numFmtId="0" fontId="15" fillId="0" borderId="0" xfId="569" applyAlignment="1">
      <alignment horizontal="left" vertical="center" wrapText="1"/>
    </xf>
    <xf numFmtId="0" fontId="22" fillId="0" borderId="16" xfId="569" applyFont="1" applyBorder="1" applyAlignment="1">
      <alignment horizontal="left"/>
    </xf>
    <xf numFmtId="0" fontId="22" fillId="0" borderId="0" xfId="569" applyFont="1" applyAlignment="1">
      <alignment horizontal="left"/>
    </xf>
    <xf numFmtId="0" fontId="22" fillId="0" borderId="4" xfId="0" applyFont="1" applyBorder="1" applyAlignment="1">
      <alignment horizontal="left" vertical="top"/>
    </xf>
    <xf numFmtId="0" fontId="16" fillId="0" borderId="0" xfId="244" applyAlignment="1" applyProtection="1">
      <alignment horizontal="left" vertical="top" wrapText="1"/>
    </xf>
    <xf numFmtId="0" fontId="15" fillId="0" borderId="0" xfId="1192" applyAlignment="1" applyProtection="1">
      <alignment horizontal="left" vertical="top" wrapText="1"/>
      <protection locked="0"/>
    </xf>
    <xf numFmtId="0" fontId="15" fillId="0" borderId="27" xfId="569" applyBorder="1" applyAlignment="1">
      <alignment horizontal="left"/>
    </xf>
    <xf numFmtId="0" fontId="33" fillId="0" borderId="0" xfId="569" applyFont="1" applyAlignment="1">
      <alignment horizontal="center"/>
    </xf>
    <xf numFmtId="0" fontId="15" fillId="0" borderId="15" xfId="569" applyBorder="1" applyAlignment="1">
      <alignment horizontal="center" vertical="top" wrapText="1"/>
    </xf>
    <xf numFmtId="0" fontId="15" fillId="0" borderId="14" xfId="569" applyBorder="1" applyAlignment="1">
      <alignment horizontal="center" vertical="top" wrapText="1"/>
    </xf>
    <xf numFmtId="0" fontId="15" fillId="0" borderId="13" xfId="569" applyBorder="1" applyAlignment="1">
      <alignment horizontal="center" vertical="top" wrapText="1"/>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9" fontId="24" fillId="5" borderId="3" xfId="0" applyNumberFormat="1" applyFont="1" applyFill="1" applyBorder="1" applyAlignment="1" applyProtection="1">
      <alignment horizontal="center"/>
      <protection locked="0"/>
    </xf>
    <xf numFmtId="9" fontId="24" fillId="5" borderId="4" xfId="0" applyNumberFormat="1" applyFont="1" applyFill="1" applyBorder="1" applyAlignment="1" applyProtection="1">
      <alignment horizontal="center"/>
      <protection locked="0"/>
    </xf>
    <xf numFmtId="9" fontId="24" fillId="5" borderId="5" xfId="0" applyNumberFormat="1" applyFont="1" applyFill="1" applyBorder="1" applyAlignment="1" applyProtection="1">
      <alignment horizontal="center"/>
      <protection locked="0"/>
    </xf>
    <xf numFmtId="168" fontId="24" fillId="0" borderId="3" xfId="0" applyNumberFormat="1" applyFont="1" applyBorder="1" applyAlignment="1">
      <alignment horizontal="center"/>
    </xf>
    <xf numFmtId="168" fontId="24" fillId="0" borderId="4" xfId="0" applyNumberFormat="1" applyFont="1" applyBorder="1" applyAlignment="1">
      <alignment horizontal="center"/>
    </xf>
    <xf numFmtId="168" fontId="24" fillId="0" borderId="5" xfId="0" applyNumberFormat="1" applyFont="1" applyBorder="1" applyAlignment="1">
      <alignment horizontal="center"/>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5" fontId="24" fillId="0" borderId="1" xfId="0" applyNumberFormat="1" applyFont="1" applyBorder="1" applyAlignment="1">
      <alignment horizontal="right"/>
    </xf>
    <xf numFmtId="165" fontId="24" fillId="0" borderId="2" xfId="0" applyNumberFormat="1" applyFont="1" applyBorder="1" applyAlignment="1">
      <alignment horizontal="right"/>
    </xf>
    <xf numFmtId="165" fontId="24" fillId="0" borderId="7" xfId="0" applyNumberFormat="1" applyFont="1" applyBorder="1" applyAlignment="1">
      <alignment horizontal="right"/>
    </xf>
    <xf numFmtId="168" fontId="24" fillId="5" borderId="3" xfId="0" applyNumberFormat="1" applyFont="1" applyFill="1" applyBorder="1" applyAlignment="1" applyProtection="1">
      <alignment horizontal="center"/>
      <protection locked="0"/>
    </xf>
    <xf numFmtId="168" fontId="24" fillId="5" borderId="4" xfId="0" applyNumberFormat="1" applyFont="1" applyFill="1" applyBorder="1" applyAlignment="1" applyProtection="1">
      <alignment horizontal="center"/>
      <protection locked="0"/>
    </xf>
    <xf numFmtId="168" fontId="24" fillId="5" borderId="5" xfId="0" applyNumberFormat="1" applyFont="1" applyFill="1" applyBorder="1" applyAlignment="1" applyProtection="1">
      <alignment horizontal="center"/>
      <protection locked="0"/>
    </xf>
    <xf numFmtId="1" fontId="24" fillId="5" borderId="3" xfId="0" applyNumberFormat="1" applyFont="1" applyFill="1" applyBorder="1" applyAlignment="1" applyProtection="1">
      <alignment horizontal="center"/>
      <protection locked="0"/>
    </xf>
    <xf numFmtId="1" fontId="24" fillId="5" borderId="4" xfId="0" applyNumberFormat="1" applyFont="1" applyFill="1" applyBorder="1" applyAlignment="1" applyProtection="1">
      <alignment horizontal="center"/>
      <protection locked="0"/>
    </xf>
    <xf numFmtId="1" fontId="24"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6" fontId="24" fillId="5" borderId="4" xfId="0" applyNumberFormat="1" applyFont="1" applyFill="1" applyBorder="1" applyAlignment="1" applyProtection="1">
      <alignment horizontal="left"/>
      <protection locked="0"/>
    </xf>
    <xf numFmtId="0" fontId="24" fillId="0" borderId="1" xfId="0" applyFont="1" applyBorder="1" applyAlignment="1">
      <alignment horizontal="center" vertical="top" wrapText="1"/>
    </xf>
    <xf numFmtId="0" fontId="24" fillId="0" borderId="2" xfId="0" applyFont="1" applyBorder="1" applyAlignment="1">
      <alignment horizontal="center" vertical="top" wrapText="1"/>
    </xf>
    <xf numFmtId="0" fontId="24" fillId="0" borderId="7" xfId="0" applyFont="1" applyBorder="1" applyAlignment="1">
      <alignment horizontal="center" vertical="top" wrapText="1"/>
    </xf>
    <xf numFmtId="0" fontId="24" fillId="0" borderId="8" xfId="0" applyFont="1" applyBorder="1" applyAlignment="1">
      <alignment horizontal="center" vertical="top" wrapText="1"/>
    </xf>
    <xf numFmtId="0" fontId="24" fillId="0" borderId="0" xfId="0" applyFont="1" applyAlignment="1">
      <alignment horizontal="center" vertical="top" wrapText="1"/>
    </xf>
    <xf numFmtId="0" fontId="24" fillId="0" borderId="12" xfId="0" applyFont="1" applyBorder="1" applyAlignment="1">
      <alignment horizontal="center" vertical="top" wrapText="1"/>
    </xf>
    <xf numFmtId="0" fontId="24" fillId="0" borderId="9" xfId="0" applyFont="1" applyBorder="1" applyAlignment="1">
      <alignment horizontal="center" vertical="top" wrapText="1"/>
    </xf>
    <xf numFmtId="0" fontId="24" fillId="0" borderId="6" xfId="0" applyFont="1" applyBorder="1" applyAlignment="1">
      <alignment horizontal="center" vertical="top" wrapText="1"/>
    </xf>
    <xf numFmtId="0" fontId="24" fillId="0" borderId="10" xfId="0" applyFont="1" applyBorder="1" applyAlignment="1">
      <alignment horizontal="center" vertical="top" wrapText="1"/>
    </xf>
    <xf numFmtId="165" fontId="22" fillId="0" borderId="3" xfId="271" applyNumberFormat="1" applyFont="1" applyBorder="1" applyAlignment="1">
      <alignment horizontal="center"/>
    </xf>
    <xf numFmtId="165" fontId="22" fillId="0" borderId="4" xfId="271" applyNumberFormat="1" applyFont="1" applyBorder="1" applyAlignment="1">
      <alignment horizontal="center"/>
    </xf>
    <xf numFmtId="165" fontId="22" fillId="0" borderId="5" xfId="271" applyNumberFormat="1" applyFont="1" applyBorder="1" applyAlignment="1">
      <alignment horizontal="center"/>
    </xf>
    <xf numFmtId="0" fontId="176" fillId="0" borderId="8" xfId="543" applyFont="1" applyBorder="1" applyAlignment="1">
      <alignment horizontal="center" wrapText="1"/>
    </xf>
    <xf numFmtId="0" fontId="176" fillId="0" borderId="0" xfId="543" applyFont="1" applyAlignment="1">
      <alignment horizontal="center" wrapText="1"/>
    </xf>
    <xf numFmtId="0" fontId="176" fillId="0" borderId="12" xfId="543" applyFont="1" applyBorder="1" applyAlignment="1">
      <alignment horizontal="center" wrapText="1"/>
    </xf>
    <xf numFmtId="0" fontId="176" fillId="0" borderId="9" xfId="543" applyFont="1" applyBorder="1" applyAlignment="1">
      <alignment horizontal="center" wrapText="1"/>
    </xf>
    <xf numFmtId="0" fontId="176" fillId="0" borderId="6" xfId="543" applyFont="1" applyBorder="1" applyAlignment="1">
      <alignment horizontal="center" wrapText="1"/>
    </xf>
    <xf numFmtId="0" fontId="176" fillId="0" borderId="10" xfId="543" applyFont="1" applyBorder="1" applyAlignment="1">
      <alignment horizontal="center" wrapText="1"/>
    </xf>
    <xf numFmtId="0" fontId="176" fillId="0" borderId="8" xfId="543" applyFont="1" applyBorder="1" applyAlignment="1">
      <alignment horizontal="center" vertical="top" wrapText="1"/>
    </xf>
    <xf numFmtId="0" fontId="176" fillId="0" borderId="0" xfId="543" applyFont="1" applyAlignment="1">
      <alignment horizontal="center" vertical="top" wrapText="1"/>
    </xf>
    <xf numFmtId="0" fontId="176" fillId="0" borderId="12" xfId="543" applyFont="1" applyBorder="1" applyAlignment="1">
      <alignment horizontal="center" vertical="top" wrapText="1"/>
    </xf>
    <xf numFmtId="0" fontId="176" fillId="0" borderId="9" xfId="543" applyFont="1" applyBorder="1" applyAlignment="1">
      <alignment horizontal="center" vertical="top" wrapText="1"/>
    </xf>
    <xf numFmtId="0" fontId="176" fillId="0" borderId="6" xfId="543" applyFont="1" applyBorder="1" applyAlignment="1">
      <alignment horizontal="center" vertical="top" wrapText="1"/>
    </xf>
    <xf numFmtId="0" fontId="176" fillId="0" borderId="10" xfId="543" applyFont="1" applyBorder="1" applyAlignment="1">
      <alignment horizontal="center" vertical="top" wrapText="1"/>
    </xf>
    <xf numFmtId="0" fontId="171" fillId="0" borderId="0" xfId="0" applyFont="1" applyAlignment="1">
      <alignment horizontal="center" vertical="center" wrapText="1"/>
    </xf>
    <xf numFmtId="0" fontId="15" fillId="0" borderId="3" xfId="543" applyBorder="1" applyAlignment="1">
      <alignment horizontal="center"/>
    </xf>
    <xf numFmtId="0" fontId="15" fillId="0" borderId="4" xfId="543" applyBorder="1" applyAlignment="1">
      <alignment horizontal="center"/>
    </xf>
    <xf numFmtId="0" fontId="15" fillId="0" borderId="5" xfId="543" applyBorder="1" applyAlignment="1">
      <alignment horizontal="center"/>
    </xf>
    <xf numFmtId="1" fontId="15" fillId="0" borderId="3" xfId="543" applyNumberFormat="1" applyBorder="1" applyAlignment="1">
      <alignment horizontal="center"/>
    </xf>
    <xf numFmtId="1" fontId="15" fillId="0" borderId="4" xfId="543" applyNumberFormat="1" applyBorder="1" applyAlignment="1">
      <alignment horizontal="center"/>
    </xf>
    <xf numFmtId="1" fontId="15" fillId="0" borderId="5" xfId="543" applyNumberForma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5" fillId="43" borderId="11" xfId="0" applyFont="1" applyFill="1" applyBorder="1" applyAlignment="1" applyProtection="1">
      <alignment horizontal="center"/>
      <protection locked="0"/>
    </xf>
    <xf numFmtId="0" fontId="22" fillId="0" borderId="3" xfId="0" applyFont="1" applyBorder="1" applyAlignment="1">
      <alignment horizontal="right"/>
    </xf>
    <xf numFmtId="0" fontId="22" fillId="0" borderId="4" xfId="0" applyFont="1" applyBorder="1" applyAlignment="1">
      <alignment horizontal="right"/>
    </xf>
    <xf numFmtId="0" fontId="22" fillId="0" borderId="5" xfId="0" applyFont="1" applyBorder="1" applyAlignment="1">
      <alignment horizontal="right"/>
    </xf>
    <xf numFmtId="0" fontId="48" fillId="0" borderId="0" xfId="0" applyFont="1" applyAlignment="1">
      <alignment horizontal="center"/>
    </xf>
    <xf numFmtId="0" fontId="15" fillId="0" borderId="0" xfId="0" applyFont="1" applyAlignment="1">
      <alignment horizontal="center"/>
    </xf>
    <xf numFmtId="0" fontId="30" fillId="0" borderId="0" xfId="0" applyFont="1" applyAlignment="1">
      <alignment horizontal="center"/>
    </xf>
    <xf numFmtId="0" fontId="15" fillId="0" borderId="0" xfId="0" applyFont="1" applyAlignment="1">
      <alignment wrapText="1"/>
    </xf>
    <xf numFmtId="0" fontId="15" fillId="0" borderId="0" xfId="0" applyFont="1" applyAlignment="1">
      <alignment horizontal="center" vertical="top"/>
    </xf>
    <xf numFmtId="0" fontId="24" fillId="0" borderId="0" xfId="0" applyFont="1" applyAlignment="1">
      <alignment horizontal="left" vertical="top" wrapText="1"/>
    </xf>
    <xf numFmtId="0" fontId="15" fillId="5" borderId="6" xfId="0" applyFont="1" applyFill="1" applyBorder="1" applyAlignment="1" applyProtection="1">
      <alignment horizontal="left"/>
      <protection locked="0"/>
    </xf>
    <xf numFmtId="0" fontId="24" fillId="5" borderId="6" xfId="0" applyFont="1" applyFill="1" applyBorder="1" applyAlignment="1" applyProtection="1">
      <alignment horizontal="left"/>
      <protection locked="0"/>
    </xf>
    <xf numFmtId="168" fontId="24" fillId="0" borderId="6" xfId="0" applyNumberFormat="1" applyFont="1" applyBorder="1" applyAlignment="1">
      <alignment horizontal="center"/>
    </xf>
    <xf numFmtId="0" fontId="0" fillId="5" borderId="6" xfId="0" applyFill="1" applyBorder="1" applyAlignment="1" applyProtection="1">
      <alignment horizontal="center"/>
      <protection locked="0"/>
    </xf>
    <xf numFmtId="0" fontId="15" fillId="5" borderId="6" xfId="0" applyFont="1" applyFill="1" applyBorder="1" applyAlignment="1" applyProtection="1">
      <alignment horizontal="left" wrapText="1"/>
      <protection locked="0"/>
    </xf>
    <xf numFmtId="0" fontId="24" fillId="5" borderId="6" xfId="0" applyFont="1" applyFill="1" applyBorder="1" applyAlignment="1" applyProtection="1">
      <alignment horizontal="left" wrapText="1"/>
      <protection locked="0"/>
    </xf>
    <xf numFmtId="0" fontId="23" fillId="0" borderId="0" xfId="0" applyFont="1" applyAlignment="1">
      <alignment horizontal="center"/>
    </xf>
    <xf numFmtId="0" fontId="0" fillId="5" borderId="4" xfId="0" applyFill="1" applyBorder="1" applyAlignment="1" applyProtection="1">
      <alignment horizontal="left"/>
      <protection locked="0"/>
    </xf>
    <xf numFmtId="175" fontId="15" fillId="43" borderId="3" xfId="0" applyNumberFormat="1" applyFont="1" applyFill="1" applyBorder="1" applyAlignment="1" applyProtection="1">
      <alignment horizontal="center"/>
      <protection locked="0"/>
    </xf>
    <xf numFmtId="175" fontId="15" fillId="43" borderId="4" xfId="0" applyNumberFormat="1" applyFont="1" applyFill="1" applyBorder="1" applyAlignment="1" applyProtection="1">
      <alignment horizontal="center"/>
      <protection locked="0"/>
    </xf>
    <xf numFmtId="175" fontId="15" fillId="43" borderId="5" xfId="0" applyNumberFormat="1" applyFont="1" applyFill="1" applyBorder="1" applyAlignment="1" applyProtection="1">
      <alignment horizontal="center"/>
      <protection locked="0"/>
    </xf>
    <xf numFmtId="0" fontId="15" fillId="5" borderId="11" xfId="0" applyFont="1" applyFill="1" applyBorder="1" applyAlignment="1" applyProtection="1">
      <alignment horizontal="left" wrapText="1"/>
      <protection locked="0"/>
    </xf>
    <xf numFmtId="3" fontId="43" fillId="10" borderId="0" xfId="543" applyNumberFormat="1" applyFont="1" applyFill="1" applyAlignment="1">
      <alignment horizontal="left" vertical="center" wrapText="1"/>
    </xf>
    <xf numFmtId="168" fontId="171"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11" xfId="0" applyBorder="1" applyAlignment="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5" fillId="0" borderId="1" xfId="0" applyFont="1" applyBorder="1" applyAlignment="1">
      <alignment horizontal="center" vertical="top" wrapText="1"/>
    </xf>
    <xf numFmtId="0" fontId="24" fillId="5" borderId="4" xfId="0" applyFont="1" applyFill="1" applyBorder="1" applyAlignment="1" applyProtection="1">
      <alignment horizontal="left"/>
      <protection locked="0"/>
    </xf>
    <xf numFmtId="0" fontId="21" fillId="3" borderId="0" xfId="0" applyFont="1" applyFill="1" applyAlignment="1">
      <alignment horizontal="center" vertical="center"/>
    </xf>
    <xf numFmtId="0" fontId="0" fillId="0" borderId="6" xfId="0" applyBorder="1" applyAlignment="1">
      <alignment horizontal="left"/>
    </xf>
    <xf numFmtId="0" fontId="23"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5" fillId="43" borderId="3" xfId="0" applyNumberFormat="1" applyFont="1" applyFill="1" applyBorder="1" applyAlignment="1" applyProtection="1">
      <alignment horizontal="center" vertical="center"/>
      <protection locked="0"/>
    </xf>
    <xf numFmtId="168" fontId="15" fillId="43" borderId="4" xfId="0" applyNumberFormat="1" applyFont="1" applyFill="1" applyBorder="1" applyAlignment="1" applyProtection="1">
      <alignment horizontal="center" vertical="center"/>
      <protection locked="0"/>
    </xf>
    <xf numFmtId="168" fontId="15" fillId="43" borderId="5" xfId="0" applyNumberFormat="1" applyFont="1" applyFill="1" applyBorder="1" applyAlignment="1" applyProtection="1">
      <alignment horizontal="center" vertical="center"/>
      <protection locked="0"/>
    </xf>
    <xf numFmtId="0" fontId="23" fillId="5" borderId="3" xfId="0" applyFont="1" applyFill="1" applyBorder="1" applyAlignment="1" applyProtection="1">
      <alignment horizontal="center"/>
      <protection locked="0"/>
    </xf>
    <xf numFmtId="0" fontId="23" fillId="5" borderId="4" xfId="0" applyFont="1" applyFill="1" applyBorder="1" applyAlignment="1" applyProtection="1">
      <alignment horizontal="center"/>
      <protection locked="0"/>
    </xf>
    <xf numFmtId="0" fontId="23" fillId="5" borderId="5" xfId="0" applyFont="1" applyFill="1" applyBorder="1" applyAlignment="1" applyProtection="1">
      <alignment horizontal="center"/>
      <protection locked="0"/>
    </xf>
    <xf numFmtId="0" fontId="15" fillId="5" borderId="4" xfId="0" applyFont="1" applyFill="1" applyBorder="1" applyAlignment="1" applyProtection="1">
      <alignment wrapText="1"/>
      <protection locked="0"/>
    </xf>
    <xf numFmtId="0" fontId="24" fillId="5" borderId="4" xfId="0" applyFont="1" applyFill="1" applyBorder="1" applyAlignment="1" applyProtection="1">
      <alignment wrapText="1"/>
      <protection locked="0"/>
    </xf>
    <xf numFmtId="0" fontId="15" fillId="0" borderId="3" xfId="0" applyFont="1" applyBorder="1" applyAlignment="1">
      <alignment horizontal="center"/>
    </xf>
    <xf numFmtId="0" fontId="15" fillId="0" borderId="4" xfId="0" applyFont="1" applyBorder="1" applyAlignment="1">
      <alignment horizontal="center"/>
    </xf>
    <xf numFmtId="0" fontId="15" fillId="0" borderId="5" xfId="0" applyFont="1" applyBorder="1" applyAlignment="1">
      <alignment horizontal="center"/>
    </xf>
    <xf numFmtId="0" fontId="24" fillId="45" borderId="3" xfId="0" applyFont="1" applyFill="1" applyBorder="1" applyAlignment="1">
      <alignment horizontal="center"/>
    </xf>
    <xf numFmtId="0" fontId="24" fillId="45" borderId="4" xfId="0" applyFont="1" applyFill="1" applyBorder="1" applyAlignment="1">
      <alignment horizontal="center"/>
    </xf>
    <xf numFmtId="0" fontId="24" fillId="45" borderId="5" xfId="0" applyFont="1" applyFill="1" applyBorder="1" applyAlignment="1">
      <alignment horizontal="center"/>
    </xf>
    <xf numFmtId="0" fontId="38" fillId="0" borderId="3" xfId="0" applyFont="1" applyBorder="1" applyAlignment="1">
      <alignment horizontal="center"/>
    </xf>
    <xf numFmtId="0" fontId="38" fillId="0" borderId="4" xfId="0" applyFont="1" applyBorder="1" applyAlignment="1">
      <alignment horizontal="center"/>
    </xf>
    <xf numFmtId="0" fontId="38" fillId="0" borderId="5" xfId="0" applyFont="1" applyBorder="1" applyAlignment="1">
      <alignment horizontal="center"/>
    </xf>
    <xf numFmtId="0" fontId="15"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0" fontId="0" fillId="5" borderId="4" xfId="0" applyNumberFormat="1" applyFill="1" applyBorder="1" applyAlignment="1" applyProtection="1">
      <alignment horizontal="center"/>
      <protection locked="0"/>
    </xf>
    <xf numFmtId="0" fontId="24" fillId="45" borderId="11" xfId="0" applyFont="1" applyFill="1" applyBorder="1" applyAlignment="1">
      <alignment horizontal="center"/>
    </xf>
    <xf numFmtId="14" fontId="0" fillId="5" borderId="6" xfId="0" applyNumberFormat="1" applyFill="1" applyBorder="1" applyAlignment="1" applyProtection="1">
      <alignment horizontal="center"/>
      <protection locked="0"/>
    </xf>
    <xf numFmtId="0" fontId="24" fillId="0" borderId="11" xfId="0" applyFont="1" applyBorder="1" applyAlignment="1">
      <alignment horizontal="center"/>
    </xf>
    <xf numFmtId="0" fontId="24" fillId="0" borderId="3" xfId="0" applyFont="1" applyBorder="1" applyAlignment="1">
      <alignment horizontal="center"/>
    </xf>
    <xf numFmtId="0" fontId="24" fillId="0" borderId="4" xfId="0" applyFont="1" applyBorder="1" applyAlignment="1">
      <alignment horizontal="center"/>
    </xf>
    <xf numFmtId="0" fontId="24" fillId="0" borderId="5" xfId="0" applyFont="1" applyBorder="1" applyAlignment="1">
      <alignment horizontal="center"/>
    </xf>
    <xf numFmtId="0" fontId="15" fillId="0" borderId="11" xfId="0" applyFont="1" applyBorder="1" applyAlignment="1">
      <alignment horizontal="center"/>
    </xf>
    <xf numFmtId="0" fontId="24" fillId="2" borderId="11" xfId="0" applyFont="1" applyFill="1" applyBorder="1" applyAlignment="1">
      <alignment horizontal="center"/>
    </xf>
    <xf numFmtId="0" fontId="22" fillId="0" borderId="11" xfId="0" applyFont="1" applyBorder="1" applyAlignment="1">
      <alignment horizontal="center" vertical="center"/>
    </xf>
    <xf numFmtId="168" fontId="15" fillId="5" borderId="3" xfId="0" applyNumberFormat="1" applyFont="1" applyFill="1" applyBorder="1" applyAlignment="1" applyProtection="1">
      <alignment horizontal="right"/>
      <protection locked="0"/>
    </xf>
    <xf numFmtId="168" fontId="15" fillId="5" borderId="4" xfId="0" applyNumberFormat="1" applyFont="1" applyFill="1" applyBorder="1" applyAlignment="1" applyProtection="1">
      <alignment horizontal="right"/>
      <protection locked="0"/>
    </xf>
    <xf numFmtId="168" fontId="15" fillId="5" borderId="5" xfId="0" applyNumberFormat="1" applyFont="1" applyFill="1" applyBorder="1" applyAlignment="1" applyProtection="1">
      <alignment horizontal="right"/>
      <protection locked="0"/>
    </xf>
    <xf numFmtId="0" fontId="36" fillId="0" borderId="3" xfId="543" applyFont="1" applyBorder="1" applyAlignment="1">
      <alignment horizontal="center"/>
    </xf>
    <xf numFmtId="0" fontId="36" fillId="0" borderId="4" xfId="543" applyFont="1" applyBorder="1" applyAlignment="1">
      <alignment horizontal="center"/>
    </xf>
    <xf numFmtId="0" fontId="36" fillId="0" borderId="5" xfId="543"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5" fillId="0" borderId="11" xfId="543"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15"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5" fillId="0" borderId="8" xfId="543" applyBorder="1" applyAlignment="1">
      <alignment horizontal="left" vertical="top" wrapText="1"/>
    </xf>
    <xf numFmtId="0" fontId="15" fillId="0" borderId="0" xfId="543" applyAlignment="1">
      <alignment horizontal="left" vertical="top" wrapText="1"/>
    </xf>
    <xf numFmtId="0" fontId="15" fillId="0" borderId="12" xfId="543" applyBorder="1" applyAlignment="1">
      <alignment horizontal="left" vertical="top" wrapText="1"/>
    </xf>
    <xf numFmtId="0" fontId="23" fillId="5" borderId="3" xfId="543" applyFont="1" applyFill="1" applyBorder="1" applyAlignment="1" applyProtection="1">
      <alignment horizontal="left" vertical="top" wrapText="1"/>
      <protection locked="0"/>
    </xf>
    <xf numFmtId="0" fontId="23" fillId="5" borderId="4" xfId="543" applyFont="1" applyFill="1" applyBorder="1" applyAlignment="1" applyProtection="1">
      <alignment horizontal="left" vertical="top" wrapText="1"/>
      <protection locked="0"/>
    </xf>
    <xf numFmtId="0" fontId="23" fillId="5" borderId="5" xfId="543" applyFont="1" applyFill="1" applyBorder="1" applyAlignment="1" applyProtection="1">
      <alignment horizontal="left" vertical="top" wrapText="1"/>
      <protection locked="0"/>
    </xf>
    <xf numFmtId="168" fontId="15" fillId="10" borderId="3" xfId="543" applyNumberFormat="1" applyFill="1" applyBorder="1" applyAlignment="1">
      <alignment horizontal="center"/>
    </xf>
    <xf numFmtId="168" fontId="15" fillId="10" borderId="4" xfId="543" applyNumberFormat="1" applyFill="1" applyBorder="1" applyAlignment="1">
      <alignment horizontal="center"/>
    </xf>
    <xf numFmtId="168" fontId="15" fillId="10" borderId="5" xfId="543" applyNumberFormat="1" applyFill="1" applyBorder="1" applyAlignment="1">
      <alignment horizontal="center"/>
    </xf>
    <xf numFmtId="0" fontId="15" fillId="2" borderId="3" xfId="543" applyFill="1" applyBorder="1" applyAlignment="1">
      <alignment horizontal="center"/>
    </xf>
    <xf numFmtId="0" fontId="15" fillId="2" borderId="4" xfId="543" applyFill="1" applyBorder="1" applyAlignment="1">
      <alignment horizontal="center"/>
    </xf>
    <xf numFmtId="0" fontId="15" fillId="2" borderId="5" xfId="543" applyFill="1" applyBorder="1" applyAlignment="1">
      <alignment horizontal="center"/>
    </xf>
    <xf numFmtId="0" fontId="22" fillId="0" borderId="8" xfId="543" applyFont="1" applyBorder="1" applyAlignment="1">
      <alignment horizontal="left" vertical="center" wrapText="1"/>
    </xf>
    <xf numFmtId="0" fontId="22" fillId="0" borderId="0" xfId="543" applyFont="1" applyAlignment="1">
      <alignment horizontal="left" vertical="center" wrapText="1"/>
    </xf>
    <xf numFmtId="0" fontId="22" fillId="0" borderId="12" xfId="543" applyFont="1" applyBorder="1" applyAlignment="1">
      <alignment horizontal="left" vertical="center" wrapText="1"/>
    </xf>
    <xf numFmtId="0" fontId="22" fillId="10" borderId="3" xfId="543" applyFont="1" applyFill="1" applyBorder="1" applyAlignment="1">
      <alignment horizontal="center"/>
    </xf>
    <xf numFmtId="0" fontId="22" fillId="10" borderId="4" xfId="543" applyFont="1" applyFill="1" applyBorder="1" applyAlignment="1">
      <alignment horizontal="center"/>
    </xf>
    <xf numFmtId="0" fontId="22" fillId="10" borderId="5" xfId="543" applyFont="1" applyFill="1" applyBorder="1" applyAlignment="1">
      <alignment horizontal="center"/>
    </xf>
    <xf numFmtId="0" fontId="34" fillId="5" borderId="3" xfId="543" applyFont="1" applyFill="1" applyBorder="1" applyAlignment="1" applyProtection="1">
      <alignment horizontal="center" vertical="top"/>
      <protection locked="0"/>
    </xf>
    <xf numFmtId="0" fontId="34" fillId="5" borderId="5" xfId="543" applyFont="1" applyFill="1" applyBorder="1" applyAlignment="1" applyProtection="1">
      <alignment horizontal="center" vertical="top"/>
      <protection locked="0"/>
    </xf>
    <xf numFmtId="0" fontId="34" fillId="5" borderId="3" xfId="543" applyFont="1" applyFill="1" applyBorder="1" applyAlignment="1" applyProtection="1">
      <alignment horizontal="center"/>
      <protection locked="0"/>
    </xf>
    <xf numFmtId="0" fontId="34" fillId="5" borderId="5" xfId="543" applyFont="1" applyFill="1" applyBorder="1" applyAlignment="1" applyProtection="1">
      <alignment horizontal="center"/>
      <protection locked="0"/>
    </xf>
    <xf numFmtId="0" fontId="22" fillId="0" borderId="1" xfId="543" applyFont="1" applyBorder="1" applyAlignment="1">
      <alignment horizontal="left" vertical="center" wrapText="1"/>
    </xf>
    <xf numFmtId="0" fontId="22" fillId="0" borderId="2" xfId="543" applyFont="1" applyBorder="1" applyAlignment="1">
      <alignment horizontal="left" vertical="center" wrapText="1"/>
    </xf>
    <xf numFmtId="0" fontId="22" fillId="0" borderId="7" xfId="543" applyFont="1" applyBorder="1" applyAlignment="1">
      <alignment horizontal="left" vertical="center" wrapText="1"/>
    </xf>
    <xf numFmtId="0" fontId="15" fillId="0" borderId="9" xfId="543" applyBorder="1" applyAlignment="1">
      <alignment horizontal="left" vertical="top" wrapText="1"/>
    </xf>
    <xf numFmtId="0" fontId="15" fillId="0" borderId="6" xfId="543" applyBorder="1" applyAlignment="1">
      <alignment horizontal="left" vertical="top" wrapText="1"/>
    </xf>
    <xf numFmtId="0" fontId="15" fillId="0" borderId="10" xfId="543" applyBorder="1" applyAlignment="1">
      <alignment horizontal="left" vertical="top" wrapText="1"/>
    </xf>
    <xf numFmtId="0" fontId="42" fillId="0" borderId="8" xfId="543" applyFont="1" applyBorder="1" applyAlignment="1">
      <alignment horizontal="center" vertical="center" wrapText="1"/>
    </xf>
    <xf numFmtId="0" fontId="42" fillId="0" borderId="0" xfId="543" applyFont="1" applyAlignment="1">
      <alignment horizontal="center" vertical="center" wrapText="1"/>
    </xf>
    <xf numFmtId="0" fontId="42" fillId="0" borderId="12" xfId="543" applyFont="1" applyBorder="1" applyAlignment="1">
      <alignment horizontal="center" vertical="center" wrapText="1"/>
    </xf>
    <xf numFmtId="182" fontId="23" fillId="43" borderId="11" xfId="8722" applyNumberFormat="1" applyFont="1" applyFill="1" applyBorder="1" applyAlignment="1" applyProtection="1">
      <alignment horizontal="center" vertical="center" wrapText="1"/>
      <protection locked="0"/>
    </xf>
    <xf numFmtId="0" fontId="22" fillId="0" borderId="1" xfId="0" applyFont="1" applyBorder="1" applyAlignment="1">
      <alignment horizontal="center"/>
    </xf>
    <xf numFmtId="0" fontId="22" fillId="0" borderId="2" xfId="0" applyFont="1" applyBorder="1" applyAlignment="1">
      <alignment horizontal="center"/>
    </xf>
    <xf numFmtId="0" fontId="22" fillId="0" borderId="7" xfId="0" applyFont="1" applyBorder="1" applyAlignment="1">
      <alignment horizontal="center"/>
    </xf>
    <xf numFmtId="164" fontId="23" fillId="5" borderId="3" xfId="0" applyNumberFormat="1" applyFont="1" applyFill="1" applyBorder="1" applyAlignment="1" applyProtection="1">
      <alignment horizontal="left"/>
      <protection locked="0"/>
    </xf>
    <xf numFmtId="164" fontId="34" fillId="5" borderId="4" xfId="0" applyNumberFormat="1" applyFont="1" applyFill="1" applyBorder="1" applyAlignment="1" applyProtection="1">
      <alignment horizontal="left"/>
      <protection locked="0"/>
    </xf>
    <xf numFmtId="164" fontId="34" fillId="5" borderId="5" xfId="0" applyNumberFormat="1" applyFont="1" applyFill="1" applyBorder="1" applyAlignment="1" applyProtection="1">
      <alignment horizontal="left"/>
      <protection locked="0"/>
    </xf>
    <xf numFmtId="168" fontId="15" fillId="0" borderId="1" xfId="543" applyNumberFormat="1" applyBorder="1" applyAlignment="1">
      <alignment horizontal="center" vertical="center"/>
    </xf>
    <xf numFmtId="168" fontId="15" fillId="0" borderId="2" xfId="543" applyNumberFormat="1" applyBorder="1" applyAlignment="1">
      <alignment horizontal="center" vertical="center"/>
    </xf>
    <xf numFmtId="168" fontId="15" fillId="0" borderId="7" xfId="543" applyNumberFormat="1" applyBorder="1" applyAlignment="1">
      <alignment horizontal="center" vertical="center"/>
    </xf>
    <xf numFmtId="168" fontId="15" fillId="0" borderId="8" xfId="543" applyNumberFormat="1" applyBorder="1" applyAlignment="1">
      <alignment horizontal="center" vertical="center"/>
    </xf>
    <xf numFmtId="168" fontId="15" fillId="0" borderId="0" xfId="543" applyNumberFormat="1" applyAlignment="1">
      <alignment horizontal="center" vertical="center"/>
    </xf>
    <xf numFmtId="168" fontId="15" fillId="0" borderId="12" xfId="543" applyNumberFormat="1" applyBorder="1" applyAlignment="1">
      <alignment horizontal="center" vertical="center"/>
    </xf>
    <xf numFmtId="168" fontId="15" fillId="0" borderId="9" xfId="543" applyNumberFormat="1" applyBorder="1" applyAlignment="1">
      <alignment horizontal="center" vertical="center"/>
    </xf>
    <xf numFmtId="168" fontId="15" fillId="0" borderId="6" xfId="543" applyNumberFormat="1" applyBorder="1" applyAlignment="1">
      <alignment horizontal="center" vertical="center"/>
    </xf>
    <xf numFmtId="168" fontId="15" fillId="0" borderId="10" xfId="543" applyNumberFormat="1" applyBorder="1" applyAlignment="1">
      <alignment horizontal="center" vertical="center"/>
    </xf>
    <xf numFmtId="0" fontId="22" fillId="0" borderId="1" xfId="543" applyFont="1" applyBorder="1" applyAlignment="1">
      <alignment horizontal="left" vertical="top" wrapText="1"/>
    </xf>
    <xf numFmtId="0" fontId="22" fillId="0" borderId="2" xfId="543" applyFont="1" applyBorder="1" applyAlignment="1">
      <alignment horizontal="left" vertical="top" wrapText="1"/>
    </xf>
    <xf numFmtId="0" fontId="22" fillId="0" borderId="7" xfId="543" applyFont="1" applyBorder="1" applyAlignment="1">
      <alignment horizontal="left" vertical="top" wrapText="1"/>
    </xf>
    <xf numFmtId="0" fontId="22" fillId="0" borderId="8" xfId="543" applyFont="1" applyBorder="1" applyAlignment="1">
      <alignment horizontal="left" vertical="top" wrapText="1"/>
    </xf>
    <xf numFmtId="0" fontId="22" fillId="0" borderId="0" xfId="543" applyFont="1" applyAlignment="1">
      <alignment horizontal="left" vertical="top" wrapText="1"/>
    </xf>
    <xf numFmtId="0" fontId="22" fillId="0" borderId="12" xfId="543" applyFont="1" applyBorder="1" applyAlignment="1">
      <alignment horizontal="left" vertical="top" wrapText="1"/>
    </xf>
    <xf numFmtId="0" fontId="167" fillId="0" borderId="8" xfId="543" applyFont="1" applyBorder="1" applyAlignment="1">
      <alignment horizontal="center" vertical="center" wrapText="1"/>
    </xf>
    <xf numFmtId="0" fontId="167" fillId="0" borderId="0" xfId="543" applyFont="1" applyAlignment="1">
      <alignment horizontal="center" vertical="center" wrapText="1"/>
    </xf>
    <xf numFmtId="0" fontId="167" fillId="0" borderId="12" xfId="543" applyFont="1" applyBorder="1" applyAlignment="1">
      <alignment horizontal="center" vertical="center" wrapText="1"/>
    </xf>
    <xf numFmtId="0" fontId="15" fillId="0" borderId="8" xfId="543" applyBorder="1" applyAlignment="1">
      <alignment horizontal="left" vertical="center" wrapText="1"/>
    </xf>
    <xf numFmtId="0" fontId="15" fillId="0" borderId="0" xfId="543" applyAlignment="1">
      <alignment horizontal="left" vertical="center" wrapText="1"/>
    </xf>
    <xf numFmtId="0" fontId="15" fillId="0" borderId="12" xfId="543" applyBorder="1" applyAlignment="1">
      <alignment horizontal="left" vertical="center"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64" fontId="34" fillId="5" borderId="3" xfId="0" applyNumberFormat="1"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3" fillId="5" borderId="4" xfId="0" applyNumberFormat="1" applyFont="1" applyFill="1" applyBorder="1" applyAlignment="1" applyProtection="1">
      <alignment horizontal="left"/>
      <protection locked="0"/>
    </xf>
    <xf numFmtId="164" fontId="23" fillId="5" borderId="5" xfId="0" applyNumberFormat="1" applyFont="1" applyFill="1" applyBorder="1" applyAlignment="1" applyProtection="1">
      <alignment horizontal="left"/>
      <protection locked="0"/>
    </xf>
    <xf numFmtId="0" fontId="15" fillId="0" borderId="9" xfId="543" applyBorder="1" applyAlignment="1">
      <alignment horizontal="left" vertical="center" wrapText="1"/>
    </xf>
    <xf numFmtId="0" fontId="15" fillId="0" borderId="6" xfId="543" applyBorder="1" applyAlignment="1">
      <alignment horizontal="left" vertical="center" wrapText="1"/>
    </xf>
    <xf numFmtId="0" fontId="15" fillId="0" borderId="10" xfId="543" applyBorder="1" applyAlignment="1">
      <alignment horizontal="left" vertical="center" wrapText="1"/>
    </xf>
    <xf numFmtId="168" fontId="15" fillId="0" borderId="11" xfId="543" applyNumberFormat="1" applyBorder="1" applyAlignment="1">
      <alignment horizontal="center"/>
    </xf>
    <xf numFmtId="0" fontId="15" fillId="5" borderId="3" xfId="0"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168" fontId="22" fillId="0" borderId="3" xfId="543" applyNumberFormat="1" applyFont="1" applyBorder="1" applyAlignment="1">
      <alignment horizontal="center" vertical="center"/>
    </xf>
    <xf numFmtId="168" fontId="22" fillId="0" borderId="4" xfId="543" applyNumberFormat="1" applyFont="1" applyBorder="1" applyAlignment="1">
      <alignment horizontal="center" vertical="center"/>
    </xf>
    <xf numFmtId="168" fontId="22" fillId="0" borderId="5" xfId="543" applyNumberFormat="1" applyFont="1" applyBorder="1" applyAlignment="1">
      <alignment horizontal="center" vertical="center"/>
    </xf>
    <xf numFmtId="0" fontId="0" fillId="0" borderId="3" xfId="0" applyBorder="1"/>
    <xf numFmtId="0" fontId="0" fillId="0" borderId="4" xfId="0" applyBorder="1"/>
    <xf numFmtId="0" fontId="0" fillId="0" borderId="5" xfId="0" applyBorder="1"/>
    <xf numFmtId="0" fontId="35" fillId="0" borderId="1" xfId="543" applyFont="1" applyBorder="1" applyAlignment="1">
      <alignment horizontal="right"/>
    </xf>
    <xf numFmtId="0" fontId="35" fillId="0" borderId="2" xfId="543" applyFont="1" applyBorder="1" applyAlignment="1">
      <alignment horizontal="right"/>
    </xf>
    <xf numFmtId="0" fontId="35" fillId="0" borderId="7" xfId="543" applyFont="1" applyBorder="1" applyAlignment="1">
      <alignment horizontal="right"/>
    </xf>
    <xf numFmtId="0" fontId="15" fillId="0" borderId="8" xfId="0" applyFont="1" applyBorder="1" applyAlignment="1">
      <alignment horizontal="left" wrapText="1"/>
    </xf>
    <xf numFmtId="0" fontId="15" fillId="0" borderId="12" xfId="0" applyFont="1" applyBorder="1" applyAlignment="1">
      <alignment horizontal="left" wrapText="1"/>
    </xf>
    <xf numFmtId="0" fontId="15" fillId="0" borderId="9" xfId="0" applyFont="1" applyBorder="1" applyAlignment="1">
      <alignment horizontal="left" wrapText="1"/>
    </xf>
    <xf numFmtId="0" fontId="15" fillId="0" borderId="6" xfId="0" applyFont="1" applyBorder="1" applyAlignment="1">
      <alignment horizontal="left" wrapText="1"/>
    </xf>
    <xf numFmtId="0" fontId="15" fillId="0" borderId="10" xfId="0" applyFont="1" applyBorder="1" applyAlignment="1">
      <alignment horizontal="left" wrapText="1"/>
    </xf>
    <xf numFmtId="0" fontId="24" fillId="0" borderId="11" xfId="0" applyFont="1" applyBorder="1" applyAlignment="1">
      <alignment horizontal="center" vertical="top"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 fontId="24" fillId="5" borderId="11" xfId="0" applyNumberFormat="1" applyFont="1" applyFill="1" applyBorder="1" applyAlignment="1" applyProtection="1">
      <alignment horizontal="center"/>
      <protection locked="0"/>
    </xf>
    <xf numFmtId="1" fontId="15" fillId="0" borderId="3" xfId="0" applyNumberFormat="1" applyFont="1" applyBorder="1" applyAlignment="1">
      <alignment horizontal="center"/>
    </xf>
    <xf numFmtId="1" fontId="24" fillId="0" borderId="4" xfId="0" applyNumberFormat="1" applyFont="1" applyBorder="1" applyAlignment="1">
      <alignment horizontal="center"/>
    </xf>
    <xf numFmtId="1" fontId="24" fillId="0" borderId="5" xfId="0" applyNumberFormat="1" applyFont="1" applyBorder="1" applyAlignment="1">
      <alignment horizontal="center"/>
    </xf>
    <xf numFmtId="168" fontId="0" fillId="5" borderId="11" xfId="0" applyNumberFormat="1" applyFill="1" applyBorder="1" applyAlignment="1" applyProtection="1">
      <alignment horizontal="center"/>
      <protection locked="0"/>
    </xf>
    <xf numFmtId="0" fontId="22"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4" fillId="0" borderId="3" xfId="0" applyFont="1" applyBorder="1" applyAlignment="1">
      <alignment horizontal="left"/>
    </xf>
    <xf numFmtId="0" fontId="0" fillId="0" borderId="4" xfId="0" applyBorder="1" applyAlignment="1">
      <alignment horizontal="left"/>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2" fillId="0" borderId="0" xfId="0" applyFont="1" applyAlignment="1">
      <alignment horizontal="center" vertical="center"/>
    </xf>
    <xf numFmtId="0" fontId="34" fillId="0" borderId="3" xfId="543" applyFont="1" applyBorder="1" applyAlignment="1">
      <alignment horizontal="center"/>
    </xf>
    <xf numFmtId="0" fontId="34" fillId="0" borderId="5" xfId="543" applyFont="1" applyBorder="1" applyAlignment="1">
      <alignment horizontal="center"/>
    </xf>
    <xf numFmtId="0" fontId="15" fillId="5" borderId="3" xfId="543"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5" borderId="3" xfId="0" applyFont="1" applyFill="1" applyBorder="1" applyAlignment="1" applyProtection="1">
      <alignment horizontal="left"/>
      <protection locked="0"/>
    </xf>
    <xf numFmtId="0" fontId="23" fillId="5" borderId="4" xfId="0" applyFont="1" applyFill="1" applyBorder="1" applyAlignment="1" applyProtection="1">
      <alignment horizontal="left"/>
      <protection locked="0"/>
    </xf>
    <xf numFmtId="0" fontId="23" fillId="5" borderId="5" xfId="0" applyFont="1" applyFill="1" applyBorder="1" applyAlignment="1" applyProtection="1">
      <alignment horizontal="left"/>
      <protection locked="0"/>
    </xf>
    <xf numFmtId="0" fontId="52" fillId="5" borderId="3" xfId="0" applyFont="1" applyFill="1" applyBorder="1" applyAlignment="1" applyProtection="1">
      <alignment horizontal="center"/>
      <protection locked="0"/>
    </xf>
    <xf numFmtId="0" fontId="52" fillId="5" borderId="4" xfId="0" applyFont="1" applyFill="1" applyBorder="1" applyAlignment="1" applyProtection="1">
      <alignment horizontal="center"/>
      <protection locked="0"/>
    </xf>
    <xf numFmtId="0" fontId="52" fillId="5" borderId="5" xfId="0" applyFont="1" applyFill="1" applyBorder="1" applyAlignment="1" applyProtection="1">
      <alignment horizontal="center"/>
      <protection locked="0"/>
    </xf>
    <xf numFmtId="0" fontId="22" fillId="0" borderId="2" xfId="0" applyFont="1" applyBorder="1" applyAlignment="1">
      <alignment horizontal="right"/>
    </xf>
    <xf numFmtId="0" fontId="22" fillId="0" borderId="7" xfId="0" applyFont="1" applyBorder="1" applyAlignment="1">
      <alignment horizontal="right"/>
    </xf>
    <xf numFmtId="0" fontId="22" fillId="0" borderId="6" xfId="0" applyFont="1" applyBorder="1" applyAlignment="1">
      <alignment horizontal="center"/>
    </xf>
    <xf numFmtId="0" fontId="24" fillId="5" borderId="6" xfId="271" applyFill="1" applyBorder="1" applyProtection="1">
      <protection locked="0"/>
    </xf>
    <xf numFmtId="168" fontId="0" fillId="5" borderId="11" xfId="0" applyNumberFormat="1" applyFill="1" applyBorder="1" applyAlignment="1" applyProtection="1">
      <alignment horizontal="right"/>
      <protection locked="0"/>
    </xf>
    <xf numFmtId="0" fontId="15" fillId="0" borderId="0" xfId="543" applyAlignment="1">
      <alignment horizontal="center"/>
    </xf>
    <xf numFmtId="168" fontId="15" fillId="5" borderId="3" xfId="0" applyNumberFormat="1" applyFont="1" applyFill="1" applyBorder="1" applyAlignment="1" applyProtection="1">
      <alignment horizontal="left"/>
      <protection locked="0"/>
    </xf>
    <xf numFmtId="168" fontId="15" fillId="5" borderId="4" xfId="0" applyNumberFormat="1" applyFont="1" applyFill="1" applyBorder="1" applyAlignment="1" applyProtection="1">
      <alignment horizontal="left"/>
      <protection locked="0"/>
    </xf>
    <xf numFmtId="168" fontId="15" fillId="5" borderId="5" xfId="0" applyNumberFormat="1" applyFont="1" applyFill="1" applyBorder="1" applyAlignment="1" applyProtection="1">
      <alignment horizontal="left"/>
      <protection locked="0"/>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9" fontId="0" fillId="5" borderId="3" xfId="0" applyNumberFormat="1" applyFill="1" applyBorder="1" applyAlignment="1" applyProtection="1">
      <alignment horizontal="right"/>
      <protection locked="0"/>
    </xf>
    <xf numFmtId="171" fontId="15" fillId="0" borderId="0" xfId="543" applyNumberFormat="1" applyAlignment="1">
      <alignment horizontal="center"/>
    </xf>
    <xf numFmtId="2" fontId="15" fillId="0" borderId="0" xfId="543" applyNumberFormat="1" applyAlignment="1">
      <alignment horizontal="center"/>
    </xf>
    <xf numFmtId="168" fontId="0" fillId="5" borderId="11" xfId="0" applyNumberFormat="1" applyFill="1" applyBorder="1" applyProtection="1">
      <protection locked="0"/>
    </xf>
    <xf numFmtId="168" fontId="15" fillId="5" borderId="10" xfId="0" applyNumberFormat="1" applyFont="1" applyFill="1" applyBorder="1" applyAlignment="1" applyProtection="1">
      <alignment horizontal="right"/>
      <protection locked="0"/>
    </xf>
    <xf numFmtId="168" fontId="15"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0" fontId="15" fillId="5" borderId="3" xfId="0" applyFont="1" applyFill="1" applyBorder="1" applyProtection="1">
      <protection locked="0"/>
    </xf>
    <xf numFmtId="0" fontId="24" fillId="0" borderId="4" xfId="0" applyFont="1" applyBorder="1" applyProtection="1">
      <protection locked="0"/>
    </xf>
    <xf numFmtId="0" fontId="24" fillId="0" borderId="5" xfId="0" applyFont="1" applyBorder="1" applyProtection="1">
      <protection locked="0"/>
    </xf>
    <xf numFmtId="0" fontId="22" fillId="0" borderId="11" xfId="0" applyFont="1" applyBorder="1" applyAlignment="1">
      <alignment horizontal="center" vertical="center" wrapText="1"/>
    </xf>
    <xf numFmtId="172" fontId="22" fillId="0" borderId="11" xfId="0" applyNumberFormat="1" applyFont="1" applyBorder="1" applyAlignment="1">
      <alignment horizontal="center" vertical="center" wrapText="1"/>
    </xf>
    <xf numFmtId="0" fontId="22" fillId="0" borderId="9" xfId="0" applyFont="1" applyBorder="1" applyAlignment="1">
      <alignment horizontal="right"/>
    </xf>
    <xf numFmtId="0" fontId="22" fillId="0" borderId="6" xfId="0" applyFont="1" applyBorder="1" applyAlignment="1">
      <alignment horizontal="right"/>
    </xf>
    <xf numFmtId="0" fontId="22" fillId="0" borderId="10" xfId="0" applyFont="1" applyBorder="1" applyAlignment="1">
      <alignment horizontal="right"/>
    </xf>
    <xf numFmtId="0" fontId="34" fillId="5" borderId="3" xfId="543" applyFont="1" applyFill="1" applyBorder="1" applyAlignment="1">
      <alignment horizontal="center"/>
    </xf>
    <xf numFmtId="0" fontId="34" fillId="5" borderId="4" xfId="543" applyFont="1" applyFill="1" applyBorder="1" applyAlignment="1">
      <alignment horizontal="center"/>
    </xf>
    <xf numFmtId="0" fontId="34" fillId="5" borderId="5" xfId="543" applyFont="1" applyFill="1" applyBorder="1" applyAlignment="1">
      <alignment horizontal="center"/>
    </xf>
    <xf numFmtId="49" fontId="15" fillId="5" borderId="3" xfId="543" applyNumberFormat="1" applyFill="1" applyBorder="1" applyAlignment="1">
      <alignment horizontal="center"/>
    </xf>
    <xf numFmtId="49" fontId="15" fillId="5" borderId="5" xfId="543" applyNumberFormat="1" applyFill="1" applyBorder="1" applyAlignment="1">
      <alignment horizontal="center"/>
    </xf>
    <xf numFmtId="0" fontId="22" fillId="0" borderId="1" xfId="0" applyFont="1" applyBorder="1" applyAlignment="1">
      <alignment horizontal="center" vertical="center" wrapText="1"/>
    </xf>
    <xf numFmtId="0" fontId="22" fillId="0" borderId="2" xfId="0" applyFont="1" applyBorder="1" applyAlignment="1">
      <alignment horizontal="center" vertical="center" wrapText="1"/>
    </xf>
    <xf numFmtId="0" fontId="22" fillId="0" borderId="7" xfId="0" applyFont="1" applyBorder="1" applyAlignment="1">
      <alignment horizontal="center" vertical="center" wrapText="1"/>
    </xf>
    <xf numFmtId="0" fontId="22" fillId="0" borderId="8" xfId="0" applyFont="1" applyBorder="1" applyAlignment="1">
      <alignment horizontal="center" vertical="center" wrapText="1"/>
    </xf>
    <xf numFmtId="0" fontId="22" fillId="0" borderId="0" xfId="0" applyFont="1" applyAlignment="1">
      <alignment horizontal="center" vertical="center" wrapText="1"/>
    </xf>
    <xf numFmtId="0" fontId="22" fillId="0" borderId="12" xfId="0" applyFont="1" applyBorder="1" applyAlignment="1">
      <alignment horizontal="center" vertical="center" wrapText="1"/>
    </xf>
    <xf numFmtId="0" fontId="22" fillId="0" borderId="9"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10" xfId="0" applyFont="1" applyBorder="1" applyAlignment="1">
      <alignment horizontal="center" vertical="center" wrapText="1"/>
    </xf>
    <xf numFmtId="166" fontId="15" fillId="5" borderId="4"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5" fillId="43" borderId="3" xfId="0" applyNumberFormat="1" applyFont="1" applyFill="1" applyBorder="1" applyAlignment="1" applyProtection="1">
      <alignment horizontal="center" vertical="center"/>
      <protection locked="0"/>
    </xf>
    <xf numFmtId="175" fontId="15" fillId="43" borderId="4" xfId="0" applyNumberFormat="1" applyFont="1" applyFill="1" applyBorder="1" applyAlignment="1" applyProtection="1">
      <alignment horizontal="center" vertical="center"/>
      <protection locked="0"/>
    </xf>
    <xf numFmtId="175" fontId="15" fillId="43" borderId="5" xfId="0" applyNumberFormat="1" applyFont="1" applyFill="1" applyBorder="1" applyAlignment="1" applyProtection="1">
      <alignment horizontal="center" vertical="center"/>
      <protection locked="0"/>
    </xf>
    <xf numFmtId="180" fontId="23" fillId="43" borderId="3" xfId="0" applyNumberFormat="1" applyFont="1" applyFill="1" applyBorder="1" applyAlignment="1" applyProtection="1">
      <alignment horizontal="center" vertical="center"/>
      <protection locked="0"/>
    </xf>
    <xf numFmtId="180" fontId="23" fillId="43" borderId="4" xfId="0" applyNumberFormat="1" applyFont="1" applyFill="1" applyBorder="1" applyAlignment="1" applyProtection="1">
      <alignment horizontal="center" vertical="center"/>
      <protection locked="0"/>
    </xf>
    <xf numFmtId="180" fontId="23" fillId="43" borderId="5" xfId="0" applyNumberFormat="1" applyFont="1" applyFill="1" applyBorder="1" applyAlignment="1" applyProtection="1">
      <alignment horizontal="center" vertical="center"/>
      <protection locked="0"/>
    </xf>
    <xf numFmtId="0" fontId="15" fillId="0" borderId="3" xfId="271" applyFont="1" applyBorder="1" applyAlignment="1">
      <alignment horizontal="left"/>
    </xf>
    <xf numFmtId="0" fontId="15" fillId="0" borderId="4" xfId="271" applyFont="1" applyBorder="1" applyAlignment="1">
      <alignment horizontal="left"/>
    </xf>
    <xf numFmtId="0" fontId="15" fillId="0" borderId="5" xfId="271"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15" fillId="5" borderId="11" xfId="0" applyFont="1" applyFill="1" applyBorder="1" applyAlignment="1" applyProtection="1">
      <alignment vertical="center" wrapText="1"/>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5" fillId="5" borderId="11" xfId="0" applyFont="1" applyFill="1" applyBorder="1" applyAlignment="1" applyProtection="1">
      <alignment horizontal="left" vertical="center" wrapText="1"/>
      <protection locked="0"/>
    </xf>
    <xf numFmtId="175" fontId="0" fillId="5" borderId="4" xfId="0" applyNumberFormat="1" applyFill="1" applyBorder="1" applyAlignment="1" applyProtection="1">
      <alignment horizontal="left" vertical="center" wrapText="1"/>
      <protection locked="0"/>
    </xf>
    <xf numFmtId="0" fontId="24" fillId="5" borderId="6" xfId="0" applyFon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168" fontId="24" fillId="5" borderId="6" xfId="0" applyNumberFormat="1" applyFont="1" applyFill="1" applyBorder="1" applyAlignment="1" applyProtection="1">
      <alignment horizontal="right"/>
      <protection locked="0"/>
    </xf>
    <xf numFmtId="168" fontId="24"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 fontId="24" fillId="5" borderId="3" xfId="0" applyNumberFormat="1" applyFont="1" applyFill="1" applyBorder="1" applyAlignment="1" applyProtection="1">
      <alignment horizontal="right" vertical="top"/>
      <protection locked="0"/>
    </xf>
    <xf numFmtId="1" fontId="24" fillId="5" borderId="4" xfId="0" applyNumberFormat="1" applyFont="1" applyFill="1" applyBorder="1" applyAlignment="1" applyProtection="1">
      <alignment horizontal="right" vertical="top"/>
      <protection locked="0"/>
    </xf>
    <xf numFmtId="1" fontId="24" fillId="5" borderId="5" xfId="0" applyNumberFormat="1" applyFont="1" applyFill="1" applyBorder="1" applyAlignment="1" applyProtection="1">
      <alignment horizontal="right" vertical="top"/>
      <protection locked="0"/>
    </xf>
    <xf numFmtId="0" fontId="15" fillId="0" borderId="3" xfId="0" applyFont="1" applyBorder="1" applyAlignment="1">
      <alignment horizontal="left"/>
    </xf>
    <xf numFmtId="0" fontId="15" fillId="0" borderId="4" xfId="0" applyFont="1" applyBorder="1" applyAlignment="1">
      <alignment horizontal="left"/>
    </xf>
    <xf numFmtId="0" fontId="15" fillId="0" borderId="5" xfId="0" applyFont="1" applyBorder="1" applyAlignment="1">
      <alignment horizontal="left"/>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3" xfId="0" applyNumberFormat="1" applyFill="1" applyBorder="1" applyAlignment="1" applyProtection="1">
      <alignment horizontal="right"/>
      <protection locked="0"/>
    </xf>
    <xf numFmtId="0" fontId="0" fillId="0" borderId="9" xfId="0" applyBorder="1" applyAlignment="1">
      <alignment horizontal="left"/>
    </xf>
    <xf numFmtId="0" fontId="34" fillId="5" borderId="9" xfId="543" applyFont="1" applyFill="1" applyBorder="1" applyAlignment="1" applyProtection="1">
      <alignment horizontal="center"/>
      <protection locked="0"/>
    </xf>
    <xf numFmtId="0" fontId="34" fillId="5" borderId="10" xfId="543" applyFont="1" applyFill="1" applyBorder="1" applyAlignment="1" applyProtection="1">
      <alignment horizontal="center"/>
      <protection locked="0"/>
    </xf>
    <xf numFmtId="168" fontId="15"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35" fillId="0" borderId="4" xfId="543" applyFont="1" applyBorder="1" applyAlignment="1">
      <alignment horizontal="right" vertical="top" wrapText="1"/>
    </xf>
    <xf numFmtId="0" fontId="35" fillId="0" borderId="5" xfId="543" applyFont="1" applyBorder="1" applyAlignment="1">
      <alignment horizontal="right" vertical="top" wrapText="1"/>
    </xf>
    <xf numFmtId="0" fontId="0" fillId="0" borderId="3" xfId="0" applyBorder="1" applyAlignment="1">
      <alignment horizontal="left"/>
    </xf>
    <xf numFmtId="0" fontId="15" fillId="0" borderId="3" xfId="0" applyFont="1" applyBorder="1"/>
    <xf numFmtId="0" fontId="15" fillId="0" borderId="4" xfId="0" applyFont="1" applyBorder="1"/>
    <xf numFmtId="0" fontId="15" fillId="0" borderId="5" xfId="0" applyFont="1" applyBorder="1"/>
    <xf numFmtId="0" fontId="22" fillId="0" borderId="8" xfId="0" applyFont="1" applyBorder="1" applyAlignment="1">
      <alignment horizontal="center" wrapText="1"/>
    </xf>
    <xf numFmtId="0" fontId="22" fillId="0" borderId="0" xfId="0" applyFont="1" applyAlignment="1">
      <alignment horizontal="center" wrapText="1"/>
    </xf>
    <xf numFmtId="0" fontId="22" fillId="0" borderId="12" xfId="0" applyFont="1" applyBorder="1" applyAlignment="1">
      <alignment horizontal="center" wrapText="1"/>
    </xf>
    <xf numFmtId="0" fontId="22" fillId="0" borderId="9" xfId="0" applyFont="1" applyBorder="1" applyAlignment="1">
      <alignment horizontal="center" wrapText="1"/>
    </xf>
    <xf numFmtId="0" fontId="22" fillId="0" borderId="6" xfId="0" applyFont="1" applyBorder="1" applyAlignment="1">
      <alignment horizontal="center" wrapText="1"/>
    </xf>
    <xf numFmtId="0" fontId="22" fillId="0" borderId="10" xfId="0" applyFont="1" applyBorder="1" applyAlignment="1">
      <alignment horizontal="center" wrapText="1"/>
    </xf>
    <xf numFmtId="0" fontId="23" fillId="0" borderId="3" xfId="543" applyFont="1" applyBorder="1" applyAlignment="1">
      <alignment horizontal="center"/>
    </xf>
    <xf numFmtId="0" fontId="23" fillId="0" borderId="5" xfId="543" applyFont="1" applyBorder="1" applyAlignment="1">
      <alignment horizontal="center"/>
    </xf>
    <xf numFmtId="1" fontId="23" fillId="0" borderId="3" xfId="543" applyNumberFormat="1" applyFont="1" applyBorder="1" applyAlignment="1">
      <alignment horizontal="center"/>
    </xf>
    <xf numFmtId="1" fontId="23" fillId="0" borderId="5" xfId="543" applyNumberFormat="1" applyFont="1" applyBorder="1" applyAlignment="1">
      <alignment horizontal="center"/>
    </xf>
    <xf numFmtId="171" fontId="15" fillId="0" borderId="0" xfId="543" applyNumberFormat="1" applyAlignment="1">
      <alignment horizontal="right"/>
    </xf>
    <xf numFmtId="0" fontId="22" fillId="0" borderId="1" xfId="0" applyFont="1" applyBorder="1" applyAlignment="1">
      <alignment horizontal="center" wrapText="1"/>
    </xf>
    <xf numFmtId="0" fontId="22" fillId="0" borderId="2" xfId="0" applyFont="1" applyBorder="1" applyAlignment="1">
      <alignment horizontal="center" wrapText="1"/>
    </xf>
    <xf numFmtId="0" fontId="22" fillId="5" borderId="3" xfId="0" applyFont="1" applyFill="1" applyBorder="1" applyAlignment="1" applyProtection="1">
      <alignment horizontal="right"/>
      <protection locked="0"/>
    </xf>
    <xf numFmtId="0" fontId="22" fillId="5" borderId="4" xfId="0" applyFont="1" applyFill="1" applyBorder="1" applyAlignment="1" applyProtection="1">
      <alignment horizontal="right"/>
      <protection locked="0"/>
    </xf>
    <xf numFmtId="0" fontId="22" fillId="5" borderId="5" xfId="0" applyFont="1" applyFill="1" applyBorder="1" applyAlignment="1" applyProtection="1">
      <alignment horizontal="right"/>
      <protection locked="0"/>
    </xf>
    <xf numFmtId="0" fontId="22" fillId="0" borderId="3" xfId="543" applyFont="1" applyBorder="1" applyAlignment="1">
      <alignment horizontal="right"/>
    </xf>
    <xf numFmtId="0" fontId="22" fillId="0" borderId="4" xfId="543" applyFont="1" applyBorder="1" applyAlignment="1">
      <alignment horizontal="right"/>
    </xf>
    <xf numFmtId="0" fontId="22" fillId="0" borderId="5" xfId="543" applyFont="1" applyBorder="1" applyAlignment="1">
      <alignment horizontal="right"/>
    </xf>
    <xf numFmtId="168" fontId="0" fillId="0" borderId="11" xfId="0" applyNumberFormat="1" applyBorder="1"/>
    <xf numFmtId="9" fontId="15" fillId="0" borderId="0" xfId="543" applyNumberFormat="1" applyAlignment="1">
      <alignment horizontal="center" vertical="center"/>
    </xf>
    <xf numFmtId="0" fontId="22" fillId="5" borderId="11" xfId="0" applyFon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0" fontId="0" fillId="5" borderId="3" xfId="0" quotePrefix="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0" borderId="7" xfId="0" applyFont="1" applyBorder="1" applyAlignment="1">
      <alignment horizontal="center" wrapText="1"/>
    </xf>
    <xf numFmtId="166" fontId="24" fillId="5" borderId="6" xfId="0" applyNumberFormat="1" applyFont="1" applyFill="1" applyBorder="1" applyAlignment="1" applyProtection="1">
      <alignment horizontal="left"/>
      <protection locked="0"/>
    </xf>
    <xf numFmtId="168" fontId="24" fillId="0" borderId="11" xfId="0" applyNumberFormat="1" applyFont="1" applyBorder="1" applyAlignment="1">
      <alignment horizontal="center"/>
    </xf>
    <xf numFmtId="0" fontId="24" fillId="5" borderId="9" xfId="0" applyFont="1" applyFill="1" applyBorder="1" applyAlignment="1" applyProtection="1">
      <alignment horizontal="center"/>
      <protection locked="0"/>
    </xf>
    <xf numFmtId="0" fontId="15"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168" fontId="24" fillId="0" borderId="3" xfId="0" applyNumberFormat="1" applyFont="1" applyBorder="1" applyAlignment="1">
      <alignment horizontal="left" vertical="top"/>
    </xf>
    <xf numFmtId="168" fontId="24" fillId="0" borderId="4" xfId="0" applyNumberFormat="1" applyFont="1" applyBorder="1" applyAlignment="1">
      <alignment horizontal="left" vertical="top"/>
    </xf>
    <xf numFmtId="168" fontId="24"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166" fontId="15" fillId="5" borderId="6" xfId="0" applyNumberFormat="1" applyFont="1" applyFill="1" applyBorder="1" applyAlignment="1" applyProtection="1">
      <alignment horizontal="left"/>
      <protection locked="0"/>
    </xf>
    <xf numFmtId="0" fontId="15" fillId="5" borderId="6" xfId="244" applyFont="1" applyFill="1" applyBorder="1" applyAlignment="1" applyProtection="1">
      <alignment horizontal="left"/>
      <protection locked="0"/>
    </xf>
    <xf numFmtId="0" fontId="15" fillId="0" borderId="6" xfId="0" applyFont="1" applyBorder="1" applyAlignment="1">
      <alignment horizontal="left"/>
    </xf>
    <xf numFmtId="0" fontId="15" fillId="43" borderId="0" xfId="0" applyFont="1" applyFill="1" applyAlignment="1" applyProtection="1">
      <alignment horizontal="left" vertical="center" wrapText="1"/>
      <protection locked="0"/>
    </xf>
    <xf numFmtId="0" fontId="15"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0" fillId="43" borderId="6" xfId="0" applyFill="1" applyBorder="1" applyAlignment="1" applyProtection="1">
      <alignment horizontal="center"/>
      <protection locked="0"/>
    </xf>
    <xf numFmtId="9" fontId="23" fillId="0" borderId="3" xfId="4494" applyFont="1" applyBorder="1" applyAlignment="1" applyProtection="1">
      <alignment horizontal="center"/>
    </xf>
    <xf numFmtId="9" fontId="23"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5" borderId="6" xfId="0" applyFill="1" applyBorder="1" applyProtection="1">
      <protection locked="0"/>
    </xf>
    <xf numFmtId="0" fontId="15" fillId="0" borderId="4" xfId="0" applyFont="1" applyBorder="1" applyAlignment="1" applyProtection="1">
      <alignment horizontal="left"/>
      <protection locked="0"/>
    </xf>
    <xf numFmtId="0" fontId="24"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166" fontId="24" fillId="5" borderId="6" xfId="271" applyNumberForma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3" fillId="43" borderId="6" xfId="0" applyFont="1" applyFill="1" applyBorder="1" applyAlignment="1" applyProtection="1">
      <alignment horizontal="left"/>
      <protection locked="0"/>
    </xf>
    <xf numFmtId="0" fontId="168" fillId="0" borderId="0" xfId="0" applyFont="1" applyAlignment="1" applyProtection="1">
      <alignment horizontal="left" vertical="top" wrapText="1"/>
      <protection locked="0"/>
    </xf>
    <xf numFmtId="0" fontId="15"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15" fillId="0" borderId="6" xfId="0" applyFont="1" applyBorder="1" applyAlignment="1" applyProtection="1">
      <alignment horizontal="center" wrapText="1"/>
      <protection locked="0"/>
    </xf>
    <xf numFmtId="0" fontId="15" fillId="0" borderId="0" xfId="0" applyFont="1" applyAlignment="1" applyProtection="1">
      <alignment horizontal="left"/>
      <protection locked="0"/>
    </xf>
    <xf numFmtId="0" fontId="15"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24" fillId="0" borderId="6" xfId="0" applyFont="1" applyBorder="1" applyAlignment="1">
      <alignment horizontal="left"/>
    </xf>
    <xf numFmtId="0" fontId="15" fillId="0" borderId="6" xfId="0" applyFont="1" applyBorder="1" applyAlignment="1" applyProtection="1">
      <alignment horizontal="left"/>
      <protection locked="0"/>
    </xf>
    <xf numFmtId="0" fontId="16" fillId="0" borderId="0" xfId="244" applyFill="1" applyAlignment="1" applyProtection="1">
      <alignment horizontal="left"/>
      <protection locked="0"/>
    </xf>
    <xf numFmtId="168" fontId="15" fillId="0" borderId="6" xfId="0" applyNumberFormat="1" applyFont="1" applyBorder="1" applyAlignment="1">
      <alignment horizontal="center"/>
    </xf>
    <xf numFmtId="0" fontId="0" fillId="5" borderId="6" xfId="0" applyFill="1" applyBorder="1" applyAlignment="1" applyProtection="1">
      <alignment horizontal="right"/>
      <protection locked="0"/>
    </xf>
    <xf numFmtId="0" fontId="24" fillId="0" borderId="6" xfId="0" applyFont="1" applyBorder="1" applyAlignment="1">
      <alignment horizontal="left" wrapText="1"/>
    </xf>
    <xf numFmtId="0" fontId="0" fillId="5" borderId="4" xfId="0" applyFill="1" applyBorder="1" applyAlignment="1" applyProtection="1">
      <alignment horizontal="right"/>
      <protection locked="0"/>
    </xf>
    <xf numFmtId="0" fontId="15" fillId="5" borderId="0" xfId="244" applyFont="1" applyFill="1" applyBorder="1" applyAlignment="1" applyProtection="1">
      <alignment horizontal="left"/>
      <protection locked="0"/>
    </xf>
    <xf numFmtId="166" fontId="24" fillId="5" borderId="4" xfId="271" applyNumberFormat="1" applyFill="1" applyBorder="1" applyAlignment="1" applyProtection="1">
      <alignment horizontal="left"/>
      <protection locked="0"/>
    </xf>
    <xf numFmtId="168" fontId="24" fillId="5" borderId="3" xfId="0" applyNumberFormat="1" applyFont="1" applyFill="1" applyBorder="1" applyAlignment="1" applyProtection="1">
      <alignment horizontal="left" vertical="top"/>
      <protection locked="0"/>
    </xf>
    <xf numFmtId="168" fontId="24" fillId="5" borderId="4" xfId="0" applyNumberFormat="1" applyFont="1" applyFill="1" applyBorder="1" applyAlignment="1" applyProtection="1">
      <alignment horizontal="left" vertical="top"/>
      <protection locked="0"/>
    </xf>
    <xf numFmtId="168" fontId="24" fillId="5" borderId="5" xfId="0" applyNumberFormat="1" applyFont="1" applyFill="1" applyBorder="1" applyAlignment="1" applyProtection="1">
      <alignment horizontal="left" vertical="top"/>
      <protection locked="0"/>
    </xf>
    <xf numFmtId="0" fontId="15" fillId="43" borderId="4" xfId="0" applyFont="1" applyFill="1" applyBorder="1" applyAlignment="1" applyProtection="1">
      <alignment horizontal="left" wrapText="1"/>
      <protection locked="0"/>
    </xf>
    <xf numFmtId="0" fontId="0" fillId="5" borderId="3" xfId="0" applyFill="1" applyBorder="1" applyAlignment="1" applyProtection="1">
      <alignment horizontal="left" wrapText="1"/>
      <protection locked="0"/>
    </xf>
    <xf numFmtId="180" fontId="0" fillId="0" borderId="6" xfId="0" applyNumberFormat="1" applyBorder="1" applyAlignment="1">
      <alignment horizontal="center"/>
    </xf>
    <xf numFmtId="0" fontId="0" fillId="0" borderId="12" xfId="0" applyBorder="1" applyAlignment="1">
      <alignment horizontal="center"/>
    </xf>
    <xf numFmtId="165" fontId="24" fillId="5" borderId="3" xfId="0" applyNumberFormat="1" applyFont="1" applyFill="1" applyBorder="1" applyAlignment="1" applyProtection="1">
      <alignment horizontal="center"/>
      <protection locked="0"/>
    </xf>
    <xf numFmtId="165" fontId="24" fillId="5" borderId="4" xfId="0" applyNumberFormat="1" applyFont="1" applyFill="1" applyBorder="1" applyAlignment="1" applyProtection="1">
      <alignment horizontal="center"/>
      <protection locked="0"/>
    </xf>
    <xf numFmtId="165" fontId="24"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31" fillId="0" borderId="1" xfId="0" applyFont="1" applyBorder="1" applyAlignment="1">
      <alignment horizontal="center" vertical="center" wrapText="1"/>
    </xf>
    <xf numFmtId="0" fontId="31" fillId="0" borderId="2" xfId="0" applyFont="1" applyBorder="1" applyAlignment="1">
      <alignment horizontal="center" vertical="center" wrapText="1"/>
    </xf>
    <xf numFmtId="0" fontId="31" fillId="0" borderId="7" xfId="0" applyFont="1" applyBorder="1" applyAlignment="1">
      <alignment horizontal="center" vertical="center" wrapText="1"/>
    </xf>
    <xf numFmtId="0" fontId="31" fillId="0" borderId="8" xfId="0" applyFont="1" applyBorder="1" applyAlignment="1">
      <alignment horizontal="center" vertical="center" wrapText="1"/>
    </xf>
    <xf numFmtId="0" fontId="31" fillId="0" borderId="0" xfId="0" applyFont="1" applyAlignment="1">
      <alignment horizontal="center" vertical="center" wrapText="1"/>
    </xf>
    <xf numFmtId="0" fontId="31" fillId="0" borderId="12" xfId="0" applyFont="1" applyBorder="1" applyAlignment="1">
      <alignment horizontal="center" vertical="center" wrapText="1"/>
    </xf>
    <xf numFmtId="0" fontId="31" fillId="0" borderId="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10" xfId="0" applyFont="1" applyBorder="1" applyAlignment="1">
      <alignment horizontal="center" vertical="center" wrapText="1"/>
    </xf>
    <xf numFmtId="3" fontId="24" fillId="5" borderId="11" xfId="0" applyNumberFormat="1" applyFont="1" applyFill="1" applyBorder="1" applyAlignment="1" applyProtection="1">
      <alignment horizontal="center"/>
      <protection locked="0"/>
    </xf>
    <xf numFmtId="178" fontId="24" fillId="5" borderId="4" xfId="0" applyNumberFormat="1" applyFont="1" applyFill="1" applyBorder="1" applyAlignment="1" applyProtection="1">
      <alignment horizontal="right"/>
      <protection locked="0"/>
    </xf>
    <xf numFmtId="0" fontId="0" fillId="43" borderId="10" xfId="0" applyFill="1" applyBorder="1" applyAlignment="1" applyProtection="1">
      <alignment horizontal="left"/>
      <protection locked="0"/>
    </xf>
    <xf numFmtId="0" fontId="22" fillId="0" borderId="9" xfId="0" applyFont="1" applyBorder="1" applyAlignment="1">
      <alignment horizontal="center"/>
    </xf>
    <xf numFmtId="168" fontId="15" fillId="0" borderId="3" xfId="0" applyNumberFormat="1" applyFont="1" applyBorder="1" applyAlignment="1">
      <alignment horizontal="left" vertical="top"/>
    </xf>
    <xf numFmtId="168" fontId="15" fillId="0" borderId="4" xfId="0" applyNumberFormat="1" applyFont="1" applyBorder="1" applyAlignment="1">
      <alignment horizontal="left" vertical="top"/>
    </xf>
    <xf numFmtId="168" fontId="15" fillId="0" borderId="5" xfId="0" applyNumberFormat="1" applyFont="1" applyBorder="1" applyAlignment="1">
      <alignment horizontal="left" vertical="top"/>
    </xf>
    <xf numFmtId="1" fontId="24" fillId="5" borderId="6" xfId="0" applyNumberFormat="1" applyFont="1" applyFill="1" applyBorder="1" applyAlignment="1" applyProtection="1">
      <alignment horizontal="right"/>
      <protection locked="0"/>
    </xf>
    <xf numFmtId="0" fontId="0" fillId="0" borderId="5" xfId="0" applyBorder="1" applyAlignment="1">
      <alignment horizontal="left"/>
    </xf>
    <xf numFmtId="10" fontId="24" fillId="0" borderId="11" xfId="0" applyNumberFormat="1" applyFont="1" applyBorder="1" applyAlignment="1">
      <alignment horizontal="center"/>
    </xf>
    <xf numFmtId="1" fontId="24" fillId="5" borderId="11" xfId="0" quotePrefix="1" applyNumberFormat="1" applyFont="1" applyFill="1" applyBorder="1" applyAlignment="1" applyProtection="1">
      <alignment horizontal="center"/>
      <protection locked="0"/>
    </xf>
    <xf numFmtId="0" fontId="34"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7" fontId="24" fillId="5" borderId="11" xfId="0" applyNumberFormat="1" applyFont="1" applyFill="1" applyBorder="1" applyAlignment="1" applyProtection="1">
      <alignment horizontal="center"/>
      <protection locked="0"/>
    </xf>
    <xf numFmtId="0" fontId="24" fillId="5" borderId="11" xfId="0" applyFont="1" applyFill="1" applyBorder="1" applyAlignment="1" applyProtection="1">
      <alignment horizontal="center"/>
      <protection locked="0"/>
    </xf>
    <xf numFmtId="3" fontId="24" fillId="0" borderId="11" xfId="0" applyNumberFormat="1" applyFont="1" applyBorder="1" applyAlignment="1">
      <alignment horizontal="center"/>
    </xf>
    <xf numFmtId="2" fontId="0" fillId="5" borderId="6" xfId="0" applyNumberFormat="1" applyFill="1" applyBorder="1" applyAlignment="1" applyProtection="1">
      <alignment horizontal="center"/>
      <protection locked="0"/>
    </xf>
    <xf numFmtId="0" fontId="24" fillId="5" borderId="4" xfId="0" applyFont="1" applyFill="1" applyBorder="1" applyAlignment="1" applyProtection="1">
      <alignment horizontal="right"/>
      <protection locked="0"/>
    </xf>
    <xf numFmtId="14" fontId="24"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24" fillId="5" borderId="6" xfId="0" applyFont="1" applyFill="1"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0" fontId="24" fillId="5" borderId="4"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0" fillId="0" borderId="6" xfId="0"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2" fillId="0" borderId="10" xfId="0" applyFont="1" applyBorder="1" applyAlignment="1">
      <alignment horizontal="center"/>
    </xf>
    <xf numFmtId="14" fontId="0" fillId="5" borderId="4" xfId="0" applyNumberFormat="1" applyFill="1" applyBorder="1" applyAlignment="1" applyProtection="1">
      <alignment horizontal="center"/>
      <protection locked="0"/>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4" fillId="0" borderId="6" xfId="0" applyFont="1" applyBorder="1" applyAlignment="1">
      <alignment vertical="top" wrapText="1"/>
    </xf>
    <xf numFmtId="177" fontId="24" fillId="5" borderId="6" xfId="0" applyNumberFormat="1" applyFont="1" applyFill="1" applyBorder="1" applyAlignment="1" applyProtection="1">
      <alignment horizontal="left" vertical="top" wrapText="1"/>
      <protection locked="0"/>
    </xf>
    <xf numFmtId="0" fontId="24" fillId="0" borderId="2" xfId="0" applyFont="1" applyBorder="1" applyAlignment="1">
      <alignment vertical="top" wrapText="1"/>
    </xf>
    <xf numFmtId="0" fontId="52" fillId="0" borderId="0" xfId="0" applyFont="1" applyAlignment="1">
      <alignment vertical="top" wrapText="1"/>
    </xf>
    <xf numFmtId="0" fontId="24" fillId="0" borderId="2" xfId="0" applyFont="1" applyBorder="1" applyAlignment="1">
      <alignment horizontal="left" vertical="top" wrapText="1"/>
    </xf>
    <xf numFmtId="0" fontId="53" fillId="0" borderId="0" xfId="0" applyFont="1" applyAlignment="1">
      <alignment vertical="top" wrapText="1"/>
    </xf>
    <xf numFmtId="0" fontId="24" fillId="0" borderId="0" xfId="0" applyFont="1" applyAlignment="1">
      <alignment vertical="top" wrapText="1"/>
    </xf>
    <xf numFmtId="0" fontId="24" fillId="0" borderId="6" xfId="0" applyFont="1" applyBorder="1" applyAlignment="1">
      <alignment horizontal="right" vertical="top" wrapText="1"/>
    </xf>
    <xf numFmtId="0" fontId="53" fillId="0" borderId="0" xfId="569" applyFont="1" applyAlignment="1">
      <alignment vertical="top" wrapText="1"/>
    </xf>
    <xf numFmtId="0" fontId="15" fillId="0" borderId="0" xfId="569" applyAlignment="1">
      <alignment horizontal="right" vertical="top" wrapText="1"/>
    </xf>
    <xf numFmtId="0" fontId="21" fillId="3" borderId="3" xfId="0" applyFont="1" applyFill="1" applyBorder="1" applyAlignment="1">
      <alignment horizontal="left" vertical="top"/>
    </xf>
    <xf numFmtId="0" fontId="21" fillId="3" borderId="4" xfId="0" applyFont="1" applyFill="1" applyBorder="1" applyAlignment="1">
      <alignment horizontal="left" vertical="top"/>
    </xf>
    <xf numFmtId="0" fontId="21" fillId="3" borderId="5" xfId="0" applyFont="1" applyFill="1" applyBorder="1" applyAlignment="1">
      <alignment horizontal="left" vertical="top"/>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5" fillId="0" borderId="50" xfId="4495" applyFont="1" applyBorder="1" applyAlignment="1">
      <alignment horizontal="left" vertical="center" wrapText="1"/>
    </xf>
    <xf numFmtId="0" fontId="15" fillId="0" borderId="51" xfId="4495" applyFont="1" applyBorder="1" applyAlignment="1">
      <alignment horizontal="left" vertical="center" wrapText="1"/>
    </xf>
    <xf numFmtId="0" fontId="15" fillId="0" borderId="52" xfId="4495" applyFont="1" applyBorder="1" applyAlignment="1">
      <alignment horizontal="left" vertical="center" wrapText="1"/>
    </xf>
    <xf numFmtId="0" fontId="15" fillId="0" borderId="57" xfId="4495" applyFont="1" applyBorder="1" applyAlignment="1">
      <alignment horizontal="left" vertical="center" wrapText="1"/>
    </xf>
    <xf numFmtId="0" fontId="15" fillId="0" borderId="58" xfId="4495" applyFont="1" applyBorder="1" applyAlignment="1">
      <alignment horizontal="left" vertical="center" wrapText="1"/>
    </xf>
    <xf numFmtId="0" fontId="15" fillId="0" borderId="59" xfId="4495" applyFont="1" applyBorder="1" applyAlignment="1">
      <alignment horizontal="left" vertical="center" wrapText="1"/>
    </xf>
    <xf numFmtId="0" fontId="15" fillId="0" borderId="53" xfId="4495" applyFont="1" applyBorder="1" applyAlignment="1">
      <alignment horizontal="left" vertical="center" wrapText="1"/>
    </xf>
    <xf numFmtId="0" fontId="15" fillId="0" borderId="0" xfId="4495" applyFont="1" applyAlignment="1">
      <alignment horizontal="left" vertical="center" wrapText="1"/>
    </xf>
    <xf numFmtId="0" fontId="15" fillId="0" borderId="54" xfId="4495" applyFont="1" applyBorder="1" applyAlignment="1">
      <alignment horizontal="left" vertical="center" wrapText="1"/>
    </xf>
    <xf numFmtId="0" fontId="22"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1" fillId="3" borderId="2" xfId="4495" applyFont="1" applyFill="1" applyBorder="1" applyAlignment="1">
      <alignment horizontal="center" vertical="center"/>
    </xf>
    <xf numFmtId="0" fontId="21" fillId="3" borderId="16" xfId="4495" applyFont="1" applyFill="1" applyBorder="1" applyAlignment="1">
      <alignment horizontal="center" vertical="center"/>
    </xf>
    <xf numFmtId="0" fontId="22" fillId="0" borderId="48" xfId="4495" applyFont="1" applyBorder="1" applyAlignment="1">
      <alignment horizontal="left" vertical="top"/>
    </xf>
    <xf numFmtId="0" fontId="22" fillId="0" borderId="49" xfId="4495" applyFont="1" applyBorder="1" applyAlignment="1">
      <alignment horizontal="left" vertical="top"/>
    </xf>
    <xf numFmtId="1" fontId="15" fillId="0" borderId="3" xfId="4495" applyNumberFormat="1" applyFont="1" applyBorder="1" applyAlignment="1">
      <alignment horizontal="center"/>
    </xf>
    <xf numFmtId="1" fontId="15" fillId="0" borderId="4" xfId="4495" applyNumberFormat="1" applyFont="1" applyBorder="1" applyAlignment="1">
      <alignment horizontal="center"/>
    </xf>
    <xf numFmtId="1" fontId="15" fillId="0" borderId="5" xfId="4495" applyNumberFormat="1" applyFont="1" applyBorder="1" applyAlignment="1">
      <alignment horizontal="center"/>
    </xf>
    <xf numFmtId="0" fontId="15" fillId="0" borderId="50" xfId="4495" applyFont="1" applyBorder="1" applyAlignment="1">
      <alignment vertical="center" wrapText="1"/>
    </xf>
    <xf numFmtId="0" fontId="15" fillId="0" borderId="51" xfId="4495" applyFont="1" applyBorder="1" applyAlignment="1">
      <alignment vertical="center" wrapText="1"/>
    </xf>
    <xf numFmtId="0" fontId="15" fillId="0" borderId="52" xfId="4495" applyFont="1" applyBorder="1" applyAlignment="1">
      <alignment vertical="center" wrapText="1"/>
    </xf>
    <xf numFmtId="0" fontId="15" fillId="0" borderId="57" xfId="4495" applyFont="1" applyBorder="1" applyAlignment="1">
      <alignment vertical="center" wrapText="1"/>
    </xf>
    <xf numFmtId="0" fontId="15" fillId="0" borderId="58" xfId="4495" applyFont="1" applyBorder="1" applyAlignment="1">
      <alignment vertical="center" wrapText="1"/>
    </xf>
    <xf numFmtId="0" fontId="15"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2" fillId="0" borderId="0" xfId="4495" applyFont="1" applyAlignment="1">
      <alignment horizontal="center" vertical="top"/>
    </xf>
    <xf numFmtId="0" fontId="15"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5" fillId="0" borderId="0" xfId="1192" applyAlignment="1">
      <alignment horizontal="right"/>
    </xf>
    <xf numFmtId="0" fontId="15" fillId="5" borderId="6" xfId="1192" applyFill="1" applyBorder="1" applyAlignment="1" applyProtection="1">
      <alignment horizontal="left"/>
      <protection locked="0"/>
    </xf>
    <xf numFmtId="168" fontId="15" fillId="43" borderId="6" xfId="4495" applyNumberFormat="1" applyFont="1" applyFill="1" applyBorder="1" applyAlignment="1" applyProtection="1">
      <alignment horizontal="right"/>
      <protection locked="0"/>
    </xf>
    <xf numFmtId="9" fontId="15" fillId="0" borderId="6" xfId="1192" applyNumberFormat="1" applyBorder="1" applyAlignment="1">
      <alignment horizontal="center"/>
    </xf>
    <xf numFmtId="9" fontId="15" fillId="0" borderId="6" xfId="1192" quotePrefix="1" applyNumberFormat="1" applyBorder="1" applyAlignment="1">
      <alignment horizontal="center"/>
    </xf>
    <xf numFmtId="9" fontId="15" fillId="0" borderId="0" xfId="1192" quotePrefix="1" applyNumberFormat="1" applyAlignment="1">
      <alignment horizontal="center"/>
    </xf>
    <xf numFmtId="1" fontId="15" fillId="5" borderId="2" xfId="1192" applyNumberFormat="1" applyFill="1" applyBorder="1" applyAlignment="1" applyProtection="1">
      <alignment horizontal="center"/>
      <protection locked="0"/>
    </xf>
    <xf numFmtId="9" fontId="15" fillId="5" borderId="4" xfId="1192" applyNumberFormat="1" applyFill="1" applyBorder="1" applyAlignment="1" applyProtection="1">
      <alignment horizontal="left"/>
      <protection locked="0"/>
    </xf>
    <xf numFmtId="168" fontId="15" fillId="0" borderId="0" xfId="1192" applyNumberFormat="1" applyAlignment="1">
      <alignment horizontal="right"/>
    </xf>
    <xf numFmtId="1" fontId="15"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5" fillId="5" borderId="4" xfId="1192" applyNumberFormat="1" applyFill="1" applyBorder="1" applyAlignment="1" applyProtection="1">
      <alignment horizontal="center"/>
      <protection locked="0"/>
    </xf>
    <xf numFmtId="2" fontId="15" fillId="0" borderId="0" xfId="1192" applyNumberFormat="1" applyAlignment="1">
      <alignment horizontal="right"/>
    </xf>
    <xf numFmtId="0" fontId="23" fillId="5" borderId="6" xfId="4495" applyFont="1" applyFill="1" applyBorder="1" applyAlignment="1" applyProtection="1">
      <alignment horizontal="left"/>
      <protection locked="0"/>
    </xf>
    <xf numFmtId="0" fontId="15" fillId="0" borderId="0" xfId="4495" applyFont="1" applyAlignment="1">
      <alignment horizontal="left"/>
    </xf>
    <xf numFmtId="0" fontId="52" fillId="5" borderId="6" xfId="4495" applyFont="1" applyFill="1" applyBorder="1" applyAlignment="1" applyProtection="1">
      <alignment horizontal="left"/>
      <protection locked="0"/>
    </xf>
    <xf numFmtId="0" fontId="15" fillId="5" borderId="6" xfId="4495" applyFont="1" applyFill="1" applyBorder="1" applyAlignment="1" applyProtection="1">
      <alignment horizontal="center"/>
      <protection locked="0"/>
    </xf>
    <xf numFmtId="1" fontId="15" fillId="0" borderId="11" xfId="4495" applyNumberFormat="1" applyFont="1" applyBorder="1" applyAlignment="1">
      <alignment horizontal="center"/>
    </xf>
    <xf numFmtId="0" fontId="15" fillId="0" borderId="11" xfId="4495" applyFont="1" applyBorder="1" applyAlignment="1">
      <alignment horizontal="center"/>
    </xf>
    <xf numFmtId="0" fontId="119" fillId="5" borderId="6" xfId="4495" applyFill="1" applyBorder="1" applyAlignment="1" applyProtection="1">
      <alignment horizontal="center"/>
      <protection locked="0"/>
    </xf>
    <xf numFmtId="0" fontId="22" fillId="0" borderId="0" xfId="4495" applyFont="1" applyAlignment="1">
      <alignment horizontal="left" vertical="top"/>
    </xf>
    <xf numFmtId="0" fontId="119" fillId="0" borderId="0" xfId="4495" applyAlignment="1" applyProtection="1">
      <alignment horizontal="center"/>
      <protection locked="0"/>
    </xf>
    <xf numFmtId="0" fontId="15" fillId="0" borderId="3" xfId="4495" applyFont="1" applyBorder="1" applyAlignment="1">
      <alignment horizontal="center"/>
    </xf>
    <xf numFmtId="0" fontId="15" fillId="0" borderId="4" xfId="4495" applyFont="1" applyBorder="1" applyAlignment="1">
      <alignment horizontal="center"/>
    </xf>
    <xf numFmtId="0" fontId="15" fillId="0" borderId="5" xfId="4495" applyFont="1" applyBorder="1" applyAlignment="1">
      <alignment horizontal="center"/>
    </xf>
    <xf numFmtId="168" fontId="15" fillId="0" borderId="6" xfId="4496" applyNumberFormat="1" applyFont="1" applyBorder="1" applyAlignment="1">
      <alignment horizontal="center"/>
    </xf>
    <xf numFmtId="9" fontId="15" fillId="0" borderId="4" xfId="543" applyNumberFormat="1" applyBorder="1" applyAlignment="1">
      <alignment horizontal="center"/>
    </xf>
    <xf numFmtId="0" fontId="15" fillId="0" borderId="4" xfId="4496" applyFont="1" applyBorder="1" applyAlignment="1">
      <alignment horizontal="center"/>
    </xf>
    <xf numFmtId="0" fontId="15" fillId="0" borderId="5" xfId="4496" applyFont="1" applyBorder="1" applyAlignment="1">
      <alignment horizontal="center"/>
    </xf>
    <xf numFmtId="168" fontId="15" fillId="0" borderId="6" xfId="4495" applyNumberFormat="1" applyFont="1" applyBorder="1" applyAlignment="1">
      <alignment horizontal="right"/>
    </xf>
    <xf numFmtId="168" fontId="117" fillId="0" borderId="6" xfId="4495" applyNumberFormat="1" applyFont="1" applyBorder="1" applyAlignment="1">
      <alignment horizontal="right"/>
    </xf>
    <xf numFmtId="6" fontId="15" fillId="0" borderId="3" xfId="1192" applyNumberFormat="1" applyBorder="1" applyAlignment="1">
      <alignment horizontal="right"/>
    </xf>
    <xf numFmtId="6" fontId="15" fillId="0" borderId="4" xfId="1192" applyNumberFormat="1" applyBorder="1" applyAlignment="1">
      <alignment horizontal="right"/>
    </xf>
    <xf numFmtId="6" fontId="15" fillId="0" borderId="5" xfId="1192" applyNumberFormat="1" applyBorder="1" applyAlignment="1">
      <alignment horizontal="right"/>
    </xf>
    <xf numFmtId="168" fontId="15" fillId="0" borderId="4" xfId="4495" applyNumberFormat="1" applyFont="1" applyBorder="1" applyAlignment="1">
      <alignment horizontal="right"/>
    </xf>
    <xf numFmtId="165" fontId="15" fillId="43" borderId="3" xfId="4495" applyNumberFormat="1" applyFont="1" applyFill="1" applyBorder="1" applyAlignment="1" applyProtection="1">
      <alignment horizontal="center"/>
      <protection locked="0"/>
    </xf>
    <xf numFmtId="165" fontId="15" fillId="43" borderId="4" xfId="4495" applyNumberFormat="1" applyFont="1" applyFill="1" applyBorder="1" applyAlignment="1" applyProtection="1">
      <alignment horizontal="center"/>
      <protection locked="0"/>
    </xf>
    <xf numFmtId="165" fontId="15" fillId="43" borderId="5" xfId="4495" applyNumberFormat="1" applyFont="1" applyFill="1" applyBorder="1" applyAlignment="1" applyProtection="1">
      <alignment horizontal="center"/>
      <protection locked="0"/>
    </xf>
    <xf numFmtId="165" fontId="15" fillId="0" borderId="6" xfId="1192" applyNumberFormat="1" applyBorder="1" applyAlignment="1">
      <alignment horizontal="right"/>
    </xf>
    <xf numFmtId="168" fontId="15" fillId="0" borderId="2" xfId="1192" applyNumberFormat="1" applyBorder="1" applyAlignment="1">
      <alignment horizontal="right"/>
    </xf>
    <xf numFmtId="165" fontId="15" fillId="0" borderId="0" xfId="1192" applyNumberFormat="1" applyAlignment="1">
      <alignment horizontal="right"/>
    </xf>
    <xf numFmtId="0" fontId="15" fillId="0" borderId="53" xfId="4495" applyFont="1" applyBorder="1" applyAlignment="1">
      <alignment horizontal="left" vertical="top" wrapText="1"/>
    </xf>
    <xf numFmtId="0" fontId="15" fillId="0" borderId="0" xfId="4495" applyFont="1" applyAlignment="1">
      <alignment horizontal="left" vertical="top" wrapText="1"/>
    </xf>
    <xf numFmtId="0" fontId="15" fillId="0" borderId="54" xfId="4495" applyFont="1" applyBorder="1" applyAlignment="1">
      <alignment horizontal="left" vertical="top" wrapText="1"/>
    </xf>
    <xf numFmtId="0" fontId="15" fillId="0" borderId="57" xfId="4495" applyFont="1" applyBorder="1" applyAlignment="1">
      <alignment horizontal="left" vertical="top" wrapText="1"/>
    </xf>
    <xf numFmtId="0" fontId="15" fillId="0" borderId="58" xfId="4495" applyFont="1" applyBorder="1" applyAlignment="1">
      <alignment horizontal="left" vertical="top" wrapText="1"/>
    </xf>
    <xf numFmtId="0" fontId="15" fillId="0" borderId="59" xfId="4495" applyFont="1" applyBorder="1" applyAlignment="1">
      <alignment horizontal="left" vertical="top" wrapText="1"/>
    </xf>
    <xf numFmtId="0" fontId="15" fillId="0" borderId="50" xfId="4495" applyFont="1" applyBorder="1" applyAlignment="1">
      <alignment horizontal="left" vertical="top" wrapText="1"/>
    </xf>
    <xf numFmtId="0" fontId="15" fillId="0" borderId="51" xfId="4495" applyFont="1" applyBorder="1" applyAlignment="1">
      <alignment horizontal="left" vertical="top" wrapText="1"/>
    </xf>
    <xf numFmtId="0" fontId="15" fillId="0" borderId="52" xfId="4495" applyFont="1" applyBorder="1" applyAlignment="1">
      <alignment horizontal="left" vertical="top" wrapText="1"/>
    </xf>
    <xf numFmtId="0" fontId="22" fillId="0" borderId="0" xfId="4495" applyFont="1"/>
    <xf numFmtId="0" fontId="15" fillId="43" borderId="53" xfId="4495" applyFont="1" applyFill="1" applyBorder="1" applyAlignment="1" applyProtection="1">
      <alignment vertical="top" wrapText="1"/>
      <protection locked="0"/>
    </xf>
    <xf numFmtId="0" fontId="15" fillId="43" borderId="0" xfId="4495" applyFont="1" applyFill="1" applyAlignment="1" applyProtection="1">
      <alignment vertical="top" wrapText="1"/>
      <protection locked="0"/>
    </xf>
    <xf numFmtId="0" fontId="15" fillId="43" borderId="54" xfId="4495" applyFont="1" applyFill="1" applyBorder="1" applyAlignment="1" applyProtection="1">
      <alignment vertical="top" wrapText="1"/>
      <protection locked="0"/>
    </xf>
    <xf numFmtId="0" fontId="15" fillId="43" borderId="55" xfId="4495" applyFont="1" applyFill="1" applyBorder="1" applyAlignment="1" applyProtection="1">
      <alignment vertical="top" wrapText="1"/>
      <protection locked="0"/>
    </xf>
    <xf numFmtId="0" fontId="15" fillId="43" borderId="6" xfId="4495" applyFont="1" applyFill="1" applyBorder="1" applyAlignment="1" applyProtection="1">
      <alignment vertical="top" wrapText="1"/>
      <protection locked="0"/>
    </xf>
    <xf numFmtId="0" fontId="15" fillId="43" borderId="56" xfId="4495" applyFont="1" applyFill="1" applyBorder="1" applyAlignment="1" applyProtection="1">
      <alignment vertical="top" wrapText="1"/>
      <protection locked="0"/>
    </xf>
    <xf numFmtId="0" fontId="15" fillId="43" borderId="0" xfId="4495" applyFont="1" applyFill="1" applyAlignment="1" applyProtection="1">
      <alignment horizontal="left" vertical="center" wrapText="1"/>
      <protection locked="0"/>
    </xf>
    <xf numFmtId="0" fontId="15" fillId="43" borderId="54" xfId="4495" applyFont="1" applyFill="1" applyBorder="1" applyAlignment="1" applyProtection="1">
      <alignment horizontal="left" vertical="center" wrapText="1"/>
      <protection locked="0"/>
    </xf>
    <xf numFmtId="0" fontId="15" fillId="43" borderId="6" xfId="4495" applyFont="1" applyFill="1" applyBorder="1" applyAlignment="1" applyProtection="1">
      <alignment horizontal="left" vertical="center" wrapText="1"/>
      <protection locked="0"/>
    </xf>
    <xf numFmtId="0" fontId="15"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2" fillId="0" borderId="0" xfId="4495" applyFont="1" applyAlignment="1">
      <alignment horizontal="center"/>
    </xf>
    <xf numFmtId="0" fontId="22" fillId="0" borderId="54" xfId="4495" applyFont="1" applyBorder="1" applyAlignment="1">
      <alignment horizontal="center"/>
    </xf>
    <xf numFmtId="0" fontId="23" fillId="0" borderId="51" xfId="4495" applyFont="1" applyBorder="1" applyAlignment="1">
      <alignment horizontal="left" vertical="top" wrapText="1"/>
    </xf>
    <xf numFmtId="0" fontId="23" fillId="0" borderId="0" xfId="4495" applyFont="1" applyAlignment="1">
      <alignment horizontal="left" vertical="top" wrapText="1"/>
    </xf>
    <xf numFmtId="0" fontId="22"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5" fillId="0" borderId="0" xfId="4495" applyFont="1" applyAlignment="1">
      <alignment horizontal="left" vertical="center" wrapText="1" shrinkToFit="1"/>
    </xf>
    <xf numFmtId="0" fontId="15" fillId="5" borderId="6" xfId="4495" applyFont="1" applyFill="1" applyBorder="1" applyAlignment="1" applyProtection="1">
      <alignment horizontal="center" vertical="center" wrapText="1" shrinkToFit="1"/>
      <protection locked="0"/>
    </xf>
    <xf numFmtId="0" fontId="15" fillId="5" borderId="6" xfId="4495" applyFont="1" applyFill="1" applyBorder="1" applyAlignment="1" applyProtection="1">
      <alignment horizontal="left" wrapText="1" shrinkToFit="1"/>
      <protection locked="0"/>
    </xf>
    <xf numFmtId="0" fontId="15" fillId="43" borderId="6" xfId="1192" applyFill="1" applyBorder="1" applyAlignment="1" applyProtection="1">
      <alignment horizontal="left" vertical="top"/>
      <protection locked="0"/>
    </xf>
    <xf numFmtId="0" fontId="174" fillId="0" borderId="0" xfId="0" applyFont="1" applyAlignment="1" applyProtection="1">
      <alignment horizontal="left"/>
      <protection locked="0"/>
    </xf>
    <xf numFmtId="168" fontId="171" fillId="0" borderId="0" xfId="0" applyNumberFormat="1" applyFont="1" applyAlignment="1">
      <alignment horizontal="center" vertical="top" wrapText="1"/>
    </xf>
    <xf numFmtId="168" fontId="171" fillId="0" borderId="12" xfId="0" applyNumberFormat="1" applyFont="1" applyBorder="1" applyAlignment="1">
      <alignment horizontal="center" vertical="top" wrapText="1"/>
    </xf>
    <xf numFmtId="0" fontId="23" fillId="0" borderId="0" xfId="4495" applyFont="1" applyAlignment="1">
      <alignment horizontal="center"/>
    </xf>
    <xf numFmtId="0" fontId="15" fillId="0" borderId="0" xfId="4495" applyFont="1" applyAlignment="1">
      <alignment wrapText="1"/>
    </xf>
    <xf numFmtId="0" fontId="15" fillId="0" borderId="0" xfId="4495" applyFont="1" applyAlignment="1">
      <alignment horizontal="left" vertical="top" wrapText="1" shrinkToFit="1"/>
    </xf>
    <xf numFmtId="44" fontId="15" fillId="0" borderId="0" xfId="707" applyFont="1" applyFill="1" applyBorder="1" applyAlignment="1" applyProtection="1">
      <alignment horizontal="left" vertical="top" wrapText="1"/>
    </xf>
    <xf numFmtId="0" fontId="22" fillId="0" borderId="0" xfId="4495" applyFont="1" applyAlignment="1">
      <alignment horizontal="left" vertical="top" wrapText="1"/>
    </xf>
    <xf numFmtId="0" fontId="15" fillId="45" borderId="11" xfId="4495" applyFont="1" applyFill="1" applyBorder="1" applyAlignment="1">
      <alignment horizontal="center"/>
    </xf>
    <xf numFmtId="0" fontId="129" fillId="0" borderId="0" xfId="4495" applyFont="1" applyAlignment="1">
      <alignment horizontal="left" vertical="center" wrapText="1"/>
    </xf>
    <xf numFmtId="0" fontId="22" fillId="0" borderId="11" xfId="4495" applyFont="1" applyBorder="1" applyAlignment="1">
      <alignment horizontal="center"/>
    </xf>
    <xf numFmtId="0" fontId="23" fillId="0" borderId="58" xfId="4495" applyFont="1" applyBorder="1" applyAlignment="1">
      <alignment horizontal="left" vertical="top" wrapText="1"/>
    </xf>
    <xf numFmtId="0" fontId="22" fillId="0" borderId="51" xfId="4495" applyFont="1" applyBorder="1" applyAlignment="1">
      <alignment horizontal="center" vertical="top"/>
    </xf>
    <xf numFmtId="0" fontId="22"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23"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3" fillId="5" borderId="58" xfId="4495" applyNumberFormat="1" applyFont="1" applyFill="1" applyBorder="1" applyAlignment="1">
      <alignment horizontal="left"/>
    </xf>
    <xf numFmtId="0" fontId="119" fillId="0" borderId="0" xfId="4495" applyAlignment="1">
      <alignment horizontal="center"/>
    </xf>
    <xf numFmtId="9" fontId="23" fillId="5" borderId="6" xfId="4495" applyNumberFormat="1" applyFont="1" applyFill="1" applyBorder="1" applyAlignment="1">
      <alignment horizontal="left"/>
    </xf>
    <xf numFmtId="0" fontId="119" fillId="5" borderId="55" xfId="4495" applyFill="1" applyBorder="1" applyAlignment="1">
      <alignment horizontal="center"/>
    </xf>
    <xf numFmtId="0" fontId="119" fillId="5" borderId="6" xfId="4495" applyFill="1" applyBorder="1" applyAlignment="1">
      <alignment horizontal="center"/>
    </xf>
    <xf numFmtId="0" fontId="23" fillId="5" borderId="0" xfId="4495" applyFont="1" applyFill="1" applyAlignment="1">
      <alignment horizontal="left" vertical="top" wrapText="1"/>
    </xf>
    <xf numFmtId="0" fontId="23" fillId="5" borderId="58" xfId="4495" applyFont="1" applyFill="1" applyBorder="1" applyAlignment="1">
      <alignment horizontal="left" vertical="top" wrapText="1"/>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3" fillId="5" borderId="0" xfId="4495" applyFont="1" applyFill="1" applyAlignment="1">
      <alignment horizontal="left" vertical="top"/>
    </xf>
    <xf numFmtId="0" fontId="119" fillId="5" borderId="53" xfId="4495" applyFill="1" applyBorder="1" applyAlignment="1">
      <alignment horizontal="center"/>
    </xf>
    <xf numFmtId="0" fontId="119" fillId="5" borderId="0" xfId="4495" applyFill="1" applyAlignment="1">
      <alignment horizontal="center"/>
    </xf>
    <xf numFmtId="0" fontId="22" fillId="0" borderId="4" xfId="4495" applyFont="1" applyBorder="1" applyAlignment="1">
      <alignment horizontal="left"/>
    </xf>
    <xf numFmtId="0" fontId="22" fillId="0" borderId="5" xfId="4495" applyFont="1" applyBorder="1" applyAlignment="1">
      <alignment horizontal="left"/>
    </xf>
    <xf numFmtId="1" fontId="22" fillId="0" borderId="4" xfId="4495" applyNumberFormat="1" applyFont="1" applyBorder="1" applyAlignment="1">
      <alignment horizontal="center" wrapText="1"/>
    </xf>
    <xf numFmtId="0" fontId="22" fillId="0" borderId="4" xfId="4495" applyFont="1" applyBorder="1" applyAlignment="1">
      <alignment horizontal="center" wrapText="1"/>
    </xf>
    <xf numFmtId="0" fontId="22" fillId="0" borderId="5" xfId="4495" applyFont="1" applyBorder="1" applyAlignment="1">
      <alignment horizontal="center" wrapText="1"/>
    </xf>
    <xf numFmtId="0" fontId="22" fillId="0" borderId="3" xfId="4495" applyFont="1" applyBorder="1" applyAlignment="1">
      <alignment horizontal="center" wrapText="1"/>
    </xf>
    <xf numFmtId="0" fontId="15" fillId="0" borderId="50" xfId="4496" applyFont="1" applyBorder="1" applyAlignment="1">
      <alignment horizontal="left" wrapText="1"/>
    </xf>
    <xf numFmtId="0" fontId="15" fillId="0" borderId="51" xfId="4496" applyFont="1" applyBorder="1" applyAlignment="1">
      <alignment horizontal="left" wrapText="1"/>
    </xf>
    <xf numFmtId="0" fontId="15" fillId="0" borderId="52" xfId="4496" applyFont="1" applyBorder="1" applyAlignment="1">
      <alignment horizontal="left" wrapText="1"/>
    </xf>
    <xf numFmtId="0" fontId="15" fillId="0" borderId="53" xfId="4496" applyFont="1" applyBorder="1" applyAlignment="1">
      <alignment horizontal="left" wrapText="1"/>
    </xf>
    <xf numFmtId="0" fontId="15" fillId="0" borderId="0" xfId="4496" applyFont="1" applyAlignment="1">
      <alignment horizontal="left" wrapText="1"/>
    </xf>
    <xf numFmtId="0" fontId="15" fillId="0" borderId="54" xfId="4496" applyFont="1" applyBorder="1" applyAlignment="1">
      <alignment horizontal="left" wrapText="1"/>
    </xf>
    <xf numFmtId="0" fontId="15" fillId="0" borderId="57" xfId="4496" applyFont="1" applyBorder="1" applyAlignment="1">
      <alignment horizontal="left" wrapText="1"/>
    </xf>
    <xf numFmtId="0" fontId="15" fillId="0" borderId="58" xfId="4496" applyFont="1" applyBorder="1" applyAlignment="1">
      <alignment horizontal="left" wrapText="1"/>
    </xf>
    <xf numFmtId="0" fontId="15" fillId="0" borderId="59" xfId="4496" applyFont="1" applyBorder="1" applyAlignment="1">
      <alignment horizontal="left" wrapText="1"/>
    </xf>
    <xf numFmtId="1" fontId="15" fillId="0" borderId="4" xfId="4496" applyNumberFormat="1" applyFont="1" applyBorder="1" applyAlignment="1">
      <alignment horizontal="center"/>
    </xf>
    <xf numFmtId="1" fontId="15" fillId="0" borderId="5" xfId="4496" applyNumberFormat="1" applyFont="1" applyBorder="1" applyAlignment="1">
      <alignment horizontal="center"/>
    </xf>
    <xf numFmtId="49" fontId="21" fillId="3" borderId="2" xfId="4495" applyNumberFormat="1" applyFont="1" applyFill="1" applyBorder="1" applyAlignment="1">
      <alignment horizontal="center" vertical="center" wrapText="1"/>
    </xf>
    <xf numFmtId="49" fontId="21" fillId="3" borderId="2" xfId="4495" applyNumberFormat="1" applyFont="1" applyFill="1" applyBorder="1" applyAlignment="1">
      <alignment horizontal="center" vertical="center"/>
    </xf>
    <xf numFmtId="49" fontId="21" fillId="3" borderId="0" xfId="4495" applyNumberFormat="1" applyFont="1" applyFill="1" applyAlignment="1">
      <alignment horizontal="center" vertical="center"/>
    </xf>
    <xf numFmtId="0" fontId="22" fillId="0" borderId="1" xfId="4495" applyFont="1" applyBorder="1" applyAlignment="1">
      <alignment horizontal="center" wrapText="1"/>
    </xf>
    <xf numFmtId="0" fontId="22" fillId="0" borderId="2" xfId="4495" applyFont="1" applyBorder="1" applyAlignment="1">
      <alignment horizontal="center" wrapText="1"/>
    </xf>
    <xf numFmtId="0" fontId="22" fillId="0" borderId="7" xfId="4495" applyFont="1" applyBorder="1" applyAlignment="1">
      <alignment horizontal="center" wrapText="1"/>
    </xf>
    <xf numFmtId="0" fontId="22" fillId="0" borderId="9" xfId="4495" applyFont="1" applyBorder="1" applyAlignment="1">
      <alignment horizontal="center" wrapText="1"/>
    </xf>
    <xf numFmtId="0" fontId="22" fillId="0" borderId="6" xfId="4495" applyFont="1" applyBorder="1" applyAlignment="1">
      <alignment horizontal="center" wrapText="1"/>
    </xf>
    <xf numFmtId="0" fontId="22" fillId="0" borderId="10" xfId="4495" applyFont="1" applyBorder="1" applyAlignment="1">
      <alignment horizontal="center" wrapText="1"/>
    </xf>
    <xf numFmtId="1" fontId="22" fillId="0" borderId="11" xfId="4495" applyNumberFormat="1" applyFont="1" applyBorder="1" applyAlignment="1">
      <alignment horizontal="center"/>
    </xf>
    <xf numFmtId="0" fontId="15" fillId="0" borderId="4" xfId="4495" applyFont="1" applyBorder="1" applyAlignment="1">
      <alignment horizontal="left"/>
    </xf>
    <xf numFmtId="0" fontId="15" fillId="0" borderId="5" xfId="4495" applyFont="1" applyBorder="1" applyAlignment="1">
      <alignment horizontal="left"/>
    </xf>
    <xf numFmtId="1" fontId="15" fillId="46" borderId="11" xfId="4495" applyNumberFormat="1" applyFont="1" applyFill="1" applyBorder="1" applyAlignment="1">
      <alignment horizontal="center"/>
    </xf>
    <xf numFmtId="0" fontId="22" fillId="0" borderId="3" xfId="4495" applyFont="1" applyBorder="1" applyAlignment="1">
      <alignment horizontal="left"/>
    </xf>
    <xf numFmtId="0" fontId="15" fillId="5" borderId="11" xfId="4495" applyFont="1" applyFill="1" applyBorder="1" applyAlignment="1" applyProtection="1">
      <alignment horizontal="center"/>
      <protection locked="0"/>
    </xf>
    <xf numFmtId="0" fontId="22" fillId="0" borderId="3" xfId="4495" applyFont="1" applyBorder="1" applyAlignment="1">
      <alignment horizontal="center"/>
    </xf>
    <xf numFmtId="0" fontId="22" fillId="0" borderId="4" xfId="4495" applyFont="1" applyBorder="1" applyAlignment="1">
      <alignment horizontal="center"/>
    </xf>
    <xf numFmtId="0" fontId="22"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68" fontId="15" fillId="0" borderId="6" xfId="1192" applyNumberFormat="1" applyBorder="1" applyAlignment="1">
      <alignment horizontal="right"/>
    </xf>
    <xf numFmtId="0" fontId="117" fillId="0" borderId="4" xfId="1192" applyFont="1" applyBorder="1" applyAlignment="1">
      <alignment horizontal="left"/>
    </xf>
    <xf numFmtId="168" fontId="15" fillId="43" borderId="6" xfId="543" applyNumberFormat="1" applyFill="1" applyBorder="1" applyAlignment="1" applyProtection="1">
      <alignment horizontal="center"/>
      <protection locked="0"/>
    </xf>
    <xf numFmtId="0" fontId="15" fillId="0" borderId="6" xfId="1192" applyBorder="1" applyAlignment="1">
      <alignment horizontal="left"/>
    </xf>
    <xf numFmtId="0" fontId="15" fillId="0" borderId="6" xfId="1192" applyBorder="1" applyAlignment="1">
      <alignment horizontal="right"/>
    </xf>
    <xf numFmtId="168" fontId="15" fillId="43" borderId="6" xfId="1192" applyNumberFormat="1" applyFill="1" applyBorder="1" applyAlignment="1" applyProtection="1">
      <alignment horizontal="right"/>
      <protection locked="0"/>
    </xf>
    <xf numFmtId="10" fontId="23" fillId="0" borderId="2" xfId="4495" applyNumberFormat="1" applyFont="1" applyBorder="1" applyAlignment="1">
      <alignment horizontal="center"/>
    </xf>
    <xf numFmtId="4" fontId="23" fillId="0" borderId="0" xfId="4495" applyNumberFormat="1" applyFont="1" applyAlignment="1">
      <alignment horizontal="center"/>
    </xf>
    <xf numFmtId="0" fontId="31" fillId="42" borderId="2" xfId="4495" applyFont="1" applyFill="1" applyBorder="1" applyAlignment="1">
      <alignment horizontal="center"/>
    </xf>
    <xf numFmtId="0" fontId="31" fillId="42" borderId="6" xfId="4495" applyFont="1" applyFill="1" applyBorder="1" applyAlignment="1">
      <alignment horizontal="center"/>
    </xf>
    <xf numFmtId="4" fontId="23" fillId="0" borderId="6" xfId="4495" applyNumberFormat="1" applyFont="1" applyBorder="1" applyAlignment="1">
      <alignment horizontal="center"/>
    </xf>
    <xf numFmtId="168" fontId="15" fillId="0" borderId="4" xfId="1192" applyNumberFormat="1" applyBorder="1" applyAlignment="1">
      <alignment horizontal="right"/>
    </xf>
    <xf numFmtId="168" fontId="15" fillId="0" borderId="4" xfId="4496" applyNumberFormat="1" applyFont="1" applyBorder="1" applyAlignment="1">
      <alignment horizontal="center"/>
    </xf>
    <xf numFmtId="9" fontId="15" fillId="0" borderId="4" xfId="4496" applyNumberFormat="1" applyFont="1" applyBorder="1" applyAlignment="1">
      <alignment horizontal="center"/>
    </xf>
    <xf numFmtId="164" fontId="15" fillId="0" borderId="50" xfId="4495" applyNumberFormat="1" applyFont="1" applyBorder="1" applyAlignment="1">
      <alignment horizontal="left" vertical="top" wrapText="1"/>
    </xf>
    <xf numFmtId="164" fontId="15" fillId="0" borderId="51" xfId="4495" applyNumberFormat="1" applyFont="1" applyBorder="1" applyAlignment="1">
      <alignment horizontal="left" vertical="top" wrapText="1"/>
    </xf>
    <xf numFmtId="164" fontId="15" fillId="0" borderId="52" xfId="4495" applyNumberFormat="1" applyFont="1" applyBorder="1" applyAlignment="1">
      <alignment horizontal="left" vertical="top" wrapText="1"/>
    </xf>
    <xf numFmtId="164" fontId="15" fillId="0" borderId="53" xfId="4495" applyNumberFormat="1" applyFont="1" applyBorder="1" applyAlignment="1">
      <alignment horizontal="left" vertical="top" wrapText="1"/>
    </xf>
    <xf numFmtId="164" fontId="15" fillId="0" borderId="0" xfId="4495" applyNumberFormat="1" applyFont="1" applyAlignment="1">
      <alignment horizontal="left" vertical="top" wrapText="1"/>
    </xf>
    <xf numFmtId="164" fontId="15" fillId="0" borderId="54" xfId="4495" applyNumberFormat="1" applyFont="1" applyBorder="1" applyAlignment="1">
      <alignment horizontal="left" vertical="top" wrapText="1"/>
    </xf>
    <xf numFmtId="164" fontId="15" fillId="0" borderId="57" xfId="4495" applyNumberFormat="1" applyFont="1" applyBorder="1" applyAlignment="1">
      <alignment horizontal="left" vertical="top" wrapText="1"/>
    </xf>
    <xf numFmtId="164" fontId="15" fillId="0" borderId="58" xfId="4495" applyNumberFormat="1" applyFont="1" applyBorder="1" applyAlignment="1">
      <alignment horizontal="left" vertical="top" wrapText="1"/>
    </xf>
    <xf numFmtId="164" fontId="15" fillId="0" borderId="59" xfId="4495" applyNumberFormat="1" applyFont="1" applyBorder="1" applyAlignment="1">
      <alignment horizontal="left" vertical="top" wrapText="1"/>
    </xf>
    <xf numFmtId="4" fontId="23" fillId="0" borderId="3" xfId="4495" applyNumberFormat="1" applyFont="1" applyBorder="1" applyAlignment="1">
      <alignment horizontal="center"/>
    </xf>
    <xf numFmtId="4" fontId="23" fillId="0" borderId="4" xfId="4495" applyNumberFormat="1" applyFont="1" applyBorder="1" applyAlignment="1">
      <alignment horizontal="center"/>
    </xf>
    <xf numFmtId="4" fontId="23"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5"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80" xfId="4496" applyFont="1" applyBorder="1" applyAlignment="1">
      <alignment horizontal="right"/>
    </xf>
    <xf numFmtId="0" fontId="97" fillId="0" borderId="11" xfId="4496" applyFont="1" applyBorder="1" applyAlignment="1">
      <alignment horizontal="right"/>
    </xf>
    <xf numFmtId="0" fontId="97" fillId="0" borderId="72" xfId="4496" applyFont="1" applyBorder="1" applyAlignment="1">
      <alignment horizontal="right"/>
    </xf>
    <xf numFmtId="0" fontId="97" fillId="0" borderId="73" xfId="4496" applyFont="1" applyBorder="1" applyAlignment="1">
      <alignment horizontal="right"/>
    </xf>
    <xf numFmtId="0" fontId="97" fillId="0" borderId="11" xfId="4496" applyFont="1" applyBorder="1"/>
    <xf numFmtId="0" fontId="97" fillId="0" borderId="91" xfId="4496" applyFont="1" applyBorder="1"/>
    <xf numFmtId="0" fontId="97" fillId="0" borderId="73" xfId="4496" applyFont="1" applyBorder="1"/>
    <xf numFmtId="0" fontId="97" fillId="0" borderId="93" xfId="4496" applyFont="1" applyBorder="1"/>
    <xf numFmtId="0" fontId="97" fillId="0" borderId="70" xfId="4496" applyFont="1" applyBorder="1" applyAlignment="1">
      <alignment horizontal="right"/>
    </xf>
    <xf numFmtId="0" fontId="97" fillId="0" borderId="71" xfId="4496" applyFont="1" applyBorder="1" applyAlignment="1">
      <alignment horizontal="right"/>
    </xf>
    <xf numFmtId="0" fontId="136" fillId="0" borderId="90" xfId="4496" applyFont="1" applyBorder="1" applyAlignment="1">
      <alignment horizontal="center" vertical="top" wrapText="1"/>
    </xf>
    <xf numFmtId="0" fontId="136" fillId="0" borderId="89" xfId="4496" applyFont="1" applyBorder="1" applyAlignment="1">
      <alignment horizontal="center" vertical="top" wrapText="1"/>
    </xf>
    <xf numFmtId="0" fontId="97" fillId="0" borderId="71" xfId="4496" applyFont="1" applyBorder="1"/>
    <xf numFmtId="0" fontId="97" fillId="0" borderId="74" xfId="4496" applyFont="1" applyBorder="1"/>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15" xfId="4496" applyFont="1" applyBorder="1" applyAlignment="1">
      <alignment horizontal="left" indent="1"/>
    </xf>
    <xf numFmtId="0" fontId="136" fillId="0" borderId="71" xfId="4496" applyFont="1" applyBorder="1" applyAlignment="1">
      <alignment horizontal="left" indent="1"/>
    </xf>
    <xf numFmtId="168" fontId="97" fillId="0" borderId="11" xfId="4499" applyNumberFormat="1" applyFont="1" applyFill="1" applyBorder="1" applyAlignment="1" applyProtection="1">
      <alignment horizontal="left" vertical="center" indent="1"/>
    </xf>
    <xf numFmtId="168" fontId="97" fillId="0" borderId="13"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168" fontId="97" fillId="0" borderId="84" xfId="4499" applyNumberFormat="1" applyFont="1" applyFill="1" applyBorder="1" applyAlignment="1" applyProtection="1">
      <alignment horizontal="left" vertical="center" indent="1"/>
    </xf>
    <xf numFmtId="168" fontId="97" fillId="0" borderId="83" xfId="4499" applyNumberFormat="1" applyFont="1" applyFill="1" applyBorder="1" applyAlignment="1" applyProtection="1">
      <alignment horizontal="left" vertical="center" indent="1"/>
    </xf>
    <xf numFmtId="43" fontId="145" fillId="53" borderId="80" xfId="698" applyFont="1" applyFill="1" applyBorder="1" applyAlignment="1" applyProtection="1">
      <alignment horizontal="right"/>
      <protection hidden="1"/>
    </xf>
    <xf numFmtId="43" fontId="145" fillId="53" borderId="11" xfId="698" applyFont="1" applyFill="1" applyBorder="1" applyAlignment="1" applyProtection="1">
      <alignment horizontal="right"/>
      <protection hidden="1"/>
    </xf>
    <xf numFmtId="44" fontId="145" fillId="0" borderId="11" xfId="700" applyFont="1" applyBorder="1" applyAlignment="1" applyProtection="1">
      <alignment horizontal="center"/>
      <protection hidden="1"/>
    </xf>
    <xf numFmtId="164" fontId="145" fillId="0" borderId="11" xfId="700" applyNumberFormat="1" applyFont="1" applyBorder="1" applyAlignment="1" applyProtection="1">
      <alignment horizontal="center"/>
      <protection hidden="1"/>
    </xf>
    <xf numFmtId="9" fontId="145" fillId="0" borderId="11" xfId="1022" applyFont="1" applyBorder="1" applyAlignment="1" applyProtection="1">
      <alignment horizontal="center"/>
      <protection hidden="1"/>
    </xf>
    <xf numFmtId="0" fontId="147" fillId="53" borderId="80" xfId="698" applyNumberFormat="1" applyFont="1" applyFill="1" applyBorder="1" applyAlignment="1" applyProtection="1">
      <alignment horizontal="center"/>
      <protection hidden="1"/>
    </xf>
    <xf numFmtId="0" fontId="147" fillId="53" borderId="11" xfId="698" applyNumberFormat="1" applyFont="1" applyFill="1" applyBorder="1" applyAlignment="1" applyProtection="1">
      <alignment horizontal="center"/>
      <protection hidden="1"/>
    </xf>
    <xf numFmtId="0" fontId="147" fillId="49" borderId="11" xfId="0" applyFont="1" applyFill="1" applyBorder="1" applyAlignment="1" applyProtection="1">
      <alignment horizontal="center"/>
      <protection locked="0"/>
    </xf>
    <xf numFmtId="14" fontId="177" fillId="49" borderId="11" xfId="700" applyNumberFormat="1" applyFont="1" applyFill="1" applyBorder="1" applyAlignment="1" applyProtection="1">
      <alignment horizontal="center"/>
      <protection locked="0"/>
    </xf>
    <xf numFmtId="164" fontId="147" fillId="49" borderId="11" xfId="700" applyNumberFormat="1" applyFont="1" applyFill="1" applyBorder="1" applyAlignment="1" applyProtection="1">
      <alignment horizontal="center"/>
      <protection locked="0"/>
    </xf>
    <xf numFmtId="9" fontId="147" fillId="49" borderId="11" xfId="1022" applyFont="1" applyFill="1" applyBorder="1" applyAlignment="1" applyProtection="1">
      <alignment horizontal="center"/>
      <protection locked="0"/>
    </xf>
    <xf numFmtId="0" fontId="147" fillId="49" borderId="3" xfId="0" applyFont="1" applyFill="1" applyBorder="1" applyAlignment="1" applyProtection="1">
      <alignment horizontal="center"/>
      <protection locked="0"/>
    </xf>
    <xf numFmtId="0" fontId="147" fillId="49" borderId="4" xfId="0" applyFont="1" applyFill="1" applyBorder="1" applyAlignment="1" applyProtection="1">
      <alignment horizontal="center"/>
      <protection locked="0"/>
    </xf>
    <xf numFmtId="0" fontId="147" fillId="49" borderId="5" xfId="0" applyFont="1" applyFill="1" applyBorder="1" applyAlignment="1" applyProtection="1">
      <alignment horizontal="center"/>
      <protection locked="0"/>
    </xf>
    <xf numFmtId="44" fontId="3" fillId="0" borderId="11" xfId="700" applyFont="1" applyBorder="1" applyAlignment="1" applyProtection="1">
      <alignment horizontal="center"/>
      <protection hidden="1"/>
    </xf>
    <xf numFmtId="44" fontId="3" fillId="49" borderId="11" xfId="700" applyFont="1" applyFill="1" applyBorder="1" applyAlignment="1" applyProtection="1">
      <alignment horizontal="center"/>
      <protection hidden="1"/>
    </xf>
    <xf numFmtId="44" fontId="3" fillId="44" borderId="11" xfId="700" applyFont="1" applyFill="1" applyBorder="1" applyAlignment="1" applyProtection="1">
      <alignment horizontal="center"/>
      <protection hidden="1"/>
    </xf>
    <xf numFmtId="168" fontId="147" fillId="49" borderId="11" xfId="8727" applyNumberFormat="1" applyFont="1" applyFill="1" applyBorder="1" applyAlignment="1">
      <alignment horizontal="center"/>
    </xf>
    <xf numFmtId="0" fontId="145" fillId="44" borderId="11" xfId="8726" applyFont="1" applyFill="1" applyBorder="1" applyAlignment="1">
      <alignment horizontal="left"/>
    </xf>
    <xf numFmtId="0" fontId="3" fillId="48" borderId="3" xfId="8726" applyFill="1" applyBorder="1" applyAlignment="1">
      <alignment horizontal="center"/>
    </xf>
    <xf numFmtId="0" fontId="3" fillId="48" borderId="4" xfId="8726" applyFill="1" applyBorder="1" applyAlignment="1">
      <alignment horizontal="center"/>
    </xf>
    <xf numFmtId="0" fontId="3" fillId="48" borderId="5" xfId="8726" applyFill="1" applyBorder="1" applyAlignment="1">
      <alignment horizontal="center"/>
    </xf>
    <xf numFmtId="0" fontId="162" fillId="48" borderId="3" xfId="8726" applyFont="1" applyFill="1" applyBorder="1" applyAlignment="1">
      <alignment horizontal="center"/>
    </xf>
    <xf numFmtId="0" fontId="162" fillId="48" borderId="4" xfId="8726" applyFont="1" applyFill="1" applyBorder="1" applyAlignment="1">
      <alignment horizontal="center"/>
    </xf>
    <xf numFmtId="0" fontId="162" fillId="48" borderId="5" xfId="8726" applyFont="1" applyFill="1" applyBorder="1" applyAlignment="1">
      <alignment horizontal="center"/>
    </xf>
    <xf numFmtId="43" fontId="147" fillId="53" borderId="11" xfId="698" applyFont="1" applyFill="1" applyBorder="1" applyAlignment="1" applyProtection="1">
      <alignment horizontal="left" wrapText="1"/>
      <protection hidden="1"/>
    </xf>
    <xf numFmtId="0" fontId="162" fillId="45" borderId="11" xfId="8726" applyFont="1" applyFill="1" applyBorder="1" applyAlignment="1">
      <alignment horizontal="left"/>
    </xf>
    <xf numFmtId="0" fontId="172" fillId="45" borderId="11" xfId="8726" applyFont="1" applyFill="1" applyBorder="1" applyAlignment="1">
      <alignment horizontal="left" wrapText="1"/>
    </xf>
    <xf numFmtId="0" fontId="149" fillId="45" borderId="13" xfId="0" applyFont="1" applyFill="1" applyBorder="1" applyAlignment="1" applyProtection="1">
      <alignment horizontal="left" wrapText="1"/>
      <protection hidden="1"/>
    </xf>
    <xf numFmtId="0" fontId="149" fillId="45" borderId="13" xfId="0" applyFont="1" applyFill="1" applyBorder="1" applyAlignment="1" applyProtection="1">
      <alignment horizontal="center" wrapText="1"/>
      <protection hidden="1"/>
    </xf>
    <xf numFmtId="182" fontId="3" fillId="0" borderId="13" xfId="8726" applyNumberFormat="1" applyBorder="1" applyAlignment="1">
      <alignment horizontal="center"/>
    </xf>
    <xf numFmtId="0" fontId="3" fillId="0" borderId="13" xfId="8726" applyBorder="1" applyAlignment="1">
      <alignment horizontal="center"/>
    </xf>
    <xf numFmtId="0" fontId="148" fillId="45" borderId="11" xfId="8726" applyFont="1" applyFill="1" applyBorder="1" applyAlignment="1">
      <alignment horizontal="center" wrapText="1"/>
    </xf>
    <xf numFmtId="0" fontId="149" fillId="45" borderId="11" xfId="8726" applyFont="1" applyFill="1" applyBorder="1" applyAlignment="1">
      <alignment horizontal="center"/>
    </xf>
    <xf numFmtId="0" fontId="149" fillId="45" borderId="91" xfId="8726" applyFont="1" applyFill="1" applyBorder="1" applyAlignment="1">
      <alignment horizontal="center"/>
    </xf>
    <xf numFmtId="0" fontId="148" fillId="45" borderId="80" xfId="8726" applyFont="1" applyFill="1" applyBorder="1" applyAlignment="1">
      <alignment horizontal="center"/>
    </xf>
    <xf numFmtId="0" fontId="148" fillId="45" borderId="11" xfId="8726" applyFont="1" applyFill="1" applyBorder="1" applyAlignment="1">
      <alignment horizontal="center"/>
    </xf>
    <xf numFmtId="0" fontId="3" fillId="49" borderId="11" xfId="8726" applyFill="1" applyBorder="1" applyAlignment="1" applyProtection="1">
      <alignment horizontal="center"/>
      <protection locked="0"/>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01" fillId="45" borderId="70" xfId="8726" applyFont="1" applyFill="1" applyBorder="1" applyAlignment="1">
      <alignment horizontal="center" wrapText="1"/>
    </xf>
    <xf numFmtId="0" fontId="101" fillId="45" borderId="71" xfId="8726" applyFont="1" applyFill="1" applyBorder="1" applyAlignment="1">
      <alignment horizontal="center" wrapText="1"/>
    </xf>
    <xf numFmtId="0" fontId="101" fillId="45" borderId="74" xfId="8726" applyFont="1" applyFill="1" applyBorder="1" applyAlignment="1">
      <alignment horizontal="center" wrapText="1"/>
    </xf>
    <xf numFmtId="0" fontId="3" fillId="49" borderId="91" xfId="8726" applyFill="1" applyBorder="1" applyAlignment="1" applyProtection="1">
      <alignment horizontal="center"/>
      <protection locked="0"/>
    </xf>
    <xf numFmtId="0" fontId="101" fillId="45" borderId="104" xfId="8726" applyFont="1" applyFill="1" applyBorder="1" applyAlignment="1">
      <alignment horizontal="center"/>
    </xf>
    <xf numFmtId="0" fontId="101" fillId="45" borderId="97" xfId="8726" applyFont="1" applyFill="1" applyBorder="1" applyAlignment="1">
      <alignment horizontal="center"/>
    </xf>
    <xf numFmtId="0" fontId="101" fillId="45" borderId="98" xfId="8726" applyFont="1" applyFill="1" applyBorder="1" applyAlignment="1">
      <alignment horizontal="center"/>
    </xf>
    <xf numFmtId="43" fontId="145" fillId="56" borderId="13" xfId="698" applyFont="1" applyFill="1" applyBorder="1" applyAlignment="1" applyProtection="1">
      <alignment horizontal="center"/>
      <protection hidden="1"/>
    </xf>
    <xf numFmtId="43" fontId="147" fillId="53" borderId="11" xfId="698" applyFont="1" applyFill="1" applyBorder="1" applyAlignment="1" applyProtection="1">
      <alignment horizontal="left"/>
      <protection hidden="1"/>
    </xf>
    <xf numFmtId="0" fontId="162" fillId="49" borderId="80" xfId="8726" applyFont="1" applyFill="1" applyBorder="1" applyAlignment="1">
      <alignment horizontal="left" vertical="top"/>
    </xf>
    <xf numFmtId="0" fontId="162" fillId="49" borderId="11" xfId="8726" applyFont="1" applyFill="1" applyBorder="1" applyAlignment="1">
      <alignment horizontal="left" vertical="top"/>
    </xf>
    <xf numFmtId="0" fontId="162" fillId="49" borderId="91" xfId="8726" applyFont="1" applyFill="1" applyBorder="1" applyAlignment="1">
      <alignment horizontal="left" vertical="top"/>
    </xf>
    <xf numFmtId="0" fontId="162" fillId="49" borderId="72" xfId="8726" applyFont="1" applyFill="1" applyBorder="1" applyAlignment="1">
      <alignment horizontal="left" vertical="top"/>
    </xf>
    <xf numFmtId="0" fontId="162" fillId="49" borderId="73" xfId="8726" applyFont="1" applyFill="1" applyBorder="1" applyAlignment="1">
      <alignment horizontal="left" vertical="top"/>
    </xf>
    <xf numFmtId="0" fontId="162" fillId="49" borderId="93" xfId="8726" applyFont="1" applyFill="1" applyBorder="1" applyAlignment="1">
      <alignment horizontal="left" vertical="top"/>
    </xf>
    <xf numFmtId="0" fontId="148" fillId="45" borderId="72" xfId="8726" applyFont="1" applyFill="1" applyBorder="1" applyAlignment="1">
      <alignment horizontal="center"/>
    </xf>
    <xf numFmtId="0" fontId="148" fillId="45" borderId="73" xfId="8726" applyFont="1" applyFill="1" applyBorder="1" applyAlignment="1">
      <alignment horizontal="center"/>
    </xf>
    <xf numFmtId="0" fontId="3" fillId="49" borderId="73" xfId="8726" applyFill="1" applyBorder="1" applyAlignment="1" applyProtection="1">
      <alignment horizontal="center"/>
      <protection locked="0"/>
    </xf>
    <xf numFmtId="0" fontId="3" fillId="49" borderId="93" xfId="8726" applyFill="1" applyBorder="1" applyAlignment="1" applyProtection="1">
      <alignment horizontal="center"/>
      <protection locked="0"/>
    </xf>
    <xf numFmtId="1" fontId="147" fillId="49" borderId="11" xfId="8726" applyNumberFormat="1" applyFont="1" applyFill="1" applyBorder="1" applyAlignment="1" applyProtection="1">
      <alignment horizontal="center"/>
      <protection locked="0"/>
    </xf>
    <xf numFmtId="0" fontId="144" fillId="47" borderId="65" xfId="8726" applyFont="1" applyFill="1" applyBorder="1" applyAlignment="1">
      <alignment horizontal="center"/>
    </xf>
    <xf numFmtId="0" fontId="144" fillId="47" borderId="29" xfId="8726" applyFont="1" applyFill="1" applyBorder="1" applyAlignment="1">
      <alignment horizontal="center"/>
    </xf>
    <xf numFmtId="0" fontId="144" fillId="47" borderId="31" xfId="8726" applyFont="1" applyFill="1" applyBorder="1" applyAlignment="1">
      <alignment horizontal="center"/>
    </xf>
    <xf numFmtId="0" fontId="145" fillId="49" borderId="66" xfId="8726" applyFont="1" applyFill="1" applyBorder="1" applyAlignment="1">
      <alignment horizontal="center"/>
    </xf>
    <xf numFmtId="0" fontId="145" fillId="49" borderId="0" xfId="8726" applyFont="1" applyFill="1" applyAlignment="1">
      <alignment horizontal="center"/>
    </xf>
    <xf numFmtId="0" fontId="145" fillId="49" borderId="41" xfId="8726" applyFont="1" applyFill="1" applyBorder="1" applyAlignment="1">
      <alignment horizontal="center"/>
    </xf>
    <xf numFmtId="0" fontId="147" fillId="44" borderId="67" xfId="8726" applyFont="1" applyFill="1" applyBorder="1" applyAlignment="1">
      <alignment horizontal="left"/>
    </xf>
    <xf numFmtId="0" fontId="147" fillId="44" borderId="68" xfId="8726" applyFont="1" applyFill="1" applyBorder="1" applyAlignment="1">
      <alignment horizontal="left"/>
    </xf>
    <xf numFmtId="0" fontId="147" fillId="44" borderId="69" xfId="8726" applyFont="1" applyFill="1" applyBorder="1" applyAlignment="1">
      <alignment horizontal="left"/>
    </xf>
    <xf numFmtId="0" fontId="160" fillId="45" borderId="11" xfId="8726" applyFont="1" applyFill="1" applyBorder="1" applyAlignment="1">
      <alignment horizontal="right"/>
    </xf>
    <xf numFmtId="14" fontId="147" fillId="49" borderId="11" xfId="8726" applyNumberFormat="1" applyFont="1" applyFill="1" applyBorder="1" applyAlignment="1" applyProtection="1">
      <alignment horizontal="center"/>
      <protection locked="0"/>
    </xf>
    <xf numFmtId="0" fontId="147" fillId="49" borderId="11" xfId="8726" applyFont="1" applyFill="1" applyBorder="1" applyAlignment="1" applyProtection="1">
      <alignment horizontal="center"/>
      <protection locked="0"/>
    </xf>
    <xf numFmtId="0" fontId="146" fillId="45" borderId="11" xfId="8726" applyFont="1" applyFill="1" applyBorder="1" applyAlignment="1">
      <alignment horizontal="right"/>
    </xf>
    <xf numFmtId="0" fontId="3" fillId="44" borderId="67" xfId="8726" applyFill="1" applyBorder="1" applyAlignment="1">
      <alignment horizontal="center"/>
    </xf>
    <xf numFmtId="0" fontId="3" fillId="44" borderId="68" xfId="8726" applyFill="1" applyBorder="1" applyAlignment="1">
      <alignment horizontal="center"/>
    </xf>
    <xf numFmtId="0" fontId="3" fillId="44" borderId="69" xfId="8726" applyFill="1" applyBorder="1" applyAlignment="1">
      <alignment horizontal="center"/>
    </xf>
    <xf numFmtId="0" fontId="101" fillId="45" borderId="70" xfId="8726" applyFont="1" applyFill="1" applyBorder="1" applyAlignment="1">
      <alignment horizontal="left" wrapText="1"/>
    </xf>
    <xf numFmtId="0" fontId="101" fillId="45" borderId="71" xfId="8726" applyFont="1" applyFill="1" applyBorder="1" applyAlignment="1">
      <alignment horizontal="left" wrapText="1"/>
    </xf>
    <xf numFmtId="0" fontId="101" fillId="45" borderId="80" xfId="8726" applyFont="1" applyFill="1" applyBorder="1" applyAlignment="1">
      <alignment horizontal="left" wrapText="1"/>
    </xf>
    <xf numFmtId="0" fontId="101" fillId="45" borderId="11" xfId="8726" applyFont="1" applyFill="1" applyBorder="1" applyAlignment="1">
      <alignment horizontal="left" wrapText="1"/>
    </xf>
    <xf numFmtId="0" fontId="147" fillId="49" borderId="71" xfId="8726" applyFont="1" applyFill="1" applyBorder="1" applyAlignment="1" applyProtection="1">
      <alignment horizontal="left" wrapText="1"/>
      <protection locked="0"/>
    </xf>
    <xf numFmtId="0" fontId="147" fillId="49" borderId="74" xfId="8726" applyFont="1" applyFill="1" applyBorder="1" applyAlignment="1" applyProtection="1">
      <alignment horizontal="left" wrapText="1"/>
      <protection locked="0"/>
    </xf>
    <xf numFmtId="0" fontId="147" fillId="49" borderId="11" xfId="8726" applyFont="1" applyFill="1" applyBorder="1" applyAlignment="1" applyProtection="1">
      <alignment horizontal="left" wrapText="1"/>
      <protection locked="0"/>
    </xf>
    <xf numFmtId="0" fontId="147" fillId="49" borderId="91" xfId="8726" applyFont="1" applyFill="1" applyBorder="1" applyAlignment="1" applyProtection="1">
      <alignment horizontal="left" wrapText="1"/>
      <protection locked="0"/>
    </xf>
    <xf numFmtId="168" fontId="164" fillId="44" borderId="11" xfId="8727" applyNumberFormat="1" applyFont="1" applyFill="1" applyBorder="1" applyAlignment="1" applyProtection="1">
      <alignment horizontal="left"/>
    </xf>
    <xf numFmtId="0" fontId="148" fillId="45" borderId="11" xfId="8726" applyFont="1" applyFill="1" applyBorder="1" applyAlignment="1">
      <alignment horizontal="right"/>
    </xf>
    <xf numFmtId="1" fontId="3" fillId="44" borderId="11" xfId="8726" applyNumberFormat="1" applyFill="1" applyBorder="1" applyAlignment="1">
      <alignment horizontal="center"/>
    </xf>
    <xf numFmtId="0" fontId="3" fillId="44" borderId="11" xfId="8726" applyFill="1" applyBorder="1" applyAlignment="1">
      <alignment horizontal="center"/>
    </xf>
    <xf numFmtId="0" fontId="146" fillId="45" borderId="11" xfId="8726" applyFont="1" applyFill="1" applyBorder="1" applyAlignment="1">
      <alignment horizontal="right" wrapText="1"/>
    </xf>
    <xf numFmtId="14" fontId="147" fillId="49" borderId="11" xfId="8726" applyNumberFormat="1" applyFont="1" applyFill="1" applyBorder="1" applyAlignment="1" applyProtection="1">
      <alignment horizontal="center" vertical="center"/>
      <protection locked="0"/>
    </xf>
    <xf numFmtId="0" fontId="147" fillId="49" borderId="11" xfId="8726" applyFont="1" applyFill="1" applyBorder="1" applyAlignment="1" applyProtection="1">
      <alignment horizontal="center" vertical="center"/>
      <protection locked="0"/>
    </xf>
    <xf numFmtId="0" fontId="101" fillId="45" borderId="67" xfId="8726" applyFont="1" applyFill="1" applyBorder="1" applyAlignment="1">
      <alignment horizontal="center"/>
    </xf>
    <xf numFmtId="0" fontId="101" fillId="45" borderId="68" xfId="8726" applyFont="1" applyFill="1" applyBorder="1" applyAlignment="1">
      <alignment horizontal="center"/>
    </xf>
    <xf numFmtId="0" fontId="101" fillId="45" borderId="69" xfId="8726" applyFont="1" applyFill="1" applyBorder="1" applyAlignment="1">
      <alignment horizontal="center"/>
    </xf>
    <xf numFmtId="0" fontId="147" fillId="49" borderId="67" xfId="8726" applyFont="1" applyFill="1" applyBorder="1" applyAlignment="1" applyProtection="1">
      <alignment horizontal="center"/>
      <protection locked="0"/>
    </xf>
    <xf numFmtId="0" fontId="147" fillId="49" borderId="68" xfId="8726" applyFont="1" applyFill="1" applyBorder="1" applyAlignment="1" applyProtection="1">
      <alignment horizontal="center"/>
      <protection locked="0"/>
    </xf>
    <xf numFmtId="0" fontId="147" fillId="49" borderId="69" xfId="8726" applyFont="1" applyFill="1" applyBorder="1" applyAlignment="1" applyProtection="1">
      <alignment horizontal="center"/>
      <protection locked="0"/>
    </xf>
    <xf numFmtId="0" fontId="101" fillId="45" borderId="67" xfId="8726" applyFont="1" applyFill="1" applyBorder="1" applyAlignment="1">
      <alignment horizontal="right"/>
    </xf>
    <xf numFmtId="0" fontId="101" fillId="45" borderId="68" xfId="8726" applyFont="1" applyFill="1" applyBorder="1" applyAlignment="1">
      <alignment horizontal="right"/>
    </xf>
    <xf numFmtId="0" fontId="101" fillId="45" borderId="99" xfId="8726" applyFont="1" applyFill="1" applyBorder="1" applyAlignment="1">
      <alignment horizontal="right"/>
    </xf>
    <xf numFmtId="0" fontId="3" fillId="44" borderId="97" xfId="8726" applyFill="1" applyBorder="1" applyAlignment="1">
      <alignment horizontal="center"/>
    </xf>
    <xf numFmtId="0" fontId="3" fillId="44" borderId="98" xfId="8726" applyFill="1" applyBorder="1" applyAlignment="1">
      <alignment horizontal="center"/>
    </xf>
    <xf numFmtId="0" fontId="145" fillId="45" borderId="75" xfId="8726" applyFont="1" applyFill="1" applyBorder="1" applyAlignment="1">
      <alignment horizontal="center"/>
    </xf>
    <xf numFmtId="0" fontId="145" fillId="45" borderId="76" xfId="8726" applyFont="1" applyFill="1" applyBorder="1" applyAlignment="1">
      <alignment horizontal="center"/>
    </xf>
    <xf numFmtId="0" fontId="145" fillId="45" borderId="77" xfId="8726" applyFont="1" applyFill="1" applyBorder="1" applyAlignment="1">
      <alignment horizontal="center"/>
    </xf>
    <xf numFmtId="0" fontId="148" fillId="45" borderId="78" xfId="8726" applyFont="1" applyFill="1" applyBorder="1" applyAlignment="1">
      <alignment horizontal="center"/>
    </xf>
    <xf numFmtId="0" fontId="148" fillId="45" borderId="2" xfId="8726" applyFont="1" applyFill="1" applyBorder="1" applyAlignment="1">
      <alignment horizontal="center"/>
    </xf>
    <xf numFmtId="0" fontId="148" fillId="45" borderId="7" xfId="8726" applyFont="1" applyFill="1" applyBorder="1" applyAlignment="1">
      <alignment horizontal="center"/>
    </xf>
    <xf numFmtId="0" fontId="148" fillId="45" borderId="3" xfId="8726" applyFont="1" applyFill="1" applyBorder="1" applyAlignment="1">
      <alignment horizontal="center"/>
    </xf>
    <xf numFmtId="0" fontId="148" fillId="45" borderId="4" xfId="8726" applyFont="1" applyFill="1" applyBorder="1" applyAlignment="1">
      <alignment horizontal="center"/>
    </xf>
    <xf numFmtId="0" fontId="148" fillId="45" borderId="5" xfId="8726" applyFont="1" applyFill="1" applyBorder="1" applyAlignment="1">
      <alignment horizontal="center"/>
    </xf>
    <xf numFmtId="0" fontId="148" fillId="45" borderId="79" xfId="8726" applyFont="1" applyFill="1" applyBorder="1" applyAlignment="1">
      <alignment horizontal="center"/>
    </xf>
    <xf numFmtId="9" fontId="162" fillId="49" borderId="92" xfId="8726" applyNumberFormat="1" applyFont="1" applyFill="1" applyBorder="1" applyAlignment="1">
      <alignment horizontal="center"/>
    </xf>
    <xf numFmtId="9" fontId="162" fillId="49" borderId="4" xfId="8726" applyNumberFormat="1" applyFont="1" applyFill="1" applyBorder="1" applyAlignment="1">
      <alignment horizontal="center"/>
    </xf>
    <xf numFmtId="9" fontId="162" fillId="49" borderId="5" xfId="8726" applyNumberFormat="1" applyFont="1" applyFill="1" applyBorder="1" applyAlignment="1">
      <alignment horizontal="center"/>
    </xf>
    <xf numFmtId="0" fontId="162" fillId="44" borderId="3" xfId="8726" applyFont="1" applyFill="1" applyBorder="1" applyAlignment="1">
      <alignment horizontal="center"/>
    </xf>
    <xf numFmtId="0" fontId="162" fillId="44" borderId="4" xfId="8726" applyFont="1" applyFill="1" applyBorder="1" applyAlignment="1">
      <alignment horizontal="center"/>
    </xf>
    <xf numFmtId="0" fontId="162" fillId="44" borderId="5" xfId="8726" applyFont="1" applyFill="1" applyBorder="1" applyAlignment="1">
      <alignment horizontal="center"/>
    </xf>
    <xf numFmtId="9" fontId="148" fillId="44" borderId="3" xfId="8726" applyNumberFormat="1" applyFont="1" applyFill="1" applyBorder="1" applyAlignment="1">
      <alignment horizontal="center"/>
    </xf>
    <xf numFmtId="9" fontId="148" fillId="44" borderId="4" xfId="8726" applyNumberFormat="1" applyFont="1" applyFill="1" applyBorder="1" applyAlignment="1">
      <alignment horizontal="center"/>
    </xf>
    <xf numFmtId="9" fontId="148" fillId="44" borderId="79" xfId="8726" applyNumberFormat="1" applyFont="1" applyFill="1" applyBorder="1" applyAlignment="1">
      <alignment horizontal="center"/>
    </xf>
    <xf numFmtId="9" fontId="148" fillId="49" borderId="9" xfId="8726" applyNumberFormat="1" applyFont="1" applyFill="1" applyBorder="1" applyAlignment="1" applyProtection="1">
      <alignment horizontal="center"/>
      <protection locked="0"/>
    </xf>
    <xf numFmtId="9" fontId="148" fillId="49" borderId="6" xfId="8726" applyNumberFormat="1" applyFont="1" applyFill="1" applyBorder="1" applyAlignment="1" applyProtection="1">
      <alignment horizontal="center"/>
      <protection locked="0"/>
    </xf>
    <xf numFmtId="9" fontId="148" fillId="49" borderId="10" xfId="8726" applyNumberFormat="1" applyFont="1" applyFill="1" applyBorder="1" applyAlignment="1" applyProtection="1">
      <alignment horizontal="center"/>
      <protection locked="0"/>
    </xf>
    <xf numFmtId="9" fontId="149" fillId="49" borderId="9" xfId="8726" applyNumberFormat="1" applyFont="1" applyFill="1" applyBorder="1" applyAlignment="1" applyProtection="1">
      <alignment horizontal="center"/>
      <protection locked="0"/>
    </xf>
    <xf numFmtId="9" fontId="149" fillId="49" borderId="6" xfId="8726" applyNumberFormat="1" applyFont="1" applyFill="1" applyBorder="1" applyAlignment="1" applyProtection="1">
      <alignment horizontal="center"/>
      <protection locked="0"/>
    </xf>
    <xf numFmtId="9" fontId="149" fillId="49" borderId="10" xfId="8726" applyNumberFormat="1" applyFont="1" applyFill="1" applyBorder="1" applyAlignment="1" applyProtection="1">
      <alignment horizontal="center"/>
      <protection locked="0"/>
    </xf>
    <xf numFmtId="0" fontId="149" fillId="44" borderId="9" xfId="8726" applyFont="1" applyFill="1" applyBorder="1" applyAlignment="1">
      <alignment horizontal="center"/>
    </xf>
    <xf numFmtId="0" fontId="149" fillId="44" borderId="6" xfId="8726" applyFont="1" applyFill="1" applyBorder="1" applyAlignment="1">
      <alignment horizontal="center"/>
    </xf>
    <xf numFmtId="0" fontId="149" fillId="44" borderId="10" xfId="8726" applyFont="1" applyFill="1" applyBorder="1" applyAlignment="1">
      <alignment horizontal="center"/>
    </xf>
    <xf numFmtId="0" fontId="149" fillId="44" borderId="103" xfId="8726" applyFont="1" applyFill="1" applyBorder="1" applyAlignment="1">
      <alignment horizontal="center"/>
    </xf>
    <xf numFmtId="0" fontId="148" fillId="44" borderId="81" xfId="8726" applyFont="1" applyFill="1" applyBorder="1" applyAlignment="1">
      <alignment horizontal="center"/>
    </xf>
    <xf numFmtId="0" fontId="148" fillId="44" borderId="82" xfId="8726" applyFont="1" applyFill="1" applyBorder="1" applyAlignment="1">
      <alignment horizontal="center"/>
    </xf>
    <xf numFmtId="0" fontId="148" fillId="44" borderId="83" xfId="8726" applyFont="1" applyFill="1" applyBorder="1" applyAlignment="1">
      <alignment horizontal="center"/>
    </xf>
    <xf numFmtId="0" fontId="162" fillId="44" borderId="84" xfId="8726" applyFont="1" applyFill="1" applyBorder="1" applyAlignment="1">
      <alignment horizontal="center"/>
    </xf>
    <xf numFmtId="0" fontId="162" fillId="44" borderId="82" xfId="8726" applyFont="1" applyFill="1" applyBorder="1" applyAlignment="1">
      <alignment horizontal="center"/>
    </xf>
    <xf numFmtId="0" fontId="162" fillId="44" borderId="83" xfId="8726" applyFont="1" applyFill="1" applyBorder="1" applyAlignment="1">
      <alignment horizontal="center"/>
    </xf>
    <xf numFmtId="9" fontId="148" fillId="44" borderId="84" xfId="8726" applyNumberFormat="1" applyFont="1" applyFill="1" applyBorder="1" applyAlignment="1">
      <alignment horizontal="center"/>
    </xf>
    <xf numFmtId="9" fontId="148" fillId="44" borderId="82" xfId="8726" applyNumberFormat="1" applyFont="1" applyFill="1" applyBorder="1" applyAlignment="1">
      <alignment horizontal="center"/>
    </xf>
    <xf numFmtId="9" fontId="148" fillId="44" borderId="85" xfId="8726" applyNumberFormat="1" applyFont="1" applyFill="1" applyBorder="1" applyAlignment="1">
      <alignment horizontal="center"/>
    </xf>
    <xf numFmtId="0" fontId="148" fillId="45" borderId="13" xfId="8726" applyFont="1" applyFill="1" applyBorder="1" applyAlignment="1">
      <alignment horizontal="center" vertical="center" wrapText="1"/>
    </xf>
    <xf numFmtId="0" fontId="148" fillId="45" borderId="13" xfId="8726" applyFont="1" applyFill="1" applyBorder="1" applyAlignment="1">
      <alignment horizontal="center" vertical="center"/>
    </xf>
    <xf numFmtId="0" fontId="148" fillId="45" borderId="11" xfId="8726" applyFont="1" applyFill="1" applyBorder="1" applyAlignment="1">
      <alignment horizontal="center" vertical="center"/>
    </xf>
    <xf numFmtId="0" fontId="148" fillId="45" borderId="9" xfId="8726" applyFont="1" applyFill="1" applyBorder="1" applyAlignment="1">
      <alignment horizontal="center" vertical="center"/>
    </xf>
    <xf numFmtId="0" fontId="148" fillId="45" borderId="3" xfId="8726" applyFont="1" applyFill="1" applyBorder="1" applyAlignment="1">
      <alignment horizontal="center" vertical="center"/>
    </xf>
    <xf numFmtId="9" fontId="148" fillId="49" borderId="13" xfId="8726" applyNumberFormat="1" applyFont="1" applyFill="1" applyBorder="1" applyAlignment="1" applyProtection="1">
      <alignment horizontal="center"/>
      <protection locked="0"/>
    </xf>
    <xf numFmtId="0" fontId="148" fillId="44" borderId="86" xfId="8726" applyFont="1" applyFill="1" applyBorder="1" applyAlignment="1">
      <alignment horizontal="center"/>
    </xf>
    <xf numFmtId="0" fontId="148" fillId="44" borderId="42" xfId="8726" applyFont="1" applyFill="1" applyBorder="1" applyAlignment="1">
      <alignment horizontal="center"/>
    </xf>
    <xf numFmtId="0" fontId="148" fillId="44" borderId="87" xfId="8726" applyFont="1" applyFill="1" applyBorder="1" applyAlignment="1">
      <alignment horizontal="center"/>
    </xf>
    <xf numFmtId="0" fontId="148" fillId="44" borderId="88" xfId="8726" applyFont="1" applyFill="1" applyBorder="1" applyAlignment="1">
      <alignment horizontal="center"/>
    </xf>
    <xf numFmtId="0" fontId="164" fillId="49" borderId="80" xfId="8726" applyFont="1" applyFill="1" applyBorder="1" applyAlignment="1" applyProtection="1">
      <alignment horizontal="right"/>
      <protection locked="0"/>
    </xf>
    <xf numFmtId="0" fontId="164" fillId="49" borderId="11" xfId="8726" applyFont="1" applyFill="1" applyBorder="1" applyAlignment="1" applyProtection="1">
      <alignment horizontal="right"/>
      <protection locked="0"/>
    </xf>
    <xf numFmtId="0" fontId="163" fillId="49" borderId="11" xfId="8726" applyFont="1" applyFill="1" applyBorder="1" applyAlignment="1" applyProtection="1">
      <alignment horizontal="center"/>
      <protection locked="0"/>
    </xf>
    <xf numFmtId="1" fontId="163" fillId="49" borderId="11" xfId="8726" applyNumberFormat="1" applyFont="1" applyFill="1" applyBorder="1" applyAlignment="1" applyProtection="1">
      <alignment horizontal="center"/>
      <protection locked="0"/>
    </xf>
    <xf numFmtId="0" fontId="145" fillId="45" borderId="67" xfId="8726" applyFont="1" applyFill="1" applyBorder="1" applyAlignment="1">
      <alignment horizontal="center"/>
    </xf>
    <xf numFmtId="0" fontId="145" fillId="45" borderId="68" xfId="8726" applyFont="1" applyFill="1" applyBorder="1" applyAlignment="1">
      <alignment horizontal="center"/>
    </xf>
    <xf numFmtId="0" fontId="145" fillId="45" borderId="69" xfId="8726" applyFont="1" applyFill="1" applyBorder="1" applyAlignment="1">
      <alignment horizontal="center"/>
    </xf>
    <xf numFmtId="0" fontId="149" fillId="45" borderId="65" xfId="8726" applyFont="1" applyFill="1" applyBorder="1" applyAlignment="1">
      <alignment horizontal="center" vertical="center" wrapText="1"/>
    </xf>
    <xf numFmtId="0" fontId="149" fillId="45" borderId="29" xfId="8726" applyFont="1" applyFill="1" applyBorder="1" applyAlignment="1">
      <alignment horizontal="center" vertical="center" wrapText="1"/>
    </xf>
    <xf numFmtId="0" fontId="149" fillId="45" borderId="31" xfId="8726" applyFont="1" applyFill="1" applyBorder="1" applyAlignment="1">
      <alignment horizontal="center" vertical="center" wrapText="1"/>
    </xf>
    <xf numFmtId="0" fontId="149" fillId="45" borderId="86" xfId="8726" applyFont="1" applyFill="1" applyBorder="1" applyAlignment="1">
      <alignment horizontal="center" vertical="center" wrapText="1"/>
    </xf>
    <xf numFmtId="0" fontId="149" fillId="45" borderId="42" xfId="8726" applyFont="1" applyFill="1" applyBorder="1" applyAlignment="1">
      <alignment horizontal="center" vertical="center" wrapText="1"/>
    </xf>
    <xf numFmtId="0" fontId="149" fillId="45" borderId="44" xfId="8726" applyFont="1" applyFill="1" applyBorder="1" applyAlignment="1">
      <alignment horizontal="center" vertical="center" wrapText="1"/>
    </xf>
    <xf numFmtId="0" fontId="149" fillId="45" borderId="67" xfId="8726" applyFont="1" applyFill="1" applyBorder="1" applyAlignment="1">
      <alignment horizontal="center"/>
    </xf>
    <xf numFmtId="0" fontId="149" fillId="45" borderId="68" xfId="8726" applyFont="1" applyFill="1" applyBorder="1" applyAlignment="1">
      <alignment horizontal="center"/>
    </xf>
    <xf numFmtId="0" fontId="149" fillId="45" borderId="69" xfId="8726" applyFont="1" applyFill="1" applyBorder="1" applyAlignment="1">
      <alignment horizontal="center"/>
    </xf>
    <xf numFmtId="9" fontId="148" fillId="44" borderId="88" xfId="1022" applyFont="1" applyFill="1" applyBorder="1" applyAlignment="1">
      <alignment horizontal="center"/>
    </xf>
    <xf numFmtId="9" fontId="148" fillId="44" borderId="42" xfId="1022" applyFont="1" applyFill="1" applyBorder="1" applyAlignment="1">
      <alignment horizontal="center"/>
    </xf>
    <xf numFmtId="9" fontId="148" fillId="44" borderId="44" xfId="1022" applyFont="1" applyFill="1" applyBorder="1" applyAlignment="1">
      <alignment horizontal="center"/>
    </xf>
    <xf numFmtId="0" fontId="149" fillId="45" borderId="95" xfId="8726" applyFont="1" applyFill="1" applyBorder="1" applyAlignment="1">
      <alignment horizontal="center" vertical="center" wrapText="1"/>
    </xf>
    <xf numFmtId="0" fontId="149" fillId="45" borderId="13" xfId="8726" applyFont="1" applyFill="1" applyBorder="1" applyAlignment="1">
      <alignment horizontal="center" vertical="center"/>
    </xf>
    <xf numFmtId="0" fontId="149" fillId="45" borderId="80" xfId="8726" applyFont="1" applyFill="1" applyBorder="1" applyAlignment="1">
      <alignment horizontal="center" vertical="center"/>
    </xf>
    <xf numFmtId="0" fontId="149" fillId="45" borderId="11" xfId="8726" applyFont="1" applyFill="1" applyBorder="1" applyAlignment="1">
      <alignment horizontal="center" vertical="center"/>
    </xf>
    <xf numFmtId="1" fontId="163" fillId="49" borderId="3" xfId="8726" applyNumberFormat="1" applyFont="1" applyFill="1" applyBorder="1" applyAlignment="1" applyProtection="1">
      <alignment horizontal="center"/>
      <protection locked="0"/>
    </xf>
    <xf numFmtId="1" fontId="163" fillId="49" borderId="4" xfId="8726" applyNumberFormat="1" applyFont="1" applyFill="1" applyBorder="1" applyAlignment="1" applyProtection="1">
      <alignment horizontal="center"/>
      <protection locked="0"/>
    </xf>
    <xf numFmtId="1" fontId="163" fillId="49" borderId="5" xfId="8726" applyNumberFormat="1" applyFont="1" applyFill="1" applyBorder="1" applyAlignment="1" applyProtection="1">
      <alignment horizontal="center"/>
      <protection locked="0"/>
    </xf>
    <xf numFmtId="1" fontId="149" fillId="44" borderId="3" xfId="8726" applyNumberFormat="1" applyFont="1" applyFill="1" applyBorder="1" applyAlignment="1">
      <alignment horizontal="center"/>
    </xf>
    <xf numFmtId="1" fontId="149" fillId="44" borderId="4" xfId="8726" applyNumberFormat="1" applyFont="1" applyFill="1" applyBorder="1" applyAlignment="1">
      <alignment horizontal="center"/>
    </xf>
    <xf numFmtId="1" fontId="149" fillId="44" borderId="5" xfId="8726" applyNumberFormat="1" applyFont="1" applyFill="1" applyBorder="1" applyAlignment="1">
      <alignment horizontal="center"/>
    </xf>
    <xf numFmtId="9" fontId="149" fillId="44" borderId="3" xfId="8728" applyFont="1" applyFill="1" applyBorder="1" applyAlignment="1">
      <alignment horizontal="center"/>
    </xf>
    <xf numFmtId="9" fontId="149" fillId="44" borderId="4" xfId="8728" applyFont="1" applyFill="1" applyBorder="1" applyAlignment="1">
      <alignment horizontal="center"/>
    </xf>
    <xf numFmtId="9" fontId="149" fillId="44" borderId="79" xfId="8728"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1" fontId="163" fillId="49" borderId="84" xfId="8726" applyNumberFormat="1" applyFont="1" applyFill="1" applyBorder="1" applyAlignment="1" applyProtection="1">
      <alignment horizontal="center"/>
      <protection locked="0"/>
    </xf>
    <xf numFmtId="1" fontId="163" fillId="49" borderId="82" xfId="8726" applyNumberFormat="1" applyFont="1" applyFill="1" applyBorder="1" applyAlignment="1" applyProtection="1">
      <alignment horizontal="center"/>
      <protection locked="0"/>
    </xf>
    <xf numFmtId="1" fontId="163" fillId="49" borderId="83" xfId="8726" applyNumberFormat="1" applyFont="1" applyFill="1" applyBorder="1" applyAlignment="1" applyProtection="1">
      <alignment horizontal="center"/>
      <protection locked="0"/>
    </xf>
    <xf numFmtId="9" fontId="149" fillId="44" borderId="84" xfId="8728" applyFont="1" applyFill="1" applyBorder="1" applyAlignment="1">
      <alignment horizontal="center"/>
    </xf>
    <xf numFmtId="9" fontId="149" fillId="44" borderId="82" xfId="8728" applyFont="1" applyFill="1" applyBorder="1" applyAlignment="1">
      <alignment horizontal="center"/>
    </xf>
    <xf numFmtId="9" fontId="149" fillId="44" borderId="85" xfId="8728" applyFont="1" applyFill="1" applyBorder="1" applyAlignment="1">
      <alignment horizontal="center"/>
    </xf>
    <xf numFmtId="0" fontId="145" fillId="45" borderId="70" xfId="8726" applyFont="1" applyFill="1" applyBorder="1" applyAlignment="1">
      <alignment horizontal="center"/>
    </xf>
    <xf numFmtId="0" fontId="145" fillId="45" borderId="71" xfId="8726" applyFont="1" applyFill="1" applyBorder="1" applyAlignment="1">
      <alignment horizontal="center"/>
    </xf>
    <xf numFmtId="0" fontId="145" fillId="45" borderId="74" xfId="8726" applyFont="1" applyFill="1" applyBorder="1" applyAlignment="1">
      <alignment horizontal="center"/>
    </xf>
    <xf numFmtId="0" fontId="149" fillId="45" borderId="11" xfId="8726" applyFont="1" applyFill="1" applyBorder="1" applyAlignment="1">
      <alignment horizontal="center" vertical="center" wrapText="1"/>
    </xf>
    <xf numFmtId="0" fontId="149" fillId="45" borderId="91" xfId="8726" applyFont="1" applyFill="1" applyBorder="1" applyAlignment="1">
      <alignment horizontal="center" vertical="center" wrapText="1"/>
    </xf>
    <xf numFmtId="1" fontId="163" fillId="49" borderId="73" xfId="8726" applyNumberFormat="1" applyFont="1" applyFill="1" applyBorder="1" applyAlignment="1" applyProtection="1">
      <alignment horizontal="center"/>
      <protection locked="0"/>
    </xf>
    <xf numFmtId="0" fontId="162" fillId="49" borderId="72" xfId="8726" applyFont="1" applyFill="1" applyBorder="1" applyAlignment="1" applyProtection="1">
      <alignment horizontal="right"/>
      <protection locked="0"/>
    </xf>
    <xf numFmtId="0" fontId="162" fillId="49" borderId="73" xfId="8726" applyFont="1" applyFill="1" applyBorder="1" applyAlignment="1" applyProtection="1">
      <alignment horizontal="right"/>
      <protection locked="0"/>
    </xf>
    <xf numFmtId="0" fontId="163" fillId="49" borderId="73"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 fontId="162" fillId="49" borderId="11" xfId="8726" applyNumberFormat="1" applyFont="1" applyFill="1" applyBorder="1" applyAlignment="1" applyProtection="1">
      <alignment horizontal="center"/>
      <protection locked="0"/>
    </xf>
    <xf numFmtId="0" fontId="162" fillId="49" borderId="11" xfId="700" applyNumberFormat="1" applyFont="1" applyFill="1" applyBorder="1" applyAlignment="1" applyProtection="1">
      <alignment horizontal="left"/>
      <protection locked="0"/>
    </xf>
    <xf numFmtId="0" fontId="162" fillId="49" borderId="91" xfId="700" applyNumberFormat="1" applyFont="1" applyFill="1" applyBorder="1" applyAlignment="1" applyProtection="1">
      <alignment horizontal="left"/>
      <protection locked="0"/>
    </xf>
    <xf numFmtId="0" fontId="162" fillId="44" borderId="80" xfId="8726" applyFont="1" applyFill="1" applyBorder="1" applyAlignment="1" applyProtection="1">
      <alignment horizontal="right"/>
      <protection locked="0"/>
    </xf>
    <xf numFmtId="0" fontId="162" fillId="44" borderId="11" xfId="8726" applyFont="1" applyFill="1" applyBorder="1" applyAlignment="1" applyProtection="1">
      <alignment horizontal="right"/>
      <protection locked="0"/>
    </xf>
    <xf numFmtId="0" fontId="162" fillId="44" borderId="91" xfId="8726" applyFont="1" applyFill="1" applyBorder="1" applyAlignment="1" applyProtection="1">
      <alignment horizontal="right"/>
      <protection locked="0"/>
    </xf>
    <xf numFmtId="0" fontId="162" fillId="49" borderId="5" xfId="8726" applyFont="1" applyFill="1" applyBorder="1" applyAlignment="1" applyProtection="1">
      <alignment horizontal="left"/>
      <protection locked="0"/>
    </xf>
    <xf numFmtId="0" fontId="162" fillId="49" borderId="11" xfId="8726" applyFont="1" applyFill="1" applyBorder="1" applyAlignment="1" applyProtection="1">
      <alignment horizontal="left"/>
      <protection locked="0"/>
    </xf>
    <xf numFmtId="0" fontId="162" fillId="49" borderId="91" xfId="8726" applyFont="1" applyFill="1" applyBorder="1" applyAlignment="1" applyProtection="1">
      <alignment horizontal="left"/>
      <protection locked="0"/>
    </xf>
    <xf numFmtId="0" fontId="162" fillId="44" borderId="72" xfId="8726" applyFont="1" applyFill="1" applyBorder="1" applyAlignment="1" applyProtection="1">
      <alignment horizontal="right"/>
      <protection locked="0"/>
    </xf>
    <xf numFmtId="0" fontId="162" fillId="44" borderId="73" xfId="8726" applyFont="1" applyFill="1" applyBorder="1" applyAlignment="1" applyProtection="1">
      <alignment horizontal="right"/>
      <protection locked="0"/>
    </xf>
    <xf numFmtId="0" fontId="162" fillId="44" borderId="93" xfId="8726" applyFont="1" applyFill="1" applyBorder="1" applyAlignment="1" applyProtection="1">
      <alignment horizontal="right"/>
      <protection locked="0"/>
    </xf>
    <xf numFmtId="168" fontId="148" fillId="45" borderId="73" xfId="8727" applyNumberFormat="1" applyFont="1" applyFill="1" applyBorder="1" applyAlignment="1">
      <alignment horizontal="center"/>
    </xf>
    <xf numFmtId="1" fontId="148" fillId="45" borderId="73" xfId="8727" applyNumberFormat="1" applyFont="1" applyFill="1" applyBorder="1" applyAlignment="1">
      <alignment horizontal="center"/>
    </xf>
    <xf numFmtId="0" fontId="148" fillId="45" borderId="73" xfId="8727" applyNumberFormat="1" applyFont="1" applyFill="1" applyBorder="1" applyAlignment="1">
      <alignment horizontal="center"/>
    </xf>
    <xf numFmtId="0" fontId="148" fillId="45" borderId="93" xfId="8727" applyNumberFormat="1" applyFont="1" applyFill="1" applyBorder="1" applyAlignment="1">
      <alignment horizontal="center"/>
    </xf>
    <xf numFmtId="0" fontId="145" fillId="45" borderId="65" xfId="8726" applyFont="1" applyFill="1" applyBorder="1" applyAlignment="1">
      <alignment horizontal="center"/>
    </xf>
    <xf numFmtId="0" fontId="145" fillId="45" borderId="29" xfId="8726" applyFont="1" applyFill="1" applyBorder="1" applyAlignment="1">
      <alignment horizontal="center"/>
    </xf>
    <xf numFmtId="0" fontId="145" fillId="45" borderId="31" xfId="8726" applyFont="1" applyFill="1" applyBorder="1" applyAlignment="1">
      <alignment horizontal="center"/>
    </xf>
    <xf numFmtId="0" fontId="162" fillId="49" borderId="83" xfId="8726" applyFont="1" applyFill="1" applyBorder="1" applyAlignment="1" applyProtection="1">
      <alignment horizontal="left"/>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62" fillId="49" borderId="80" xfId="8726" applyFont="1" applyFill="1" applyBorder="1" applyAlignment="1" applyProtection="1">
      <alignment horizontal="center"/>
      <protection locked="0"/>
    </xf>
    <xf numFmtId="168" fontId="164" fillId="49" borderId="11" xfId="700" applyNumberFormat="1" applyFont="1" applyFill="1" applyBorder="1" applyAlignment="1" applyProtection="1">
      <alignment horizontal="left"/>
      <protection locked="0"/>
    </xf>
    <xf numFmtId="168" fontId="164" fillId="49" borderId="91" xfId="700" applyNumberFormat="1" applyFont="1" applyFill="1" applyBorder="1" applyAlignment="1" applyProtection="1">
      <alignment horizontal="left"/>
      <protection locked="0"/>
    </xf>
    <xf numFmtId="0" fontId="145" fillId="45" borderId="94" xfId="8726" applyFont="1" applyFill="1" applyBorder="1" applyAlignment="1">
      <alignment horizontal="right"/>
    </xf>
    <xf numFmtId="0" fontId="145" fillId="45" borderId="43" xfId="8726" applyFont="1" applyFill="1" applyBorder="1" applyAlignment="1">
      <alignment horizontal="right"/>
    </xf>
    <xf numFmtId="0" fontId="162" fillId="49" borderId="71" xfId="8726" applyFont="1" applyFill="1" applyBorder="1" applyAlignment="1" applyProtection="1">
      <alignment horizontal="left"/>
      <protection locked="0"/>
    </xf>
    <xf numFmtId="0" fontId="162" fillId="49" borderId="74" xfId="8726" applyFont="1" applyFill="1" applyBorder="1" applyAlignment="1" applyProtection="1">
      <alignment horizontal="left"/>
      <protection locked="0"/>
    </xf>
    <xf numFmtId="0" fontId="145" fillId="45" borderId="72" xfId="8726" applyFont="1" applyFill="1" applyBorder="1" applyAlignment="1">
      <alignment horizontal="center"/>
    </xf>
    <xf numFmtId="0" fontId="145" fillId="45" borderId="73" xfId="8726" applyFont="1" applyFill="1" applyBorder="1" applyAlignment="1">
      <alignment horizontal="center"/>
    </xf>
    <xf numFmtId="0" fontId="101" fillId="45" borderId="74" xfId="8726" applyFont="1" applyFill="1" applyBorder="1" applyAlignment="1">
      <alignment horizontal="left" wrapText="1"/>
    </xf>
    <xf numFmtId="0" fontId="101" fillId="45" borderId="91" xfId="8726" applyFont="1" applyFill="1" applyBorder="1" applyAlignment="1">
      <alignment horizontal="left" wrapText="1"/>
    </xf>
    <xf numFmtId="0" fontId="101" fillId="45" borderId="65" xfId="8726" applyFont="1" applyFill="1" applyBorder="1" applyAlignment="1">
      <alignment horizontal="center"/>
    </xf>
    <xf numFmtId="0" fontId="101" fillId="45" borderId="29" xfId="8726" applyFont="1" applyFill="1" applyBorder="1" applyAlignment="1">
      <alignment horizontal="center"/>
    </xf>
    <xf numFmtId="0" fontId="101" fillId="45" borderId="31" xfId="8726" applyFont="1" applyFill="1" applyBorder="1" applyAlignment="1">
      <alignment horizontal="center"/>
    </xf>
    <xf numFmtId="0" fontId="101" fillId="45" borderId="80" xfId="8726" applyFont="1" applyFill="1" applyBorder="1" applyAlignment="1">
      <alignment horizontal="center"/>
    </xf>
    <xf numFmtId="0" fontId="101" fillId="45" borderId="11" xfId="8726" applyFont="1" applyFill="1" applyBorder="1" applyAlignment="1">
      <alignment horizontal="center"/>
    </xf>
    <xf numFmtId="0" fontId="159" fillId="45" borderId="11" xfId="8726" applyFont="1" applyFill="1" applyBorder="1" applyAlignment="1">
      <alignment horizontal="left"/>
    </xf>
    <xf numFmtId="0" fontId="159" fillId="45" borderId="91" xfId="8726" applyFont="1" applyFill="1" applyBorder="1" applyAlignment="1">
      <alignment horizontal="left"/>
    </xf>
    <xf numFmtId="0" fontId="3" fillId="47" borderId="73" xfId="8726" applyFill="1" applyBorder="1" applyAlignment="1" applyProtection="1">
      <alignment horizontal="center"/>
      <protection locked="0"/>
    </xf>
    <xf numFmtId="0" fontId="3" fillId="47" borderId="93" xfId="8726" applyFill="1" applyBorder="1" applyAlignment="1" applyProtection="1">
      <alignment horizontal="center"/>
      <protection locked="0"/>
    </xf>
    <xf numFmtId="0" fontId="160" fillId="45" borderId="80" xfId="8726" applyFont="1" applyFill="1" applyBorder="1" applyAlignment="1">
      <alignment horizontal="left"/>
    </xf>
    <xf numFmtId="0" fontId="160" fillId="45" borderId="11" xfId="8726" applyFont="1" applyFill="1" applyBorder="1" applyAlignment="1">
      <alignment horizontal="left"/>
    </xf>
    <xf numFmtId="0" fontId="160" fillId="45" borderId="72" xfId="8726" applyFont="1" applyFill="1" applyBorder="1" applyAlignment="1">
      <alignment horizontal="left"/>
    </xf>
    <xf numFmtId="0" fontId="160" fillId="45" borderId="73" xfId="8726" applyFont="1" applyFill="1" applyBorder="1" applyAlignment="1">
      <alignment horizontal="left"/>
    </xf>
    <xf numFmtId="0" fontId="145" fillId="45" borderId="70" xfId="8726" applyFont="1" applyFill="1" applyBorder="1" applyAlignment="1">
      <alignment horizontal="left"/>
    </xf>
    <xf numFmtId="0" fontId="145" fillId="45" borderId="71" xfId="8726" applyFont="1" applyFill="1" applyBorder="1" applyAlignment="1">
      <alignment horizontal="left"/>
    </xf>
    <xf numFmtId="0" fontId="147" fillId="49" borderId="71" xfId="8726" applyFont="1" applyFill="1" applyBorder="1" applyAlignment="1" applyProtection="1">
      <alignment horizontal="left"/>
      <protection locked="0"/>
    </xf>
    <xf numFmtId="0" fontId="147" fillId="49" borderId="74" xfId="8726" applyFont="1" applyFill="1" applyBorder="1" applyAlignment="1" applyProtection="1">
      <alignment horizontal="left"/>
      <protection locked="0"/>
    </xf>
    <xf numFmtId="0" fontId="153" fillId="45" borderId="80" xfId="8726" applyFont="1" applyFill="1" applyBorder="1" applyAlignment="1">
      <alignment horizontal="left"/>
    </xf>
    <xf numFmtId="0" fontId="153" fillId="45" borderId="11" xfId="8726" applyFont="1" applyFill="1" applyBorder="1" applyAlignment="1">
      <alignment horizontal="left"/>
    </xf>
    <xf numFmtId="0" fontId="163" fillId="49" borderId="11" xfId="8726" applyFont="1" applyFill="1" applyBorder="1" applyAlignment="1" applyProtection="1">
      <alignment horizontal="left"/>
      <protection locked="0"/>
    </xf>
    <xf numFmtId="0" fontId="163" fillId="49" borderId="91" xfId="8726" applyFont="1" applyFill="1" applyBorder="1" applyAlignment="1" applyProtection="1">
      <alignment horizontal="left"/>
      <protection locked="0"/>
    </xf>
    <xf numFmtId="0" fontId="164" fillId="49" borderId="80" xfId="8726" applyFont="1" applyFill="1" applyBorder="1" applyAlignment="1" applyProtection="1">
      <alignment horizontal="left" vertical="top"/>
      <protection locked="0"/>
    </xf>
    <xf numFmtId="0" fontId="164" fillId="49" borderId="11" xfId="8726" applyFont="1" applyFill="1" applyBorder="1" applyAlignment="1" applyProtection="1">
      <alignment horizontal="left" vertical="top"/>
      <protection locked="0"/>
    </xf>
    <xf numFmtId="0" fontId="164" fillId="49" borderId="91" xfId="8726" applyFont="1" applyFill="1" applyBorder="1" applyAlignment="1" applyProtection="1">
      <alignment horizontal="left" vertical="top"/>
      <protection locked="0"/>
    </xf>
    <xf numFmtId="0" fontId="164" fillId="49" borderId="72" xfId="8726" applyFont="1" applyFill="1" applyBorder="1" applyAlignment="1" applyProtection="1">
      <alignment horizontal="left" vertical="top"/>
      <protection locked="0"/>
    </xf>
    <xf numFmtId="0" fontId="164" fillId="49" borderId="73" xfId="8726" applyFont="1" applyFill="1" applyBorder="1" applyAlignment="1" applyProtection="1">
      <alignment horizontal="left" vertical="top"/>
      <protection locked="0"/>
    </xf>
    <xf numFmtId="0" fontId="164" fillId="49" borderId="93" xfId="8726" applyFont="1" applyFill="1" applyBorder="1" applyAlignment="1" applyProtection="1">
      <alignment horizontal="left" vertical="top"/>
      <protection locked="0"/>
    </xf>
    <xf numFmtId="0" fontId="149" fillId="45" borderId="11" xfId="8726" applyFont="1" applyFill="1" applyBorder="1" applyAlignment="1">
      <alignment horizontal="center" wrapText="1"/>
    </xf>
    <xf numFmtId="0" fontId="149" fillId="45" borderId="91" xfId="8726" applyFont="1" applyFill="1" applyBorder="1" applyAlignment="1">
      <alignment horizontal="center" wrapText="1"/>
    </xf>
    <xf numFmtId="0" fontId="101" fillId="45" borderId="91" xfId="8726" applyFont="1" applyFill="1" applyBorder="1" applyAlignment="1">
      <alignment horizontal="center"/>
    </xf>
    <xf numFmtId="0" fontId="172" fillId="45" borderId="80" xfId="8726" applyFont="1" applyFill="1" applyBorder="1" applyAlignment="1">
      <alignment horizontal="center"/>
    </xf>
    <xf numFmtId="0" fontId="172" fillId="45" borderId="11" xfId="8726" applyFont="1" applyFill="1" applyBorder="1" applyAlignment="1">
      <alignment horizontal="center"/>
    </xf>
    <xf numFmtId="0" fontId="164" fillId="49" borderId="11" xfId="8726"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168" fontId="164" fillId="49" borderId="11" xfId="8727" applyNumberFormat="1" applyFont="1" applyFill="1" applyBorder="1" applyAlignment="1" applyProtection="1">
      <alignment horizontal="center"/>
      <protection locked="0"/>
    </xf>
    <xf numFmtId="168" fontId="164" fillId="49" borderId="91" xfId="8727" applyNumberFormat="1" applyFont="1" applyFill="1" applyBorder="1" applyAlignment="1" applyProtection="1">
      <alignment horizontal="center"/>
      <protection locked="0"/>
    </xf>
    <xf numFmtId="14" fontId="164" fillId="49" borderId="11" xfId="8726" applyNumberFormat="1" applyFont="1" applyFill="1" applyBorder="1" applyAlignment="1" applyProtection="1">
      <alignment horizontal="center"/>
      <protection locked="0"/>
    </xf>
    <xf numFmtId="0" fontId="158" fillId="49" borderId="11" xfId="8726" applyFont="1" applyFill="1" applyBorder="1" applyAlignment="1" applyProtection="1">
      <alignment horizontal="left"/>
      <protection locked="0"/>
    </xf>
    <xf numFmtId="0" fontId="172" fillId="45" borderId="72" xfId="8726" applyFont="1" applyFill="1" applyBorder="1" applyAlignment="1">
      <alignment horizontal="center"/>
    </xf>
    <xf numFmtId="0" fontId="172" fillId="45" borderId="73" xfId="8726" applyFont="1" applyFill="1" applyBorder="1" applyAlignment="1">
      <alignment horizontal="center"/>
    </xf>
    <xf numFmtId="0" fontId="158" fillId="49" borderId="73" xfId="8726" applyFont="1" applyFill="1" applyBorder="1" applyAlignment="1" applyProtection="1">
      <alignment horizontal="left"/>
      <protection locked="0"/>
    </xf>
    <xf numFmtId="0" fontId="164" fillId="49" borderId="73" xfId="8726" applyFont="1" applyFill="1" applyBorder="1" applyAlignment="1" applyProtection="1">
      <alignment horizontal="center"/>
      <protection locked="0"/>
    </xf>
    <xf numFmtId="14" fontId="164" fillId="49" borderId="73" xfId="8726" applyNumberFormat="1" applyFont="1" applyFill="1" applyBorder="1" applyAlignment="1" applyProtection="1">
      <alignment horizontal="center"/>
      <protection locked="0"/>
    </xf>
    <xf numFmtId="168" fontId="164" fillId="49" borderId="73" xfId="8727" applyNumberFormat="1" applyFont="1" applyFill="1" applyBorder="1" applyAlignment="1" applyProtection="1">
      <alignment horizontal="center"/>
      <protection locked="0"/>
    </xf>
    <xf numFmtId="168" fontId="164" fillId="49" borderId="93" xfId="8727" applyNumberFormat="1" applyFont="1" applyFill="1" applyBorder="1" applyAlignment="1" applyProtection="1">
      <alignment horizontal="center"/>
      <protection locked="0"/>
    </xf>
    <xf numFmtId="0" fontId="162" fillId="49" borderId="72" xfId="8726" applyFont="1" applyFill="1" applyBorder="1" applyAlignment="1" applyProtection="1">
      <alignment horizontal="center"/>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4" fontId="162" fillId="49" borderId="93" xfId="8726" applyNumberFormat="1" applyFont="1" applyFill="1" applyBorder="1" applyAlignment="1" applyProtection="1">
      <alignment horizontal="center"/>
      <protection locked="0"/>
    </xf>
    <xf numFmtId="0" fontId="101" fillId="45" borderId="65" xfId="8726" applyFont="1" applyFill="1" applyBorder="1" applyAlignment="1">
      <alignment horizontal="left" wrapText="1"/>
    </xf>
    <xf numFmtId="0" fontId="101" fillId="45" borderId="29" xfId="8726" applyFont="1" applyFill="1" applyBorder="1" applyAlignment="1">
      <alignment horizontal="left" wrapText="1"/>
    </xf>
    <xf numFmtId="0" fontId="101" fillId="45" borderId="31" xfId="8726" applyFont="1" applyFill="1" applyBorder="1" applyAlignment="1">
      <alignment horizontal="left" wrapText="1"/>
    </xf>
    <xf numFmtId="0" fontId="101" fillId="45" borderId="86" xfId="8726" applyFont="1" applyFill="1" applyBorder="1" applyAlignment="1">
      <alignment horizontal="left" wrapText="1"/>
    </xf>
    <xf numFmtId="0" fontId="101" fillId="45" borderId="42" xfId="8726" applyFont="1" applyFill="1" applyBorder="1" applyAlignment="1">
      <alignment horizontal="left" wrapText="1"/>
    </xf>
    <xf numFmtId="0" fontId="101" fillId="45" borderId="44" xfId="8726" applyFont="1" applyFill="1" applyBorder="1" applyAlignment="1">
      <alignment horizontal="left" wrapText="1"/>
    </xf>
    <xf numFmtId="0" fontId="101" fillId="45" borderId="70" xfId="8726" applyFont="1" applyFill="1" applyBorder="1" applyAlignment="1">
      <alignment horizontal="center"/>
    </xf>
    <xf numFmtId="0" fontId="101" fillId="45" borderId="71" xfId="8726" applyFont="1" applyFill="1" applyBorder="1" applyAlignment="1">
      <alignment horizontal="center"/>
    </xf>
    <xf numFmtId="0" fontId="101" fillId="45" borderId="74" xfId="8726" applyFont="1" applyFill="1" applyBorder="1" applyAlignment="1">
      <alignment horizontal="center"/>
    </xf>
    <xf numFmtId="0" fontId="145" fillId="45" borderId="74" xfId="8726" applyFont="1" applyFill="1" applyBorder="1" applyAlignment="1">
      <alignment horizontal="left"/>
    </xf>
    <xf numFmtId="14" fontId="162"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168" fontId="164" fillId="44" borderId="11" xfId="700" applyNumberFormat="1" applyFont="1" applyFill="1" applyBorder="1" applyAlignment="1">
      <alignment horizontal="left"/>
    </xf>
    <xf numFmtId="0" fontId="148" fillId="47" borderId="11" xfId="8726" applyFont="1" applyFill="1" applyBorder="1" applyAlignment="1">
      <alignment horizontal="center"/>
    </xf>
    <xf numFmtId="0" fontId="148" fillId="47" borderId="91" xfId="8726" applyFont="1" applyFill="1" applyBorder="1" applyAlignment="1">
      <alignment horizontal="center"/>
    </xf>
    <xf numFmtId="0" fontId="164" fillId="45" borderId="80" xfId="8726" applyFont="1" applyFill="1" applyBorder="1" applyAlignment="1">
      <alignment horizontal="right"/>
    </xf>
    <xf numFmtId="0" fontId="164" fillId="45" borderId="11" xfId="8726" applyFont="1" applyFill="1" applyBorder="1" applyAlignment="1">
      <alignment horizontal="right"/>
    </xf>
    <xf numFmtId="44" fontId="3" fillId="49" borderId="11" xfId="700" applyFont="1" applyFill="1" applyBorder="1" applyAlignment="1" applyProtection="1">
      <alignment horizontal="center"/>
      <protection locked="0"/>
    </xf>
    <xf numFmtId="43" fontId="145" fillId="55" borderId="104" xfId="698" applyFont="1" applyFill="1" applyBorder="1" applyAlignment="1" applyProtection="1">
      <alignment horizontal="center"/>
      <protection hidden="1"/>
    </xf>
    <xf numFmtId="43" fontId="145" fillId="55" borderId="97" xfId="698" applyFont="1" applyFill="1" applyBorder="1" applyAlignment="1" applyProtection="1">
      <alignment horizontal="center"/>
      <protection hidden="1"/>
    </xf>
    <xf numFmtId="43" fontId="145" fillId="55" borderId="98" xfId="698" applyFont="1" applyFill="1" applyBorder="1" applyAlignment="1" applyProtection="1">
      <alignment horizontal="center"/>
      <protection hidden="1"/>
    </xf>
    <xf numFmtId="43" fontId="147" fillId="53" borderId="13" xfId="698" applyFont="1" applyFill="1" applyBorder="1" applyAlignment="1" applyProtection="1">
      <alignment horizontal="left"/>
      <protection hidden="1"/>
    </xf>
    <xf numFmtId="44" fontId="3" fillId="49" borderId="13" xfId="700" applyFont="1" applyFill="1" applyBorder="1" applyAlignment="1" applyProtection="1">
      <alignment horizontal="center"/>
      <protection locked="0"/>
    </xf>
    <xf numFmtId="0" fontId="162" fillId="48" borderId="9" xfId="8726" applyFont="1" applyFill="1" applyBorder="1" applyAlignment="1">
      <alignment horizontal="center"/>
    </xf>
    <xf numFmtId="0" fontId="162" fillId="48" borderId="6" xfId="8726" applyFont="1" applyFill="1" applyBorder="1" applyAlignment="1">
      <alignment horizontal="center"/>
    </xf>
    <xf numFmtId="0" fontId="162" fillId="48" borderId="10" xfId="8726" applyFont="1" applyFill="1" applyBorder="1" applyAlignment="1">
      <alignment horizontal="center"/>
    </xf>
    <xf numFmtId="168" fontId="162" fillId="49" borderId="11" xfId="700" applyNumberFormat="1" applyFont="1" applyFill="1" applyBorder="1" applyAlignment="1" applyProtection="1">
      <alignment horizontal="left"/>
      <protection locked="0"/>
    </xf>
    <xf numFmtId="44" fontId="3" fillId="49" borderId="97" xfId="700" applyFont="1" applyFill="1" applyBorder="1" applyAlignment="1" applyProtection="1">
      <alignment horizontal="center"/>
      <protection locked="0"/>
    </xf>
    <xf numFmtId="168" fontId="146" fillId="48" borderId="0" xfId="700" applyNumberFormat="1" applyFont="1" applyFill="1" applyBorder="1" applyAlignment="1" applyProtection="1">
      <alignment horizontal="left"/>
      <protection locked="0"/>
    </xf>
    <xf numFmtId="0" fontId="149" fillId="45" borderId="67" xfId="0" applyFont="1" applyFill="1" applyBorder="1" applyAlignment="1" applyProtection="1">
      <alignment horizontal="center" wrapText="1"/>
      <protection hidden="1"/>
    </xf>
    <xf numFmtId="0" fontId="149" fillId="45" borderId="68" xfId="0" applyFont="1" applyFill="1" applyBorder="1" applyAlignment="1" applyProtection="1">
      <alignment horizontal="center" wrapText="1"/>
      <protection hidden="1"/>
    </xf>
    <xf numFmtId="0" fontId="149" fillId="45" borderId="69" xfId="0" applyFont="1" applyFill="1" applyBorder="1" applyAlignment="1" applyProtection="1">
      <alignment horizontal="center" wrapText="1"/>
      <protection hidden="1"/>
    </xf>
    <xf numFmtId="182" fontId="3" fillId="49" borderId="11" xfId="700" applyNumberFormat="1" applyFont="1" applyFill="1" applyBorder="1" applyAlignment="1" applyProtection="1">
      <alignment horizontal="center"/>
      <protection locked="0"/>
    </xf>
    <xf numFmtId="0" fontId="3" fillId="48" borderId="1" xfId="8726" applyFill="1" applyBorder="1" applyAlignment="1">
      <alignment horizontal="center"/>
    </xf>
    <xf numFmtId="0" fontId="3" fillId="48" borderId="2" xfId="8726" applyFill="1" applyBorder="1" applyAlignment="1">
      <alignment horizontal="center"/>
    </xf>
    <xf numFmtId="0" fontId="3" fillId="48" borderId="7" xfId="8726" applyFill="1" applyBorder="1" applyAlignment="1">
      <alignment horizontal="center"/>
    </xf>
    <xf numFmtId="0" fontId="164" fillId="45" borderId="70" xfId="8726" applyFont="1" applyFill="1" applyBorder="1" applyAlignment="1">
      <alignment horizontal="right"/>
    </xf>
    <xf numFmtId="0" fontId="164" fillId="45" borderId="71" xfId="8726" applyFont="1" applyFill="1" applyBorder="1" applyAlignment="1">
      <alignment horizontal="right"/>
    </xf>
    <xf numFmtId="168" fontId="147" fillId="44" borderId="71" xfId="700" applyNumberFormat="1" applyFont="1" applyFill="1" applyBorder="1" applyAlignment="1">
      <alignment horizontal="left"/>
    </xf>
    <xf numFmtId="168" fontId="147" fillId="44" borderId="74" xfId="700" applyNumberFormat="1" applyFont="1" applyFill="1" applyBorder="1" applyAlignment="1">
      <alignment horizontal="left"/>
    </xf>
    <xf numFmtId="0" fontId="162" fillId="49" borderId="81" xfId="8726" applyFont="1" applyFill="1" applyBorder="1" applyAlignment="1" applyProtection="1">
      <alignment horizontal="center"/>
      <protection locked="0"/>
    </xf>
    <xf numFmtId="0" fontId="162" fillId="49" borderId="82" xfId="8726" applyFont="1" applyFill="1" applyBorder="1" applyAlignment="1" applyProtection="1">
      <alignment horizontal="center"/>
      <protection locked="0"/>
    </xf>
    <xf numFmtId="0" fontId="164" fillId="49" borderId="73" xfId="8726" applyFont="1" applyFill="1" applyBorder="1" applyAlignment="1" applyProtection="1">
      <alignment horizontal="left"/>
      <protection locked="0"/>
    </xf>
    <xf numFmtId="0" fontId="164" fillId="49" borderId="93" xfId="8726" applyFont="1" applyFill="1" applyBorder="1" applyAlignment="1" applyProtection="1">
      <alignment horizontal="left"/>
      <protection locked="0"/>
    </xf>
    <xf numFmtId="168" fontId="162" fillId="49" borderId="82" xfId="700" applyNumberFormat="1" applyFont="1" applyFill="1" applyBorder="1" applyAlignment="1" applyProtection="1">
      <alignment horizontal="left"/>
      <protection locked="0"/>
    </xf>
    <xf numFmtId="168" fontId="162" fillId="49" borderId="85" xfId="700" applyNumberFormat="1" applyFont="1" applyFill="1" applyBorder="1" applyAlignment="1" applyProtection="1">
      <alignment horizontal="left"/>
      <protection locked="0"/>
    </xf>
    <xf numFmtId="0" fontId="162" fillId="49" borderId="81" xfId="8726" applyFont="1" applyFill="1" applyBorder="1" applyAlignment="1" applyProtection="1">
      <alignment horizontal="left"/>
      <protection locked="0"/>
    </xf>
    <xf numFmtId="0" fontId="162" fillId="49" borderId="82" xfId="8726" applyFont="1" applyFill="1" applyBorder="1" applyAlignment="1" applyProtection="1">
      <alignment horizontal="left"/>
      <protection locked="0"/>
    </xf>
    <xf numFmtId="0" fontId="162" fillId="49" borderId="85" xfId="8726" applyFont="1" applyFill="1" applyBorder="1" applyAlignment="1" applyProtection="1">
      <alignment horizontal="left"/>
      <protection locked="0"/>
    </xf>
    <xf numFmtId="0" fontId="172" fillId="48" borderId="0" xfId="8726" applyFont="1" applyFill="1" applyAlignment="1">
      <alignment horizontal="left" wrapText="1"/>
    </xf>
    <xf numFmtId="0" fontId="172" fillId="48" borderId="41" xfId="8726" applyFont="1" applyFill="1" applyBorder="1" applyAlignment="1">
      <alignment horizontal="left" wrapText="1"/>
    </xf>
    <xf numFmtId="0" fontId="164" fillId="49" borderId="11" xfId="8726" applyFont="1" applyFill="1" applyBorder="1" applyAlignment="1" applyProtection="1">
      <alignment horizontal="left"/>
      <protection locked="0"/>
    </xf>
    <xf numFmtId="0" fontId="164" fillId="49" borderId="80" xfId="8726" applyFont="1" applyFill="1" applyBorder="1" applyAlignment="1" applyProtection="1">
      <alignment horizontal="center"/>
      <protection locked="0"/>
    </xf>
    <xf numFmtId="10" fontId="162" fillId="49" borderId="11" xfId="1022" applyNumberFormat="1" applyFont="1" applyFill="1" applyBorder="1" applyAlignment="1" applyProtection="1">
      <alignment horizontal="center"/>
      <protection locked="0"/>
    </xf>
    <xf numFmtId="43" fontId="145" fillId="45" borderId="67" xfId="698" applyFont="1" applyFill="1" applyBorder="1" applyAlignment="1" applyProtection="1">
      <alignment horizontal="center"/>
      <protection hidden="1"/>
    </xf>
    <xf numFmtId="43" fontId="145" fillId="45" borderId="68" xfId="698" applyFont="1" applyFill="1" applyBorder="1" applyAlignment="1" applyProtection="1">
      <alignment horizontal="center"/>
      <protection hidden="1"/>
    </xf>
    <xf numFmtId="43" fontId="145" fillId="45" borderId="69" xfId="698" applyFont="1" applyFill="1" applyBorder="1" applyAlignment="1" applyProtection="1">
      <alignment horizontal="center"/>
      <protection hidden="1"/>
    </xf>
    <xf numFmtId="43" fontId="146" fillId="53" borderId="66" xfId="698" applyFont="1" applyFill="1" applyBorder="1" applyAlignment="1" applyProtection="1">
      <alignment horizontal="center" wrapText="1"/>
      <protection hidden="1"/>
    </xf>
    <xf numFmtId="43" fontId="146" fillId="53" borderId="0" xfId="698" applyFont="1" applyFill="1" applyBorder="1" applyAlignment="1" applyProtection="1">
      <alignment horizontal="center" wrapText="1"/>
      <protection hidden="1"/>
    </xf>
    <xf numFmtId="43" fontId="146" fillId="53" borderId="12" xfId="698" applyFont="1" applyFill="1" applyBorder="1" applyAlignment="1" applyProtection="1">
      <alignment horizontal="center" wrapText="1"/>
      <protection hidden="1"/>
    </xf>
    <xf numFmtId="43" fontId="146" fillId="53" borderId="102" xfId="698" applyFont="1" applyFill="1" applyBorder="1" applyAlignment="1" applyProtection="1">
      <alignment horizontal="center" wrapText="1"/>
      <protection hidden="1"/>
    </xf>
    <xf numFmtId="43" fontId="146" fillId="53" borderId="6" xfId="698" applyFont="1" applyFill="1" applyBorder="1" applyAlignment="1" applyProtection="1">
      <alignment horizontal="center" wrapText="1"/>
      <protection hidden="1"/>
    </xf>
    <xf numFmtId="43" fontId="146" fillId="53" borderId="10" xfId="698" applyFont="1" applyFill="1" applyBorder="1" applyAlignment="1" applyProtection="1">
      <alignment horizontal="center" wrapText="1"/>
      <protection hidden="1"/>
    </xf>
    <xf numFmtId="43" fontId="146" fillId="53" borderId="8" xfId="698" applyFont="1" applyFill="1" applyBorder="1" applyAlignment="1" applyProtection="1">
      <alignment horizontal="center" wrapText="1"/>
      <protection hidden="1"/>
    </xf>
    <xf numFmtId="43" fontId="146" fillId="53" borderId="9" xfId="698" applyFont="1" applyFill="1" applyBorder="1" applyAlignment="1" applyProtection="1">
      <alignment horizontal="center" wrapText="1"/>
      <protection hidden="1"/>
    </xf>
    <xf numFmtId="14" fontId="146" fillId="0" borderId="8" xfId="700" applyNumberFormat="1" applyFont="1" applyFill="1" applyBorder="1" applyAlignment="1" applyProtection="1">
      <alignment horizontal="center" wrapText="1"/>
      <protection hidden="1"/>
    </xf>
    <xf numFmtId="14" fontId="146" fillId="0" borderId="0" xfId="700" applyNumberFormat="1" applyFont="1" applyFill="1" applyBorder="1" applyAlignment="1" applyProtection="1">
      <alignment horizontal="center" wrapText="1"/>
      <protection hidden="1"/>
    </xf>
    <xf numFmtId="14" fontId="146" fillId="0" borderId="12" xfId="700" applyNumberFormat="1" applyFont="1" applyFill="1" applyBorder="1" applyAlignment="1" applyProtection="1">
      <alignment horizontal="center" wrapText="1"/>
      <protection hidden="1"/>
    </xf>
    <xf numFmtId="14" fontId="146" fillId="0" borderId="9" xfId="700" applyNumberFormat="1" applyFont="1" applyFill="1" applyBorder="1" applyAlignment="1" applyProtection="1">
      <alignment horizontal="center" wrapText="1"/>
      <protection hidden="1"/>
    </xf>
    <xf numFmtId="14" fontId="146" fillId="0" borderId="6" xfId="700" applyNumberFormat="1" applyFont="1" applyFill="1" applyBorder="1" applyAlignment="1" applyProtection="1">
      <alignment horizontal="center" wrapText="1"/>
      <protection hidden="1"/>
    </xf>
    <xf numFmtId="14" fontId="146" fillId="0" borderId="10" xfId="700" applyNumberFormat="1" applyFont="1" applyFill="1" applyBorder="1" applyAlignment="1" applyProtection="1">
      <alignment horizontal="center" wrapText="1"/>
      <protection hidden="1"/>
    </xf>
    <xf numFmtId="44" fontId="146" fillId="0" borderId="8" xfId="700" applyFont="1" applyBorder="1" applyAlignment="1" applyProtection="1">
      <alignment horizontal="center" wrapText="1"/>
      <protection hidden="1"/>
    </xf>
    <xf numFmtId="44" fontId="146" fillId="0" borderId="0" xfId="700" applyFont="1" applyBorder="1" applyAlignment="1" applyProtection="1">
      <alignment horizontal="center" wrapText="1"/>
      <protection hidden="1"/>
    </xf>
    <xf numFmtId="44" fontId="146" fillId="0" borderId="12" xfId="700" applyFont="1" applyBorder="1" applyAlignment="1" applyProtection="1">
      <alignment horizontal="center" wrapText="1"/>
      <protection hidden="1"/>
    </xf>
    <xf numFmtId="44" fontId="146" fillId="0" borderId="9" xfId="700" applyFont="1" applyBorder="1" applyAlignment="1" applyProtection="1">
      <alignment horizontal="center" wrapText="1"/>
      <protection hidden="1"/>
    </xf>
    <xf numFmtId="44" fontId="146" fillId="0" borderId="6" xfId="700" applyFont="1" applyBorder="1" applyAlignment="1" applyProtection="1">
      <alignment horizontal="center" wrapText="1"/>
      <protection hidden="1"/>
    </xf>
    <xf numFmtId="44" fontId="146" fillId="0" borderId="10" xfId="700" applyFont="1" applyBorder="1" applyAlignment="1" applyProtection="1">
      <alignment horizontal="center" wrapText="1"/>
      <protection hidden="1"/>
    </xf>
    <xf numFmtId="0" fontId="101" fillId="0" borderId="67" xfId="8726" applyFont="1" applyBorder="1" applyAlignment="1">
      <alignment horizontal="left"/>
    </xf>
    <xf numFmtId="0" fontId="101" fillId="0" borderId="68" xfId="8726" applyFont="1" applyBorder="1" applyAlignment="1">
      <alignment horizontal="left"/>
    </xf>
    <xf numFmtId="0" fontId="148" fillId="45" borderId="72" xfId="8726" applyFont="1" applyFill="1" applyBorder="1" applyAlignment="1">
      <alignment horizontal="right"/>
    </xf>
    <xf numFmtId="0" fontId="148" fillId="45" borderId="73" xfId="8726" applyFont="1" applyFill="1" applyBorder="1" applyAlignment="1">
      <alignment horizontal="right"/>
    </xf>
    <xf numFmtId="0" fontId="149" fillId="44" borderId="73" xfId="700" applyNumberFormat="1" applyFont="1" applyFill="1" applyBorder="1" applyAlignment="1">
      <alignment horizontal="left"/>
    </xf>
    <xf numFmtId="168" fontId="149" fillId="44" borderId="73" xfId="700" applyNumberFormat="1" applyFont="1" applyFill="1" applyBorder="1" applyAlignment="1">
      <alignment horizontal="left"/>
    </xf>
    <xf numFmtId="168" fontId="149" fillId="44" borderId="93" xfId="700" applyNumberFormat="1" applyFont="1" applyFill="1" applyBorder="1" applyAlignment="1">
      <alignment horizontal="left"/>
    </xf>
    <xf numFmtId="0" fontId="145" fillId="48" borderId="0" xfId="8726" applyFont="1" applyFill="1" applyAlignment="1">
      <alignment horizontal="right"/>
    </xf>
    <xf numFmtId="0" fontId="147" fillId="49" borderId="3" xfId="8726" applyFont="1" applyFill="1" applyBorder="1" applyAlignment="1" applyProtection="1">
      <alignment horizontal="center"/>
      <protection locked="0"/>
    </xf>
    <xf numFmtId="0" fontId="147" fillId="49" borderId="4" xfId="8726" applyFont="1" applyFill="1" applyBorder="1" applyAlignment="1" applyProtection="1">
      <alignment horizontal="center"/>
      <protection locked="0"/>
    </xf>
    <xf numFmtId="0" fontId="147" fillId="49" borderId="79" xfId="8726" applyFont="1" applyFill="1" applyBorder="1" applyAlignment="1" applyProtection="1">
      <alignment horizontal="center"/>
      <protection locked="0"/>
    </xf>
    <xf numFmtId="0" fontId="101" fillId="44" borderId="0" xfId="8726" applyFont="1" applyFill="1" applyAlignment="1">
      <alignment horizontal="left"/>
    </xf>
    <xf numFmtId="0" fontId="149" fillId="44" borderId="0" xfId="8726" applyFont="1" applyFill="1" applyAlignment="1">
      <alignment horizontal="left" vertical="top"/>
    </xf>
    <xf numFmtId="0" fontId="101" fillId="44" borderId="0" xfId="4503" applyFont="1" applyFill="1" applyBorder="1" applyAlignment="1">
      <alignment horizontal="left" vertical="top"/>
    </xf>
    <xf numFmtId="0" fontId="173" fillId="48" borderId="65" xfId="8726" applyFont="1" applyFill="1" applyBorder="1" applyAlignment="1">
      <alignment horizontal="center"/>
    </xf>
    <xf numFmtId="0" fontId="173" fillId="48" borderId="29" xfId="8726" applyFont="1" applyFill="1" applyBorder="1" applyAlignment="1">
      <alignment horizontal="center"/>
    </xf>
    <xf numFmtId="0" fontId="173" fillId="48" borderId="31" xfId="8726" applyFont="1" applyFill="1" applyBorder="1" applyAlignment="1">
      <alignment horizontal="center"/>
    </xf>
    <xf numFmtId="0" fontId="3" fillId="48" borderId="66" xfId="8726" applyFill="1" applyBorder="1" applyAlignment="1">
      <alignment horizontal="center"/>
    </xf>
    <xf numFmtId="0" fontId="3" fillId="48" borderId="0" xfId="8726" applyFill="1" applyAlignment="1">
      <alignment horizontal="center"/>
    </xf>
    <xf numFmtId="0" fontId="3" fillId="48" borderId="41" xfId="8726" applyFill="1" applyBorder="1" applyAlignment="1">
      <alignment horizontal="center"/>
    </xf>
    <xf numFmtId="0" fontId="145" fillId="48" borderId="66" xfId="8726" applyFont="1" applyFill="1" applyBorder="1" applyAlignment="1">
      <alignment horizontal="center"/>
    </xf>
    <xf numFmtId="0" fontId="145" fillId="48" borderId="0" xfId="8726" applyFont="1" applyFill="1" applyAlignment="1">
      <alignment horizontal="center"/>
    </xf>
    <xf numFmtId="0" fontId="145" fillId="48" borderId="41" xfId="8726" applyFont="1" applyFill="1" applyBorder="1" applyAlignment="1">
      <alignment horizontal="center"/>
    </xf>
    <xf numFmtId="0" fontId="101" fillId="48" borderId="66" xfId="8726" applyFont="1" applyFill="1" applyBorder="1" applyAlignment="1">
      <alignment horizontal="center"/>
    </xf>
    <xf numFmtId="0" fontId="101" fillId="48" borderId="0" xfId="8726" applyFont="1" applyFill="1" applyAlignment="1">
      <alignment horizontal="center"/>
    </xf>
    <xf numFmtId="0" fontId="101" fillId="48" borderId="41" xfId="8726" applyFont="1" applyFill="1" applyBorder="1" applyAlignment="1">
      <alignment horizontal="center"/>
    </xf>
    <xf numFmtId="14" fontId="3" fillId="49" borderId="67" xfId="8726" applyNumberFormat="1" applyFill="1" applyBorder="1" applyAlignment="1" applyProtection="1">
      <alignment horizontal="center"/>
      <protection locked="0"/>
    </xf>
    <xf numFmtId="14" fontId="3" fillId="49" borderId="68" xfId="8726" applyNumberFormat="1" applyFill="1" applyBorder="1" applyAlignment="1" applyProtection="1">
      <alignment horizontal="center"/>
      <protection locked="0"/>
    </xf>
    <xf numFmtId="14" fontId="3" fillId="49" borderId="69" xfId="8726" applyNumberFormat="1" applyFill="1" applyBorder="1" applyAlignment="1" applyProtection="1">
      <alignment horizontal="center"/>
      <protection locked="0"/>
    </xf>
    <xf numFmtId="0" fontId="3" fillId="49" borderId="67" xfId="8726" applyFill="1" applyBorder="1" applyAlignment="1" applyProtection="1">
      <alignment horizontal="left"/>
      <protection locked="0"/>
    </xf>
    <xf numFmtId="0" fontId="3" fillId="49" borderId="68" xfId="8726" applyFill="1" applyBorder="1" applyAlignment="1" applyProtection="1">
      <alignment horizontal="left"/>
      <protection locked="0"/>
    </xf>
    <xf numFmtId="0" fontId="3" fillId="49" borderId="69" xfId="8726" applyFill="1" applyBorder="1" applyAlignment="1" applyProtection="1">
      <alignment horizontal="left"/>
      <protection locked="0"/>
    </xf>
    <xf numFmtId="0" fontId="3" fillId="49" borderId="67" xfId="8726" applyFill="1" applyBorder="1" applyAlignment="1" applyProtection="1">
      <alignment horizontal="center"/>
      <protection locked="0"/>
    </xf>
    <xf numFmtId="0" fontId="3" fillId="49" borderId="68" xfId="8726" applyFill="1" applyBorder="1" applyAlignment="1" applyProtection="1">
      <alignment horizontal="center"/>
      <protection locked="0"/>
    </xf>
    <xf numFmtId="0" fontId="3" fillId="49" borderId="69" xfId="8726" applyFill="1" applyBorder="1" applyAlignment="1" applyProtection="1">
      <alignment horizontal="center"/>
      <protection locked="0"/>
    </xf>
    <xf numFmtId="0" fontId="101" fillId="48" borderId="42" xfId="8726" applyFont="1" applyFill="1" applyBorder="1" applyAlignment="1">
      <alignment horizontal="center"/>
    </xf>
    <xf numFmtId="0" fontId="145" fillId="48" borderId="0" xfId="8726" applyFont="1" applyFill="1" applyAlignment="1">
      <alignment horizontal="left" vertical="top" wrapText="1"/>
    </xf>
    <xf numFmtId="0" fontId="101" fillId="48" borderId="0" xfId="8726" applyFont="1" applyFill="1" applyAlignment="1">
      <alignment horizontal="left"/>
    </xf>
    <xf numFmtId="0" fontId="177" fillId="54" borderId="3" xfId="698" applyNumberFormat="1" applyFont="1" applyFill="1" applyBorder="1" applyAlignment="1" applyProtection="1">
      <alignment horizontal="center"/>
      <protection locked="0"/>
    </xf>
    <xf numFmtId="0" fontId="177" fillId="54" borderId="4" xfId="698" applyNumberFormat="1" applyFont="1" applyFill="1" applyBorder="1" applyAlignment="1" applyProtection="1">
      <alignment horizontal="center"/>
      <protection locked="0"/>
    </xf>
    <xf numFmtId="0" fontId="177" fillId="54" borderId="79" xfId="698" applyNumberFormat="1" applyFont="1" applyFill="1" applyBorder="1" applyAlignment="1" applyProtection="1">
      <alignment horizontal="center"/>
      <protection locked="0"/>
    </xf>
    <xf numFmtId="43" fontId="145" fillId="53" borderId="3" xfId="698" applyFont="1" applyFill="1" applyBorder="1" applyAlignment="1" applyProtection="1">
      <alignment horizontal="center"/>
      <protection hidden="1"/>
    </xf>
    <xf numFmtId="43" fontId="145" fillId="53" borderId="4" xfId="698" applyFont="1" applyFill="1" applyBorder="1" applyAlignment="1" applyProtection="1">
      <alignment horizontal="center"/>
      <protection hidden="1"/>
    </xf>
    <xf numFmtId="43" fontId="145" fillId="53" borderId="79" xfId="698" applyFont="1" applyFill="1" applyBorder="1" applyAlignment="1" applyProtection="1">
      <alignment horizontal="center"/>
      <protection hidden="1"/>
    </xf>
    <xf numFmtId="43" fontId="146" fillId="53" borderId="41" xfId="698" applyFont="1" applyFill="1" applyBorder="1" applyAlignment="1" applyProtection="1">
      <alignment horizontal="center" wrapText="1"/>
      <protection hidden="1"/>
    </xf>
    <xf numFmtId="43" fontId="146" fillId="53" borderId="103" xfId="698" applyFont="1" applyFill="1" applyBorder="1" applyAlignment="1" applyProtection="1">
      <alignment horizontal="center" wrapText="1"/>
      <protection hidden="1"/>
    </xf>
    <xf numFmtId="44" fontId="177" fillId="49" borderId="11" xfId="700" applyFont="1" applyFill="1" applyBorder="1" applyAlignment="1" applyProtection="1">
      <alignment horizontal="center"/>
      <protection locked="0"/>
    </xf>
    <xf numFmtId="168" fontId="145" fillId="45" borderId="43" xfId="8726" applyNumberFormat="1" applyFont="1" applyFill="1" applyBorder="1" applyAlignment="1">
      <alignment horizontal="left"/>
    </xf>
    <xf numFmtId="168" fontId="145" fillId="45" borderId="96" xfId="8726" applyNumberFormat="1" applyFont="1" applyFill="1" applyBorder="1" applyAlignment="1">
      <alignment horizontal="left"/>
    </xf>
    <xf numFmtId="0" fontId="3" fillId="49" borderId="1" xfId="8726" applyFill="1" applyBorder="1" applyAlignment="1" applyProtection="1">
      <alignment horizontal="center"/>
      <protection locked="0"/>
    </xf>
    <xf numFmtId="0" fontId="3" fillId="49" borderId="2" xfId="8726" applyFill="1" applyBorder="1" applyAlignment="1" applyProtection="1">
      <alignment horizontal="center"/>
      <protection locked="0"/>
    </xf>
    <xf numFmtId="0" fontId="3" fillId="49" borderId="4" xfId="8726" applyFill="1" applyBorder="1" applyAlignment="1" applyProtection="1">
      <alignment horizontal="center"/>
      <protection locked="0"/>
    </xf>
    <xf numFmtId="0" fontId="3" fillId="49" borderId="79" xfId="8726" applyFill="1" applyBorder="1" applyAlignment="1" applyProtection="1">
      <alignment horizontal="center"/>
      <protection locked="0"/>
    </xf>
    <xf numFmtId="10" fontId="3" fillId="0" borderId="84" xfId="8726" applyNumberFormat="1" applyBorder="1" applyAlignment="1">
      <alignment horizontal="center"/>
    </xf>
    <xf numFmtId="10" fontId="3" fillId="0" borderId="82" xfId="8726" applyNumberFormat="1" applyBorder="1" applyAlignment="1">
      <alignment horizontal="center"/>
    </xf>
    <xf numFmtId="10" fontId="3" fillId="0" borderId="85" xfId="8726" applyNumberFormat="1" applyBorder="1" applyAlignment="1">
      <alignment horizontal="center"/>
    </xf>
    <xf numFmtId="0" fontId="147" fillId="49" borderId="89" xfId="8726" applyFont="1" applyFill="1" applyBorder="1" applyAlignment="1" applyProtection="1">
      <alignment horizontal="left"/>
      <protection locked="0"/>
    </xf>
    <xf numFmtId="0" fontId="145" fillId="45" borderId="80" xfId="8726" applyFont="1" applyFill="1" applyBorder="1" applyAlignment="1">
      <alignment horizontal="center"/>
    </xf>
    <xf numFmtId="0" fontId="145" fillId="45" borderId="11" xfId="8726" applyFont="1" applyFill="1" applyBorder="1" applyAlignment="1">
      <alignment horizontal="center"/>
    </xf>
    <xf numFmtId="0" fontId="145" fillId="45" borderId="3" xfId="8726" applyFont="1" applyFill="1" applyBorder="1" applyAlignment="1">
      <alignment horizontal="center"/>
    </xf>
    <xf numFmtId="0" fontId="145" fillId="45" borderId="4" xfId="8726" applyFont="1" applyFill="1" applyBorder="1" applyAlignment="1">
      <alignment horizontal="center"/>
    </xf>
    <xf numFmtId="0" fontId="145" fillId="45" borderId="79" xfId="8726" applyFont="1" applyFill="1" applyBorder="1" applyAlignment="1">
      <alignment horizontal="center"/>
    </xf>
    <xf numFmtId="0" fontId="101" fillId="45" borderId="72" xfId="8726" applyFont="1" applyFill="1" applyBorder="1" applyAlignment="1">
      <alignment horizontal="center"/>
    </xf>
    <xf numFmtId="0" fontId="101" fillId="45" borderId="73" xfId="8726" applyFont="1" applyFill="1" applyBorder="1" applyAlignment="1">
      <alignment horizontal="center"/>
    </xf>
    <xf numFmtId="14" fontId="147" fillId="49" borderId="83" xfId="8726" applyNumberFormat="1" applyFont="1" applyFill="1" applyBorder="1" applyAlignment="1" applyProtection="1">
      <alignment horizontal="center"/>
      <protection locked="0"/>
    </xf>
    <xf numFmtId="0" fontId="147" fillId="49" borderId="73" xfId="8726" applyFont="1" applyFill="1" applyBorder="1" applyAlignment="1" applyProtection="1">
      <alignment horizontal="center"/>
      <protection locked="0"/>
    </xf>
    <xf numFmtId="0" fontId="147" fillId="49" borderId="93" xfId="8726" applyFont="1" applyFill="1" applyBorder="1" applyAlignment="1" applyProtection="1">
      <alignment horizontal="center"/>
      <protection locked="0"/>
    </xf>
    <xf numFmtId="10" fontId="3" fillId="49" borderId="84" xfId="8726" applyNumberFormat="1" applyFill="1" applyBorder="1" applyAlignment="1" applyProtection="1">
      <alignment horizontal="center"/>
      <protection locked="0"/>
    </xf>
    <xf numFmtId="10" fontId="3" fillId="49" borderId="82" xfId="8726" applyNumberFormat="1" applyFill="1" applyBorder="1" applyAlignment="1" applyProtection="1">
      <alignment horizontal="center"/>
      <protection locked="0"/>
    </xf>
    <xf numFmtId="10" fontId="3" fillId="49" borderId="85" xfId="8726" applyNumberFormat="1" applyFill="1" applyBorder="1" applyAlignment="1" applyProtection="1">
      <alignment horizontal="center"/>
      <protection locked="0"/>
    </xf>
    <xf numFmtId="0" fontId="3" fillId="49" borderId="3" xfId="8726" applyFill="1" applyBorder="1" applyAlignment="1" applyProtection="1">
      <alignment horizontal="center"/>
      <protection locked="0"/>
    </xf>
    <xf numFmtId="0" fontId="145" fillId="45" borderId="95" xfId="8726" applyFont="1" applyFill="1" applyBorder="1" applyAlignment="1">
      <alignment horizontal="center"/>
    </xf>
    <xf numFmtId="0" fontId="145" fillId="45" borderId="13" xfId="8726" applyFont="1" applyFill="1" applyBorder="1" applyAlignment="1">
      <alignment horizontal="center"/>
    </xf>
    <xf numFmtId="168" fontId="15" fillId="0" borderId="11" xfId="569" applyNumberFormat="1" applyBorder="1"/>
    <xf numFmtId="168" fontId="15" fillId="0" borderId="3" xfId="569" applyNumberFormat="1" applyBorder="1"/>
    <xf numFmtId="168" fontId="15" fillId="0" borderId="4" xfId="569" applyNumberFormat="1" applyBorder="1"/>
    <xf numFmtId="168" fontId="15" fillId="0" borderId="5" xfId="569" applyNumberFormat="1" applyBorder="1"/>
    <xf numFmtId="168" fontId="15" fillId="0" borderId="11" xfId="569" applyNumberFormat="1" applyBorder="1" applyAlignment="1">
      <alignment wrapText="1"/>
    </xf>
    <xf numFmtId="168" fontId="15" fillId="0" borderId="11" xfId="569" applyNumberFormat="1" applyBorder="1" applyAlignment="1">
      <alignment horizontal="right"/>
    </xf>
    <xf numFmtId="9" fontId="15" fillId="0" borderId="15" xfId="569" applyNumberFormat="1" applyBorder="1" applyAlignment="1">
      <alignment horizontal="center"/>
    </xf>
    <xf numFmtId="168" fontId="15" fillId="0" borderId="11" xfId="569" applyNumberFormat="1" applyBorder="1" applyAlignment="1">
      <alignment horizontal="center"/>
    </xf>
    <xf numFmtId="0" fontId="15" fillId="0" borderId="11" xfId="569" applyBorder="1" applyAlignment="1">
      <alignment horizontal="center"/>
    </xf>
    <xf numFmtId="176" fontId="15" fillId="5" borderId="3" xfId="569" applyNumberFormat="1" applyFill="1" applyBorder="1" applyAlignment="1" applyProtection="1">
      <alignment horizontal="right"/>
      <protection locked="0"/>
    </xf>
    <xf numFmtId="176" fontId="15" fillId="5" borderId="4" xfId="569" applyNumberFormat="1" applyFill="1" applyBorder="1" applyAlignment="1" applyProtection="1">
      <alignment horizontal="right"/>
      <protection locked="0"/>
    </xf>
    <xf numFmtId="176" fontId="15"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2" fillId="0" borderId="3" xfId="569" applyFont="1" applyBorder="1" applyAlignment="1">
      <alignment horizontal="right"/>
    </xf>
    <xf numFmtId="0" fontId="22" fillId="0" borderId="4" xfId="569" applyFont="1" applyBorder="1" applyAlignment="1">
      <alignment horizontal="right"/>
    </xf>
    <xf numFmtId="0" fontId="22" fillId="0" borderId="5" xfId="569" applyFont="1" applyBorder="1" applyAlignment="1">
      <alignment horizontal="right"/>
    </xf>
    <xf numFmtId="0" fontId="22" fillId="0" borderId="6" xfId="569" applyFont="1" applyBorder="1" applyAlignment="1">
      <alignment horizontal="center"/>
    </xf>
    <xf numFmtId="168" fontId="15" fillId="0" borderId="3" xfId="569" applyNumberFormat="1" applyBorder="1" applyAlignment="1">
      <alignment horizontal="center"/>
    </xf>
    <xf numFmtId="0" fontId="15" fillId="0" borderId="4" xfId="569" applyBorder="1" applyAlignment="1">
      <alignment horizontal="center"/>
    </xf>
    <xf numFmtId="0" fontId="15" fillId="0" borderId="5" xfId="569" applyBorder="1" applyAlignment="1">
      <alignment horizontal="center"/>
    </xf>
    <xf numFmtId="0" fontId="106" fillId="0" borderId="0" xfId="569" applyFont="1" applyAlignment="1">
      <alignment horizontal="left" wrapText="1"/>
    </xf>
    <xf numFmtId="168" fontId="15" fillId="0" borderId="3" xfId="569" applyNumberFormat="1" applyBorder="1" applyAlignment="1">
      <alignment horizontal="right"/>
    </xf>
    <xf numFmtId="168" fontId="15" fillId="0" borderId="4" xfId="569" applyNumberFormat="1" applyBorder="1" applyAlignment="1">
      <alignment horizontal="right"/>
    </xf>
    <xf numFmtId="168" fontId="15" fillId="0" borderId="5" xfId="569" applyNumberFormat="1" applyBorder="1" applyAlignment="1">
      <alignment horizontal="right"/>
    </xf>
    <xf numFmtId="168" fontId="15" fillId="0" borderId="3" xfId="569" applyNumberFormat="1" applyBorder="1" applyAlignment="1" applyProtection="1">
      <alignment horizontal="right"/>
      <protection locked="0"/>
    </xf>
    <xf numFmtId="168" fontId="15" fillId="0" borderId="4" xfId="569" applyNumberFormat="1" applyBorder="1" applyAlignment="1" applyProtection="1">
      <alignment horizontal="right"/>
      <protection locked="0"/>
    </xf>
    <xf numFmtId="168" fontId="15" fillId="0" borderId="5" xfId="569" applyNumberFormat="1" applyBorder="1" applyAlignment="1" applyProtection="1">
      <alignment horizontal="right"/>
      <protection locked="0"/>
    </xf>
    <xf numFmtId="0" fontId="22" fillId="0" borderId="16" xfId="271" applyFont="1" applyBorder="1" applyAlignment="1">
      <alignment horizontal="center"/>
    </xf>
    <xf numFmtId="168" fontId="15" fillId="0" borderId="4" xfId="569" applyNumberFormat="1" applyBorder="1" applyAlignment="1">
      <alignment horizontal="center"/>
    </xf>
    <xf numFmtId="168" fontId="15" fillId="0" borderId="5" xfId="569" applyNumberFormat="1" applyBorder="1" applyAlignment="1">
      <alignment horizontal="center"/>
    </xf>
    <xf numFmtId="0" fontId="22" fillId="0" borderId="11" xfId="569" applyFont="1" applyBorder="1" applyAlignment="1">
      <alignment horizontal="center" wrapText="1"/>
    </xf>
    <xf numFmtId="0" fontId="22" fillId="0" borderId="11" xfId="569" applyFont="1" applyBorder="1" applyAlignment="1">
      <alignment horizontal="center"/>
    </xf>
    <xf numFmtId="165" fontId="15" fillId="0" borderId="11" xfId="569" applyNumberFormat="1" applyBorder="1" applyAlignment="1" applyProtection="1">
      <alignment horizontal="center"/>
      <protection locked="0"/>
    </xf>
    <xf numFmtId="0" fontId="52" fillId="0" borderId="0" xfId="569" applyFont="1" applyAlignment="1">
      <alignment horizontal="left"/>
    </xf>
    <xf numFmtId="5" fontId="15" fillId="0" borderId="5" xfId="569" applyNumberFormat="1" applyBorder="1" applyAlignment="1">
      <alignment horizontal="center"/>
    </xf>
    <xf numFmtId="5" fontId="15" fillId="0" borderId="11" xfId="569" applyNumberFormat="1" applyBorder="1" applyAlignment="1">
      <alignment horizontal="center"/>
    </xf>
    <xf numFmtId="5" fontId="15" fillId="0" borderId="3" xfId="569" applyNumberFormat="1" applyBorder="1" applyAlignment="1">
      <alignment horizontal="center"/>
    </xf>
    <xf numFmtId="5" fontId="15" fillId="0" borderId="4" xfId="569" applyNumberFormat="1" applyBorder="1" applyAlignment="1">
      <alignment horizontal="center"/>
    </xf>
    <xf numFmtId="168" fontId="15" fillId="5" borderId="5" xfId="569" applyNumberFormat="1" applyFill="1" applyBorder="1" applyAlignment="1" applyProtection="1">
      <alignment horizontal="center"/>
      <protection locked="0"/>
    </xf>
    <xf numFmtId="168" fontId="15" fillId="5" borderId="11" xfId="569" applyNumberFormat="1" applyFill="1" applyBorder="1" applyAlignment="1" applyProtection="1">
      <alignment horizontal="center"/>
      <protection locked="0"/>
    </xf>
    <xf numFmtId="9" fontId="15" fillId="0" borderId="5" xfId="569" applyNumberFormat="1" applyBorder="1" applyAlignment="1">
      <alignment horizontal="center"/>
    </xf>
    <xf numFmtId="9" fontId="15" fillId="0" borderId="11" xfId="569" applyNumberFormat="1" applyBorder="1" applyAlignment="1">
      <alignment horizontal="center"/>
    </xf>
    <xf numFmtId="9" fontId="15" fillId="0" borderId="9" xfId="569" applyNumberFormat="1" applyBorder="1" applyAlignment="1">
      <alignment horizontal="center" vertical="center"/>
    </xf>
    <xf numFmtId="9" fontId="15" fillId="0" borderId="6" xfId="569" applyNumberFormat="1" applyBorder="1" applyAlignment="1">
      <alignment horizontal="center" vertical="center"/>
    </xf>
    <xf numFmtId="9" fontId="15" fillId="0" borderId="10" xfId="569" applyNumberFormat="1" applyBorder="1" applyAlignment="1">
      <alignment horizontal="center" vertical="center"/>
    </xf>
    <xf numFmtId="168" fontId="15" fillId="2" borderId="3" xfId="569" applyNumberFormat="1" applyFill="1" applyBorder="1" applyAlignment="1">
      <alignment horizontal="center"/>
    </xf>
    <xf numFmtId="168" fontId="15" fillId="2" borderId="4" xfId="569" applyNumberFormat="1" applyFill="1" applyBorder="1" applyAlignment="1">
      <alignment horizontal="center"/>
    </xf>
    <xf numFmtId="168" fontId="15" fillId="2" borderId="5" xfId="569" applyNumberFormat="1" applyFill="1" applyBorder="1" applyAlignment="1">
      <alignment horizontal="center"/>
    </xf>
    <xf numFmtId="168" fontId="15" fillId="5" borderId="10" xfId="569" applyNumberFormat="1" applyFill="1" applyBorder="1" applyAlignment="1" applyProtection="1">
      <alignment horizontal="center"/>
      <protection locked="0"/>
    </xf>
    <xf numFmtId="168" fontId="15" fillId="5" borderId="13" xfId="569" applyNumberFormat="1" applyFill="1" applyBorder="1" applyAlignment="1" applyProtection="1">
      <alignment horizontal="center"/>
      <protection locked="0"/>
    </xf>
    <xf numFmtId="0" fontId="21" fillId="3" borderId="2" xfId="569" applyFont="1" applyFill="1" applyBorder="1" applyAlignment="1">
      <alignment horizontal="center" vertical="center"/>
    </xf>
    <xf numFmtId="0" fontId="21" fillId="3" borderId="16" xfId="569" applyFont="1" applyFill="1" applyBorder="1" applyAlignment="1">
      <alignment horizontal="center" vertical="center"/>
    </xf>
    <xf numFmtId="168" fontId="15" fillId="0" borderId="7" xfId="569" applyNumberFormat="1" applyBorder="1" applyAlignment="1">
      <alignment horizontal="center"/>
    </xf>
    <xf numFmtId="168" fontId="15" fillId="0" borderId="15" xfId="569" applyNumberFormat="1" applyBorder="1" applyAlignment="1">
      <alignment horizontal="center"/>
    </xf>
    <xf numFmtId="0" fontId="22" fillId="0" borderId="3" xfId="569" applyFont="1" applyBorder="1" applyAlignment="1">
      <alignment horizontal="left"/>
    </xf>
    <xf numFmtId="0" fontId="22" fillId="0" borderId="5" xfId="569" applyFont="1" applyBorder="1" applyAlignment="1">
      <alignment horizontal="left"/>
    </xf>
    <xf numFmtId="0" fontId="23" fillId="0" borderId="4" xfId="569" applyFont="1" applyBorder="1" applyAlignment="1">
      <alignment horizontal="left"/>
    </xf>
    <xf numFmtId="0" fontId="23" fillId="0" borderId="5" xfId="569" applyFont="1" applyBorder="1" applyAlignment="1">
      <alignment horizontal="left"/>
    </xf>
    <xf numFmtId="179" fontId="22" fillId="0" borderId="0" xfId="569" applyNumberFormat="1" applyFont="1" applyAlignment="1">
      <alignment horizontal="center" wrapText="1"/>
    </xf>
    <xf numFmtId="164" fontId="22" fillId="0" borderId="0" xfId="569" applyNumberFormat="1" applyFont="1" applyAlignment="1">
      <alignment horizontal="center" wrapText="1"/>
    </xf>
    <xf numFmtId="0" fontId="15" fillId="0" borderId="3" xfId="569" applyBorder="1" applyAlignment="1">
      <alignment horizontal="right"/>
    </xf>
    <xf numFmtId="0" fontId="15" fillId="0" borderId="4" xfId="569" applyBorder="1" applyAlignment="1">
      <alignment horizontal="right"/>
    </xf>
    <xf numFmtId="0" fontId="15" fillId="0" borderId="5" xfId="569" applyBorder="1" applyAlignment="1">
      <alignment horizontal="right"/>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0" fillId="0" borderId="6" xfId="271" applyFont="1" applyBorder="1" applyAlignment="1">
      <alignment horizontal="center"/>
    </xf>
    <xf numFmtId="3" fontId="15" fillId="0" borderId="0" xfId="0" applyNumberFormat="1" applyFont="1" applyAlignment="1">
      <alignment horizontal="left" vertical="top" wrapText="1"/>
    </xf>
    <xf numFmtId="3" fontId="24" fillId="0" borderId="0" xfId="0" applyNumberFormat="1" applyFont="1" applyAlignment="1">
      <alignment horizontal="left" vertical="top" wrapText="1"/>
    </xf>
    <xf numFmtId="0" fontId="15" fillId="43" borderId="0" xfId="0" applyFont="1" applyFill="1" applyAlignment="1">
      <alignment horizontal="left"/>
    </xf>
  </cellXfs>
  <cellStyles count="25604">
    <cellStyle name="20% - Accent1" xfId="1" builtinId="30" customBuiltin="1"/>
    <cellStyle name="20% - Accent1 10" xfId="4505" xr:uid="{00000000-0005-0000-0000-000001000000}"/>
    <cellStyle name="20% - Accent1 10 2" xfId="12947" xr:uid="{5C2DDBDC-1B87-49D8-9159-594F731A1EC2}"/>
    <cellStyle name="20% - Accent1 10 3" xfId="21384" xr:uid="{46C64A4C-6C6F-4D8F-B353-0EC34944A236}"/>
    <cellStyle name="20% - Accent1 11" xfId="8729" xr:uid="{EAFA8232-BE3B-448E-B2C4-423C77EB4E54}"/>
    <cellStyle name="20% - Accent1 12" xfId="17167" xr:uid="{90980449-E81D-4A54-A055-B19161DDBC33}"/>
    <cellStyle name="20% - Accent1 2" xfId="2" xr:uid="{00000000-0005-0000-0000-000002000000}"/>
    <cellStyle name="20% - Accent1 2 10" xfId="8730" xr:uid="{CFE77B6E-5E86-465E-9934-8E5156843735}"/>
    <cellStyle name="20% - Accent1 2 11" xfId="17168" xr:uid="{DF0DA73D-9B54-4CD7-B875-7FE7C57D7534}"/>
    <cellStyle name="20% - Accent1 2 2" xfId="3" xr:uid="{00000000-0005-0000-0000-000003000000}"/>
    <cellStyle name="20% - Accent1 2 2 10" xfId="17169" xr:uid="{9CAFE6E6-345B-4F0A-B6C7-E5C33FB1EC02}"/>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2 2 2" xfId="15509" xr:uid="{CF3F5ED0-1400-4EA1-84CD-3D60848102B0}"/>
    <cellStyle name="20% - Accent1 2 2 2 2 2 2 3" xfId="23946" xr:uid="{84766361-3C74-4F7B-996E-2636CB61D5FE}"/>
    <cellStyle name="20% - Accent1 2 2 2 2 2 3" xfId="11291" xr:uid="{769D00F8-D289-46DA-A505-7B27EA3CDD0E}"/>
    <cellStyle name="20% - Accent1 2 2 2 2 2 4" xfId="19729" xr:uid="{7FCAC6CC-EB62-4F0C-93D5-D748CD1CCCC5}"/>
    <cellStyle name="20% - Accent1 2 2 2 2 3" xfId="4922" xr:uid="{00000000-0005-0000-0000-000008000000}"/>
    <cellStyle name="20% - Accent1 2 2 2 2 3 2" xfId="13364" xr:uid="{343D9CBB-ECAF-44E5-AB84-5CA984ADAEEC}"/>
    <cellStyle name="20% - Accent1 2 2 2 2 3 3" xfId="21801" xr:uid="{0053058F-798D-4CC6-8BDB-396BC5B79A41}"/>
    <cellStyle name="20% - Accent1 2 2 2 2 4" xfId="9146" xr:uid="{3B5C0C36-AE25-4D4C-A44A-C28F50970787}"/>
    <cellStyle name="20% - Accent1 2 2 2 2 5" xfId="17584" xr:uid="{06FA0CF0-51CA-4928-9A89-7BDDE6E79F5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2 2 2" xfId="15922" xr:uid="{FBFECA19-760C-4AEC-A7EB-7DB466D3CB1A}"/>
    <cellStyle name="20% - Accent1 2 2 2 3 2 2 3" xfId="24359" xr:uid="{06CE7C5F-A73C-4694-A563-11E933B5658A}"/>
    <cellStyle name="20% - Accent1 2 2 2 3 2 3" xfId="11704" xr:uid="{07CBF520-2C82-40FB-B3D0-1D961F68CFD5}"/>
    <cellStyle name="20% - Accent1 2 2 2 3 2 4" xfId="20142" xr:uid="{B262884E-BF4B-4947-8A77-B5AB179D7C3B}"/>
    <cellStyle name="20% - Accent1 2 2 2 3 3" xfId="5335" xr:uid="{00000000-0005-0000-0000-00000C000000}"/>
    <cellStyle name="20% - Accent1 2 2 2 3 3 2" xfId="13777" xr:uid="{9F7879CB-49F7-418C-801A-CCE38A5B249D}"/>
    <cellStyle name="20% - Accent1 2 2 2 3 3 3" xfId="22214" xr:uid="{7E41C913-E106-4216-A6CE-4B7CF62C101C}"/>
    <cellStyle name="20% - Accent1 2 2 2 3 4" xfId="9559" xr:uid="{BAB1BB91-74D6-4D9A-BA5D-B1CDEF2952C0}"/>
    <cellStyle name="20% - Accent1 2 2 2 3 5" xfId="17997" xr:uid="{AB3893F0-1F88-4432-AAA6-4630FC3C0A12}"/>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2 2 2" xfId="16335" xr:uid="{49A840E3-AD85-4450-954D-ADA7B1494BC4}"/>
    <cellStyle name="20% - Accent1 2 2 2 4 2 2 3" xfId="24772" xr:uid="{CBA7D3FD-2F44-45C5-9C2F-3685BBAC5FA4}"/>
    <cellStyle name="20% - Accent1 2 2 2 4 2 3" xfId="12117" xr:uid="{F77A64EE-1D1E-4144-8E84-24F411F5070A}"/>
    <cellStyle name="20% - Accent1 2 2 2 4 2 4" xfId="20555" xr:uid="{5EDCAF51-76C2-4819-9FE2-C85BF93229A0}"/>
    <cellStyle name="20% - Accent1 2 2 2 4 3" xfId="5748" xr:uid="{00000000-0005-0000-0000-000010000000}"/>
    <cellStyle name="20% - Accent1 2 2 2 4 3 2" xfId="14190" xr:uid="{6BA43024-19F7-4B72-B4D2-E79292537387}"/>
    <cellStyle name="20% - Accent1 2 2 2 4 3 3" xfId="22627" xr:uid="{CBCC73A4-A4BC-450F-8695-E970D99BADC4}"/>
    <cellStyle name="20% - Accent1 2 2 2 4 4" xfId="9972" xr:uid="{9F90DD74-2376-49C5-9091-EF081E7FB9D8}"/>
    <cellStyle name="20% - Accent1 2 2 2 4 5" xfId="18410" xr:uid="{990CFF7F-800D-4299-ABB2-2A78185C1E22}"/>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2 2 2" xfId="16748" xr:uid="{3C7597D1-28D2-4084-9DC6-A0C934139A55}"/>
    <cellStyle name="20% - Accent1 2 2 2 5 2 2 3" xfId="25185" xr:uid="{98726677-F8BF-4344-A251-93B42E3A467D}"/>
    <cellStyle name="20% - Accent1 2 2 2 5 2 3" xfId="12530" xr:uid="{9ED8AD5F-DE97-4A3A-B000-64C279B53CC9}"/>
    <cellStyle name="20% - Accent1 2 2 2 5 2 4" xfId="20968" xr:uid="{CD1F413C-664D-4FD9-9490-DA07055F7522}"/>
    <cellStyle name="20% - Accent1 2 2 2 5 3" xfId="6161" xr:uid="{00000000-0005-0000-0000-000014000000}"/>
    <cellStyle name="20% - Accent1 2 2 2 5 3 2" xfId="14603" xr:uid="{3A48ED4F-B86D-4F87-8038-654E8C5CA12D}"/>
    <cellStyle name="20% - Accent1 2 2 2 5 3 3" xfId="23040" xr:uid="{EEC8AF3F-EF9C-4EE3-A3D9-749F99DE6151}"/>
    <cellStyle name="20% - Accent1 2 2 2 5 4" xfId="10385" xr:uid="{276BB377-2FF7-4128-AC27-0E77C1426E54}"/>
    <cellStyle name="20% - Accent1 2 2 2 5 5" xfId="18823" xr:uid="{4DB521B5-5EA5-44EC-869B-06F5825CEBE9}"/>
    <cellStyle name="20% - Accent1 2 2 2 6" xfId="2267" xr:uid="{00000000-0005-0000-0000-000015000000}"/>
    <cellStyle name="20% - Accent1 2 2 2 6 2" xfId="6574" xr:uid="{00000000-0005-0000-0000-000016000000}"/>
    <cellStyle name="20% - Accent1 2 2 2 6 2 2" xfId="15016" xr:uid="{0F9083CE-B99F-4B2A-9B5B-100C67F8EF98}"/>
    <cellStyle name="20% - Accent1 2 2 2 6 2 3" xfId="23453" xr:uid="{72C85E5D-71B5-45AD-8A73-34C3DCA75DB6}"/>
    <cellStyle name="20% - Accent1 2 2 2 6 3" xfId="10798" xr:uid="{9BFFC7E1-F5FF-44CA-AB35-9C0810417137}"/>
    <cellStyle name="20% - Accent1 2 2 2 6 4" xfId="19236" xr:uid="{839D4824-4FCC-4885-81AD-84818AD89652}"/>
    <cellStyle name="20% - Accent1 2 2 2 7" xfId="4508" xr:uid="{00000000-0005-0000-0000-000017000000}"/>
    <cellStyle name="20% - Accent1 2 2 2 7 2" xfId="12950" xr:uid="{73E58EE9-060E-41F1-BA16-04E98B2A0E56}"/>
    <cellStyle name="20% - Accent1 2 2 2 7 3" xfId="21387" xr:uid="{C68C3D21-1941-4197-8F73-234B0246FC3F}"/>
    <cellStyle name="20% - Accent1 2 2 2 8" xfId="8732" xr:uid="{4E052919-6BC9-4032-9D14-CC5A5C5FB26C}"/>
    <cellStyle name="20% - Accent1 2 2 2 9" xfId="17170" xr:uid="{A641BF8A-FE09-4577-80CD-A7DA2157A5BB}"/>
    <cellStyle name="20% - Accent1 2 2 3" xfId="572" xr:uid="{00000000-0005-0000-0000-000018000000}"/>
    <cellStyle name="20% - Accent1 2 2 3 2" xfId="2843" xr:uid="{00000000-0005-0000-0000-000019000000}"/>
    <cellStyle name="20% - Accent1 2 2 3 2 2" xfId="7066" xr:uid="{00000000-0005-0000-0000-00001A000000}"/>
    <cellStyle name="20% - Accent1 2 2 3 2 2 2" xfId="15508" xr:uid="{D0D39EA3-369B-45A0-AB86-7356C0101212}"/>
    <cellStyle name="20% - Accent1 2 2 3 2 2 3" xfId="23945" xr:uid="{E3FDC557-1086-46C6-8744-4F48DF361789}"/>
    <cellStyle name="20% - Accent1 2 2 3 2 3" xfId="11290" xr:uid="{814449FF-067A-49D3-A90C-E0BE9A6B2F06}"/>
    <cellStyle name="20% - Accent1 2 2 3 2 4" xfId="19728" xr:uid="{0D289128-8D90-44CD-A96F-1BF79CB6B7AA}"/>
    <cellStyle name="20% - Accent1 2 2 3 3" xfId="4921" xr:uid="{00000000-0005-0000-0000-00001B000000}"/>
    <cellStyle name="20% - Accent1 2 2 3 3 2" xfId="13363" xr:uid="{247B481F-61DE-40E4-93D7-88A9A4C44216}"/>
    <cellStyle name="20% - Accent1 2 2 3 3 3" xfId="21800" xr:uid="{17526D5D-499E-4380-8F6E-A2635CF5398D}"/>
    <cellStyle name="20% - Accent1 2 2 3 4" xfId="9145" xr:uid="{B47EC993-31A7-4D2F-AAF9-B6949DEF9164}"/>
    <cellStyle name="20% - Accent1 2 2 3 5" xfId="17583" xr:uid="{FB0FC45A-F283-4D15-81C8-3E89F87E6687}"/>
    <cellStyle name="20% - Accent1 2 2 4" xfId="1025" xr:uid="{00000000-0005-0000-0000-00001C000000}"/>
    <cellStyle name="20% - Accent1 2 2 4 2" xfId="3256" xr:uid="{00000000-0005-0000-0000-00001D000000}"/>
    <cellStyle name="20% - Accent1 2 2 4 2 2" xfId="7479" xr:uid="{00000000-0005-0000-0000-00001E000000}"/>
    <cellStyle name="20% - Accent1 2 2 4 2 2 2" xfId="15921" xr:uid="{A0DA168E-AAA5-4022-8945-E660A6A743B6}"/>
    <cellStyle name="20% - Accent1 2 2 4 2 2 3" xfId="24358" xr:uid="{32AB5460-93CD-4200-A22D-EAE74071A180}"/>
    <cellStyle name="20% - Accent1 2 2 4 2 3" xfId="11703" xr:uid="{F12EDB0D-F5F8-4974-BB17-504DD1724CF3}"/>
    <cellStyle name="20% - Accent1 2 2 4 2 4" xfId="20141" xr:uid="{313FC985-1013-4511-AD85-CE1DF585DC74}"/>
    <cellStyle name="20% - Accent1 2 2 4 3" xfId="5334" xr:uid="{00000000-0005-0000-0000-00001F000000}"/>
    <cellStyle name="20% - Accent1 2 2 4 3 2" xfId="13776" xr:uid="{EADD8B9C-0E32-48FE-92C3-91F034DB4A82}"/>
    <cellStyle name="20% - Accent1 2 2 4 3 3" xfId="22213" xr:uid="{BFB3EA84-AB74-46AC-AB27-FD3C2A6F3F4F}"/>
    <cellStyle name="20% - Accent1 2 2 4 4" xfId="9558" xr:uid="{7C6592DC-4F71-40D3-80EE-58E8F77E42BB}"/>
    <cellStyle name="20% - Accent1 2 2 4 5" xfId="17996" xr:uid="{FF7A3CA9-4F16-4D4D-9B38-045202EE6EE6}"/>
    <cellStyle name="20% - Accent1 2 2 5" xfId="1439" xr:uid="{00000000-0005-0000-0000-000020000000}"/>
    <cellStyle name="20% - Accent1 2 2 5 2" xfId="3669" xr:uid="{00000000-0005-0000-0000-000021000000}"/>
    <cellStyle name="20% - Accent1 2 2 5 2 2" xfId="7892" xr:uid="{00000000-0005-0000-0000-000022000000}"/>
    <cellStyle name="20% - Accent1 2 2 5 2 2 2" xfId="16334" xr:uid="{9BC9DFDB-DF50-4AAD-A125-A8C942CAEB36}"/>
    <cellStyle name="20% - Accent1 2 2 5 2 2 3" xfId="24771" xr:uid="{6C2CA932-80E6-4F89-9B3C-C648E71072BC}"/>
    <cellStyle name="20% - Accent1 2 2 5 2 3" xfId="12116" xr:uid="{ECD20013-5EF8-4F02-A210-F1DB236EA46A}"/>
    <cellStyle name="20% - Accent1 2 2 5 2 4" xfId="20554" xr:uid="{6338590F-66E5-4838-86A8-FAB896D29093}"/>
    <cellStyle name="20% - Accent1 2 2 5 3" xfId="5747" xr:uid="{00000000-0005-0000-0000-000023000000}"/>
    <cellStyle name="20% - Accent1 2 2 5 3 2" xfId="14189" xr:uid="{E8C65D0A-58DA-45C0-96D4-B2D1321BFD2F}"/>
    <cellStyle name="20% - Accent1 2 2 5 3 3" xfId="22626" xr:uid="{08C0CE3A-D27A-4B48-AB4C-2C5F1C409550}"/>
    <cellStyle name="20% - Accent1 2 2 5 4" xfId="9971" xr:uid="{B0BAF5ED-BBC0-4F4C-B86C-96838A7BF0C9}"/>
    <cellStyle name="20% - Accent1 2 2 5 5" xfId="18409" xr:uid="{4130D8E9-4E2D-40B7-894E-F1230A0480D2}"/>
    <cellStyle name="20% - Accent1 2 2 6" xfId="1853" xr:uid="{00000000-0005-0000-0000-000024000000}"/>
    <cellStyle name="20% - Accent1 2 2 6 2" xfId="4082" xr:uid="{00000000-0005-0000-0000-000025000000}"/>
    <cellStyle name="20% - Accent1 2 2 6 2 2" xfId="8305" xr:uid="{00000000-0005-0000-0000-000026000000}"/>
    <cellStyle name="20% - Accent1 2 2 6 2 2 2" xfId="16747" xr:uid="{C9CE7246-35AE-41C8-AE01-BD64082F6763}"/>
    <cellStyle name="20% - Accent1 2 2 6 2 2 3" xfId="25184" xr:uid="{C65D36B2-245F-4200-B2B1-E82F2E5DC3C1}"/>
    <cellStyle name="20% - Accent1 2 2 6 2 3" xfId="12529" xr:uid="{0D712187-10CA-42EA-9B62-8231E18CC755}"/>
    <cellStyle name="20% - Accent1 2 2 6 2 4" xfId="20967" xr:uid="{86382900-C7D4-438F-9D51-1E062345CFD9}"/>
    <cellStyle name="20% - Accent1 2 2 6 3" xfId="6160" xr:uid="{00000000-0005-0000-0000-000027000000}"/>
    <cellStyle name="20% - Accent1 2 2 6 3 2" xfId="14602" xr:uid="{8B81579A-D55C-430C-9DEC-BC24B4C138BC}"/>
    <cellStyle name="20% - Accent1 2 2 6 3 3" xfId="23039" xr:uid="{5651A2ED-AC56-4258-B6F5-8ECDA982E505}"/>
    <cellStyle name="20% - Accent1 2 2 6 4" xfId="10384" xr:uid="{406DA1DC-00A3-48B9-B1BF-7D8AF7A15FB0}"/>
    <cellStyle name="20% - Accent1 2 2 6 5" xfId="18822" xr:uid="{DC678B37-E510-4296-A566-305CA7186DD3}"/>
    <cellStyle name="20% - Accent1 2 2 7" xfId="2266" xr:uid="{00000000-0005-0000-0000-000028000000}"/>
    <cellStyle name="20% - Accent1 2 2 7 2" xfId="6573" xr:uid="{00000000-0005-0000-0000-000029000000}"/>
    <cellStyle name="20% - Accent1 2 2 7 2 2" xfId="15015" xr:uid="{795130CF-9B9F-44BC-AEEC-C8BBF4C7AEDF}"/>
    <cellStyle name="20% - Accent1 2 2 7 2 3" xfId="23452" xr:uid="{CB185511-58E9-412D-925B-15AD52D3E7C9}"/>
    <cellStyle name="20% - Accent1 2 2 7 3" xfId="10797" xr:uid="{22F6B23D-FCCB-4C3C-B718-B5C18F289DDB}"/>
    <cellStyle name="20% - Accent1 2 2 7 4" xfId="19235" xr:uid="{6FBE5D8D-D4C5-49F5-9FBB-172286E76BE2}"/>
    <cellStyle name="20% - Accent1 2 2 8" xfId="4507" xr:uid="{00000000-0005-0000-0000-00002A000000}"/>
    <cellStyle name="20% - Accent1 2 2 8 2" xfId="12949" xr:uid="{A734A2DC-66FE-499C-A4DE-AC75F55E37AE}"/>
    <cellStyle name="20% - Accent1 2 2 8 3" xfId="21386" xr:uid="{73D1E5B0-96D1-4793-9139-4C1E20CE9776}"/>
    <cellStyle name="20% - Accent1 2 2 9" xfId="8731" xr:uid="{235A704C-EF82-40C7-900C-B04652A1F976}"/>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2 2 2" xfId="15510" xr:uid="{F27927EC-836A-4129-A585-D5A538A81E5B}"/>
    <cellStyle name="20% - Accent1 2 3 2 2 2 3" xfId="23947" xr:uid="{210B11C3-B7E6-48EF-90E9-47BE44677B62}"/>
    <cellStyle name="20% - Accent1 2 3 2 2 3" xfId="11292" xr:uid="{73DBE6CB-933E-4104-BE27-1AAB1C97CF43}"/>
    <cellStyle name="20% - Accent1 2 3 2 2 4" xfId="19730" xr:uid="{4B7BD160-5386-4890-A89D-89B742577C52}"/>
    <cellStyle name="20% - Accent1 2 3 2 3" xfId="4923" xr:uid="{00000000-0005-0000-0000-00002F000000}"/>
    <cellStyle name="20% - Accent1 2 3 2 3 2" xfId="13365" xr:uid="{2EDB4C41-87D4-4373-9863-85624D18277F}"/>
    <cellStyle name="20% - Accent1 2 3 2 3 3" xfId="21802" xr:uid="{BEE60A7B-AAEF-4857-A083-E386C37BE3F5}"/>
    <cellStyle name="20% - Accent1 2 3 2 4" xfId="9147" xr:uid="{2CB702E5-CFA2-4D4A-9832-7E58C5B5DA36}"/>
    <cellStyle name="20% - Accent1 2 3 2 5" xfId="17585" xr:uid="{2EDFCC23-B58E-47F2-A852-BFEE9F61BE75}"/>
    <cellStyle name="20% - Accent1 2 3 3" xfId="1027" xr:uid="{00000000-0005-0000-0000-000030000000}"/>
    <cellStyle name="20% - Accent1 2 3 3 2" xfId="3258" xr:uid="{00000000-0005-0000-0000-000031000000}"/>
    <cellStyle name="20% - Accent1 2 3 3 2 2" xfId="7481" xr:uid="{00000000-0005-0000-0000-000032000000}"/>
    <cellStyle name="20% - Accent1 2 3 3 2 2 2" xfId="15923" xr:uid="{55E39B3A-99E3-4647-9478-E327ACA2FA7C}"/>
    <cellStyle name="20% - Accent1 2 3 3 2 2 3" xfId="24360" xr:uid="{4F42FA9F-CFA7-4110-A49D-36A258508BCA}"/>
    <cellStyle name="20% - Accent1 2 3 3 2 3" xfId="11705" xr:uid="{1FAB1E20-7310-4DEC-AA23-59DACF2031F6}"/>
    <cellStyle name="20% - Accent1 2 3 3 2 4" xfId="20143" xr:uid="{BECB15ED-9A94-4C38-BC12-523CDD7ABEA5}"/>
    <cellStyle name="20% - Accent1 2 3 3 3" xfId="5336" xr:uid="{00000000-0005-0000-0000-000033000000}"/>
    <cellStyle name="20% - Accent1 2 3 3 3 2" xfId="13778" xr:uid="{A688A9F6-488D-41BB-BCE6-C17DC3E5C691}"/>
    <cellStyle name="20% - Accent1 2 3 3 3 3" xfId="22215" xr:uid="{5F8E3D53-28F0-4A6C-B69C-B0F5F4EAD30A}"/>
    <cellStyle name="20% - Accent1 2 3 3 4" xfId="9560" xr:uid="{8826B46B-2F3E-4E0E-9665-ECF46C312A86}"/>
    <cellStyle name="20% - Accent1 2 3 3 5" xfId="17998" xr:uid="{EDA93E74-48F3-42F2-BBBB-A82771C7267A}"/>
    <cellStyle name="20% - Accent1 2 3 4" xfId="1441" xr:uid="{00000000-0005-0000-0000-000034000000}"/>
    <cellStyle name="20% - Accent1 2 3 4 2" xfId="3671" xr:uid="{00000000-0005-0000-0000-000035000000}"/>
    <cellStyle name="20% - Accent1 2 3 4 2 2" xfId="7894" xr:uid="{00000000-0005-0000-0000-000036000000}"/>
    <cellStyle name="20% - Accent1 2 3 4 2 2 2" xfId="16336" xr:uid="{5D85AA05-3EEA-42F1-8504-BA519E08B79D}"/>
    <cellStyle name="20% - Accent1 2 3 4 2 2 3" xfId="24773" xr:uid="{3D66549A-9C4F-45D1-8C44-C3E1B5756685}"/>
    <cellStyle name="20% - Accent1 2 3 4 2 3" xfId="12118" xr:uid="{95998C39-3A02-4A7F-ABF6-F9FC6244AD2C}"/>
    <cellStyle name="20% - Accent1 2 3 4 2 4" xfId="20556" xr:uid="{A3283A76-572E-4AB7-B456-3C15DB469F29}"/>
    <cellStyle name="20% - Accent1 2 3 4 3" xfId="5749" xr:uid="{00000000-0005-0000-0000-000037000000}"/>
    <cellStyle name="20% - Accent1 2 3 4 3 2" xfId="14191" xr:uid="{19DAF519-2D07-4FF4-83F1-A83B1299FF0D}"/>
    <cellStyle name="20% - Accent1 2 3 4 3 3" xfId="22628" xr:uid="{8AEDC040-6A45-43FB-BA83-F81C14670FFF}"/>
    <cellStyle name="20% - Accent1 2 3 4 4" xfId="9973" xr:uid="{36738462-B34D-4D8C-9E0A-CFCE5AC89798}"/>
    <cellStyle name="20% - Accent1 2 3 4 5" xfId="18411" xr:uid="{248A8240-8554-43A3-B9DA-F8E1CF0F6A17}"/>
    <cellStyle name="20% - Accent1 2 3 5" xfId="1855" xr:uid="{00000000-0005-0000-0000-000038000000}"/>
    <cellStyle name="20% - Accent1 2 3 5 2" xfId="4084" xr:uid="{00000000-0005-0000-0000-000039000000}"/>
    <cellStyle name="20% - Accent1 2 3 5 2 2" xfId="8307" xr:uid="{00000000-0005-0000-0000-00003A000000}"/>
    <cellStyle name="20% - Accent1 2 3 5 2 2 2" xfId="16749" xr:uid="{9333FA4A-6FF3-4447-9D32-298B9A326989}"/>
    <cellStyle name="20% - Accent1 2 3 5 2 2 3" xfId="25186" xr:uid="{C2D29C59-9A39-4AC5-B971-3D9D9EF05E7D}"/>
    <cellStyle name="20% - Accent1 2 3 5 2 3" xfId="12531" xr:uid="{BFEE537B-9931-450C-A1D3-17C0F00D6A3F}"/>
    <cellStyle name="20% - Accent1 2 3 5 2 4" xfId="20969" xr:uid="{D57F284A-F424-4851-A8E4-072A20539A9C}"/>
    <cellStyle name="20% - Accent1 2 3 5 3" xfId="6162" xr:uid="{00000000-0005-0000-0000-00003B000000}"/>
    <cellStyle name="20% - Accent1 2 3 5 3 2" xfId="14604" xr:uid="{069BCB73-63BF-4B27-A01E-7ACED7EBEC94}"/>
    <cellStyle name="20% - Accent1 2 3 5 3 3" xfId="23041" xr:uid="{58F77BDE-2ED1-4C5C-AC92-5FDE091EB4A5}"/>
    <cellStyle name="20% - Accent1 2 3 5 4" xfId="10386" xr:uid="{86AE0AE4-F9F8-4CD3-BDB9-7D8E74F79FCD}"/>
    <cellStyle name="20% - Accent1 2 3 5 5" xfId="18824" xr:uid="{96EDC32A-7B08-4D19-B9BB-C8166D83F8B2}"/>
    <cellStyle name="20% - Accent1 2 3 6" xfId="2268" xr:uid="{00000000-0005-0000-0000-00003C000000}"/>
    <cellStyle name="20% - Accent1 2 3 6 2" xfId="6575" xr:uid="{00000000-0005-0000-0000-00003D000000}"/>
    <cellStyle name="20% - Accent1 2 3 6 2 2" xfId="15017" xr:uid="{8AF715AA-CDE6-4798-9A83-E1D779120D1D}"/>
    <cellStyle name="20% - Accent1 2 3 6 2 3" xfId="23454" xr:uid="{507184A4-F46E-4D0B-BD32-CB785747AC92}"/>
    <cellStyle name="20% - Accent1 2 3 6 3" xfId="10799" xr:uid="{FE4AC22F-A3CD-4C74-AA4D-C2805A9D63B5}"/>
    <cellStyle name="20% - Accent1 2 3 6 4" xfId="19237" xr:uid="{3205EABC-08C9-4D12-9C38-EF8AA4ADEC25}"/>
    <cellStyle name="20% - Accent1 2 3 7" xfId="4509" xr:uid="{00000000-0005-0000-0000-00003E000000}"/>
    <cellStyle name="20% - Accent1 2 3 7 2" xfId="12951" xr:uid="{50B8C73A-D7F6-4B1F-8DB8-E0C1DD886299}"/>
    <cellStyle name="20% - Accent1 2 3 7 3" xfId="21388" xr:uid="{40C9953A-84E9-4AC7-887F-0B08384270A0}"/>
    <cellStyle name="20% - Accent1 2 3 8" xfId="8733" xr:uid="{B4DDB341-17A0-4349-95E9-2EFF1E7D7237}"/>
    <cellStyle name="20% - Accent1 2 3 9" xfId="17171" xr:uid="{E272FD0C-D4EC-43A7-AA12-20C1CDF8FF78}"/>
    <cellStyle name="20% - Accent1 2 4" xfId="571" xr:uid="{00000000-0005-0000-0000-00003F000000}"/>
    <cellStyle name="20% - Accent1 2 4 2" xfId="2842" xr:uid="{00000000-0005-0000-0000-000040000000}"/>
    <cellStyle name="20% - Accent1 2 4 2 2" xfId="7065" xr:uid="{00000000-0005-0000-0000-000041000000}"/>
    <cellStyle name="20% - Accent1 2 4 2 2 2" xfId="15507" xr:uid="{A6E1C57A-A32E-4AE6-98CF-EED582F1E705}"/>
    <cellStyle name="20% - Accent1 2 4 2 2 3" xfId="23944" xr:uid="{BE24890E-1B9D-4F90-A9D2-79DB922F32A0}"/>
    <cellStyle name="20% - Accent1 2 4 2 3" xfId="11289" xr:uid="{ED27900D-4C2D-45FC-92B4-1FE79E05F7B4}"/>
    <cellStyle name="20% - Accent1 2 4 2 4" xfId="19727" xr:uid="{0D607941-6BF4-4F33-93B1-11CD00E902A7}"/>
    <cellStyle name="20% - Accent1 2 4 3" xfId="4920" xr:uid="{00000000-0005-0000-0000-000042000000}"/>
    <cellStyle name="20% - Accent1 2 4 3 2" xfId="13362" xr:uid="{0485C759-EF24-4B0E-B0C6-E3A8867C52A5}"/>
    <cellStyle name="20% - Accent1 2 4 3 3" xfId="21799" xr:uid="{B4B310B9-CD35-4A15-903D-0B7D5DC2EA51}"/>
    <cellStyle name="20% - Accent1 2 4 4" xfId="9144" xr:uid="{774B5C70-D0EA-4EC5-8E1B-47CBD027025A}"/>
    <cellStyle name="20% - Accent1 2 4 5" xfId="17582" xr:uid="{474C9588-D81E-43DC-9B2B-5D6FF3CEAACA}"/>
    <cellStyle name="20% - Accent1 2 5" xfId="1024" xr:uid="{00000000-0005-0000-0000-000043000000}"/>
    <cellStyle name="20% - Accent1 2 5 2" xfId="3255" xr:uid="{00000000-0005-0000-0000-000044000000}"/>
    <cellStyle name="20% - Accent1 2 5 2 2" xfId="7478" xr:uid="{00000000-0005-0000-0000-000045000000}"/>
    <cellStyle name="20% - Accent1 2 5 2 2 2" xfId="15920" xr:uid="{6686DAA3-0457-46D8-9F2F-FCEAA8D1EDA2}"/>
    <cellStyle name="20% - Accent1 2 5 2 2 3" xfId="24357" xr:uid="{91320DE6-4101-4AB8-8179-F79E0B018A03}"/>
    <cellStyle name="20% - Accent1 2 5 2 3" xfId="11702" xr:uid="{0615E6FC-F063-41E8-92B2-D4E83587B8DD}"/>
    <cellStyle name="20% - Accent1 2 5 2 4" xfId="20140" xr:uid="{74A1101D-A8D8-4C37-B2D4-1E208353E6F5}"/>
    <cellStyle name="20% - Accent1 2 5 3" xfId="5333" xr:uid="{00000000-0005-0000-0000-000046000000}"/>
    <cellStyle name="20% - Accent1 2 5 3 2" xfId="13775" xr:uid="{8AFCA484-CC63-412A-8CE7-F5F38BB52481}"/>
    <cellStyle name="20% - Accent1 2 5 3 3" xfId="22212" xr:uid="{6E1D6246-C43A-496D-A10D-2267967741A0}"/>
    <cellStyle name="20% - Accent1 2 5 4" xfId="9557" xr:uid="{449477AB-7D2C-426E-8F34-CA26004E7D3A}"/>
    <cellStyle name="20% - Accent1 2 5 5" xfId="17995" xr:uid="{08C95A4B-684C-4C98-BFA9-AAC86F51606E}"/>
    <cellStyle name="20% - Accent1 2 6" xfId="1438" xr:uid="{00000000-0005-0000-0000-000047000000}"/>
    <cellStyle name="20% - Accent1 2 6 2" xfId="3668" xr:uid="{00000000-0005-0000-0000-000048000000}"/>
    <cellStyle name="20% - Accent1 2 6 2 2" xfId="7891" xr:uid="{00000000-0005-0000-0000-000049000000}"/>
    <cellStyle name="20% - Accent1 2 6 2 2 2" xfId="16333" xr:uid="{998CAD89-06D7-45B4-B1AB-12D5C9C75A68}"/>
    <cellStyle name="20% - Accent1 2 6 2 2 3" xfId="24770" xr:uid="{67420ED3-5CAE-40B0-89A1-7334591A9B18}"/>
    <cellStyle name="20% - Accent1 2 6 2 3" xfId="12115" xr:uid="{0F1C4364-030E-4A93-B280-E259F4C5B637}"/>
    <cellStyle name="20% - Accent1 2 6 2 4" xfId="20553" xr:uid="{531E4C3B-7074-4122-9912-ADBC0AC09EEC}"/>
    <cellStyle name="20% - Accent1 2 6 3" xfId="5746" xr:uid="{00000000-0005-0000-0000-00004A000000}"/>
    <cellStyle name="20% - Accent1 2 6 3 2" xfId="14188" xr:uid="{5370AE31-5BEE-4018-A731-B1D756C6B724}"/>
    <cellStyle name="20% - Accent1 2 6 3 3" xfId="22625" xr:uid="{A24BB327-5C33-4D5F-BDA4-895064F404EE}"/>
    <cellStyle name="20% - Accent1 2 6 4" xfId="9970" xr:uid="{07D0C9D1-E8DE-4529-BB48-D94C2592BFE4}"/>
    <cellStyle name="20% - Accent1 2 6 5" xfId="18408" xr:uid="{B9479968-1E69-4D73-B237-186C3748638E}"/>
    <cellStyle name="20% - Accent1 2 7" xfId="1852" xr:uid="{00000000-0005-0000-0000-00004B000000}"/>
    <cellStyle name="20% - Accent1 2 7 2" xfId="4081" xr:uid="{00000000-0005-0000-0000-00004C000000}"/>
    <cellStyle name="20% - Accent1 2 7 2 2" xfId="8304" xr:uid="{00000000-0005-0000-0000-00004D000000}"/>
    <cellStyle name="20% - Accent1 2 7 2 2 2" xfId="16746" xr:uid="{6B814F27-AEBA-4916-BCA8-B1B305F89E07}"/>
    <cellStyle name="20% - Accent1 2 7 2 2 3" xfId="25183" xr:uid="{912E88B5-1D35-41A4-A0CA-4379A2BF6006}"/>
    <cellStyle name="20% - Accent1 2 7 2 3" xfId="12528" xr:uid="{8C2CAB1A-9018-4582-B699-9126397ACAB4}"/>
    <cellStyle name="20% - Accent1 2 7 2 4" xfId="20966" xr:uid="{BE54426B-0247-4D07-BDBF-6119F2F6D3AD}"/>
    <cellStyle name="20% - Accent1 2 7 3" xfId="6159" xr:uid="{00000000-0005-0000-0000-00004E000000}"/>
    <cellStyle name="20% - Accent1 2 7 3 2" xfId="14601" xr:uid="{AAEBA491-3822-4BE5-A48E-5EB8485714C7}"/>
    <cellStyle name="20% - Accent1 2 7 3 3" xfId="23038" xr:uid="{DFA91530-C98F-4353-AF8E-C5AA3F07B5DA}"/>
    <cellStyle name="20% - Accent1 2 7 4" xfId="10383" xr:uid="{6A5598B0-B3F7-4038-B8FC-97F889E7E7CD}"/>
    <cellStyle name="20% - Accent1 2 7 5" xfId="18821" xr:uid="{EDBFC753-8439-4B94-A78D-10AF5736076D}"/>
    <cellStyle name="20% - Accent1 2 8" xfId="2265" xr:uid="{00000000-0005-0000-0000-00004F000000}"/>
    <cellStyle name="20% - Accent1 2 8 2" xfId="6572" xr:uid="{00000000-0005-0000-0000-000050000000}"/>
    <cellStyle name="20% - Accent1 2 8 2 2" xfId="15014" xr:uid="{0EE09CBF-DB61-4706-896E-49CBC917799C}"/>
    <cellStyle name="20% - Accent1 2 8 2 3" xfId="23451" xr:uid="{884D2196-5C59-4DA6-BB46-C4D904AE9C77}"/>
    <cellStyle name="20% - Accent1 2 8 3" xfId="10796" xr:uid="{587D0EBE-2EC0-446C-B6DE-3B9EA4CA7076}"/>
    <cellStyle name="20% - Accent1 2 8 4" xfId="19234" xr:uid="{358FFF82-5CB2-45D6-BD54-CE2FEDA0397C}"/>
    <cellStyle name="20% - Accent1 2 9" xfId="4506" xr:uid="{00000000-0005-0000-0000-000051000000}"/>
    <cellStyle name="20% - Accent1 2 9 2" xfId="12948" xr:uid="{3A22B1A0-05D9-4D4C-A30A-DA8D6CF2979C}"/>
    <cellStyle name="20% - Accent1 2 9 3" xfId="21385" xr:uid="{26D494B1-0947-4132-ABCC-A6355DFB9429}"/>
    <cellStyle name="20% - Accent1 3" xfId="6" xr:uid="{00000000-0005-0000-0000-000052000000}"/>
    <cellStyle name="20% - Accent1 3 10" xfId="17172" xr:uid="{931CEE04-49AA-4908-A257-CAEC0F903316}"/>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2 2 2" xfId="15512" xr:uid="{D1CE6138-A950-484D-9EBD-7B27F8A8A454}"/>
    <cellStyle name="20% - Accent1 3 2 2 2 2 3" xfId="23949" xr:uid="{E6CF92FC-1029-422F-A4F8-C4FBB8A872CE}"/>
    <cellStyle name="20% - Accent1 3 2 2 2 3" xfId="11294" xr:uid="{68FC532D-6E33-4B0A-ADAF-DD230E0A9E4E}"/>
    <cellStyle name="20% - Accent1 3 2 2 2 4" xfId="19732" xr:uid="{977293B8-2E88-43D9-8A18-008F3FE61D5D}"/>
    <cellStyle name="20% - Accent1 3 2 2 3" xfId="4925" xr:uid="{00000000-0005-0000-0000-000057000000}"/>
    <cellStyle name="20% - Accent1 3 2 2 3 2" xfId="13367" xr:uid="{505AED51-C5E1-468B-863D-08975A74AC0D}"/>
    <cellStyle name="20% - Accent1 3 2 2 3 3" xfId="21804" xr:uid="{9E4C4EC4-7AE0-48C7-8299-3927F236A9EB}"/>
    <cellStyle name="20% - Accent1 3 2 2 4" xfId="9149" xr:uid="{EF6C29EF-BF38-4CB9-8B6D-FCB90F8F2475}"/>
    <cellStyle name="20% - Accent1 3 2 2 5" xfId="17587" xr:uid="{FAA33555-C941-4B08-BA30-477BEAEA6C87}"/>
    <cellStyle name="20% - Accent1 3 2 3" xfId="1029" xr:uid="{00000000-0005-0000-0000-000058000000}"/>
    <cellStyle name="20% - Accent1 3 2 3 2" xfId="3260" xr:uid="{00000000-0005-0000-0000-000059000000}"/>
    <cellStyle name="20% - Accent1 3 2 3 2 2" xfId="7483" xr:uid="{00000000-0005-0000-0000-00005A000000}"/>
    <cellStyle name="20% - Accent1 3 2 3 2 2 2" xfId="15925" xr:uid="{957D841D-23D4-4967-9731-620B269A1607}"/>
    <cellStyle name="20% - Accent1 3 2 3 2 2 3" xfId="24362" xr:uid="{34F55737-67CA-4CCB-A6C5-68008561D53C}"/>
    <cellStyle name="20% - Accent1 3 2 3 2 3" xfId="11707" xr:uid="{F4574187-5304-44ED-ABEE-C1DEE78E88F2}"/>
    <cellStyle name="20% - Accent1 3 2 3 2 4" xfId="20145" xr:uid="{562DFC6A-42E9-4F46-B889-C49D365D8E43}"/>
    <cellStyle name="20% - Accent1 3 2 3 3" xfId="5338" xr:uid="{00000000-0005-0000-0000-00005B000000}"/>
    <cellStyle name="20% - Accent1 3 2 3 3 2" xfId="13780" xr:uid="{1081DA6A-00B3-429C-8F34-10F1A84EB039}"/>
    <cellStyle name="20% - Accent1 3 2 3 3 3" xfId="22217" xr:uid="{480615D1-3CCB-4736-8015-367F3F2BCF6B}"/>
    <cellStyle name="20% - Accent1 3 2 3 4" xfId="9562" xr:uid="{00F46465-9FE5-4B67-B5BB-C80F3C59A673}"/>
    <cellStyle name="20% - Accent1 3 2 3 5" xfId="18000" xr:uid="{72A46BD2-7E50-46D0-ADC9-44A55CA00093}"/>
    <cellStyle name="20% - Accent1 3 2 4" xfId="1443" xr:uid="{00000000-0005-0000-0000-00005C000000}"/>
    <cellStyle name="20% - Accent1 3 2 4 2" xfId="3673" xr:uid="{00000000-0005-0000-0000-00005D000000}"/>
    <cellStyle name="20% - Accent1 3 2 4 2 2" xfId="7896" xr:uid="{00000000-0005-0000-0000-00005E000000}"/>
    <cellStyle name="20% - Accent1 3 2 4 2 2 2" xfId="16338" xr:uid="{934CAE6F-AF11-431F-8778-4260B10FBFC6}"/>
    <cellStyle name="20% - Accent1 3 2 4 2 2 3" xfId="24775" xr:uid="{2F553392-29E3-4C75-8B52-4217A0CB3853}"/>
    <cellStyle name="20% - Accent1 3 2 4 2 3" xfId="12120" xr:uid="{75853620-B2F7-471B-B7E2-0A464F92DFD2}"/>
    <cellStyle name="20% - Accent1 3 2 4 2 4" xfId="20558" xr:uid="{D2F916CE-C412-4669-99E2-2D7F6D28CC43}"/>
    <cellStyle name="20% - Accent1 3 2 4 3" xfId="5751" xr:uid="{00000000-0005-0000-0000-00005F000000}"/>
    <cellStyle name="20% - Accent1 3 2 4 3 2" xfId="14193" xr:uid="{5A03DB0F-240A-478A-B83D-DC5CCCA8ECEE}"/>
    <cellStyle name="20% - Accent1 3 2 4 3 3" xfId="22630" xr:uid="{1E27C94E-BB72-4272-9C56-2C9A13D9E251}"/>
    <cellStyle name="20% - Accent1 3 2 4 4" xfId="9975" xr:uid="{5A5B9181-6285-4A38-90D6-13BDC5A8BF41}"/>
    <cellStyle name="20% - Accent1 3 2 4 5" xfId="18413" xr:uid="{A141D96F-DEA9-4373-B50D-5C317A65AD8D}"/>
    <cellStyle name="20% - Accent1 3 2 5" xfId="1857" xr:uid="{00000000-0005-0000-0000-000060000000}"/>
    <cellStyle name="20% - Accent1 3 2 5 2" xfId="4086" xr:uid="{00000000-0005-0000-0000-000061000000}"/>
    <cellStyle name="20% - Accent1 3 2 5 2 2" xfId="8309" xr:uid="{00000000-0005-0000-0000-000062000000}"/>
    <cellStyle name="20% - Accent1 3 2 5 2 2 2" xfId="16751" xr:uid="{4E876375-2656-4AB9-AA2D-8D464727251C}"/>
    <cellStyle name="20% - Accent1 3 2 5 2 2 3" xfId="25188" xr:uid="{5E3E6D19-B831-4D47-B839-B9BA0FE39309}"/>
    <cellStyle name="20% - Accent1 3 2 5 2 3" xfId="12533" xr:uid="{38FB5632-CB9E-4832-8975-CB56778D982D}"/>
    <cellStyle name="20% - Accent1 3 2 5 2 4" xfId="20971" xr:uid="{ED9FDE62-09C4-4D38-89E6-E9C42E259726}"/>
    <cellStyle name="20% - Accent1 3 2 5 3" xfId="6164" xr:uid="{00000000-0005-0000-0000-000063000000}"/>
    <cellStyle name="20% - Accent1 3 2 5 3 2" xfId="14606" xr:uid="{18D11999-CB1A-4BFA-9F66-52FA0CDC7CEC}"/>
    <cellStyle name="20% - Accent1 3 2 5 3 3" xfId="23043" xr:uid="{FB827A61-D1CB-4FEC-876F-606FDDEA0C25}"/>
    <cellStyle name="20% - Accent1 3 2 5 4" xfId="10388" xr:uid="{D62E6DC9-3964-4503-ACC9-FFE7E7CDDF83}"/>
    <cellStyle name="20% - Accent1 3 2 5 5" xfId="18826" xr:uid="{F128B79D-95F8-4872-A529-5D0FC10EE7F7}"/>
    <cellStyle name="20% - Accent1 3 2 6" xfId="2270" xr:uid="{00000000-0005-0000-0000-000064000000}"/>
    <cellStyle name="20% - Accent1 3 2 6 2" xfId="6577" xr:uid="{00000000-0005-0000-0000-000065000000}"/>
    <cellStyle name="20% - Accent1 3 2 6 2 2" xfId="15019" xr:uid="{A45F73BB-2087-4516-9792-801DAE7E004F}"/>
    <cellStyle name="20% - Accent1 3 2 6 2 3" xfId="23456" xr:uid="{D53080D2-1FB8-4FC2-9E1A-19866A89ECD9}"/>
    <cellStyle name="20% - Accent1 3 2 6 3" xfId="10801" xr:uid="{F4DE95FD-34C2-4B5E-85F6-0FA687E93022}"/>
    <cellStyle name="20% - Accent1 3 2 6 4" xfId="19239" xr:uid="{CF080960-CBFF-4679-9B38-364E9C2EEB3C}"/>
    <cellStyle name="20% - Accent1 3 2 7" xfId="4511" xr:uid="{00000000-0005-0000-0000-000066000000}"/>
    <cellStyle name="20% - Accent1 3 2 7 2" xfId="12953" xr:uid="{B5A061DD-ABD9-4A5D-ADB1-5D3D86B8B67E}"/>
    <cellStyle name="20% - Accent1 3 2 7 3" xfId="21390" xr:uid="{E2B0EDBC-7C57-4B1D-AA1B-17914C8FA2CF}"/>
    <cellStyle name="20% - Accent1 3 2 8" xfId="8735" xr:uid="{DCD70188-3EC9-4EEA-B182-38589C9AF306}"/>
    <cellStyle name="20% - Accent1 3 2 9" xfId="17173" xr:uid="{7D5FD4E3-F6EA-458E-9072-A2DDDF682800}"/>
    <cellStyle name="20% - Accent1 3 3" xfId="575" xr:uid="{00000000-0005-0000-0000-000067000000}"/>
    <cellStyle name="20% - Accent1 3 3 2" xfId="2846" xr:uid="{00000000-0005-0000-0000-000068000000}"/>
    <cellStyle name="20% - Accent1 3 3 2 2" xfId="7069" xr:uid="{00000000-0005-0000-0000-000069000000}"/>
    <cellStyle name="20% - Accent1 3 3 2 2 2" xfId="15511" xr:uid="{CE8CE3BB-CC10-4ED6-B65C-9B7A595B9482}"/>
    <cellStyle name="20% - Accent1 3 3 2 2 3" xfId="23948" xr:uid="{416EBD55-186B-4F0C-85BB-A60C58A13781}"/>
    <cellStyle name="20% - Accent1 3 3 2 3" xfId="11293" xr:uid="{F85B581F-8583-440E-9AE7-77E2B883A3AF}"/>
    <cellStyle name="20% - Accent1 3 3 2 4" xfId="19731" xr:uid="{22E05CD6-016B-454D-B4AE-5FF515266823}"/>
    <cellStyle name="20% - Accent1 3 3 3" xfId="4924" xr:uid="{00000000-0005-0000-0000-00006A000000}"/>
    <cellStyle name="20% - Accent1 3 3 3 2" xfId="13366" xr:uid="{4162DEFF-2BA2-43EB-88E5-11637B49336F}"/>
    <cellStyle name="20% - Accent1 3 3 3 3" xfId="21803" xr:uid="{5132B6A7-3A4C-4744-8DDF-EB2593B1901D}"/>
    <cellStyle name="20% - Accent1 3 3 4" xfId="9148" xr:uid="{5C87F986-8A4C-49A5-B249-383B6E9A0591}"/>
    <cellStyle name="20% - Accent1 3 3 5" xfId="17586" xr:uid="{22A67B3F-2F8E-4EA7-B6F4-C65D431E386F}"/>
    <cellStyle name="20% - Accent1 3 4" xfId="1028" xr:uid="{00000000-0005-0000-0000-00006B000000}"/>
    <cellStyle name="20% - Accent1 3 4 2" xfId="3259" xr:uid="{00000000-0005-0000-0000-00006C000000}"/>
    <cellStyle name="20% - Accent1 3 4 2 2" xfId="7482" xr:uid="{00000000-0005-0000-0000-00006D000000}"/>
    <cellStyle name="20% - Accent1 3 4 2 2 2" xfId="15924" xr:uid="{159CA4F6-155C-421A-8DE4-806B8CE28DF5}"/>
    <cellStyle name="20% - Accent1 3 4 2 2 3" xfId="24361" xr:uid="{2FDCBDDC-E7FA-4112-A2B6-7206BFC1ABB1}"/>
    <cellStyle name="20% - Accent1 3 4 2 3" xfId="11706" xr:uid="{A6A9D8DF-9EEF-4E45-B082-BA097BE08CFB}"/>
    <cellStyle name="20% - Accent1 3 4 2 4" xfId="20144" xr:uid="{67EC5A34-EB09-4BCC-9A79-E905E47BD843}"/>
    <cellStyle name="20% - Accent1 3 4 3" xfId="5337" xr:uid="{00000000-0005-0000-0000-00006E000000}"/>
    <cellStyle name="20% - Accent1 3 4 3 2" xfId="13779" xr:uid="{AF94FB0E-DD41-4258-9CDA-A4095C4380D8}"/>
    <cellStyle name="20% - Accent1 3 4 3 3" xfId="22216" xr:uid="{AF97D540-C989-4724-B1F5-2FE90063B0FC}"/>
    <cellStyle name="20% - Accent1 3 4 4" xfId="9561" xr:uid="{4416D15A-A168-4345-978E-E9CDFDBEB323}"/>
    <cellStyle name="20% - Accent1 3 4 5" xfId="17999" xr:uid="{11C7A5D3-13D1-4D37-AE0E-5312CA66F409}"/>
    <cellStyle name="20% - Accent1 3 5" xfId="1442" xr:uid="{00000000-0005-0000-0000-00006F000000}"/>
    <cellStyle name="20% - Accent1 3 5 2" xfId="3672" xr:uid="{00000000-0005-0000-0000-000070000000}"/>
    <cellStyle name="20% - Accent1 3 5 2 2" xfId="7895" xr:uid="{00000000-0005-0000-0000-000071000000}"/>
    <cellStyle name="20% - Accent1 3 5 2 2 2" xfId="16337" xr:uid="{0F6AB92A-CF52-4868-AD67-F1B80905874B}"/>
    <cellStyle name="20% - Accent1 3 5 2 2 3" xfId="24774" xr:uid="{E68CB1CD-A4BD-4D1C-BC36-FA24A8441B20}"/>
    <cellStyle name="20% - Accent1 3 5 2 3" xfId="12119" xr:uid="{9452BCEB-8A10-410A-93FE-8EC62BF9CEE4}"/>
    <cellStyle name="20% - Accent1 3 5 2 4" xfId="20557" xr:uid="{769B409F-7BEC-4BAF-896F-251901278F6F}"/>
    <cellStyle name="20% - Accent1 3 5 3" xfId="5750" xr:uid="{00000000-0005-0000-0000-000072000000}"/>
    <cellStyle name="20% - Accent1 3 5 3 2" xfId="14192" xr:uid="{8E2AA877-F9A6-4F27-8014-D8F6B9E3792D}"/>
    <cellStyle name="20% - Accent1 3 5 3 3" xfId="22629" xr:uid="{4593FCD8-2A9B-4371-924F-B607558C75DA}"/>
    <cellStyle name="20% - Accent1 3 5 4" xfId="9974" xr:uid="{E78A979C-EEC6-490F-9B98-FA9D91E6EE58}"/>
    <cellStyle name="20% - Accent1 3 5 5" xfId="18412" xr:uid="{EA18531E-1E78-42CE-A33A-E8444C85EA21}"/>
    <cellStyle name="20% - Accent1 3 6" xfId="1856" xr:uid="{00000000-0005-0000-0000-000073000000}"/>
    <cellStyle name="20% - Accent1 3 6 2" xfId="4085" xr:uid="{00000000-0005-0000-0000-000074000000}"/>
    <cellStyle name="20% - Accent1 3 6 2 2" xfId="8308" xr:uid="{00000000-0005-0000-0000-000075000000}"/>
    <cellStyle name="20% - Accent1 3 6 2 2 2" xfId="16750" xr:uid="{3865EEC3-0CAB-4502-823A-F7109FDA3200}"/>
    <cellStyle name="20% - Accent1 3 6 2 2 3" xfId="25187" xr:uid="{8F9C91B6-DC83-43DB-AAF1-C431DE04337E}"/>
    <cellStyle name="20% - Accent1 3 6 2 3" xfId="12532" xr:uid="{CE3A709F-D8E0-4786-9166-8A3F2E683D11}"/>
    <cellStyle name="20% - Accent1 3 6 2 4" xfId="20970" xr:uid="{7F967EFC-8DFC-4C3B-B71F-CB9B4AFD8C2B}"/>
    <cellStyle name="20% - Accent1 3 6 3" xfId="6163" xr:uid="{00000000-0005-0000-0000-000076000000}"/>
    <cellStyle name="20% - Accent1 3 6 3 2" xfId="14605" xr:uid="{A18D62BD-EAF1-4AD4-9465-2CF417AF6847}"/>
    <cellStyle name="20% - Accent1 3 6 3 3" xfId="23042" xr:uid="{A3E24242-CBAC-43E9-8E5A-53CA9E1CE937}"/>
    <cellStyle name="20% - Accent1 3 6 4" xfId="10387" xr:uid="{6E46935B-B848-4295-B976-C5B42479A9C1}"/>
    <cellStyle name="20% - Accent1 3 6 5" xfId="18825" xr:uid="{6CD3669D-6BF8-499E-8CB9-C23556489152}"/>
    <cellStyle name="20% - Accent1 3 7" xfId="2269" xr:uid="{00000000-0005-0000-0000-000077000000}"/>
    <cellStyle name="20% - Accent1 3 7 2" xfId="6576" xr:uid="{00000000-0005-0000-0000-000078000000}"/>
    <cellStyle name="20% - Accent1 3 7 2 2" xfId="15018" xr:uid="{F2548947-6FA7-4CF1-BAB3-2BB8F3FB0911}"/>
    <cellStyle name="20% - Accent1 3 7 2 3" xfId="23455" xr:uid="{F1DE6562-4FE1-415E-8A9F-08E2201044AA}"/>
    <cellStyle name="20% - Accent1 3 7 3" xfId="10800" xr:uid="{AFD2A13B-1B22-41D7-A03E-21E0A835538A}"/>
    <cellStyle name="20% - Accent1 3 7 4" xfId="19238" xr:uid="{93E8270F-2293-48CB-9440-4BEE3051A223}"/>
    <cellStyle name="20% - Accent1 3 8" xfId="4510" xr:uid="{00000000-0005-0000-0000-000079000000}"/>
    <cellStyle name="20% - Accent1 3 8 2" xfId="12952" xr:uid="{6EBBEB7A-2F90-44D1-8BD0-F622A92FA0AE}"/>
    <cellStyle name="20% - Accent1 3 8 3" xfId="21389" xr:uid="{1B895241-D8B8-4D39-B96D-AF67820AC999}"/>
    <cellStyle name="20% - Accent1 3 9" xfId="8734" xr:uid="{E781BB92-911D-4754-8901-C4360821E792}"/>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2 2 2" xfId="15513" xr:uid="{7C8B2644-48C7-4AA5-B058-F6C062C471B1}"/>
    <cellStyle name="20% - Accent1 4 2 2 2 3" xfId="23950" xr:uid="{AEBAC3D9-3405-43C9-A172-81457041D48E}"/>
    <cellStyle name="20% - Accent1 4 2 2 3" xfId="11295" xr:uid="{FAC83517-58B3-4ECF-A651-8325383B9598}"/>
    <cellStyle name="20% - Accent1 4 2 2 4" xfId="19733" xr:uid="{25D3FAD9-338A-4B53-914B-6578261FCF59}"/>
    <cellStyle name="20% - Accent1 4 2 3" xfId="4926" xr:uid="{00000000-0005-0000-0000-00007E000000}"/>
    <cellStyle name="20% - Accent1 4 2 3 2" xfId="13368" xr:uid="{4360CE4E-F149-4BBD-B91E-37744A41C84C}"/>
    <cellStyle name="20% - Accent1 4 2 3 3" xfId="21805" xr:uid="{98B6E432-E84C-4021-912D-B0630C1F7EB0}"/>
    <cellStyle name="20% - Accent1 4 2 4" xfId="9150" xr:uid="{15DBAE60-34C5-4BC2-9C7A-1F26B6DBF83F}"/>
    <cellStyle name="20% - Accent1 4 2 5" xfId="17588" xr:uid="{DE83B9BB-EAEC-4AE4-9E6A-2DC8A19A4BAE}"/>
    <cellStyle name="20% - Accent1 4 3" xfId="1030" xr:uid="{00000000-0005-0000-0000-00007F000000}"/>
    <cellStyle name="20% - Accent1 4 3 2" xfId="3261" xr:uid="{00000000-0005-0000-0000-000080000000}"/>
    <cellStyle name="20% - Accent1 4 3 2 2" xfId="7484" xr:uid="{00000000-0005-0000-0000-000081000000}"/>
    <cellStyle name="20% - Accent1 4 3 2 2 2" xfId="15926" xr:uid="{A2E2633D-6459-402D-B6DA-AA09CF712EA4}"/>
    <cellStyle name="20% - Accent1 4 3 2 2 3" xfId="24363" xr:uid="{046F9319-C838-4654-8200-999EB497FD3C}"/>
    <cellStyle name="20% - Accent1 4 3 2 3" xfId="11708" xr:uid="{9A3DDC20-ADCF-4B4F-B9B9-251867DA4C91}"/>
    <cellStyle name="20% - Accent1 4 3 2 4" xfId="20146" xr:uid="{33ECCDB4-A0F2-4653-8C82-1C97AFD8B37B}"/>
    <cellStyle name="20% - Accent1 4 3 3" xfId="5339" xr:uid="{00000000-0005-0000-0000-000082000000}"/>
    <cellStyle name="20% - Accent1 4 3 3 2" xfId="13781" xr:uid="{0EAAF29A-31ED-48E4-85AA-050F54319F1C}"/>
    <cellStyle name="20% - Accent1 4 3 3 3" xfId="22218" xr:uid="{22041C5F-EC82-4EA6-8B8C-5FEF2FF84447}"/>
    <cellStyle name="20% - Accent1 4 3 4" xfId="9563" xr:uid="{2AF51FBD-521F-4F4B-B309-65D58A587C17}"/>
    <cellStyle name="20% - Accent1 4 3 5" xfId="18001" xr:uid="{32B8E841-87A6-48EA-94BD-4996B1E1B352}"/>
    <cellStyle name="20% - Accent1 4 4" xfId="1444" xr:uid="{00000000-0005-0000-0000-000083000000}"/>
    <cellStyle name="20% - Accent1 4 4 2" xfId="3674" xr:uid="{00000000-0005-0000-0000-000084000000}"/>
    <cellStyle name="20% - Accent1 4 4 2 2" xfId="7897" xr:uid="{00000000-0005-0000-0000-000085000000}"/>
    <cellStyle name="20% - Accent1 4 4 2 2 2" xfId="16339" xr:uid="{4AE51907-C30A-4317-8A6A-C0AE75785506}"/>
    <cellStyle name="20% - Accent1 4 4 2 2 3" xfId="24776" xr:uid="{2809DFE7-783B-4C66-BF5C-9DDBB02E4DFD}"/>
    <cellStyle name="20% - Accent1 4 4 2 3" xfId="12121" xr:uid="{D269C647-B8D8-4D2D-916D-5191377E6C0C}"/>
    <cellStyle name="20% - Accent1 4 4 2 4" xfId="20559" xr:uid="{2D85C7BD-BDE1-453C-BB79-F1B071A9E112}"/>
    <cellStyle name="20% - Accent1 4 4 3" xfId="5752" xr:uid="{00000000-0005-0000-0000-000086000000}"/>
    <cellStyle name="20% - Accent1 4 4 3 2" xfId="14194" xr:uid="{335DA9D3-E60A-4CF3-AF79-6D7BC291A9CB}"/>
    <cellStyle name="20% - Accent1 4 4 3 3" xfId="22631" xr:uid="{73F80D98-2485-475F-8693-F3BA4769D493}"/>
    <cellStyle name="20% - Accent1 4 4 4" xfId="9976" xr:uid="{B6F66FA2-CE7C-4FDD-BD64-345432565023}"/>
    <cellStyle name="20% - Accent1 4 4 5" xfId="18414" xr:uid="{5772B11F-51A6-4326-9246-EFB839C2EAE7}"/>
    <cellStyle name="20% - Accent1 4 5" xfId="1858" xr:uid="{00000000-0005-0000-0000-000087000000}"/>
    <cellStyle name="20% - Accent1 4 5 2" xfId="4087" xr:uid="{00000000-0005-0000-0000-000088000000}"/>
    <cellStyle name="20% - Accent1 4 5 2 2" xfId="8310" xr:uid="{00000000-0005-0000-0000-000089000000}"/>
    <cellStyle name="20% - Accent1 4 5 2 2 2" xfId="16752" xr:uid="{03ACB2E5-7239-4339-B908-E1873F080862}"/>
    <cellStyle name="20% - Accent1 4 5 2 2 3" xfId="25189" xr:uid="{015F7F85-2172-4D3E-A4CE-D5FC9A8CB060}"/>
    <cellStyle name="20% - Accent1 4 5 2 3" xfId="12534" xr:uid="{7FC3065B-00AA-4F0F-BC0E-D80A5E81F415}"/>
    <cellStyle name="20% - Accent1 4 5 2 4" xfId="20972" xr:uid="{142328C6-9A1A-41F3-9971-39DE49E4B910}"/>
    <cellStyle name="20% - Accent1 4 5 3" xfId="6165" xr:uid="{00000000-0005-0000-0000-00008A000000}"/>
    <cellStyle name="20% - Accent1 4 5 3 2" xfId="14607" xr:uid="{80772BA0-0535-4A5E-B732-B47065A7EF1F}"/>
    <cellStyle name="20% - Accent1 4 5 3 3" xfId="23044" xr:uid="{AE302AC2-1189-41B5-AC4E-BCB33D2CE914}"/>
    <cellStyle name="20% - Accent1 4 5 4" xfId="10389" xr:uid="{6AB854A3-A0D1-4566-9D25-B3A6D99D845D}"/>
    <cellStyle name="20% - Accent1 4 5 5" xfId="18827" xr:uid="{75B5E35E-4C31-43D0-BC7B-3FC00ED06518}"/>
    <cellStyle name="20% - Accent1 4 6" xfId="2271" xr:uid="{00000000-0005-0000-0000-00008B000000}"/>
    <cellStyle name="20% - Accent1 4 6 2" xfId="6578" xr:uid="{00000000-0005-0000-0000-00008C000000}"/>
    <cellStyle name="20% - Accent1 4 6 2 2" xfId="15020" xr:uid="{83608280-7EB9-40F2-B5ED-AC3C8A951A62}"/>
    <cellStyle name="20% - Accent1 4 6 2 3" xfId="23457" xr:uid="{0B2E8CDF-0106-4A65-8F27-F2B178BC9C8C}"/>
    <cellStyle name="20% - Accent1 4 6 3" xfId="10802" xr:uid="{F9F06F0E-F597-4F0A-A000-0BA4A2D37AF5}"/>
    <cellStyle name="20% - Accent1 4 6 4" xfId="19240" xr:uid="{BA49AC37-A357-4A2D-BC88-C6163A2E3A2D}"/>
    <cellStyle name="20% - Accent1 4 7" xfId="4512" xr:uid="{00000000-0005-0000-0000-00008D000000}"/>
    <cellStyle name="20% - Accent1 4 7 2" xfId="12954" xr:uid="{32F3310E-FEAA-48B9-A6B5-1C94118C516C}"/>
    <cellStyle name="20% - Accent1 4 7 3" xfId="21391" xr:uid="{C8EC1842-DAC2-4D50-81B5-2FDA986E2E45}"/>
    <cellStyle name="20% - Accent1 4 8" xfId="8736" xr:uid="{C7A482F9-AD1E-4F9B-AF4C-04F29882384A}"/>
    <cellStyle name="20% - Accent1 4 9" xfId="17174" xr:uid="{42AE4552-E8B4-413C-894C-3FDB97F14F1F}"/>
    <cellStyle name="20% - Accent1 5" xfId="570" xr:uid="{00000000-0005-0000-0000-00008E000000}"/>
    <cellStyle name="20% - Accent1 5 2" xfId="2841" xr:uid="{00000000-0005-0000-0000-00008F000000}"/>
    <cellStyle name="20% - Accent1 5 2 2" xfId="7064" xr:uid="{00000000-0005-0000-0000-000090000000}"/>
    <cellStyle name="20% - Accent1 5 2 2 2" xfId="15506" xr:uid="{A61D507A-1149-4234-86BE-A070460352BA}"/>
    <cellStyle name="20% - Accent1 5 2 2 3" xfId="23943" xr:uid="{7B49FF14-6AC3-472B-AFEA-6A983E6AD6CA}"/>
    <cellStyle name="20% - Accent1 5 2 3" xfId="11288" xr:uid="{5FB0C87A-5434-487F-A547-226DE1933DDF}"/>
    <cellStyle name="20% - Accent1 5 2 4" xfId="19726" xr:uid="{26CF9F69-6879-4C84-A18A-14F14336010B}"/>
    <cellStyle name="20% - Accent1 5 3" xfId="4919" xr:uid="{00000000-0005-0000-0000-000091000000}"/>
    <cellStyle name="20% - Accent1 5 3 2" xfId="13361" xr:uid="{57F664C6-C472-4EC2-A2DC-0001EF29BA20}"/>
    <cellStyle name="20% - Accent1 5 3 3" xfId="21798" xr:uid="{30472BA0-FDB0-4152-B382-4C2F35601A78}"/>
    <cellStyle name="20% - Accent1 5 4" xfId="9143" xr:uid="{820F0F93-B9E8-4B5E-9A88-6415EF9E72D9}"/>
    <cellStyle name="20% - Accent1 5 5" xfId="17581" xr:uid="{6EA36E11-3303-4CF2-B8D5-91592629E66A}"/>
    <cellStyle name="20% - Accent1 6" xfId="1023" xr:uid="{00000000-0005-0000-0000-000092000000}"/>
    <cellStyle name="20% - Accent1 6 2" xfId="3254" xr:uid="{00000000-0005-0000-0000-000093000000}"/>
    <cellStyle name="20% - Accent1 6 2 2" xfId="7477" xr:uid="{00000000-0005-0000-0000-000094000000}"/>
    <cellStyle name="20% - Accent1 6 2 2 2" xfId="15919" xr:uid="{0FB7C9F7-4FEF-4978-ADE8-8ECAF1E7ED82}"/>
    <cellStyle name="20% - Accent1 6 2 2 3" xfId="24356" xr:uid="{DBF3F44A-77DD-4349-8592-92AE872BC4EF}"/>
    <cellStyle name="20% - Accent1 6 2 3" xfId="11701" xr:uid="{AF46CB16-D52B-4844-93E1-76D55ACB1B38}"/>
    <cellStyle name="20% - Accent1 6 2 4" xfId="20139" xr:uid="{76D618D8-BB55-4330-AE4B-96A4548183EE}"/>
    <cellStyle name="20% - Accent1 6 3" xfId="5332" xr:uid="{00000000-0005-0000-0000-000095000000}"/>
    <cellStyle name="20% - Accent1 6 3 2" xfId="13774" xr:uid="{6F4B8242-6634-44A6-85AF-80619B9EFBD8}"/>
    <cellStyle name="20% - Accent1 6 3 3" xfId="22211" xr:uid="{9AF308DA-2830-4DD1-A326-699137E8B6BD}"/>
    <cellStyle name="20% - Accent1 6 4" xfId="9556" xr:uid="{5DF7760E-CACB-41F4-AA0D-37B19F38A56E}"/>
    <cellStyle name="20% - Accent1 6 5" xfId="17994" xr:uid="{838EB63F-A3BD-4E5E-94D4-38FC689E6ED7}"/>
    <cellStyle name="20% - Accent1 7" xfId="1437" xr:uid="{00000000-0005-0000-0000-000096000000}"/>
    <cellStyle name="20% - Accent1 7 2" xfId="3667" xr:uid="{00000000-0005-0000-0000-000097000000}"/>
    <cellStyle name="20% - Accent1 7 2 2" xfId="7890" xr:uid="{00000000-0005-0000-0000-000098000000}"/>
    <cellStyle name="20% - Accent1 7 2 2 2" xfId="16332" xr:uid="{E7FDEFC0-A410-4440-8E77-9084C939FF8C}"/>
    <cellStyle name="20% - Accent1 7 2 2 3" xfId="24769" xr:uid="{06D81FE8-111A-4F54-ABE7-E1B40325A5D0}"/>
    <cellStyle name="20% - Accent1 7 2 3" xfId="12114" xr:uid="{5EAB44E3-3A34-4C7C-973B-3212B9AE6EB3}"/>
    <cellStyle name="20% - Accent1 7 2 4" xfId="20552" xr:uid="{4214888D-3B7E-4021-A9A8-1F1B9EBDF498}"/>
    <cellStyle name="20% - Accent1 7 3" xfId="5745" xr:uid="{00000000-0005-0000-0000-000099000000}"/>
    <cellStyle name="20% - Accent1 7 3 2" xfId="14187" xr:uid="{5A152A67-00DE-4F43-A724-956589C5015A}"/>
    <cellStyle name="20% - Accent1 7 3 3" xfId="22624" xr:uid="{758C40E2-1684-4144-8912-43F2CD7450A8}"/>
    <cellStyle name="20% - Accent1 7 4" xfId="9969" xr:uid="{F0CC8FA8-734A-4F76-B807-A60D4F4A0435}"/>
    <cellStyle name="20% - Accent1 7 5" xfId="18407" xr:uid="{C04CF2ED-4B4C-449B-B7EF-3C949E5EE7DA}"/>
    <cellStyle name="20% - Accent1 8" xfId="1851" xr:uid="{00000000-0005-0000-0000-00009A000000}"/>
    <cellStyle name="20% - Accent1 8 2" xfId="4080" xr:uid="{00000000-0005-0000-0000-00009B000000}"/>
    <cellStyle name="20% - Accent1 8 2 2" xfId="8303" xr:uid="{00000000-0005-0000-0000-00009C000000}"/>
    <cellStyle name="20% - Accent1 8 2 2 2" xfId="16745" xr:uid="{41E96B9B-AFFD-4048-ADCF-7BE191A8D290}"/>
    <cellStyle name="20% - Accent1 8 2 2 3" xfId="25182" xr:uid="{53B09136-8572-455E-8692-9716B7D56B3A}"/>
    <cellStyle name="20% - Accent1 8 2 3" xfId="12527" xr:uid="{F138AD0A-FFD3-4545-8F34-C4E7811282C4}"/>
    <cellStyle name="20% - Accent1 8 2 4" xfId="20965" xr:uid="{BB43A792-5439-46A2-AC24-1247C2F6A627}"/>
    <cellStyle name="20% - Accent1 8 3" xfId="6158" xr:uid="{00000000-0005-0000-0000-00009D000000}"/>
    <cellStyle name="20% - Accent1 8 3 2" xfId="14600" xr:uid="{C23A063D-8DDC-4944-9255-C4432C3CDA79}"/>
    <cellStyle name="20% - Accent1 8 3 3" xfId="23037" xr:uid="{1684651F-CBD5-4FFD-989F-3C3A0CF306E6}"/>
    <cellStyle name="20% - Accent1 8 4" xfId="10382" xr:uid="{E7C2912F-A78A-475A-AC00-513623CD1AAA}"/>
    <cellStyle name="20% - Accent1 8 5" xfId="18820" xr:uid="{F7700FC0-DFA7-43AA-9181-EEE12A6D5751}"/>
    <cellStyle name="20% - Accent1 9" xfId="2264" xr:uid="{00000000-0005-0000-0000-00009E000000}"/>
    <cellStyle name="20% - Accent1 9 2" xfId="6571" xr:uid="{00000000-0005-0000-0000-00009F000000}"/>
    <cellStyle name="20% - Accent1 9 2 2" xfId="15013" xr:uid="{D6032D7B-2BEC-4D29-9242-09C7A6EAC337}"/>
    <cellStyle name="20% - Accent1 9 2 3" xfId="23450" xr:uid="{09BB68BC-9044-4865-B16B-1A1971317286}"/>
    <cellStyle name="20% - Accent1 9 3" xfId="10795" xr:uid="{B231A9D3-4259-4884-9337-84A9F0EE9FBB}"/>
    <cellStyle name="20% - Accent1 9 4" xfId="19233" xr:uid="{3DB82C5A-FCF0-4EFE-B8FA-0FA4A464EA8A}"/>
    <cellStyle name="20% - Accent2" xfId="9" builtinId="34" customBuiltin="1"/>
    <cellStyle name="20% - Accent2 10" xfId="4513" xr:uid="{00000000-0005-0000-0000-0000A1000000}"/>
    <cellStyle name="20% - Accent2 10 2" xfId="12955" xr:uid="{C8FA555D-EC2D-4100-9A6B-5341599729F6}"/>
    <cellStyle name="20% - Accent2 10 3" xfId="21392" xr:uid="{2F6BA32A-DE23-45D8-BCA2-5C9391ACCEB5}"/>
    <cellStyle name="20% - Accent2 11" xfId="8737" xr:uid="{A34B46D1-FCB6-4BED-8CE0-F1989334C44A}"/>
    <cellStyle name="20% - Accent2 12" xfId="17175" xr:uid="{454B7A08-07E6-4BAA-8637-2F5834CE27C0}"/>
    <cellStyle name="20% - Accent2 2" xfId="10" xr:uid="{00000000-0005-0000-0000-0000A2000000}"/>
    <cellStyle name="20% - Accent2 2 10" xfId="8738" xr:uid="{EC53B7B5-C61F-44AC-BDD7-45EA530B770C}"/>
    <cellStyle name="20% - Accent2 2 11" xfId="17176" xr:uid="{557A674F-DA92-4CC6-980F-E5D73859C9F7}"/>
    <cellStyle name="20% - Accent2 2 2" xfId="11" xr:uid="{00000000-0005-0000-0000-0000A3000000}"/>
    <cellStyle name="20% - Accent2 2 2 10" xfId="17177" xr:uid="{971D68A7-E3A0-4B0D-BEDF-13375DF47E6A}"/>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2 2 2" xfId="15517" xr:uid="{96207B27-03AD-4E7B-A895-AA9ED45EE894}"/>
    <cellStyle name="20% - Accent2 2 2 2 2 2 2 3" xfId="23954" xr:uid="{B1374ACB-4C36-4545-B33D-C9C66555392D}"/>
    <cellStyle name="20% - Accent2 2 2 2 2 2 3" xfId="11299" xr:uid="{515BB3E5-267C-4BAA-9E70-254C23699D98}"/>
    <cellStyle name="20% - Accent2 2 2 2 2 2 4" xfId="19737" xr:uid="{CA539FDE-8C54-41F9-8694-F3A991148659}"/>
    <cellStyle name="20% - Accent2 2 2 2 2 3" xfId="4930" xr:uid="{00000000-0005-0000-0000-0000A8000000}"/>
    <cellStyle name="20% - Accent2 2 2 2 2 3 2" xfId="13372" xr:uid="{DE827230-DA1E-490A-8117-94652789678F}"/>
    <cellStyle name="20% - Accent2 2 2 2 2 3 3" xfId="21809" xr:uid="{A0960770-F0ED-4485-B397-1CBC445239EF}"/>
    <cellStyle name="20% - Accent2 2 2 2 2 4" xfId="9154" xr:uid="{CF3D346E-1826-40F3-BDEE-0D33347D6AB5}"/>
    <cellStyle name="20% - Accent2 2 2 2 2 5" xfId="17592" xr:uid="{8DAD5AEE-479D-4D9E-BEBF-F1FA77241A05}"/>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2 2 2" xfId="15930" xr:uid="{2EF4BC82-4373-4EA6-82E3-5F5B071B8914}"/>
    <cellStyle name="20% - Accent2 2 2 2 3 2 2 3" xfId="24367" xr:uid="{9DF7F2B5-EFF3-4A63-A66E-C60B6618089E}"/>
    <cellStyle name="20% - Accent2 2 2 2 3 2 3" xfId="11712" xr:uid="{AEB51453-4088-49A3-88DE-BB7F88F22E56}"/>
    <cellStyle name="20% - Accent2 2 2 2 3 2 4" xfId="20150" xr:uid="{109F0E0A-1052-49A8-8B0A-C920474875CE}"/>
    <cellStyle name="20% - Accent2 2 2 2 3 3" xfId="5343" xr:uid="{00000000-0005-0000-0000-0000AC000000}"/>
    <cellStyle name="20% - Accent2 2 2 2 3 3 2" xfId="13785" xr:uid="{FE5D5677-89AB-413B-86B4-2F69C78B3DCA}"/>
    <cellStyle name="20% - Accent2 2 2 2 3 3 3" xfId="22222" xr:uid="{FA2F0C30-1B12-45CA-936D-62845A55B643}"/>
    <cellStyle name="20% - Accent2 2 2 2 3 4" xfId="9567" xr:uid="{F8BFE321-20A3-4C83-8244-F6B4CCC20B22}"/>
    <cellStyle name="20% - Accent2 2 2 2 3 5" xfId="18005" xr:uid="{8659AFF7-DFE4-4451-9302-E463801C9BBF}"/>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2 2 2" xfId="16343" xr:uid="{33C0F8E6-8E02-45C2-B4F4-E91E9E5686CC}"/>
    <cellStyle name="20% - Accent2 2 2 2 4 2 2 3" xfId="24780" xr:uid="{FF9EE1BD-D232-46A1-8D70-BE192A18A31C}"/>
    <cellStyle name="20% - Accent2 2 2 2 4 2 3" xfId="12125" xr:uid="{CE3A8534-5F01-43D6-804B-A21BE96D7767}"/>
    <cellStyle name="20% - Accent2 2 2 2 4 2 4" xfId="20563" xr:uid="{D8449BEA-8A6D-41AE-84EB-AD0E89E4ED98}"/>
    <cellStyle name="20% - Accent2 2 2 2 4 3" xfId="5756" xr:uid="{00000000-0005-0000-0000-0000B0000000}"/>
    <cellStyle name="20% - Accent2 2 2 2 4 3 2" xfId="14198" xr:uid="{B536CFC9-26A3-4CA1-BC04-6BB0D86CFB1E}"/>
    <cellStyle name="20% - Accent2 2 2 2 4 3 3" xfId="22635" xr:uid="{A20B7505-5BFC-447D-9980-DC1D431434B8}"/>
    <cellStyle name="20% - Accent2 2 2 2 4 4" xfId="9980" xr:uid="{221BCCEB-D8C0-493E-AB74-CAD439A98A23}"/>
    <cellStyle name="20% - Accent2 2 2 2 4 5" xfId="18418" xr:uid="{9241D7A9-DD70-4A46-823D-B7675C340EC1}"/>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2 2 2" xfId="16756" xr:uid="{051E84C7-D1DF-4C6D-98A3-955A63F34A4D}"/>
    <cellStyle name="20% - Accent2 2 2 2 5 2 2 3" xfId="25193" xr:uid="{E7B43DED-52C7-40F2-B139-92C7A63B826E}"/>
    <cellStyle name="20% - Accent2 2 2 2 5 2 3" xfId="12538" xr:uid="{971A8816-F21A-4913-85EA-CB02A5D4AC0E}"/>
    <cellStyle name="20% - Accent2 2 2 2 5 2 4" xfId="20976" xr:uid="{13B79DFD-8A79-4D06-9D8B-62BDE3427E52}"/>
    <cellStyle name="20% - Accent2 2 2 2 5 3" xfId="6169" xr:uid="{00000000-0005-0000-0000-0000B4000000}"/>
    <cellStyle name="20% - Accent2 2 2 2 5 3 2" xfId="14611" xr:uid="{24228D3A-7047-4B6B-8DC8-1FBEE490F6A3}"/>
    <cellStyle name="20% - Accent2 2 2 2 5 3 3" xfId="23048" xr:uid="{A0CB8360-29F0-436C-A964-7FE540A84985}"/>
    <cellStyle name="20% - Accent2 2 2 2 5 4" xfId="10393" xr:uid="{691C3F53-A1A5-48FC-97B4-45A23C4B63DE}"/>
    <cellStyle name="20% - Accent2 2 2 2 5 5" xfId="18831" xr:uid="{FA11B63E-AB83-4D61-9688-D42C9E89393B}"/>
    <cellStyle name="20% - Accent2 2 2 2 6" xfId="2275" xr:uid="{00000000-0005-0000-0000-0000B5000000}"/>
    <cellStyle name="20% - Accent2 2 2 2 6 2" xfId="6582" xr:uid="{00000000-0005-0000-0000-0000B6000000}"/>
    <cellStyle name="20% - Accent2 2 2 2 6 2 2" xfId="15024" xr:uid="{89BA2B69-DE2C-41BB-BCEA-C2F6645DD9BE}"/>
    <cellStyle name="20% - Accent2 2 2 2 6 2 3" xfId="23461" xr:uid="{CA4B8E77-E2CF-4AEA-A4F0-2BB4DC66DF79}"/>
    <cellStyle name="20% - Accent2 2 2 2 6 3" xfId="10806" xr:uid="{5A8D1FB3-FCF9-4D9B-91E5-EBC4A972FBFC}"/>
    <cellStyle name="20% - Accent2 2 2 2 6 4" xfId="19244" xr:uid="{1B5FAFF5-B51A-4B9D-85BE-6013B2435940}"/>
    <cellStyle name="20% - Accent2 2 2 2 7" xfId="4516" xr:uid="{00000000-0005-0000-0000-0000B7000000}"/>
    <cellStyle name="20% - Accent2 2 2 2 7 2" xfId="12958" xr:uid="{98B95E0E-F0D5-48CF-9636-2C6A44FF20CB}"/>
    <cellStyle name="20% - Accent2 2 2 2 7 3" xfId="21395" xr:uid="{90B5F90D-8C3B-4377-AB1E-E407603D2744}"/>
    <cellStyle name="20% - Accent2 2 2 2 8" xfId="8740" xr:uid="{4B1E8028-2F2D-439C-B386-F56499F0F1EF}"/>
    <cellStyle name="20% - Accent2 2 2 2 9" xfId="17178" xr:uid="{E358973E-C500-4C84-B6B7-3127AC90EA62}"/>
    <cellStyle name="20% - Accent2 2 2 3" xfId="580" xr:uid="{00000000-0005-0000-0000-0000B8000000}"/>
    <cellStyle name="20% - Accent2 2 2 3 2" xfId="2851" xr:uid="{00000000-0005-0000-0000-0000B9000000}"/>
    <cellStyle name="20% - Accent2 2 2 3 2 2" xfId="7074" xr:uid="{00000000-0005-0000-0000-0000BA000000}"/>
    <cellStyle name="20% - Accent2 2 2 3 2 2 2" xfId="15516" xr:uid="{AB4AD5E5-5F76-41A4-97BC-43E025023486}"/>
    <cellStyle name="20% - Accent2 2 2 3 2 2 3" xfId="23953" xr:uid="{1656B8D0-5612-4F5B-9EFC-9EA83AA026A1}"/>
    <cellStyle name="20% - Accent2 2 2 3 2 3" xfId="11298" xr:uid="{46AD3605-2F2E-4593-8068-6231D98F8315}"/>
    <cellStyle name="20% - Accent2 2 2 3 2 4" xfId="19736" xr:uid="{11B273F6-FB68-4A5D-8ABD-5BE84E39E72E}"/>
    <cellStyle name="20% - Accent2 2 2 3 3" xfId="4929" xr:uid="{00000000-0005-0000-0000-0000BB000000}"/>
    <cellStyle name="20% - Accent2 2 2 3 3 2" xfId="13371" xr:uid="{C539C71B-3544-4756-A612-26D0EB050339}"/>
    <cellStyle name="20% - Accent2 2 2 3 3 3" xfId="21808" xr:uid="{CB0AD828-BA57-4DD7-95F0-6BFA7B5109DD}"/>
    <cellStyle name="20% - Accent2 2 2 3 4" xfId="9153" xr:uid="{80E9F797-A880-498E-BF9E-721DF6B6AB36}"/>
    <cellStyle name="20% - Accent2 2 2 3 5" xfId="17591" xr:uid="{48243A12-3CFA-40AF-A4FD-F30AE85D4243}"/>
    <cellStyle name="20% - Accent2 2 2 4" xfId="1033" xr:uid="{00000000-0005-0000-0000-0000BC000000}"/>
    <cellStyle name="20% - Accent2 2 2 4 2" xfId="3264" xr:uid="{00000000-0005-0000-0000-0000BD000000}"/>
    <cellStyle name="20% - Accent2 2 2 4 2 2" xfId="7487" xr:uid="{00000000-0005-0000-0000-0000BE000000}"/>
    <cellStyle name="20% - Accent2 2 2 4 2 2 2" xfId="15929" xr:uid="{43101D72-CEAD-47F3-8913-EDC992F49E6A}"/>
    <cellStyle name="20% - Accent2 2 2 4 2 2 3" xfId="24366" xr:uid="{98D68C44-9F2C-414D-B91B-E0F0EFE5928C}"/>
    <cellStyle name="20% - Accent2 2 2 4 2 3" xfId="11711" xr:uid="{B7598AE6-373F-45F8-90D5-BD644972FE1B}"/>
    <cellStyle name="20% - Accent2 2 2 4 2 4" xfId="20149" xr:uid="{D837F702-32DB-4E8B-AC81-4F236E0E0C74}"/>
    <cellStyle name="20% - Accent2 2 2 4 3" xfId="5342" xr:uid="{00000000-0005-0000-0000-0000BF000000}"/>
    <cellStyle name="20% - Accent2 2 2 4 3 2" xfId="13784" xr:uid="{D5A58016-2A41-4C3C-8657-050970A8CB3F}"/>
    <cellStyle name="20% - Accent2 2 2 4 3 3" xfId="22221" xr:uid="{59E4D28D-D5A4-4127-8C28-9B20F037982E}"/>
    <cellStyle name="20% - Accent2 2 2 4 4" xfId="9566" xr:uid="{0C66D236-8711-42FE-B508-1BD3942921AE}"/>
    <cellStyle name="20% - Accent2 2 2 4 5" xfId="18004" xr:uid="{148D25CF-C1E4-4283-A7D3-D2A9192A33F7}"/>
    <cellStyle name="20% - Accent2 2 2 5" xfId="1447" xr:uid="{00000000-0005-0000-0000-0000C0000000}"/>
    <cellStyle name="20% - Accent2 2 2 5 2" xfId="3677" xr:uid="{00000000-0005-0000-0000-0000C1000000}"/>
    <cellStyle name="20% - Accent2 2 2 5 2 2" xfId="7900" xr:uid="{00000000-0005-0000-0000-0000C2000000}"/>
    <cellStyle name="20% - Accent2 2 2 5 2 2 2" xfId="16342" xr:uid="{C40E516E-C9F9-44D0-8D0B-03C77CF50597}"/>
    <cellStyle name="20% - Accent2 2 2 5 2 2 3" xfId="24779" xr:uid="{F751E770-7DC9-4C44-8AF1-CEA57770CC74}"/>
    <cellStyle name="20% - Accent2 2 2 5 2 3" xfId="12124" xr:uid="{6CFB64E4-ACB1-4291-B4E1-1C90B17FB4FC}"/>
    <cellStyle name="20% - Accent2 2 2 5 2 4" xfId="20562" xr:uid="{EE44D18E-10A6-4659-8E4A-35E734BB2A5E}"/>
    <cellStyle name="20% - Accent2 2 2 5 3" xfId="5755" xr:uid="{00000000-0005-0000-0000-0000C3000000}"/>
    <cellStyle name="20% - Accent2 2 2 5 3 2" xfId="14197" xr:uid="{DA9E4302-D83A-4A5D-A762-613903386E56}"/>
    <cellStyle name="20% - Accent2 2 2 5 3 3" xfId="22634" xr:uid="{BDC53760-2820-433B-9E84-030C5980CD4F}"/>
    <cellStyle name="20% - Accent2 2 2 5 4" xfId="9979" xr:uid="{771646DC-3330-468B-A727-98575B4E9237}"/>
    <cellStyle name="20% - Accent2 2 2 5 5" xfId="18417" xr:uid="{90DEC0FD-319D-433B-AE89-A87DB9056D6B}"/>
    <cellStyle name="20% - Accent2 2 2 6" xfId="1861" xr:uid="{00000000-0005-0000-0000-0000C4000000}"/>
    <cellStyle name="20% - Accent2 2 2 6 2" xfId="4090" xr:uid="{00000000-0005-0000-0000-0000C5000000}"/>
    <cellStyle name="20% - Accent2 2 2 6 2 2" xfId="8313" xr:uid="{00000000-0005-0000-0000-0000C6000000}"/>
    <cellStyle name="20% - Accent2 2 2 6 2 2 2" xfId="16755" xr:uid="{BA39BEEB-0048-4FBE-A445-DB7886276E96}"/>
    <cellStyle name="20% - Accent2 2 2 6 2 2 3" xfId="25192" xr:uid="{71D88475-BD40-4D06-AF01-0F2D6D944AC8}"/>
    <cellStyle name="20% - Accent2 2 2 6 2 3" xfId="12537" xr:uid="{6B595C4E-5B96-4CCB-BF98-716DE6AB16A7}"/>
    <cellStyle name="20% - Accent2 2 2 6 2 4" xfId="20975" xr:uid="{F4436CA6-56AD-4177-8E4D-F093F7848560}"/>
    <cellStyle name="20% - Accent2 2 2 6 3" xfId="6168" xr:uid="{00000000-0005-0000-0000-0000C7000000}"/>
    <cellStyle name="20% - Accent2 2 2 6 3 2" xfId="14610" xr:uid="{1E3775F5-9119-4922-80CC-93BFF1FF612E}"/>
    <cellStyle name="20% - Accent2 2 2 6 3 3" xfId="23047" xr:uid="{9A57FA99-25DA-4178-A795-6F094DCEDBB2}"/>
    <cellStyle name="20% - Accent2 2 2 6 4" xfId="10392" xr:uid="{33BA78B1-7C8F-4294-9CC2-BA13C6250221}"/>
    <cellStyle name="20% - Accent2 2 2 6 5" xfId="18830" xr:uid="{EB02D46F-3528-44EF-840F-CC48EF57C24D}"/>
    <cellStyle name="20% - Accent2 2 2 7" xfId="2274" xr:uid="{00000000-0005-0000-0000-0000C8000000}"/>
    <cellStyle name="20% - Accent2 2 2 7 2" xfId="6581" xr:uid="{00000000-0005-0000-0000-0000C9000000}"/>
    <cellStyle name="20% - Accent2 2 2 7 2 2" xfId="15023" xr:uid="{A317B88A-02E8-4EA1-ABDF-EDDE6C435FDD}"/>
    <cellStyle name="20% - Accent2 2 2 7 2 3" xfId="23460" xr:uid="{8966FD46-659C-46D4-AA68-4BB5BBD9917E}"/>
    <cellStyle name="20% - Accent2 2 2 7 3" xfId="10805" xr:uid="{D703AD38-546B-48FE-900C-695B915300C1}"/>
    <cellStyle name="20% - Accent2 2 2 7 4" xfId="19243" xr:uid="{82BFEE27-81AC-4E5F-9B50-9EF8667C7962}"/>
    <cellStyle name="20% - Accent2 2 2 8" xfId="4515" xr:uid="{00000000-0005-0000-0000-0000CA000000}"/>
    <cellStyle name="20% - Accent2 2 2 8 2" xfId="12957" xr:uid="{B635375F-AF77-4534-BAA9-18FD90DE76B0}"/>
    <cellStyle name="20% - Accent2 2 2 8 3" xfId="21394" xr:uid="{8278B3AE-0D6E-4007-9CF4-53B73C0D5241}"/>
    <cellStyle name="20% - Accent2 2 2 9" xfId="8739" xr:uid="{11C7BD44-70B2-472E-8D61-F4CC03F16D15}"/>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2 2 2" xfId="15518" xr:uid="{E7D12723-E83C-427D-BEE6-DF13E810BC31}"/>
    <cellStyle name="20% - Accent2 2 3 2 2 2 3" xfId="23955" xr:uid="{3D33F732-6519-46D0-8AC2-5C8439B30361}"/>
    <cellStyle name="20% - Accent2 2 3 2 2 3" xfId="11300" xr:uid="{F7966675-48FA-468C-8597-7F36D3E140FB}"/>
    <cellStyle name="20% - Accent2 2 3 2 2 4" xfId="19738" xr:uid="{66C40307-A851-430E-8857-BE197CA43E22}"/>
    <cellStyle name="20% - Accent2 2 3 2 3" xfId="4931" xr:uid="{00000000-0005-0000-0000-0000CF000000}"/>
    <cellStyle name="20% - Accent2 2 3 2 3 2" xfId="13373" xr:uid="{32969CCC-1F7C-40D0-9765-B9A521FD2CAF}"/>
    <cellStyle name="20% - Accent2 2 3 2 3 3" xfId="21810" xr:uid="{382521D2-CF18-4218-9991-3A5DB462F071}"/>
    <cellStyle name="20% - Accent2 2 3 2 4" xfId="9155" xr:uid="{54783878-AB04-4C65-B6B7-EF94EAB25DF3}"/>
    <cellStyle name="20% - Accent2 2 3 2 5" xfId="17593" xr:uid="{C4D83B41-1B84-44D3-8D7F-3FF10FF368EB}"/>
    <cellStyle name="20% - Accent2 2 3 3" xfId="1035" xr:uid="{00000000-0005-0000-0000-0000D0000000}"/>
    <cellStyle name="20% - Accent2 2 3 3 2" xfId="3266" xr:uid="{00000000-0005-0000-0000-0000D1000000}"/>
    <cellStyle name="20% - Accent2 2 3 3 2 2" xfId="7489" xr:uid="{00000000-0005-0000-0000-0000D2000000}"/>
    <cellStyle name="20% - Accent2 2 3 3 2 2 2" xfId="15931" xr:uid="{85B968F2-A90B-4D5D-9557-2065E02512EA}"/>
    <cellStyle name="20% - Accent2 2 3 3 2 2 3" xfId="24368" xr:uid="{C6959859-8491-4C55-8DD4-B600FAF0744B}"/>
    <cellStyle name="20% - Accent2 2 3 3 2 3" xfId="11713" xr:uid="{32EC8553-A830-4958-83AF-D4289D79EEF2}"/>
    <cellStyle name="20% - Accent2 2 3 3 2 4" xfId="20151" xr:uid="{2E4E113D-0744-4B78-B8E4-EC21A7D28DBF}"/>
    <cellStyle name="20% - Accent2 2 3 3 3" xfId="5344" xr:uid="{00000000-0005-0000-0000-0000D3000000}"/>
    <cellStyle name="20% - Accent2 2 3 3 3 2" xfId="13786" xr:uid="{3DF01542-B675-4836-82AE-FBE9366F53FA}"/>
    <cellStyle name="20% - Accent2 2 3 3 3 3" xfId="22223" xr:uid="{DB323FA5-4D81-42B9-A956-8E7A2F41F00F}"/>
    <cellStyle name="20% - Accent2 2 3 3 4" xfId="9568" xr:uid="{B92ACB0B-FB4A-400A-8F1D-AE7D158E2A14}"/>
    <cellStyle name="20% - Accent2 2 3 3 5" xfId="18006" xr:uid="{F9C09EF1-210E-4ED8-927A-96BBF80D43FF}"/>
    <cellStyle name="20% - Accent2 2 3 4" xfId="1449" xr:uid="{00000000-0005-0000-0000-0000D4000000}"/>
    <cellStyle name="20% - Accent2 2 3 4 2" xfId="3679" xr:uid="{00000000-0005-0000-0000-0000D5000000}"/>
    <cellStyle name="20% - Accent2 2 3 4 2 2" xfId="7902" xr:uid="{00000000-0005-0000-0000-0000D6000000}"/>
    <cellStyle name="20% - Accent2 2 3 4 2 2 2" xfId="16344" xr:uid="{DD6F7096-B70D-4543-9129-0E28AB2E0B7D}"/>
    <cellStyle name="20% - Accent2 2 3 4 2 2 3" xfId="24781" xr:uid="{B18B4A5D-12D9-4CD4-8C3F-E9097FDCA540}"/>
    <cellStyle name="20% - Accent2 2 3 4 2 3" xfId="12126" xr:uid="{1F0462EB-CBE2-45FC-A59F-146CD8DF02C8}"/>
    <cellStyle name="20% - Accent2 2 3 4 2 4" xfId="20564" xr:uid="{03DC305F-A2A4-4D4A-9457-1BADF0D14494}"/>
    <cellStyle name="20% - Accent2 2 3 4 3" xfId="5757" xr:uid="{00000000-0005-0000-0000-0000D7000000}"/>
    <cellStyle name="20% - Accent2 2 3 4 3 2" xfId="14199" xr:uid="{2A5B2A9B-3412-4F9D-97B4-132265700FC2}"/>
    <cellStyle name="20% - Accent2 2 3 4 3 3" xfId="22636" xr:uid="{4C302860-BA29-4B7D-9980-34E87A3346E3}"/>
    <cellStyle name="20% - Accent2 2 3 4 4" xfId="9981" xr:uid="{A85652C7-5D64-40A4-889B-4CAE2DA8F7DC}"/>
    <cellStyle name="20% - Accent2 2 3 4 5" xfId="18419" xr:uid="{1F114704-2C79-49E4-AEC8-EC679FE39B50}"/>
    <cellStyle name="20% - Accent2 2 3 5" xfId="1863" xr:uid="{00000000-0005-0000-0000-0000D8000000}"/>
    <cellStyle name="20% - Accent2 2 3 5 2" xfId="4092" xr:uid="{00000000-0005-0000-0000-0000D9000000}"/>
    <cellStyle name="20% - Accent2 2 3 5 2 2" xfId="8315" xr:uid="{00000000-0005-0000-0000-0000DA000000}"/>
    <cellStyle name="20% - Accent2 2 3 5 2 2 2" xfId="16757" xr:uid="{23D83D69-1A1C-4811-B62A-7792DC5E7BFA}"/>
    <cellStyle name="20% - Accent2 2 3 5 2 2 3" xfId="25194" xr:uid="{B76AE265-A221-4B2A-A2C2-BDE07A3D88EE}"/>
    <cellStyle name="20% - Accent2 2 3 5 2 3" xfId="12539" xr:uid="{E5616176-6F1A-41B0-9B8E-27780C2C7AE5}"/>
    <cellStyle name="20% - Accent2 2 3 5 2 4" xfId="20977" xr:uid="{F95049DA-CD82-47FB-B7AC-05AA0B4B53EB}"/>
    <cellStyle name="20% - Accent2 2 3 5 3" xfId="6170" xr:uid="{00000000-0005-0000-0000-0000DB000000}"/>
    <cellStyle name="20% - Accent2 2 3 5 3 2" xfId="14612" xr:uid="{0B1BEC2F-ECC7-43EF-8756-D8196BBA5EAF}"/>
    <cellStyle name="20% - Accent2 2 3 5 3 3" xfId="23049" xr:uid="{C199EE04-6E5B-40EB-9351-38B422078029}"/>
    <cellStyle name="20% - Accent2 2 3 5 4" xfId="10394" xr:uid="{1571FC4B-6308-4C02-A5AC-15914716C58A}"/>
    <cellStyle name="20% - Accent2 2 3 5 5" xfId="18832" xr:uid="{C96B5E75-836D-42A2-8777-2B73E38CAA28}"/>
    <cellStyle name="20% - Accent2 2 3 6" xfId="2276" xr:uid="{00000000-0005-0000-0000-0000DC000000}"/>
    <cellStyle name="20% - Accent2 2 3 6 2" xfId="6583" xr:uid="{00000000-0005-0000-0000-0000DD000000}"/>
    <cellStyle name="20% - Accent2 2 3 6 2 2" xfId="15025" xr:uid="{1CA4B7E2-F70F-4FF9-9E43-1A8CDD30AC56}"/>
    <cellStyle name="20% - Accent2 2 3 6 2 3" xfId="23462" xr:uid="{44C0D605-2072-43F3-BCE4-5F68EEDAAE54}"/>
    <cellStyle name="20% - Accent2 2 3 6 3" xfId="10807" xr:uid="{414198EE-C8B6-4F8A-94AF-7A47375E1B3C}"/>
    <cellStyle name="20% - Accent2 2 3 6 4" xfId="19245" xr:uid="{40EAAAC1-C557-4AC8-8663-CAF3A8E4D783}"/>
    <cellStyle name="20% - Accent2 2 3 7" xfId="4517" xr:uid="{00000000-0005-0000-0000-0000DE000000}"/>
    <cellStyle name="20% - Accent2 2 3 7 2" xfId="12959" xr:uid="{8EA42878-ABA0-45EF-8DC0-31BBB06964D4}"/>
    <cellStyle name="20% - Accent2 2 3 7 3" xfId="21396" xr:uid="{9B328237-D28B-4BF7-B61D-211DCD43972D}"/>
    <cellStyle name="20% - Accent2 2 3 8" xfId="8741" xr:uid="{32194DE7-7D79-406C-9FC3-544BEE8414BB}"/>
    <cellStyle name="20% - Accent2 2 3 9" xfId="17179" xr:uid="{054E811F-B0D7-4DBF-A94D-02D61BA72536}"/>
    <cellStyle name="20% - Accent2 2 4" xfId="579" xr:uid="{00000000-0005-0000-0000-0000DF000000}"/>
    <cellStyle name="20% - Accent2 2 4 2" xfId="2850" xr:uid="{00000000-0005-0000-0000-0000E0000000}"/>
    <cellStyle name="20% - Accent2 2 4 2 2" xfId="7073" xr:uid="{00000000-0005-0000-0000-0000E1000000}"/>
    <cellStyle name="20% - Accent2 2 4 2 2 2" xfId="15515" xr:uid="{2A211D41-0B1F-4430-A98D-F3FD5AAC68C3}"/>
    <cellStyle name="20% - Accent2 2 4 2 2 3" xfId="23952" xr:uid="{7CA909EB-4210-473A-AA99-43BC77AA8FFC}"/>
    <cellStyle name="20% - Accent2 2 4 2 3" xfId="11297" xr:uid="{EA8B4AA4-7227-49DD-ACC1-95DBF4F80800}"/>
    <cellStyle name="20% - Accent2 2 4 2 4" xfId="19735" xr:uid="{C8CF8E36-11BF-4D0D-9F43-C437CB44577B}"/>
    <cellStyle name="20% - Accent2 2 4 3" xfId="4928" xr:uid="{00000000-0005-0000-0000-0000E2000000}"/>
    <cellStyle name="20% - Accent2 2 4 3 2" xfId="13370" xr:uid="{BB1AC3F6-0F7B-4869-931B-4524572A3F0C}"/>
    <cellStyle name="20% - Accent2 2 4 3 3" xfId="21807" xr:uid="{9B9C4F3E-56E5-4078-87B9-3CF5C1E6A8A0}"/>
    <cellStyle name="20% - Accent2 2 4 4" xfId="9152" xr:uid="{ACE78EDE-4259-4ED0-BE5B-1604BD505800}"/>
    <cellStyle name="20% - Accent2 2 4 5" xfId="17590" xr:uid="{02CFD029-F3C1-4D1A-9DE4-FAE6D5BE4BA2}"/>
    <cellStyle name="20% - Accent2 2 5" xfId="1032" xr:uid="{00000000-0005-0000-0000-0000E3000000}"/>
    <cellStyle name="20% - Accent2 2 5 2" xfId="3263" xr:uid="{00000000-0005-0000-0000-0000E4000000}"/>
    <cellStyle name="20% - Accent2 2 5 2 2" xfId="7486" xr:uid="{00000000-0005-0000-0000-0000E5000000}"/>
    <cellStyle name="20% - Accent2 2 5 2 2 2" xfId="15928" xr:uid="{2548F7FE-AE8E-44B4-A025-3273B5A72CD2}"/>
    <cellStyle name="20% - Accent2 2 5 2 2 3" xfId="24365" xr:uid="{9A39D7A4-9436-40A3-8BC4-B6A047B24531}"/>
    <cellStyle name="20% - Accent2 2 5 2 3" xfId="11710" xr:uid="{4A3B20EA-8E87-4C56-9D29-47E577B5369C}"/>
    <cellStyle name="20% - Accent2 2 5 2 4" xfId="20148" xr:uid="{71FE66BA-673D-4813-8FAA-AF6D2B95ABD1}"/>
    <cellStyle name="20% - Accent2 2 5 3" xfId="5341" xr:uid="{00000000-0005-0000-0000-0000E6000000}"/>
    <cellStyle name="20% - Accent2 2 5 3 2" xfId="13783" xr:uid="{3E0DCABB-3C61-422B-80C5-0B4F0F8C50A8}"/>
    <cellStyle name="20% - Accent2 2 5 3 3" xfId="22220" xr:uid="{15CEB158-B371-4755-9B8B-2449157AB627}"/>
    <cellStyle name="20% - Accent2 2 5 4" xfId="9565" xr:uid="{774076BD-246E-4E30-B278-847C4D411F49}"/>
    <cellStyle name="20% - Accent2 2 5 5" xfId="18003" xr:uid="{B283C59D-65FF-406E-A046-E58618CC0722}"/>
    <cellStyle name="20% - Accent2 2 6" xfId="1446" xr:uid="{00000000-0005-0000-0000-0000E7000000}"/>
    <cellStyle name="20% - Accent2 2 6 2" xfId="3676" xr:uid="{00000000-0005-0000-0000-0000E8000000}"/>
    <cellStyle name="20% - Accent2 2 6 2 2" xfId="7899" xr:uid="{00000000-0005-0000-0000-0000E9000000}"/>
    <cellStyle name="20% - Accent2 2 6 2 2 2" xfId="16341" xr:uid="{6C089E8C-199A-4E37-8085-63837E8DC0D0}"/>
    <cellStyle name="20% - Accent2 2 6 2 2 3" xfId="24778" xr:uid="{62653888-7014-470A-A510-A6223F54CD8C}"/>
    <cellStyle name="20% - Accent2 2 6 2 3" xfId="12123" xr:uid="{13039D72-79E4-4F10-9D3B-D419A60DA65F}"/>
    <cellStyle name="20% - Accent2 2 6 2 4" xfId="20561" xr:uid="{6F35C39E-5D2E-4809-8D91-2B9F0B4CD8DA}"/>
    <cellStyle name="20% - Accent2 2 6 3" xfId="5754" xr:uid="{00000000-0005-0000-0000-0000EA000000}"/>
    <cellStyle name="20% - Accent2 2 6 3 2" xfId="14196" xr:uid="{7EBA3B77-2816-4B7D-91D3-F9A689360F80}"/>
    <cellStyle name="20% - Accent2 2 6 3 3" xfId="22633" xr:uid="{BCC83CE0-CF78-4AFC-8DD1-0389C0FAFFCD}"/>
    <cellStyle name="20% - Accent2 2 6 4" xfId="9978" xr:uid="{D8EF6107-3E0C-4D38-9D2E-EB7998CCDA1D}"/>
    <cellStyle name="20% - Accent2 2 6 5" xfId="18416" xr:uid="{FB1B0311-FF70-48BB-8B6C-6BD251DB3397}"/>
    <cellStyle name="20% - Accent2 2 7" xfId="1860" xr:uid="{00000000-0005-0000-0000-0000EB000000}"/>
    <cellStyle name="20% - Accent2 2 7 2" xfId="4089" xr:uid="{00000000-0005-0000-0000-0000EC000000}"/>
    <cellStyle name="20% - Accent2 2 7 2 2" xfId="8312" xr:uid="{00000000-0005-0000-0000-0000ED000000}"/>
    <cellStyle name="20% - Accent2 2 7 2 2 2" xfId="16754" xr:uid="{6193F24E-5DA9-4010-BAF7-B0D1B412A5CF}"/>
    <cellStyle name="20% - Accent2 2 7 2 2 3" xfId="25191" xr:uid="{8AE1E43A-BD53-4FDE-BD55-15A72D6BA463}"/>
    <cellStyle name="20% - Accent2 2 7 2 3" xfId="12536" xr:uid="{2A517CF3-870C-4E5E-83A0-73978F2B1B98}"/>
    <cellStyle name="20% - Accent2 2 7 2 4" xfId="20974" xr:uid="{2D8770B0-F14E-4EAD-988F-C8D5CC7EE217}"/>
    <cellStyle name="20% - Accent2 2 7 3" xfId="6167" xr:uid="{00000000-0005-0000-0000-0000EE000000}"/>
    <cellStyle name="20% - Accent2 2 7 3 2" xfId="14609" xr:uid="{123076E8-98C1-492B-8AD3-AFF8E7195FCD}"/>
    <cellStyle name="20% - Accent2 2 7 3 3" xfId="23046" xr:uid="{D858FC45-FBD1-4AD2-AD4E-BC0858E8823C}"/>
    <cellStyle name="20% - Accent2 2 7 4" xfId="10391" xr:uid="{EAA8E8E5-0F81-441E-8D26-7F29AA97C28B}"/>
    <cellStyle name="20% - Accent2 2 7 5" xfId="18829" xr:uid="{06F062F0-4524-4527-9164-CF0B1CFAAA54}"/>
    <cellStyle name="20% - Accent2 2 8" xfId="2273" xr:uid="{00000000-0005-0000-0000-0000EF000000}"/>
    <cellStyle name="20% - Accent2 2 8 2" xfId="6580" xr:uid="{00000000-0005-0000-0000-0000F0000000}"/>
    <cellStyle name="20% - Accent2 2 8 2 2" xfId="15022" xr:uid="{19EB1015-6315-49F2-BE10-BF615B64E2F5}"/>
    <cellStyle name="20% - Accent2 2 8 2 3" xfId="23459" xr:uid="{9CB396E1-F2EE-4B63-90FF-2D7F46981729}"/>
    <cellStyle name="20% - Accent2 2 8 3" xfId="10804" xr:uid="{B3036E24-3F77-4E1F-B5F6-586417427E26}"/>
    <cellStyle name="20% - Accent2 2 8 4" xfId="19242" xr:uid="{A3DF1C01-4FC4-4CE7-87C0-61E0A7D5960E}"/>
    <cellStyle name="20% - Accent2 2 9" xfId="4514" xr:uid="{00000000-0005-0000-0000-0000F1000000}"/>
    <cellStyle name="20% - Accent2 2 9 2" xfId="12956" xr:uid="{AF686311-05AD-4003-8395-82896FAA3530}"/>
    <cellStyle name="20% - Accent2 2 9 3" xfId="21393" xr:uid="{7990BEA8-7495-4BA9-A0B0-B57637949DF7}"/>
    <cellStyle name="20% - Accent2 3" xfId="14" xr:uid="{00000000-0005-0000-0000-0000F2000000}"/>
    <cellStyle name="20% - Accent2 3 10" xfId="17180" xr:uid="{04E292C6-5544-4EDE-976C-3BCF15147EE5}"/>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2 2 2" xfId="15520" xr:uid="{E43924E5-1EF7-48B4-A860-6E00F6973438}"/>
    <cellStyle name="20% - Accent2 3 2 2 2 2 3" xfId="23957" xr:uid="{2A5DD01F-0F18-4486-8C03-C097BDB242EA}"/>
    <cellStyle name="20% - Accent2 3 2 2 2 3" xfId="11302" xr:uid="{0DA0567B-D8BE-4E19-B3A4-DE9614FAF5D3}"/>
    <cellStyle name="20% - Accent2 3 2 2 2 4" xfId="19740" xr:uid="{C2FEF82A-E8B8-4C53-BE5F-58ABFF6E038C}"/>
    <cellStyle name="20% - Accent2 3 2 2 3" xfId="4933" xr:uid="{00000000-0005-0000-0000-0000F7000000}"/>
    <cellStyle name="20% - Accent2 3 2 2 3 2" xfId="13375" xr:uid="{04815596-9EB3-4981-9C08-32A2654EF6D9}"/>
    <cellStyle name="20% - Accent2 3 2 2 3 3" xfId="21812" xr:uid="{37574109-30E7-47C9-BB03-D42950D9E839}"/>
    <cellStyle name="20% - Accent2 3 2 2 4" xfId="9157" xr:uid="{6E0359FA-BD0A-4BB9-ABDB-83E460E28B82}"/>
    <cellStyle name="20% - Accent2 3 2 2 5" xfId="17595" xr:uid="{31D5CA66-5510-4F26-B52B-C32DFC54F044}"/>
    <cellStyle name="20% - Accent2 3 2 3" xfId="1037" xr:uid="{00000000-0005-0000-0000-0000F8000000}"/>
    <cellStyle name="20% - Accent2 3 2 3 2" xfId="3268" xr:uid="{00000000-0005-0000-0000-0000F9000000}"/>
    <cellStyle name="20% - Accent2 3 2 3 2 2" xfId="7491" xr:uid="{00000000-0005-0000-0000-0000FA000000}"/>
    <cellStyle name="20% - Accent2 3 2 3 2 2 2" xfId="15933" xr:uid="{0FA4A91F-EE05-48FA-BC18-CA4326613CAB}"/>
    <cellStyle name="20% - Accent2 3 2 3 2 2 3" xfId="24370" xr:uid="{C220B0FD-E956-4BB8-8FC9-1DA1F9A7B9CE}"/>
    <cellStyle name="20% - Accent2 3 2 3 2 3" xfId="11715" xr:uid="{5765DAC6-AE87-4EEF-87FE-3288733A3903}"/>
    <cellStyle name="20% - Accent2 3 2 3 2 4" xfId="20153" xr:uid="{E69C7B05-47F7-4A21-A343-7EDE5BAA77D1}"/>
    <cellStyle name="20% - Accent2 3 2 3 3" xfId="5346" xr:uid="{00000000-0005-0000-0000-0000FB000000}"/>
    <cellStyle name="20% - Accent2 3 2 3 3 2" xfId="13788" xr:uid="{ED78299C-6B32-40F2-A307-38F33A171F3A}"/>
    <cellStyle name="20% - Accent2 3 2 3 3 3" xfId="22225" xr:uid="{C5459C33-2590-47DB-B9F1-4D68B969D218}"/>
    <cellStyle name="20% - Accent2 3 2 3 4" xfId="9570" xr:uid="{46C89C4F-F131-4286-B835-108A3CC3445D}"/>
    <cellStyle name="20% - Accent2 3 2 3 5" xfId="18008" xr:uid="{F9391C6B-7F4D-4F46-AF4C-CBD9F3AFC8CF}"/>
    <cellStyle name="20% - Accent2 3 2 4" xfId="1451" xr:uid="{00000000-0005-0000-0000-0000FC000000}"/>
    <cellStyle name="20% - Accent2 3 2 4 2" xfId="3681" xr:uid="{00000000-0005-0000-0000-0000FD000000}"/>
    <cellStyle name="20% - Accent2 3 2 4 2 2" xfId="7904" xr:uid="{00000000-0005-0000-0000-0000FE000000}"/>
    <cellStyle name="20% - Accent2 3 2 4 2 2 2" xfId="16346" xr:uid="{22905F62-2B72-4620-A2B1-BDB7622CBF6A}"/>
    <cellStyle name="20% - Accent2 3 2 4 2 2 3" xfId="24783" xr:uid="{D3EE8FC7-141C-42D6-A54C-B7ED7223BCC5}"/>
    <cellStyle name="20% - Accent2 3 2 4 2 3" xfId="12128" xr:uid="{215EB319-470B-4C95-8518-0EE30185BE43}"/>
    <cellStyle name="20% - Accent2 3 2 4 2 4" xfId="20566" xr:uid="{C16D83BF-6524-4A3D-8696-6B2BDF62CF85}"/>
    <cellStyle name="20% - Accent2 3 2 4 3" xfId="5759" xr:uid="{00000000-0005-0000-0000-0000FF000000}"/>
    <cellStyle name="20% - Accent2 3 2 4 3 2" xfId="14201" xr:uid="{31DAFB04-29DD-43AF-B7A1-A09556C123BC}"/>
    <cellStyle name="20% - Accent2 3 2 4 3 3" xfId="22638" xr:uid="{5771D942-99B9-4519-9EB4-7AE9612F1EA8}"/>
    <cellStyle name="20% - Accent2 3 2 4 4" xfId="9983" xr:uid="{D213B03C-111F-4F7F-AAAD-92F3647A95FE}"/>
    <cellStyle name="20% - Accent2 3 2 4 5" xfId="18421" xr:uid="{924CCE2D-2C8A-475B-9911-22A9F60C3817}"/>
    <cellStyle name="20% - Accent2 3 2 5" xfId="1865" xr:uid="{00000000-0005-0000-0000-000000010000}"/>
    <cellStyle name="20% - Accent2 3 2 5 2" xfId="4094" xr:uid="{00000000-0005-0000-0000-000001010000}"/>
    <cellStyle name="20% - Accent2 3 2 5 2 2" xfId="8317" xr:uid="{00000000-0005-0000-0000-000002010000}"/>
    <cellStyle name="20% - Accent2 3 2 5 2 2 2" xfId="16759" xr:uid="{BE88636D-57A8-4278-9641-934ED2A4E505}"/>
    <cellStyle name="20% - Accent2 3 2 5 2 2 3" xfId="25196" xr:uid="{34638101-387C-4FA5-882E-6B2679047B59}"/>
    <cellStyle name="20% - Accent2 3 2 5 2 3" xfId="12541" xr:uid="{CEFC7601-BA01-429A-B816-9526F520C5BB}"/>
    <cellStyle name="20% - Accent2 3 2 5 2 4" xfId="20979" xr:uid="{164FC882-D9F0-42D2-A61D-D061B47722E4}"/>
    <cellStyle name="20% - Accent2 3 2 5 3" xfId="6172" xr:uid="{00000000-0005-0000-0000-000003010000}"/>
    <cellStyle name="20% - Accent2 3 2 5 3 2" xfId="14614" xr:uid="{5E8F97AE-D86F-4FF4-91C1-445655B188FB}"/>
    <cellStyle name="20% - Accent2 3 2 5 3 3" xfId="23051" xr:uid="{F60C5EE2-E7AD-426E-BE98-15DD94E87DE0}"/>
    <cellStyle name="20% - Accent2 3 2 5 4" xfId="10396" xr:uid="{8615806A-93F2-4734-A529-C6E72AA8E0C6}"/>
    <cellStyle name="20% - Accent2 3 2 5 5" xfId="18834" xr:uid="{64A46AAA-26C2-427F-913F-7026DB2687AD}"/>
    <cellStyle name="20% - Accent2 3 2 6" xfId="2278" xr:uid="{00000000-0005-0000-0000-000004010000}"/>
    <cellStyle name="20% - Accent2 3 2 6 2" xfId="6585" xr:uid="{00000000-0005-0000-0000-000005010000}"/>
    <cellStyle name="20% - Accent2 3 2 6 2 2" xfId="15027" xr:uid="{DC688C0C-B3F4-4F7E-B7BA-886A3B0FF904}"/>
    <cellStyle name="20% - Accent2 3 2 6 2 3" xfId="23464" xr:uid="{B7012628-DC44-4614-A379-8999FDF09B77}"/>
    <cellStyle name="20% - Accent2 3 2 6 3" xfId="10809" xr:uid="{F13A07EC-EABD-4A92-91E3-97116E298159}"/>
    <cellStyle name="20% - Accent2 3 2 6 4" xfId="19247" xr:uid="{4427CF91-9162-44E8-8A12-C1406DD0F7FE}"/>
    <cellStyle name="20% - Accent2 3 2 7" xfId="4519" xr:uid="{00000000-0005-0000-0000-000006010000}"/>
    <cellStyle name="20% - Accent2 3 2 7 2" xfId="12961" xr:uid="{F3144491-925A-4759-AA9D-6320FF4BEAB6}"/>
    <cellStyle name="20% - Accent2 3 2 7 3" xfId="21398" xr:uid="{651E6386-B00E-401E-B96D-4231F15D2B50}"/>
    <cellStyle name="20% - Accent2 3 2 8" xfId="8743" xr:uid="{5338A755-DFA5-49CB-BCDC-2FDCA0CB20E6}"/>
    <cellStyle name="20% - Accent2 3 2 9" xfId="17181" xr:uid="{6D85515C-FF82-4776-9808-C2A438A6D07E}"/>
    <cellStyle name="20% - Accent2 3 3" xfId="583" xr:uid="{00000000-0005-0000-0000-000007010000}"/>
    <cellStyle name="20% - Accent2 3 3 2" xfId="2854" xr:uid="{00000000-0005-0000-0000-000008010000}"/>
    <cellStyle name="20% - Accent2 3 3 2 2" xfId="7077" xr:uid="{00000000-0005-0000-0000-000009010000}"/>
    <cellStyle name="20% - Accent2 3 3 2 2 2" xfId="15519" xr:uid="{7E40E16E-1CB7-480A-8A22-8C654B7FEC7C}"/>
    <cellStyle name="20% - Accent2 3 3 2 2 3" xfId="23956" xr:uid="{562D5C65-91FC-466C-85E3-3348C93AB6E4}"/>
    <cellStyle name="20% - Accent2 3 3 2 3" xfId="11301" xr:uid="{865598C5-C054-4870-B058-4C5A1B2D0C4B}"/>
    <cellStyle name="20% - Accent2 3 3 2 4" xfId="19739" xr:uid="{0ED24A90-180F-449B-A3F4-43BB9FD70FEB}"/>
    <cellStyle name="20% - Accent2 3 3 3" xfId="4932" xr:uid="{00000000-0005-0000-0000-00000A010000}"/>
    <cellStyle name="20% - Accent2 3 3 3 2" xfId="13374" xr:uid="{3A1E74B2-F657-4782-8E3A-B8EF06C48A29}"/>
    <cellStyle name="20% - Accent2 3 3 3 3" xfId="21811" xr:uid="{CCC61F0D-D149-453B-9D47-5DA8B80E0BF3}"/>
    <cellStyle name="20% - Accent2 3 3 4" xfId="9156" xr:uid="{3C566402-1AE2-4853-B22B-12F6B877C403}"/>
    <cellStyle name="20% - Accent2 3 3 5" xfId="17594" xr:uid="{2CDF4368-A306-4C21-90D4-65D8E1C02B5F}"/>
    <cellStyle name="20% - Accent2 3 4" xfId="1036" xr:uid="{00000000-0005-0000-0000-00000B010000}"/>
    <cellStyle name="20% - Accent2 3 4 2" xfId="3267" xr:uid="{00000000-0005-0000-0000-00000C010000}"/>
    <cellStyle name="20% - Accent2 3 4 2 2" xfId="7490" xr:uid="{00000000-0005-0000-0000-00000D010000}"/>
    <cellStyle name="20% - Accent2 3 4 2 2 2" xfId="15932" xr:uid="{3DA8C800-B518-4508-8DAB-0C68B1A0E9DD}"/>
    <cellStyle name="20% - Accent2 3 4 2 2 3" xfId="24369" xr:uid="{729100A1-6D1C-4C16-934F-6D449253E6F0}"/>
    <cellStyle name="20% - Accent2 3 4 2 3" xfId="11714" xr:uid="{ADDC1848-7599-4231-AE98-321040B6E34C}"/>
    <cellStyle name="20% - Accent2 3 4 2 4" xfId="20152" xr:uid="{95722E71-3F7F-4939-889B-027A96E35781}"/>
    <cellStyle name="20% - Accent2 3 4 3" xfId="5345" xr:uid="{00000000-0005-0000-0000-00000E010000}"/>
    <cellStyle name="20% - Accent2 3 4 3 2" xfId="13787" xr:uid="{B54D2C85-D360-4EC7-839D-A96524F886AA}"/>
    <cellStyle name="20% - Accent2 3 4 3 3" xfId="22224" xr:uid="{73FF00F5-D51D-40FE-AC8F-D05BB2A7ADCF}"/>
    <cellStyle name="20% - Accent2 3 4 4" xfId="9569" xr:uid="{B90E9189-A5BC-4E25-BA76-CA0EB8D7178C}"/>
    <cellStyle name="20% - Accent2 3 4 5" xfId="18007" xr:uid="{E35E6744-CC11-4DDB-AFA8-25C9369F4828}"/>
    <cellStyle name="20% - Accent2 3 5" xfId="1450" xr:uid="{00000000-0005-0000-0000-00000F010000}"/>
    <cellStyle name="20% - Accent2 3 5 2" xfId="3680" xr:uid="{00000000-0005-0000-0000-000010010000}"/>
    <cellStyle name="20% - Accent2 3 5 2 2" xfId="7903" xr:uid="{00000000-0005-0000-0000-000011010000}"/>
    <cellStyle name="20% - Accent2 3 5 2 2 2" xfId="16345" xr:uid="{FAF4B3B9-3947-4242-9458-6C8294222932}"/>
    <cellStyle name="20% - Accent2 3 5 2 2 3" xfId="24782" xr:uid="{45027B32-8F8A-48EE-90A5-E63D3770BDF7}"/>
    <cellStyle name="20% - Accent2 3 5 2 3" xfId="12127" xr:uid="{23E1726C-3B87-4069-9BDE-B5CDFD72FCCF}"/>
    <cellStyle name="20% - Accent2 3 5 2 4" xfId="20565" xr:uid="{99E16247-8C59-49F4-B989-8532B8476E97}"/>
    <cellStyle name="20% - Accent2 3 5 3" xfId="5758" xr:uid="{00000000-0005-0000-0000-000012010000}"/>
    <cellStyle name="20% - Accent2 3 5 3 2" xfId="14200" xr:uid="{956C9058-C2F4-45DF-B694-AA848B38F754}"/>
    <cellStyle name="20% - Accent2 3 5 3 3" xfId="22637" xr:uid="{99289CB4-4176-40F9-BF7E-66DF2C6D7515}"/>
    <cellStyle name="20% - Accent2 3 5 4" xfId="9982" xr:uid="{0E452908-154B-4E08-96D6-29F5EF5E4E9D}"/>
    <cellStyle name="20% - Accent2 3 5 5" xfId="18420" xr:uid="{F7B875A6-B7FC-4022-A1B8-32208C731081}"/>
    <cellStyle name="20% - Accent2 3 6" xfId="1864" xr:uid="{00000000-0005-0000-0000-000013010000}"/>
    <cellStyle name="20% - Accent2 3 6 2" xfId="4093" xr:uid="{00000000-0005-0000-0000-000014010000}"/>
    <cellStyle name="20% - Accent2 3 6 2 2" xfId="8316" xr:uid="{00000000-0005-0000-0000-000015010000}"/>
    <cellStyle name="20% - Accent2 3 6 2 2 2" xfId="16758" xr:uid="{5F4DC055-E996-4776-A8D4-5E07B5B16970}"/>
    <cellStyle name="20% - Accent2 3 6 2 2 3" xfId="25195" xr:uid="{62D1C672-0CC6-470E-86C8-B4B17CB567D2}"/>
    <cellStyle name="20% - Accent2 3 6 2 3" xfId="12540" xr:uid="{9D8C399A-204F-4A5A-8097-00989DA9E2D3}"/>
    <cellStyle name="20% - Accent2 3 6 2 4" xfId="20978" xr:uid="{6F7D8F75-96E4-46F2-833F-23FD19B25525}"/>
    <cellStyle name="20% - Accent2 3 6 3" xfId="6171" xr:uid="{00000000-0005-0000-0000-000016010000}"/>
    <cellStyle name="20% - Accent2 3 6 3 2" xfId="14613" xr:uid="{C79575A1-ABCC-42CB-BE08-B6BCEAD0046C}"/>
    <cellStyle name="20% - Accent2 3 6 3 3" xfId="23050" xr:uid="{7A3F98B4-753B-40CB-B594-E8F0DC4D1FA8}"/>
    <cellStyle name="20% - Accent2 3 6 4" xfId="10395" xr:uid="{166BF3E8-65C3-4DC2-A0DD-F8416E1A5C37}"/>
    <cellStyle name="20% - Accent2 3 6 5" xfId="18833" xr:uid="{EAB82C81-C8D4-412F-8F0A-15986AF187BE}"/>
    <cellStyle name="20% - Accent2 3 7" xfId="2277" xr:uid="{00000000-0005-0000-0000-000017010000}"/>
    <cellStyle name="20% - Accent2 3 7 2" xfId="6584" xr:uid="{00000000-0005-0000-0000-000018010000}"/>
    <cellStyle name="20% - Accent2 3 7 2 2" xfId="15026" xr:uid="{55F2CE63-B59F-4BDA-AB88-F5841838263E}"/>
    <cellStyle name="20% - Accent2 3 7 2 3" xfId="23463" xr:uid="{D90FAFB6-B89E-4EFF-9095-0D39C479D8AA}"/>
    <cellStyle name="20% - Accent2 3 7 3" xfId="10808" xr:uid="{F5426D89-05B5-4538-9AC9-CA89E7987519}"/>
    <cellStyle name="20% - Accent2 3 7 4" xfId="19246" xr:uid="{64027803-3C57-4F2D-8D94-C13D28A3C394}"/>
    <cellStyle name="20% - Accent2 3 8" xfId="4518" xr:uid="{00000000-0005-0000-0000-000019010000}"/>
    <cellStyle name="20% - Accent2 3 8 2" xfId="12960" xr:uid="{9ED6116A-9B92-4A2E-8976-B0E82905BEF7}"/>
    <cellStyle name="20% - Accent2 3 8 3" xfId="21397" xr:uid="{DF23D46B-6FEB-40EB-9C0F-4FA8F676EEF5}"/>
    <cellStyle name="20% - Accent2 3 9" xfId="8742" xr:uid="{99C63C1B-24A2-4EC3-B475-47E369CCE09D}"/>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2 2 2" xfId="15521" xr:uid="{A3E32538-B3E0-408B-BBB5-9D58E0EA10D2}"/>
    <cellStyle name="20% - Accent2 4 2 2 2 3" xfId="23958" xr:uid="{3ED8C398-5F35-495D-910F-E76933D3C4DE}"/>
    <cellStyle name="20% - Accent2 4 2 2 3" xfId="11303" xr:uid="{D30EE603-1B31-4FB2-840B-7BE56F293665}"/>
    <cellStyle name="20% - Accent2 4 2 2 4" xfId="19741" xr:uid="{26BADC8E-20FD-479B-B711-AC75255B3ED0}"/>
    <cellStyle name="20% - Accent2 4 2 3" xfId="4934" xr:uid="{00000000-0005-0000-0000-00001E010000}"/>
    <cellStyle name="20% - Accent2 4 2 3 2" xfId="13376" xr:uid="{F6BE519F-545A-43DC-9D22-DA273DE6B6F9}"/>
    <cellStyle name="20% - Accent2 4 2 3 3" xfId="21813" xr:uid="{F1E56632-E06E-42CD-9624-DF5598922A03}"/>
    <cellStyle name="20% - Accent2 4 2 4" xfId="9158" xr:uid="{3A281CDF-1D7B-4D3D-8D42-B8315F309686}"/>
    <cellStyle name="20% - Accent2 4 2 5" xfId="17596" xr:uid="{51741A65-48F1-48F0-9DF9-E2A531D49747}"/>
    <cellStyle name="20% - Accent2 4 3" xfId="1038" xr:uid="{00000000-0005-0000-0000-00001F010000}"/>
    <cellStyle name="20% - Accent2 4 3 2" xfId="3269" xr:uid="{00000000-0005-0000-0000-000020010000}"/>
    <cellStyle name="20% - Accent2 4 3 2 2" xfId="7492" xr:uid="{00000000-0005-0000-0000-000021010000}"/>
    <cellStyle name="20% - Accent2 4 3 2 2 2" xfId="15934" xr:uid="{8AE008FB-9529-42B6-AF7A-F7FAB7B75354}"/>
    <cellStyle name="20% - Accent2 4 3 2 2 3" xfId="24371" xr:uid="{30677A37-C33C-4183-B9B7-DB0F4409EB45}"/>
    <cellStyle name="20% - Accent2 4 3 2 3" xfId="11716" xr:uid="{065565E1-D244-4D15-8AD5-1FC2A6A960B0}"/>
    <cellStyle name="20% - Accent2 4 3 2 4" xfId="20154" xr:uid="{9EEBFC49-295B-4A59-919B-7585D8657D3B}"/>
    <cellStyle name="20% - Accent2 4 3 3" xfId="5347" xr:uid="{00000000-0005-0000-0000-000022010000}"/>
    <cellStyle name="20% - Accent2 4 3 3 2" xfId="13789" xr:uid="{5C64943C-4F09-43E7-8B07-8FCE07E1FB8A}"/>
    <cellStyle name="20% - Accent2 4 3 3 3" xfId="22226" xr:uid="{080F1A0B-6C55-49FD-B33F-52BFF80EC12B}"/>
    <cellStyle name="20% - Accent2 4 3 4" xfId="9571" xr:uid="{24A20E59-4F13-4803-96F3-226B37F5B1D7}"/>
    <cellStyle name="20% - Accent2 4 3 5" xfId="18009" xr:uid="{945B61EB-5FCA-4369-8B6E-778E09494648}"/>
    <cellStyle name="20% - Accent2 4 4" xfId="1452" xr:uid="{00000000-0005-0000-0000-000023010000}"/>
    <cellStyle name="20% - Accent2 4 4 2" xfId="3682" xr:uid="{00000000-0005-0000-0000-000024010000}"/>
    <cellStyle name="20% - Accent2 4 4 2 2" xfId="7905" xr:uid="{00000000-0005-0000-0000-000025010000}"/>
    <cellStyle name="20% - Accent2 4 4 2 2 2" xfId="16347" xr:uid="{CB46D932-CC5C-414E-8310-73176DD35075}"/>
    <cellStyle name="20% - Accent2 4 4 2 2 3" xfId="24784" xr:uid="{1511C204-C7CE-4D76-ADE3-7C21D4F0D603}"/>
    <cellStyle name="20% - Accent2 4 4 2 3" xfId="12129" xr:uid="{4F0E6AA0-6BCE-4559-9678-7A350562D461}"/>
    <cellStyle name="20% - Accent2 4 4 2 4" xfId="20567" xr:uid="{9D02AA4A-766B-494F-B962-0AEC3E3CDB74}"/>
    <cellStyle name="20% - Accent2 4 4 3" xfId="5760" xr:uid="{00000000-0005-0000-0000-000026010000}"/>
    <cellStyle name="20% - Accent2 4 4 3 2" xfId="14202" xr:uid="{C7FE4712-1092-416D-A115-5CE855CCDB1E}"/>
    <cellStyle name="20% - Accent2 4 4 3 3" xfId="22639" xr:uid="{123E7124-A229-4776-920F-D7318A5D538E}"/>
    <cellStyle name="20% - Accent2 4 4 4" xfId="9984" xr:uid="{0A2AFEF3-230B-4423-9E39-41D090CA7C2A}"/>
    <cellStyle name="20% - Accent2 4 4 5" xfId="18422" xr:uid="{F9684DAF-3BD8-4611-B6E5-66D929AF990C}"/>
    <cellStyle name="20% - Accent2 4 5" xfId="1866" xr:uid="{00000000-0005-0000-0000-000027010000}"/>
    <cellStyle name="20% - Accent2 4 5 2" xfId="4095" xr:uid="{00000000-0005-0000-0000-000028010000}"/>
    <cellStyle name="20% - Accent2 4 5 2 2" xfId="8318" xr:uid="{00000000-0005-0000-0000-000029010000}"/>
    <cellStyle name="20% - Accent2 4 5 2 2 2" xfId="16760" xr:uid="{F7064755-1619-4074-A172-BB115A4E953B}"/>
    <cellStyle name="20% - Accent2 4 5 2 2 3" xfId="25197" xr:uid="{25672E66-B261-4EEA-A72E-EDD7DA6A7ACE}"/>
    <cellStyle name="20% - Accent2 4 5 2 3" xfId="12542" xr:uid="{40BB4055-684C-4A1B-9793-AB468AAA2BE0}"/>
    <cellStyle name="20% - Accent2 4 5 2 4" xfId="20980" xr:uid="{C9B1216A-67E5-40FA-A824-15B07F9FCC8A}"/>
    <cellStyle name="20% - Accent2 4 5 3" xfId="6173" xr:uid="{00000000-0005-0000-0000-00002A010000}"/>
    <cellStyle name="20% - Accent2 4 5 3 2" xfId="14615" xr:uid="{46C4FAF1-3AC8-4721-83EC-CABE286EDB4E}"/>
    <cellStyle name="20% - Accent2 4 5 3 3" xfId="23052" xr:uid="{3ACC2C32-6BDE-4877-92AD-56BB1D08278C}"/>
    <cellStyle name="20% - Accent2 4 5 4" xfId="10397" xr:uid="{BBA9721A-5344-42FA-8593-96B57AE16999}"/>
    <cellStyle name="20% - Accent2 4 5 5" xfId="18835" xr:uid="{C67876DE-07C0-4262-AC91-E76FCE205B04}"/>
    <cellStyle name="20% - Accent2 4 6" xfId="2279" xr:uid="{00000000-0005-0000-0000-00002B010000}"/>
    <cellStyle name="20% - Accent2 4 6 2" xfId="6586" xr:uid="{00000000-0005-0000-0000-00002C010000}"/>
    <cellStyle name="20% - Accent2 4 6 2 2" xfId="15028" xr:uid="{E98A3082-4A77-432D-89E5-248C0345108A}"/>
    <cellStyle name="20% - Accent2 4 6 2 3" xfId="23465" xr:uid="{259CEA35-7B73-4FDB-B2BA-568C3069633E}"/>
    <cellStyle name="20% - Accent2 4 6 3" xfId="10810" xr:uid="{41946DBB-CA30-4CFD-A786-9869C3E73886}"/>
    <cellStyle name="20% - Accent2 4 6 4" xfId="19248" xr:uid="{3158438C-E4FE-419F-8436-7DCEACB080D4}"/>
    <cellStyle name="20% - Accent2 4 7" xfId="4520" xr:uid="{00000000-0005-0000-0000-00002D010000}"/>
    <cellStyle name="20% - Accent2 4 7 2" xfId="12962" xr:uid="{DD0ADA8F-B326-4E5D-80F3-C7FE63086A20}"/>
    <cellStyle name="20% - Accent2 4 7 3" xfId="21399" xr:uid="{2DA4B0C3-7AD0-4D3F-B942-C34AF2E99ACB}"/>
    <cellStyle name="20% - Accent2 4 8" xfId="8744" xr:uid="{35C5D78C-3402-4EEA-A9E1-B4DB3467807F}"/>
    <cellStyle name="20% - Accent2 4 9" xfId="17182" xr:uid="{A255BECA-C4E2-460E-BB8D-0A518746863C}"/>
    <cellStyle name="20% - Accent2 5" xfId="578" xr:uid="{00000000-0005-0000-0000-00002E010000}"/>
    <cellStyle name="20% - Accent2 5 2" xfId="2849" xr:uid="{00000000-0005-0000-0000-00002F010000}"/>
    <cellStyle name="20% - Accent2 5 2 2" xfId="7072" xr:uid="{00000000-0005-0000-0000-000030010000}"/>
    <cellStyle name="20% - Accent2 5 2 2 2" xfId="15514" xr:uid="{0745AF89-38AF-47FF-A3ED-5D549224C513}"/>
    <cellStyle name="20% - Accent2 5 2 2 3" xfId="23951" xr:uid="{78F40BD4-FA4E-4F89-855F-55E940CA2EE1}"/>
    <cellStyle name="20% - Accent2 5 2 3" xfId="11296" xr:uid="{298E30AE-F6E5-4FBD-B075-376803CFA02A}"/>
    <cellStyle name="20% - Accent2 5 2 4" xfId="19734" xr:uid="{38A3CD1F-82E8-4E37-8718-70FF067328B5}"/>
    <cellStyle name="20% - Accent2 5 3" xfId="4927" xr:uid="{00000000-0005-0000-0000-000031010000}"/>
    <cellStyle name="20% - Accent2 5 3 2" xfId="13369" xr:uid="{EDE8D979-230C-4B9D-8575-2C16D85D4039}"/>
    <cellStyle name="20% - Accent2 5 3 3" xfId="21806" xr:uid="{9E48BC1A-7158-4C89-BB0A-A0B8BCE7674D}"/>
    <cellStyle name="20% - Accent2 5 4" xfId="9151" xr:uid="{A6E85D15-51EE-4194-A4D4-E265FF48A865}"/>
    <cellStyle name="20% - Accent2 5 5" xfId="17589" xr:uid="{9C897D2A-BA10-48E8-820B-A34069E567DC}"/>
    <cellStyle name="20% - Accent2 6" xfId="1031" xr:uid="{00000000-0005-0000-0000-000032010000}"/>
    <cellStyle name="20% - Accent2 6 2" xfId="3262" xr:uid="{00000000-0005-0000-0000-000033010000}"/>
    <cellStyle name="20% - Accent2 6 2 2" xfId="7485" xr:uid="{00000000-0005-0000-0000-000034010000}"/>
    <cellStyle name="20% - Accent2 6 2 2 2" xfId="15927" xr:uid="{01910D15-3094-4D35-80D4-879C028F2051}"/>
    <cellStyle name="20% - Accent2 6 2 2 3" xfId="24364" xr:uid="{1EB566B5-8E90-4085-8E52-34B61D5B93D0}"/>
    <cellStyle name="20% - Accent2 6 2 3" xfId="11709" xr:uid="{40313B46-2EAA-44C1-BA6A-D27B845A17CE}"/>
    <cellStyle name="20% - Accent2 6 2 4" xfId="20147" xr:uid="{57147B6D-7A75-439A-A249-F36F63991A76}"/>
    <cellStyle name="20% - Accent2 6 3" xfId="5340" xr:uid="{00000000-0005-0000-0000-000035010000}"/>
    <cellStyle name="20% - Accent2 6 3 2" xfId="13782" xr:uid="{FB28F6F5-6112-44DE-91B0-1E3CB75CC656}"/>
    <cellStyle name="20% - Accent2 6 3 3" xfId="22219" xr:uid="{BFC9409C-545D-4DC7-B846-2597279BE0B2}"/>
    <cellStyle name="20% - Accent2 6 4" xfId="9564" xr:uid="{86D1FEC2-7896-406E-B61D-E4B07BFB55A9}"/>
    <cellStyle name="20% - Accent2 6 5" xfId="18002" xr:uid="{1A36761D-3E04-4A4A-8FB7-3E1AA1B51530}"/>
    <cellStyle name="20% - Accent2 7" xfId="1445" xr:uid="{00000000-0005-0000-0000-000036010000}"/>
    <cellStyle name="20% - Accent2 7 2" xfId="3675" xr:uid="{00000000-0005-0000-0000-000037010000}"/>
    <cellStyle name="20% - Accent2 7 2 2" xfId="7898" xr:uid="{00000000-0005-0000-0000-000038010000}"/>
    <cellStyle name="20% - Accent2 7 2 2 2" xfId="16340" xr:uid="{6EBC4CB0-9E5A-44D2-AC17-A14302F8257C}"/>
    <cellStyle name="20% - Accent2 7 2 2 3" xfId="24777" xr:uid="{D135B194-0BD1-4991-AA62-2EF8A416D41B}"/>
    <cellStyle name="20% - Accent2 7 2 3" xfId="12122" xr:uid="{AEF7961A-D478-4FE6-B93A-4965F4C580B4}"/>
    <cellStyle name="20% - Accent2 7 2 4" xfId="20560" xr:uid="{1B58153D-4713-47A8-9933-E3F912AE69CC}"/>
    <cellStyle name="20% - Accent2 7 3" xfId="5753" xr:uid="{00000000-0005-0000-0000-000039010000}"/>
    <cellStyle name="20% - Accent2 7 3 2" xfId="14195" xr:uid="{1C682C37-8D49-43F6-A355-CCF379955760}"/>
    <cellStyle name="20% - Accent2 7 3 3" xfId="22632" xr:uid="{D6FB9B6B-76D7-41B8-A661-7AE100946ACA}"/>
    <cellStyle name="20% - Accent2 7 4" xfId="9977" xr:uid="{1656A05A-BAF7-4B6E-9BAB-5E23E36B4552}"/>
    <cellStyle name="20% - Accent2 7 5" xfId="18415" xr:uid="{9198E6CC-CA3E-4458-9EF2-13E95A39D95F}"/>
    <cellStyle name="20% - Accent2 8" xfId="1859" xr:uid="{00000000-0005-0000-0000-00003A010000}"/>
    <cellStyle name="20% - Accent2 8 2" xfId="4088" xr:uid="{00000000-0005-0000-0000-00003B010000}"/>
    <cellStyle name="20% - Accent2 8 2 2" xfId="8311" xr:uid="{00000000-0005-0000-0000-00003C010000}"/>
    <cellStyle name="20% - Accent2 8 2 2 2" xfId="16753" xr:uid="{2A6806AE-ADA2-46C2-B256-43D0FC714987}"/>
    <cellStyle name="20% - Accent2 8 2 2 3" xfId="25190" xr:uid="{C7F9A9C1-E665-4FAB-8872-FDBC190BED92}"/>
    <cellStyle name="20% - Accent2 8 2 3" xfId="12535" xr:uid="{4CCEB974-069D-4402-A2DB-31DA74FCD5C1}"/>
    <cellStyle name="20% - Accent2 8 2 4" xfId="20973" xr:uid="{BA7500B0-9AD2-4018-8D69-FDB82F7401C0}"/>
    <cellStyle name="20% - Accent2 8 3" xfId="6166" xr:uid="{00000000-0005-0000-0000-00003D010000}"/>
    <cellStyle name="20% - Accent2 8 3 2" xfId="14608" xr:uid="{7F81E252-A1A5-4293-B816-33B3A53902C3}"/>
    <cellStyle name="20% - Accent2 8 3 3" xfId="23045" xr:uid="{BC5DF307-6EFA-4B74-9A94-A86844C3EF37}"/>
    <cellStyle name="20% - Accent2 8 4" xfId="10390" xr:uid="{2C282318-FA37-4088-AD5C-03D9EAF512DE}"/>
    <cellStyle name="20% - Accent2 8 5" xfId="18828" xr:uid="{A304CB4E-2BCB-4775-82E9-9498AEABD12A}"/>
    <cellStyle name="20% - Accent2 9" xfId="2272" xr:uid="{00000000-0005-0000-0000-00003E010000}"/>
    <cellStyle name="20% - Accent2 9 2" xfId="6579" xr:uid="{00000000-0005-0000-0000-00003F010000}"/>
    <cellStyle name="20% - Accent2 9 2 2" xfId="15021" xr:uid="{30CFCDA4-A1E2-4687-9BF2-99A7DCB7D2C0}"/>
    <cellStyle name="20% - Accent2 9 2 3" xfId="23458" xr:uid="{22D0598B-F096-4A69-B6DC-44CF1EB12265}"/>
    <cellStyle name="20% - Accent2 9 3" xfId="10803" xr:uid="{FF89C97E-E642-4CFC-84E7-EF182A2AB256}"/>
    <cellStyle name="20% - Accent2 9 4" xfId="19241" xr:uid="{ADD5ECF9-0B2F-497E-A2D9-78525331C2C7}"/>
    <cellStyle name="20% - Accent3" xfId="17" builtinId="38" customBuiltin="1"/>
    <cellStyle name="20% - Accent3 10" xfId="4521" xr:uid="{00000000-0005-0000-0000-000041010000}"/>
    <cellStyle name="20% - Accent3 10 2" xfId="12963" xr:uid="{AF77C49D-E12F-4492-A167-086E8ECCCB7E}"/>
    <cellStyle name="20% - Accent3 10 3" xfId="21400" xr:uid="{295AA2C5-1236-4FF9-A16B-9A95235DAE0E}"/>
    <cellStyle name="20% - Accent3 11" xfId="8745" xr:uid="{BB208F54-3C2A-4F93-84C6-BF23A30D4ADC}"/>
    <cellStyle name="20% - Accent3 12" xfId="17183" xr:uid="{3FCC6020-1DE6-43AE-A164-95787F21AF20}"/>
    <cellStyle name="20% - Accent3 2" xfId="18" xr:uid="{00000000-0005-0000-0000-000042010000}"/>
    <cellStyle name="20% - Accent3 2 10" xfId="8746" xr:uid="{C9E5B948-4E47-4A3D-86FA-1036B72C03AB}"/>
    <cellStyle name="20% - Accent3 2 11" xfId="17184" xr:uid="{15FC6170-A468-480F-B3B5-4B2FEF9C4023}"/>
    <cellStyle name="20% - Accent3 2 2" xfId="19" xr:uid="{00000000-0005-0000-0000-000043010000}"/>
    <cellStyle name="20% - Accent3 2 2 10" xfId="17185" xr:uid="{50E84093-0865-4062-88CF-9EE98FEBA8C8}"/>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2 2 2" xfId="15525" xr:uid="{320CD45D-D8A2-4257-A942-85BF82BE910E}"/>
    <cellStyle name="20% - Accent3 2 2 2 2 2 2 3" xfId="23962" xr:uid="{1075B87D-BB94-494C-9D96-2508BA7E02A1}"/>
    <cellStyle name="20% - Accent3 2 2 2 2 2 3" xfId="11307" xr:uid="{13A62F19-0A10-4131-96C3-E01B40BE6D0B}"/>
    <cellStyle name="20% - Accent3 2 2 2 2 2 4" xfId="19745" xr:uid="{6DFC589F-AA68-42DF-9E3B-B073AB5F563B}"/>
    <cellStyle name="20% - Accent3 2 2 2 2 3" xfId="4938" xr:uid="{00000000-0005-0000-0000-000048010000}"/>
    <cellStyle name="20% - Accent3 2 2 2 2 3 2" xfId="13380" xr:uid="{AE36DE29-141B-434A-9922-A3212407D19E}"/>
    <cellStyle name="20% - Accent3 2 2 2 2 3 3" xfId="21817" xr:uid="{5D7121C1-21DF-466B-8455-679B824C2054}"/>
    <cellStyle name="20% - Accent3 2 2 2 2 4" xfId="9162" xr:uid="{1543C5B1-66E1-4CD3-BE31-3858130A2688}"/>
    <cellStyle name="20% - Accent3 2 2 2 2 5" xfId="17600" xr:uid="{A78B9453-FEC5-47B6-A45F-D368991DE25E}"/>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2 2 2" xfId="15938" xr:uid="{804BC0AA-1EB9-41B6-9FB0-BF2FE67C93B6}"/>
    <cellStyle name="20% - Accent3 2 2 2 3 2 2 3" xfId="24375" xr:uid="{190E0A71-6868-4A88-A5D1-FACF37E02CC7}"/>
    <cellStyle name="20% - Accent3 2 2 2 3 2 3" xfId="11720" xr:uid="{F218DB13-A68B-42B4-BB5A-7EC5908337F0}"/>
    <cellStyle name="20% - Accent3 2 2 2 3 2 4" xfId="20158" xr:uid="{7A494AF1-A5EA-4BA1-866F-82F3F949E56F}"/>
    <cellStyle name="20% - Accent3 2 2 2 3 3" xfId="5351" xr:uid="{00000000-0005-0000-0000-00004C010000}"/>
    <cellStyle name="20% - Accent3 2 2 2 3 3 2" xfId="13793" xr:uid="{2D75027D-D4F1-44A1-B816-B85FDB4DBC0A}"/>
    <cellStyle name="20% - Accent3 2 2 2 3 3 3" xfId="22230" xr:uid="{17033164-0DF3-47DF-BD41-4B5CA1B83A0C}"/>
    <cellStyle name="20% - Accent3 2 2 2 3 4" xfId="9575" xr:uid="{BD856D55-2640-4C36-8AA3-761D2356C746}"/>
    <cellStyle name="20% - Accent3 2 2 2 3 5" xfId="18013" xr:uid="{11D025BD-00F6-478A-90B0-D83ABCCADC3D}"/>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2 2 2" xfId="16351" xr:uid="{8BAE8A6C-4582-4C1C-B8A9-4CBA93BD7E22}"/>
    <cellStyle name="20% - Accent3 2 2 2 4 2 2 3" xfId="24788" xr:uid="{DCF417A1-2821-44BF-B2F8-530827133512}"/>
    <cellStyle name="20% - Accent3 2 2 2 4 2 3" xfId="12133" xr:uid="{EDCBD639-6F0B-4B4D-8251-AEDF0D28289F}"/>
    <cellStyle name="20% - Accent3 2 2 2 4 2 4" xfId="20571" xr:uid="{6AE6AAB4-1AFA-47F5-B0DB-7A28EB220BAF}"/>
    <cellStyle name="20% - Accent3 2 2 2 4 3" xfId="5764" xr:uid="{00000000-0005-0000-0000-000050010000}"/>
    <cellStyle name="20% - Accent3 2 2 2 4 3 2" xfId="14206" xr:uid="{7405AB78-7D7D-46EA-AC60-C511356AE41E}"/>
    <cellStyle name="20% - Accent3 2 2 2 4 3 3" xfId="22643" xr:uid="{B71B8FF2-F149-45E8-A94E-27D087AD0C4D}"/>
    <cellStyle name="20% - Accent3 2 2 2 4 4" xfId="9988" xr:uid="{C82F55CF-1AC6-4C05-B6CB-FBECEC155FF8}"/>
    <cellStyle name="20% - Accent3 2 2 2 4 5" xfId="18426" xr:uid="{EAC068D3-48AE-4AD7-9CD3-62A08F4E6747}"/>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2 2 2" xfId="16764" xr:uid="{D6B7B0EC-9BA1-4BF7-A231-5179C67CF569}"/>
    <cellStyle name="20% - Accent3 2 2 2 5 2 2 3" xfId="25201" xr:uid="{13AC5474-46DB-4194-A1D6-23E1090D9EA1}"/>
    <cellStyle name="20% - Accent3 2 2 2 5 2 3" xfId="12546" xr:uid="{7072E53F-0E51-4C54-BEB4-D97CB0346A70}"/>
    <cellStyle name="20% - Accent3 2 2 2 5 2 4" xfId="20984" xr:uid="{42F17A46-1B44-470C-9F80-779C1EDA165A}"/>
    <cellStyle name="20% - Accent3 2 2 2 5 3" xfId="6177" xr:uid="{00000000-0005-0000-0000-000054010000}"/>
    <cellStyle name="20% - Accent3 2 2 2 5 3 2" xfId="14619" xr:uid="{6FDF6816-3741-463A-86DD-AD93C9A07D14}"/>
    <cellStyle name="20% - Accent3 2 2 2 5 3 3" xfId="23056" xr:uid="{A5647706-9424-4665-9812-CDBDA97EBA25}"/>
    <cellStyle name="20% - Accent3 2 2 2 5 4" xfId="10401" xr:uid="{297E43C5-2DF9-47EE-9C47-5B67CA4CFBA1}"/>
    <cellStyle name="20% - Accent3 2 2 2 5 5" xfId="18839" xr:uid="{0756ADF7-235C-4063-84DF-6CC13234EEFE}"/>
    <cellStyle name="20% - Accent3 2 2 2 6" xfId="2283" xr:uid="{00000000-0005-0000-0000-000055010000}"/>
    <cellStyle name="20% - Accent3 2 2 2 6 2" xfId="6590" xr:uid="{00000000-0005-0000-0000-000056010000}"/>
    <cellStyle name="20% - Accent3 2 2 2 6 2 2" xfId="15032" xr:uid="{090BE470-AF65-4601-9930-25D5D61E4C75}"/>
    <cellStyle name="20% - Accent3 2 2 2 6 2 3" xfId="23469" xr:uid="{3930B95D-7459-49D2-B11F-40F13BB54B64}"/>
    <cellStyle name="20% - Accent3 2 2 2 6 3" xfId="10814" xr:uid="{EDD7F068-316C-4774-B425-46DECDF808E3}"/>
    <cellStyle name="20% - Accent3 2 2 2 6 4" xfId="19252" xr:uid="{162BAF82-3F21-4CC4-876C-3A70729C553A}"/>
    <cellStyle name="20% - Accent3 2 2 2 7" xfId="4524" xr:uid="{00000000-0005-0000-0000-000057010000}"/>
    <cellStyle name="20% - Accent3 2 2 2 7 2" xfId="12966" xr:uid="{D4EB4DE6-81BF-4E1E-8179-F755EEFD93A2}"/>
    <cellStyle name="20% - Accent3 2 2 2 7 3" xfId="21403" xr:uid="{3F4D8EE8-7F6A-43C9-998C-2B48BAEC6572}"/>
    <cellStyle name="20% - Accent3 2 2 2 8" xfId="8748" xr:uid="{5A36699C-FE65-4F37-ADF9-1F9BFC880964}"/>
    <cellStyle name="20% - Accent3 2 2 2 9" xfId="17186" xr:uid="{51063F55-3B69-42A6-A9AB-3D1CA1E115FA}"/>
    <cellStyle name="20% - Accent3 2 2 3" xfId="588" xr:uid="{00000000-0005-0000-0000-000058010000}"/>
    <cellStyle name="20% - Accent3 2 2 3 2" xfId="2859" xr:uid="{00000000-0005-0000-0000-000059010000}"/>
    <cellStyle name="20% - Accent3 2 2 3 2 2" xfId="7082" xr:uid="{00000000-0005-0000-0000-00005A010000}"/>
    <cellStyle name="20% - Accent3 2 2 3 2 2 2" xfId="15524" xr:uid="{90BA58E3-7CA4-4E35-B77E-9EE95AD775C2}"/>
    <cellStyle name="20% - Accent3 2 2 3 2 2 3" xfId="23961" xr:uid="{51304A17-14C9-4907-B570-A8FC8F43D71A}"/>
    <cellStyle name="20% - Accent3 2 2 3 2 3" xfId="11306" xr:uid="{81F61FC7-843F-4628-82F2-4C07141E12F3}"/>
    <cellStyle name="20% - Accent3 2 2 3 2 4" xfId="19744" xr:uid="{ADEF171F-57E0-452A-9F76-4B3601CA6B1C}"/>
    <cellStyle name="20% - Accent3 2 2 3 3" xfId="4937" xr:uid="{00000000-0005-0000-0000-00005B010000}"/>
    <cellStyle name="20% - Accent3 2 2 3 3 2" xfId="13379" xr:uid="{965060F1-D9D9-48BB-85C7-D2AFEDEAA551}"/>
    <cellStyle name="20% - Accent3 2 2 3 3 3" xfId="21816" xr:uid="{55484C32-A011-4230-BAC2-722A7771AF9C}"/>
    <cellStyle name="20% - Accent3 2 2 3 4" xfId="9161" xr:uid="{DB6BC22B-C728-4ACA-B34C-49F53296DF1C}"/>
    <cellStyle name="20% - Accent3 2 2 3 5" xfId="17599" xr:uid="{E148334F-BBC5-4AE6-927D-9AA7D07F60DE}"/>
    <cellStyle name="20% - Accent3 2 2 4" xfId="1041" xr:uid="{00000000-0005-0000-0000-00005C010000}"/>
    <cellStyle name="20% - Accent3 2 2 4 2" xfId="3272" xr:uid="{00000000-0005-0000-0000-00005D010000}"/>
    <cellStyle name="20% - Accent3 2 2 4 2 2" xfId="7495" xr:uid="{00000000-0005-0000-0000-00005E010000}"/>
    <cellStyle name="20% - Accent3 2 2 4 2 2 2" xfId="15937" xr:uid="{CB09DACE-7793-462F-9D1C-5E083386EF53}"/>
    <cellStyle name="20% - Accent3 2 2 4 2 2 3" xfId="24374" xr:uid="{0639ED64-C881-4EEA-B173-99F3B38F628D}"/>
    <cellStyle name="20% - Accent3 2 2 4 2 3" xfId="11719" xr:uid="{723EA741-9A01-476D-8591-9CABDDD5A951}"/>
    <cellStyle name="20% - Accent3 2 2 4 2 4" xfId="20157" xr:uid="{F23CF90F-6398-460B-BF27-0B5D890940D7}"/>
    <cellStyle name="20% - Accent3 2 2 4 3" xfId="5350" xr:uid="{00000000-0005-0000-0000-00005F010000}"/>
    <cellStyle name="20% - Accent3 2 2 4 3 2" xfId="13792" xr:uid="{CAF49681-C380-4771-819B-64315C148AB6}"/>
    <cellStyle name="20% - Accent3 2 2 4 3 3" xfId="22229" xr:uid="{AC96C166-E4D1-4EC6-BAA3-B896D52406A7}"/>
    <cellStyle name="20% - Accent3 2 2 4 4" xfId="9574" xr:uid="{CCC300DB-139A-49A1-BCE9-E0D5DEF7F654}"/>
    <cellStyle name="20% - Accent3 2 2 4 5" xfId="18012" xr:uid="{23A7473D-1E00-4520-A211-73E7B3EB8F9F}"/>
    <cellStyle name="20% - Accent3 2 2 5" xfId="1455" xr:uid="{00000000-0005-0000-0000-000060010000}"/>
    <cellStyle name="20% - Accent3 2 2 5 2" xfId="3685" xr:uid="{00000000-0005-0000-0000-000061010000}"/>
    <cellStyle name="20% - Accent3 2 2 5 2 2" xfId="7908" xr:uid="{00000000-0005-0000-0000-000062010000}"/>
    <cellStyle name="20% - Accent3 2 2 5 2 2 2" xfId="16350" xr:uid="{95C22BC4-C6FE-4411-8150-5F2A4BE5974E}"/>
    <cellStyle name="20% - Accent3 2 2 5 2 2 3" xfId="24787" xr:uid="{62B3D753-FC96-4380-B171-EF23866E334B}"/>
    <cellStyle name="20% - Accent3 2 2 5 2 3" xfId="12132" xr:uid="{6DD46F74-36CC-4DEE-A75A-2CCDEEF977C0}"/>
    <cellStyle name="20% - Accent3 2 2 5 2 4" xfId="20570" xr:uid="{2B863FC8-290A-4E98-B794-745619F398F8}"/>
    <cellStyle name="20% - Accent3 2 2 5 3" xfId="5763" xr:uid="{00000000-0005-0000-0000-000063010000}"/>
    <cellStyle name="20% - Accent3 2 2 5 3 2" xfId="14205" xr:uid="{49CED6D1-FC33-498A-A196-F5419623465A}"/>
    <cellStyle name="20% - Accent3 2 2 5 3 3" xfId="22642" xr:uid="{AD6A11CD-50C2-4247-B669-A311853F8480}"/>
    <cellStyle name="20% - Accent3 2 2 5 4" xfId="9987" xr:uid="{2932C268-D011-4606-8AE2-E9CC6C3B7F7A}"/>
    <cellStyle name="20% - Accent3 2 2 5 5" xfId="18425" xr:uid="{99FE8DAF-C190-4E8C-8283-1F7B5D494351}"/>
    <cellStyle name="20% - Accent3 2 2 6" xfId="1869" xr:uid="{00000000-0005-0000-0000-000064010000}"/>
    <cellStyle name="20% - Accent3 2 2 6 2" xfId="4098" xr:uid="{00000000-0005-0000-0000-000065010000}"/>
    <cellStyle name="20% - Accent3 2 2 6 2 2" xfId="8321" xr:uid="{00000000-0005-0000-0000-000066010000}"/>
    <cellStyle name="20% - Accent3 2 2 6 2 2 2" xfId="16763" xr:uid="{3A0E9A33-A204-43C3-A6A0-C65DEF829F85}"/>
    <cellStyle name="20% - Accent3 2 2 6 2 2 3" xfId="25200" xr:uid="{6B2032C3-95A3-4FB2-825F-D7AF6E0B7C53}"/>
    <cellStyle name="20% - Accent3 2 2 6 2 3" xfId="12545" xr:uid="{9A7436CB-1823-4B1D-AE7B-9D33FFFBC7A0}"/>
    <cellStyle name="20% - Accent3 2 2 6 2 4" xfId="20983" xr:uid="{C289DBF1-EA0C-43E4-9E56-17F246B38D38}"/>
    <cellStyle name="20% - Accent3 2 2 6 3" xfId="6176" xr:uid="{00000000-0005-0000-0000-000067010000}"/>
    <cellStyle name="20% - Accent3 2 2 6 3 2" xfId="14618" xr:uid="{454E8FE3-2E58-4639-9A85-C12B685D7E11}"/>
    <cellStyle name="20% - Accent3 2 2 6 3 3" xfId="23055" xr:uid="{47CB99F6-CACA-432E-8F4C-CF0A9892EE1E}"/>
    <cellStyle name="20% - Accent3 2 2 6 4" xfId="10400" xr:uid="{C737C774-09B9-48B2-B3CF-7943913FEB43}"/>
    <cellStyle name="20% - Accent3 2 2 6 5" xfId="18838" xr:uid="{E744A14F-66D7-4931-A8B0-92E87EF78BCA}"/>
    <cellStyle name="20% - Accent3 2 2 7" xfId="2282" xr:uid="{00000000-0005-0000-0000-000068010000}"/>
    <cellStyle name="20% - Accent3 2 2 7 2" xfId="6589" xr:uid="{00000000-0005-0000-0000-000069010000}"/>
    <cellStyle name="20% - Accent3 2 2 7 2 2" xfId="15031" xr:uid="{08697CA1-67D1-4C2C-A3DF-A64BC1811829}"/>
    <cellStyle name="20% - Accent3 2 2 7 2 3" xfId="23468" xr:uid="{5C7068C3-7714-4975-B6EE-34F98FD9C0FB}"/>
    <cellStyle name="20% - Accent3 2 2 7 3" xfId="10813" xr:uid="{881D4A4F-6F9E-4DE8-932E-97B58480F778}"/>
    <cellStyle name="20% - Accent3 2 2 7 4" xfId="19251" xr:uid="{49E210E2-6C16-4313-B9FC-700C479D60AC}"/>
    <cellStyle name="20% - Accent3 2 2 8" xfId="4523" xr:uid="{00000000-0005-0000-0000-00006A010000}"/>
    <cellStyle name="20% - Accent3 2 2 8 2" xfId="12965" xr:uid="{39B846D4-B5B9-4AA3-8C69-B9EC1347DD08}"/>
    <cellStyle name="20% - Accent3 2 2 8 3" xfId="21402" xr:uid="{AC607E6A-12CB-4240-917E-D89C79B6AB98}"/>
    <cellStyle name="20% - Accent3 2 2 9" xfId="8747" xr:uid="{7CB8EB57-26DC-474B-B5E4-A08CAFF60485}"/>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2 2 2" xfId="15526" xr:uid="{5B334DEA-32DC-4D2E-AB65-62FAE6442F33}"/>
    <cellStyle name="20% - Accent3 2 3 2 2 2 3" xfId="23963" xr:uid="{DDC75CA8-D5A7-41F8-B25C-231DFEBC3A15}"/>
    <cellStyle name="20% - Accent3 2 3 2 2 3" xfId="11308" xr:uid="{3EAA43CF-3570-4683-AD1E-0BEA4389892B}"/>
    <cellStyle name="20% - Accent3 2 3 2 2 4" xfId="19746" xr:uid="{1B904FA8-A61B-406F-8F75-94FE001B5E26}"/>
    <cellStyle name="20% - Accent3 2 3 2 3" xfId="4939" xr:uid="{00000000-0005-0000-0000-00006F010000}"/>
    <cellStyle name="20% - Accent3 2 3 2 3 2" xfId="13381" xr:uid="{8077B11D-BE12-45F3-9A50-4F88D195711D}"/>
    <cellStyle name="20% - Accent3 2 3 2 3 3" xfId="21818" xr:uid="{546E14BC-F49D-4B45-99C1-15E3DD75A2EF}"/>
    <cellStyle name="20% - Accent3 2 3 2 4" xfId="9163" xr:uid="{035F19D3-7874-441F-8CA3-FB99CFA1C2B9}"/>
    <cellStyle name="20% - Accent3 2 3 2 5" xfId="17601" xr:uid="{DED847A3-2634-4FC3-A2D5-8311CEEC9327}"/>
    <cellStyle name="20% - Accent3 2 3 3" xfId="1043" xr:uid="{00000000-0005-0000-0000-000070010000}"/>
    <cellStyle name="20% - Accent3 2 3 3 2" xfId="3274" xr:uid="{00000000-0005-0000-0000-000071010000}"/>
    <cellStyle name="20% - Accent3 2 3 3 2 2" xfId="7497" xr:uid="{00000000-0005-0000-0000-000072010000}"/>
    <cellStyle name="20% - Accent3 2 3 3 2 2 2" xfId="15939" xr:uid="{B1B86AF7-50D5-4FE2-B6A5-81B64F1DC410}"/>
    <cellStyle name="20% - Accent3 2 3 3 2 2 3" xfId="24376" xr:uid="{92F51943-6F73-4356-B349-83D198F4239C}"/>
    <cellStyle name="20% - Accent3 2 3 3 2 3" xfId="11721" xr:uid="{173BD5D4-1E4E-4E83-A5CC-C9CC92D23897}"/>
    <cellStyle name="20% - Accent3 2 3 3 2 4" xfId="20159" xr:uid="{91D1C23C-63FE-4BF9-ACA1-4546A38758A9}"/>
    <cellStyle name="20% - Accent3 2 3 3 3" xfId="5352" xr:uid="{00000000-0005-0000-0000-000073010000}"/>
    <cellStyle name="20% - Accent3 2 3 3 3 2" xfId="13794" xr:uid="{743D3052-BE42-4DEF-8F6F-7124D8B67067}"/>
    <cellStyle name="20% - Accent3 2 3 3 3 3" xfId="22231" xr:uid="{41742972-280A-4838-AA82-64AE3FC02B5A}"/>
    <cellStyle name="20% - Accent3 2 3 3 4" xfId="9576" xr:uid="{D4D9251D-23D7-4B3B-8463-302EA13A9F10}"/>
    <cellStyle name="20% - Accent3 2 3 3 5" xfId="18014" xr:uid="{FAB6192B-4387-4A09-9728-362869ED395A}"/>
    <cellStyle name="20% - Accent3 2 3 4" xfId="1457" xr:uid="{00000000-0005-0000-0000-000074010000}"/>
    <cellStyle name="20% - Accent3 2 3 4 2" xfId="3687" xr:uid="{00000000-0005-0000-0000-000075010000}"/>
    <cellStyle name="20% - Accent3 2 3 4 2 2" xfId="7910" xr:uid="{00000000-0005-0000-0000-000076010000}"/>
    <cellStyle name="20% - Accent3 2 3 4 2 2 2" xfId="16352" xr:uid="{A6CD0F2A-3B68-4E5D-9350-B1953966F1C0}"/>
    <cellStyle name="20% - Accent3 2 3 4 2 2 3" xfId="24789" xr:uid="{24215BC2-3CF2-44E3-9A93-06655C2FFFCF}"/>
    <cellStyle name="20% - Accent3 2 3 4 2 3" xfId="12134" xr:uid="{397A0104-53E2-491F-92F2-426A89E394C2}"/>
    <cellStyle name="20% - Accent3 2 3 4 2 4" xfId="20572" xr:uid="{0783A83E-31AB-4A03-A9B7-E71503A9C6F4}"/>
    <cellStyle name="20% - Accent3 2 3 4 3" xfId="5765" xr:uid="{00000000-0005-0000-0000-000077010000}"/>
    <cellStyle name="20% - Accent3 2 3 4 3 2" xfId="14207" xr:uid="{9335A047-E690-45C1-83FB-5FDBA20DE7C8}"/>
    <cellStyle name="20% - Accent3 2 3 4 3 3" xfId="22644" xr:uid="{CBEB3030-FACC-438D-B33B-BC2A345EC654}"/>
    <cellStyle name="20% - Accent3 2 3 4 4" xfId="9989" xr:uid="{02FBC7D7-AE73-4BFA-B034-17BED9B70F74}"/>
    <cellStyle name="20% - Accent3 2 3 4 5" xfId="18427" xr:uid="{D6EC5B0C-E91E-4E00-A2EC-3C7773ECF36F}"/>
    <cellStyle name="20% - Accent3 2 3 5" xfId="1871" xr:uid="{00000000-0005-0000-0000-000078010000}"/>
    <cellStyle name="20% - Accent3 2 3 5 2" xfId="4100" xr:uid="{00000000-0005-0000-0000-000079010000}"/>
    <cellStyle name="20% - Accent3 2 3 5 2 2" xfId="8323" xr:uid="{00000000-0005-0000-0000-00007A010000}"/>
    <cellStyle name="20% - Accent3 2 3 5 2 2 2" xfId="16765" xr:uid="{6BBEEA23-EDBC-4E00-B8D7-3882FB74C118}"/>
    <cellStyle name="20% - Accent3 2 3 5 2 2 3" xfId="25202" xr:uid="{78C3E43E-F34D-40C0-BAFC-4DFA35D191FD}"/>
    <cellStyle name="20% - Accent3 2 3 5 2 3" xfId="12547" xr:uid="{63F59CE4-8909-4A71-A779-BB1A487E9B78}"/>
    <cellStyle name="20% - Accent3 2 3 5 2 4" xfId="20985" xr:uid="{7E4771E8-686F-4E2E-98BE-CD121618FC6C}"/>
    <cellStyle name="20% - Accent3 2 3 5 3" xfId="6178" xr:uid="{00000000-0005-0000-0000-00007B010000}"/>
    <cellStyle name="20% - Accent3 2 3 5 3 2" xfId="14620" xr:uid="{930B2532-4A9A-4211-A95E-10F84C882846}"/>
    <cellStyle name="20% - Accent3 2 3 5 3 3" xfId="23057" xr:uid="{6ED6A655-E410-4845-B9AF-E6A0E28F74FB}"/>
    <cellStyle name="20% - Accent3 2 3 5 4" xfId="10402" xr:uid="{1985C57C-4F14-44E2-96F5-0E858A611794}"/>
    <cellStyle name="20% - Accent3 2 3 5 5" xfId="18840" xr:uid="{155CD28D-6483-4C84-86EE-70EFA15EBDC3}"/>
    <cellStyle name="20% - Accent3 2 3 6" xfId="2284" xr:uid="{00000000-0005-0000-0000-00007C010000}"/>
    <cellStyle name="20% - Accent3 2 3 6 2" xfId="6591" xr:uid="{00000000-0005-0000-0000-00007D010000}"/>
    <cellStyle name="20% - Accent3 2 3 6 2 2" xfId="15033" xr:uid="{E5C0D947-3CDA-4FEE-A1AC-19A34BA214EA}"/>
    <cellStyle name="20% - Accent3 2 3 6 2 3" xfId="23470" xr:uid="{F0AFFA0E-4D13-459A-A9F2-6BB6B2B51055}"/>
    <cellStyle name="20% - Accent3 2 3 6 3" xfId="10815" xr:uid="{5DDA1D11-7301-4DC0-BE43-661B16621271}"/>
    <cellStyle name="20% - Accent3 2 3 6 4" xfId="19253" xr:uid="{3398F76A-9A1E-4C28-B2C2-A328B84C44AA}"/>
    <cellStyle name="20% - Accent3 2 3 7" xfId="4525" xr:uid="{00000000-0005-0000-0000-00007E010000}"/>
    <cellStyle name="20% - Accent3 2 3 7 2" xfId="12967" xr:uid="{230CC387-4D64-46C1-9F4F-32CC588E776A}"/>
    <cellStyle name="20% - Accent3 2 3 7 3" xfId="21404" xr:uid="{3D5011CF-E3E6-46BC-B323-D7741128C400}"/>
    <cellStyle name="20% - Accent3 2 3 8" xfId="8749" xr:uid="{08BA55AC-A754-4C4A-BE7F-B2EA4C09DDFD}"/>
    <cellStyle name="20% - Accent3 2 3 9" xfId="17187" xr:uid="{7D7057B2-0B7B-4258-AC96-DABC944A94E5}"/>
    <cellStyle name="20% - Accent3 2 4" xfId="587" xr:uid="{00000000-0005-0000-0000-00007F010000}"/>
    <cellStyle name="20% - Accent3 2 4 2" xfId="2858" xr:uid="{00000000-0005-0000-0000-000080010000}"/>
    <cellStyle name="20% - Accent3 2 4 2 2" xfId="7081" xr:uid="{00000000-0005-0000-0000-000081010000}"/>
    <cellStyle name="20% - Accent3 2 4 2 2 2" xfId="15523" xr:uid="{CC1EDF54-273C-4E85-A4AD-00E9A15B8ACA}"/>
    <cellStyle name="20% - Accent3 2 4 2 2 3" xfId="23960" xr:uid="{4D6A7477-B756-41F0-A5E9-C0D6BCDF18BA}"/>
    <cellStyle name="20% - Accent3 2 4 2 3" xfId="11305" xr:uid="{2D3F129C-7D11-4604-85D9-CCD21BD1135D}"/>
    <cellStyle name="20% - Accent3 2 4 2 4" xfId="19743" xr:uid="{4D556CB0-6E81-4FA7-989F-80F17C080551}"/>
    <cellStyle name="20% - Accent3 2 4 3" xfId="4936" xr:uid="{00000000-0005-0000-0000-000082010000}"/>
    <cellStyle name="20% - Accent3 2 4 3 2" xfId="13378" xr:uid="{F75B75CD-1620-42A5-9E34-74A40E60F87D}"/>
    <cellStyle name="20% - Accent3 2 4 3 3" xfId="21815" xr:uid="{56581C6D-76CC-4DF9-84F5-135C343C51E5}"/>
    <cellStyle name="20% - Accent3 2 4 4" xfId="9160" xr:uid="{2F494DCC-CD75-4B52-8310-7D54527D1CB5}"/>
    <cellStyle name="20% - Accent3 2 4 5" xfId="17598" xr:uid="{F5DC238E-6A0B-4F92-9365-C58CCA8AB688}"/>
    <cellStyle name="20% - Accent3 2 5" xfId="1040" xr:uid="{00000000-0005-0000-0000-000083010000}"/>
    <cellStyle name="20% - Accent3 2 5 2" xfId="3271" xr:uid="{00000000-0005-0000-0000-000084010000}"/>
    <cellStyle name="20% - Accent3 2 5 2 2" xfId="7494" xr:uid="{00000000-0005-0000-0000-000085010000}"/>
    <cellStyle name="20% - Accent3 2 5 2 2 2" xfId="15936" xr:uid="{1674A46F-D094-42F6-9D7C-87107D5C1E3D}"/>
    <cellStyle name="20% - Accent3 2 5 2 2 3" xfId="24373" xr:uid="{B3D772EE-8B34-45E6-A46F-D2C03BC24BF6}"/>
    <cellStyle name="20% - Accent3 2 5 2 3" xfId="11718" xr:uid="{2E7052E5-EF53-4842-B3AC-1E677A1D5BB7}"/>
    <cellStyle name="20% - Accent3 2 5 2 4" xfId="20156" xr:uid="{10813BAE-A24F-4C2E-A9A0-1756273494B1}"/>
    <cellStyle name="20% - Accent3 2 5 3" xfId="5349" xr:uid="{00000000-0005-0000-0000-000086010000}"/>
    <cellStyle name="20% - Accent3 2 5 3 2" xfId="13791" xr:uid="{7E76F2DD-9176-43ED-A5B0-A0E3F936F2F5}"/>
    <cellStyle name="20% - Accent3 2 5 3 3" xfId="22228" xr:uid="{C35BF013-DF18-418D-82C8-ED9848B80AED}"/>
    <cellStyle name="20% - Accent3 2 5 4" xfId="9573" xr:uid="{D5F43AEE-9E58-425A-9E7F-8545FF6D6BED}"/>
    <cellStyle name="20% - Accent3 2 5 5" xfId="18011" xr:uid="{774AB8C7-F79F-49FC-A7F9-818F983C41D5}"/>
    <cellStyle name="20% - Accent3 2 6" xfId="1454" xr:uid="{00000000-0005-0000-0000-000087010000}"/>
    <cellStyle name="20% - Accent3 2 6 2" xfId="3684" xr:uid="{00000000-0005-0000-0000-000088010000}"/>
    <cellStyle name="20% - Accent3 2 6 2 2" xfId="7907" xr:uid="{00000000-0005-0000-0000-000089010000}"/>
    <cellStyle name="20% - Accent3 2 6 2 2 2" xfId="16349" xr:uid="{48AC6B48-7F21-4C79-B6C2-DABFDFE3A3A5}"/>
    <cellStyle name="20% - Accent3 2 6 2 2 3" xfId="24786" xr:uid="{B356CBFE-E790-4EC9-B0D8-FD91FF218A7E}"/>
    <cellStyle name="20% - Accent3 2 6 2 3" xfId="12131" xr:uid="{CAF8E47A-10CA-43B8-94C6-146B39686062}"/>
    <cellStyle name="20% - Accent3 2 6 2 4" xfId="20569" xr:uid="{C591B623-E899-4731-8E74-ADFD39EF6A43}"/>
    <cellStyle name="20% - Accent3 2 6 3" xfId="5762" xr:uid="{00000000-0005-0000-0000-00008A010000}"/>
    <cellStyle name="20% - Accent3 2 6 3 2" xfId="14204" xr:uid="{63CB5283-219B-4FA2-A94F-EFFB686DA64F}"/>
    <cellStyle name="20% - Accent3 2 6 3 3" xfId="22641" xr:uid="{A520858F-B9C0-41F9-96D8-E20A57F0F20D}"/>
    <cellStyle name="20% - Accent3 2 6 4" xfId="9986" xr:uid="{2795683B-B59D-476C-8039-6CAAE8AE3BAB}"/>
    <cellStyle name="20% - Accent3 2 6 5" xfId="18424" xr:uid="{A500DAB6-81FA-4588-8D9C-8B29F55D701E}"/>
    <cellStyle name="20% - Accent3 2 7" xfId="1868" xr:uid="{00000000-0005-0000-0000-00008B010000}"/>
    <cellStyle name="20% - Accent3 2 7 2" xfId="4097" xr:uid="{00000000-0005-0000-0000-00008C010000}"/>
    <cellStyle name="20% - Accent3 2 7 2 2" xfId="8320" xr:uid="{00000000-0005-0000-0000-00008D010000}"/>
    <cellStyle name="20% - Accent3 2 7 2 2 2" xfId="16762" xr:uid="{70DAF5B1-F65F-4360-9205-AAB86D1C0B3E}"/>
    <cellStyle name="20% - Accent3 2 7 2 2 3" xfId="25199" xr:uid="{60D0CCBF-6BD6-4C3A-B3FF-16361E916D7B}"/>
    <cellStyle name="20% - Accent3 2 7 2 3" xfId="12544" xr:uid="{29704D64-A177-410A-8D4B-C4161F3D7CF5}"/>
    <cellStyle name="20% - Accent3 2 7 2 4" xfId="20982" xr:uid="{6A46FA82-1181-4D33-80F6-C70FFD279305}"/>
    <cellStyle name="20% - Accent3 2 7 3" xfId="6175" xr:uid="{00000000-0005-0000-0000-00008E010000}"/>
    <cellStyle name="20% - Accent3 2 7 3 2" xfId="14617" xr:uid="{5F59BA64-3483-45C2-AA9C-1612E49B0F13}"/>
    <cellStyle name="20% - Accent3 2 7 3 3" xfId="23054" xr:uid="{CBE77776-C06B-409B-90B3-51613C1F5F83}"/>
    <cellStyle name="20% - Accent3 2 7 4" xfId="10399" xr:uid="{2278AAD6-B8E5-4C16-AC15-5A9E778FCB14}"/>
    <cellStyle name="20% - Accent3 2 7 5" xfId="18837" xr:uid="{03B83766-F2EE-40F6-A05A-AF448C52FD13}"/>
    <cellStyle name="20% - Accent3 2 8" xfId="2281" xr:uid="{00000000-0005-0000-0000-00008F010000}"/>
    <cellStyle name="20% - Accent3 2 8 2" xfId="6588" xr:uid="{00000000-0005-0000-0000-000090010000}"/>
    <cellStyle name="20% - Accent3 2 8 2 2" xfId="15030" xr:uid="{26505E46-7749-4110-8984-D00F42278F6C}"/>
    <cellStyle name="20% - Accent3 2 8 2 3" xfId="23467" xr:uid="{1737505F-353E-41BA-92D3-4B7BEF2EE29D}"/>
    <cellStyle name="20% - Accent3 2 8 3" xfId="10812" xr:uid="{A57745CD-96ED-4566-95E6-0F412FD0FABA}"/>
    <cellStyle name="20% - Accent3 2 8 4" xfId="19250" xr:uid="{90C29D3D-4565-40AE-BE65-5739A55B709D}"/>
    <cellStyle name="20% - Accent3 2 9" xfId="4522" xr:uid="{00000000-0005-0000-0000-000091010000}"/>
    <cellStyle name="20% - Accent3 2 9 2" xfId="12964" xr:uid="{17BC2FA8-800F-4481-B89C-B6C7DFCA2AD3}"/>
    <cellStyle name="20% - Accent3 2 9 3" xfId="21401" xr:uid="{9CF3BE65-2EF5-42DE-869E-98FCDE1FC354}"/>
    <cellStyle name="20% - Accent3 3" xfId="22" xr:uid="{00000000-0005-0000-0000-000092010000}"/>
    <cellStyle name="20% - Accent3 3 10" xfId="17188" xr:uid="{5CBC0636-AE78-480C-B6CB-E9AD65F6D9F9}"/>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2 2 2" xfId="15528" xr:uid="{372B713F-B214-4880-99CD-1C0A8272691B}"/>
    <cellStyle name="20% - Accent3 3 2 2 2 2 3" xfId="23965" xr:uid="{491BA390-3F2A-49A5-81F3-DB23815238D9}"/>
    <cellStyle name="20% - Accent3 3 2 2 2 3" xfId="11310" xr:uid="{3ABAD241-B5F9-4A18-A201-FF2410E692BC}"/>
    <cellStyle name="20% - Accent3 3 2 2 2 4" xfId="19748" xr:uid="{EB579C03-BBC3-4F59-A1E9-33A07E7FF105}"/>
    <cellStyle name="20% - Accent3 3 2 2 3" xfId="4941" xr:uid="{00000000-0005-0000-0000-000097010000}"/>
    <cellStyle name="20% - Accent3 3 2 2 3 2" xfId="13383" xr:uid="{C1FE859F-CF58-47EF-98CD-05AFAD6B8C9A}"/>
    <cellStyle name="20% - Accent3 3 2 2 3 3" xfId="21820" xr:uid="{E2A7CB23-A335-49CF-B3D0-0F9EC9DD052E}"/>
    <cellStyle name="20% - Accent3 3 2 2 4" xfId="9165" xr:uid="{B4629F70-DB8C-48A9-814E-85F57E4DF820}"/>
    <cellStyle name="20% - Accent3 3 2 2 5" xfId="17603" xr:uid="{500AB497-AD99-4E9E-B02E-52362C060883}"/>
    <cellStyle name="20% - Accent3 3 2 3" xfId="1045" xr:uid="{00000000-0005-0000-0000-000098010000}"/>
    <cellStyle name="20% - Accent3 3 2 3 2" xfId="3276" xr:uid="{00000000-0005-0000-0000-000099010000}"/>
    <cellStyle name="20% - Accent3 3 2 3 2 2" xfId="7499" xr:uid="{00000000-0005-0000-0000-00009A010000}"/>
    <cellStyle name="20% - Accent3 3 2 3 2 2 2" xfId="15941" xr:uid="{23E9AA5E-B150-4895-8A80-F010861A9AC3}"/>
    <cellStyle name="20% - Accent3 3 2 3 2 2 3" xfId="24378" xr:uid="{5D84AF33-E59E-487E-B0F4-54015DEE1D70}"/>
    <cellStyle name="20% - Accent3 3 2 3 2 3" xfId="11723" xr:uid="{0A633827-A5AB-4EA5-9D2A-F27D4765B3CB}"/>
    <cellStyle name="20% - Accent3 3 2 3 2 4" xfId="20161" xr:uid="{74317A24-5347-4417-8BE0-82A8F3216F15}"/>
    <cellStyle name="20% - Accent3 3 2 3 3" xfId="5354" xr:uid="{00000000-0005-0000-0000-00009B010000}"/>
    <cellStyle name="20% - Accent3 3 2 3 3 2" xfId="13796" xr:uid="{AAB3C537-5AA3-4F28-A9F0-E5AF63A78459}"/>
    <cellStyle name="20% - Accent3 3 2 3 3 3" xfId="22233" xr:uid="{D6586DA5-2F88-46C0-83D7-35A664172494}"/>
    <cellStyle name="20% - Accent3 3 2 3 4" xfId="9578" xr:uid="{40B61234-0D4D-433F-B694-01931806EC51}"/>
    <cellStyle name="20% - Accent3 3 2 3 5" xfId="18016" xr:uid="{A6A974C2-604F-4B54-8D89-B6EA2B49CA56}"/>
    <cellStyle name="20% - Accent3 3 2 4" xfId="1459" xr:uid="{00000000-0005-0000-0000-00009C010000}"/>
    <cellStyle name="20% - Accent3 3 2 4 2" xfId="3689" xr:uid="{00000000-0005-0000-0000-00009D010000}"/>
    <cellStyle name="20% - Accent3 3 2 4 2 2" xfId="7912" xr:uid="{00000000-0005-0000-0000-00009E010000}"/>
    <cellStyle name="20% - Accent3 3 2 4 2 2 2" xfId="16354" xr:uid="{CB140B45-E680-4562-BC23-DAFB16B510D5}"/>
    <cellStyle name="20% - Accent3 3 2 4 2 2 3" xfId="24791" xr:uid="{AF12EE10-2073-4871-A734-DCFDC978904C}"/>
    <cellStyle name="20% - Accent3 3 2 4 2 3" xfId="12136" xr:uid="{A215FB36-D64A-4E47-A652-FD3A2A0C3928}"/>
    <cellStyle name="20% - Accent3 3 2 4 2 4" xfId="20574" xr:uid="{93D5FDB8-DF41-4B43-AC7E-6D25AD0C740B}"/>
    <cellStyle name="20% - Accent3 3 2 4 3" xfId="5767" xr:uid="{00000000-0005-0000-0000-00009F010000}"/>
    <cellStyle name="20% - Accent3 3 2 4 3 2" xfId="14209" xr:uid="{4BEA5375-A9CB-4AFC-B194-997B8D71257A}"/>
    <cellStyle name="20% - Accent3 3 2 4 3 3" xfId="22646" xr:uid="{B38F45E5-67AC-47A9-B7A8-4122BBA3660D}"/>
    <cellStyle name="20% - Accent3 3 2 4 4" xfId="9991" xr:uid="{B8F3E78D-7CB6-41A1-B672-2785E8C45479}"/>
    <cellStyle name="20% - Accent3 3 2 4 5" xfId="18429" xr:uid="{BE04F156-77A3-41D3-85A2-A6249B7694DE}"/>
    <cellStyle name="20% - Accent3 3 2 5" xfId="1873" xr:uid="{00000000-0005-0000-0000-0000A0010000}"/>
    <cellStyle name="20% - Accent3 3 2 5 2" xfId="4102" xr:uid="{00000000-0005-0000-0000-0000A1010000}"/>
    <cellStyle name="20% - Accent3 3 2 5 2 2" xfId="8325" xr:uid="{00000000-0005-0000-0000-0000A2010000}"/>
    <cellStyle name="20% - Accent3 3 2 5 2 2 2" xfId="16767" xr:uid="{72C8DF8D-95A3-400D-A5C6-3D5A43BAB7A3}"/>
    <cellStyle name="20% - Accent3 3 2 5 2 2 3" xfId="25204" xr:uid="{CB1955D9-D0C2-40BA-B60E-A66937949D9F}"/>
    <cellStyle name="20% - Accent3 3 2 5 2 3" xfId="12549" xr:uid="{BFB2FEE7-2087-48FE-8840-5641E5A7F249}"/>
    <cellStyle name="20% - Accent3 3 2 5 2 4" xfId="20987" xr:uid="{C3941C06-4C3F-4FCB-A92C-A236034C74DD}"/>
    <cellStyle name="20% - Accent3 3 2 5 3" xfId="6180" xr:uid="{00000000-0005-0000-0000-0000A3010000}"/>
    <cellStyle name="20% - Accent3 3 2 5 3 2" xfId="14622" xr:uid="{5A93BC3C-0740-435C-894B-AD9C10BF960C}"/>
    <cellStyle name="20% - Accent3 3 2 5 3 3" xfId="23059" xr:uid="{B3CA3C79-536D-481C-9C55-3377FA4AC658}"/>
    <cellStyle name="20% - Accent3 3 2 5 4" xfId="10404" xr:uid="{3F7639A3-3513-4DB6-9EC5-FE2094B4DC24}"/>
    <cellStyle name="20% - Accent3 3 2 5 5" xfId="18842" xr:uid="{94998A22-0DE3-466F-90C8-7B91A3EBDD7F}"/>
    <cellStyle name="20% - Accent3 3 2 6" xfId="2286" xr:uid="{00000000-0005-0000-0000-0000A4010000}"/>
    <cellStyle name="20% - Accent3 3 2 6 2" xfId="6593" xr:uid="{00000000-0005-0000-0000-0000A5010000}"/>
    <cellStyle name="20% - Accent3 3 2 6 2 2" xfId="15035" xr:uid="{12598472-C69F-475B-B4AD-094F5975425E}"/>
    <cellStyle name="20% - Accent3 3 2 6 2 3" xfId="23472" xr:uid="{7748F90F-944F-4A03-B99A-7E1D4A114915}"/>
    <cellStyle name="20% - Accent3 3 2 6 3" xfId="10817" xr:uid="{19FE3688-43D5-404C-91A3-EBEDFB4DA1AA}"/>
    <cellStyle name="20% - Accent3 3 2 6 4" xfId="19255" xr:uid="{43B5168F-BEAF-4B3A-9091-C15E5024AE01}"/>
    <cellStyle name="20% - Accent3 3 2 7" xfId="4527" xr:uid="{00000000-0005-0000-0000-0000A6010000}"/>
    <cellStyle name="20% - Accent3 3 2 7 2" xfId="12969" xr:uid="{908A2A91-D375-40A7-A89F-19CCD3BD6946}"/>
    <cellStyle name="20% - Accent3 3 2 7 3" xfId="21406" xr:uid="{E471CAB6-B5A1-4699-8150-399A979C23D6}"/>
    <cellStyle name="20% - Accent3 3 2 8" xfId="8751" xr:uid="{3963747A-CE82-495C-A7F8-B9D3FFB72437}"/>
    <cellStyle name="20% - Accent3 3 2 9" xfId="17189" xr:uid="{B785CF6C-4F2A-402F-B876-A493C722169E}"/>
    <cellStyle name="20% - Accent3 3 3" xfId="591" xr:uid="{00000000-0005-0000-0000-0000A7010000}"/>
    <cellStyle name="20% - Accent3 3 3 2" xfId="2862" xr:uid="{00000000-0005-0000-0000-0000A8010000}"/>
    <cellStyle name="20% - Accent3 3 3 2 2" xfId="7085" xr:uid="{00000000-0005-0000-0000-0000A9010000}"/>
    <cellStyle name="20% - Accent3 3 3 2 2 2" xfId="15527" xr:uid="{04E5F243-C357-4561-96BE-9573A458595A}"/>
    <cellStyle name="20% - Accent3 3 3 2 2 3" xfId="23964" xr:uid="{BEB527A6-6069-45EE-B114-2C14D942F78B}"/>
    <cellStyle name="20% - Accent3 3 3 2 3" xfId="11309" xr:uid="{779562D5-DFCC-4363-B763-435EA42E9375}"/>
    <cellStyle name="20% - Accent3 3 3 2 4" xfId="19747" xr:uid="{773F601D-946F-4A74-AAB9-3E2A75907DC6}"/>
    <cellStyle name="20% - Accent3 3 3 3" xfId="4940" xr:uid="{00000000-0005-0000-0000-0000AA010000}"/>
    <cellStyle name="20% - Accent3 3 3 3 2" xfId="13382" xr:uid="{AD95C36E-FC5A-4E9B-B02D-0592F5124923}"/>
    <cellStyle name="20% - Accent3 3 3 3 3" xfId="21819" xr:uid="{93594702-13F7-44F3-9F76-CFEE556257BE}"/>
    <cellStyle name="20% - Accent3 3 3 4" xfId="9164" xr:uid="{B0198A8C-011D-4CB2-8E2F-0D0B034A66EC}"/>
    <cellStyle name="20% - Accent3 3 3 5" xfId="17602" xr:uid="{55BD3850-ED71-4A43-83D7-C85B9D138872}"/>
    <cellStyle name="20% - Accent3 3 4" xfId="1044" xr:uid="{00000000-0005-0000-0000-0000AB010000}"/>
    <cellStyle name="20% - Accent3 3 4 2" xfId="3275" xr:uid="{00000000-0005-0000-0000-0000AC010000}"/>
    <cellStyle name="20% - Accent3 3 4 2 2" xfId="7498" xr:uid="{00000000-0005-0000-0000-0000AD010000}"/>
    <cellStyle name="20% - Accent3 3 4 2 2 2" xfId="15940" xr:uid="{49B75520-7B75-45F4-87E2-A694744C3C96}"/>
    <cellStyle name="20% - Accent3 3 4 2 2 3" xfId="24377" xr:uid="{DAA39CBC-7965-4110-B23A-F7DA21FE5DA0}"/>
    <cellStyle name="20% - Accent3 3 4 2 3" xfId="11722" xr:uid="{FBD90A83-D272-4E7E-B97C-BB834698356C}"/>
    <cellStyle name="20% - Accent3 3 4 2 4" xfId="20160" xr:uid="{23F4E31F-05A7-4FFC-81B4-7BA85E7489F3}"/>
    <cellStyle name="20% - Accent3 3 4 3" xfId="5353" xr:uid="{00000000-0005-0000-0000-0000AE010000}"/>
    <cellStyle name="20% - Accent3 3 4 3 2" xfId="13795" xr:uid="{6DCB9D59-792D-4B20-A9CA-168576711061}"/>
    <cellStyle name="20% - Accent3 3 4 3 3" xfId="22232" xr:uid="{49CA3A42-1302-4D77-8E1D-4CB45DB49592}"/>
    <cellStyle name="20% - Accent3 3 4 4" xfId="9577" xr:uid="{6E136EB2-8E18-4A5E-A432-36D617314A00}"/>
    <cellStyle name="20% - Accent3 3 4 5" xfId="18015" xr:uid="{02951011-0A0D-4E71-B41D-90D4D198E0EC}"/>
    <cellStyle name="20% - Accent3 3 5" xfId="1458" xr:uid="{00000000-0005-0000-0000-0000AF010000}"/>
    <cellStyle name="20% - Accent3 3 5 2" xfId="3688" xr:uid="{00000000-0005-0000-0000-0000B0010000}"/>
    <cellStyle name="20% - Accent3 3 5 2 2" xfId="7911" xr:uid="{00000000-0005-0000-0000-0000B1010000}"/>
    <cellStyle name="20% - Accent3 3 5 2 2 2" xfId="16353" xr:uid="{B41825B0-0BE1-4CAA-85DD-A9CC090B722C}"/>
    <cellStyle name="20% - Accent3 3 5 2 2 3" xfId="24790" xr:uid="{D2025DEE-B374-4F87-98BF-47F5CE970384}"/>
    <cellStyle name="20% - Accent3 3 5 2 3" xfId="12135" xr:uid="{4AF847ED-4C08-42A7-85A2-773937A37EF2}"/>
    <cellStyle name="20% - Accent3 3 5 2 4" xfId="20573" xr:uid="{719E3BFE-B4C6-4873-91D4-D63B5F818DBF}"/>
    <cellStyle name="20% - Accent3 3 5 3" xfId="5766" xr:uid="{00000000-0005-0000-0000-0000B2010000}"/>
    <cellStyle name="20% - Accent3 3 5 3 2" xfId="14208" xr:uid="{EE141D34-45A2-4137-8E37-8476E3405239}"/>
    <cellStyle name="20% - Accent3 3 5 3 3" xfId="22645" xr:uid="{AB99898D-A461-4B3E-B716-55E8B8DDF047}"/>
    <cellStyle name="20% - Accent3 3 5 4" xfId="9990" xr:uid="{1B88B2D7-F1C6-4AD8-9B22-908E3DB6FF98}"/>
    <cellStyle name="20% - Accent3 3 5 5" xfId="18428" xr:uid="{B3A40C48-DF19-42F4-83C1-00501D5822B8}"/>
    <cellStyle name="20% - Accent3 3 6" xfId="1872" xr:uid="{00000000-0005-0000-0000-0000B3010000}"/>
    <cellStyle name="20% - Accent3 3 6 2" xfId="4101" xr:uid="{00000000-0005-0000-0000-0000B4010000}"/>
    <cellStyle name="20% - Accent3 3 6 2 2" xfId="8324" xr:uid="{00000000-0005-0000-0000-0000B5010000}"/>
    <cellStyle name="20% - Accent3 3 6 2 2 2" xfId="16766" xr:uid="{8D2C2930-E73C-4405-A415-A60B1159C31A}"/>
    <cellStyle name="20% - Accent3 3 6 2 2 3" xfId="25203" xr:uid="{72F27683-F40D-4D2A-BE17-D6C282512ED1}"/>
    <cellStyle name="20% - Accent3 3 6 2 3" xfId="12548" xr:uid="{5F742D87-9523-431A-9287-FA48AA9F5E69}"/>
    <cellStyle name="20% - Accent3 3 6 2 4" xfId="20986" xr:uid="{8E71B1E8-00BB-4325-947B-02A893B751D3}"/>
    <cellStyle name="20% - Accent3 3 6 3" xfId="6179" xr:uid="{00000000-0005-0000-0000-0000B6010000}"/>
    <cellStyle name="20% - Accent3 3 6 3 2" xfId="14621" xr:uid="{169352D9-FF2D-4116-9480-A749A371C995}"/>
    <cellStyle name="20% - Accent3 3 6 3 3" xfId="23058" xr:uid="{1DDC5107-EFC5-4556-B62D-A0244173FBD2}"/>
    <cellStyle name="20% - Accent3 3 6 4" xfId="10403" xr:uid="{32B9D6BF-4265-4493-968D-634BA46FAFBE}"/>
    <cellStyle name="20% - Accent3 3 6 5" xfId="18841" xr:uid="{68C7118A-D3AC-4819-ADA0-41AEFB6F002C}"/>
    <cellStyle name="20% - Accent3 3 7" xfId="2285" xr:uid="{00000000-0005-0000-0000-0000B7010000}"/>
    <cellStyle name="20% - Accent3 3 7 2" xfId="6592" xr:uid="{00000000-0005-0000-0000-0000B8010000}"/>
    <cellStyle name="20% - Accent3 3 7 2 2" xfId="15034" xr:uid="{147D8DDA-F292-4CD3-9342-BFB596347D5E}"/>
    <cellStyle name="20% - Accent3 3 7 2 3" xfId="23471" xr:uid="{8DAD4636-46FE-4792-A226-03985BCA4D58}"/>
    <cellStyle name="20% - Accent3 3 7 3" xfId="10816" xr:uid="{0FC9BD1F-A495-4A16-BB8A-543B0F5B1D37}"/>
    <cellStyle name="20% - Accent3 3 7 4" xfId="19254" xr:uid="{23556FFF-97A0-43C4-878C-6FD3ECD64C39}"/>
    <cellStyle name="20% - Accent3 3 8" xfId="4526" xr:uid="{00000000-0005-0000-0000-0000B9010000}"/>
    <cellStyle name="20% - Accent3 3 8 2" xfId="12968" xr:uid="{E8B10745-5C10-456C-AB04-93387290DCE8}"/>
    <cellStyle name="20% - Accent3 3 8 3" xfId="21405" xr:uid="{1D4C6E7A-F4F9-4290-8CB1-99C478F5461D}"/>
    <cellStyle name="20% - Accent3 3 9" xfId="8750" xr:uid="{7B257CAF-C99C-4196-8415-8B2C7C64042F}"/>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2 2 2" xfId="15529" xr:uid="{21FE3CAF-657B-4B69-9CA7-04746332AAB2}"/>
    <cellStyle name="20% - Accent3 4 2 2 2 3" xfId="23966" xr:uid="{D348C373-8A91-4B66-9911-C4EAEB972DCE}"/>
    <cellStyle name="20% - Accent3 4 2 2 3" xfId="11311" xr:uid="{88F69625-034F-48B7-B3B7-EBCC60E0AFEB}"/>
    <cellStyle name="20% - Accent3 4 2 2 4" xfId="19749" xr:uid="{8C8AFE21-5D6E-43FC-A826-890AC815648C}"/>
    <cellStyle name="20% - Accent3 4 2 3" xfId="4942" xr:uid="{00000000-0005-0000-0000-0000BE010000}"/>
    <cellStyle name="20% - Accent3 4 2 3 2" xfId="13384" xr:uid="{C5CADA01-5660-4509-9F5E-9504FFBD6059}"/>
    <cellStyle name="20% - Accent3 4 2 3 3" xfId="21821" xr:uid="{46842720-9283-43AD-A49D-8C9357C5DE27}"/>
    <cellStyle name="20% - Accent3 4 2 4" xfId="9166" xr:uid="{2CD5AF27-53FA-4A94-A8D5-4D54C09DF160}"/>
    <cellStyle name="20% - Accent3 4 2 5" xfId="17604" xr:uid="{64912F32-D780-42E6-984D-2A8394339531}"/>
    <cellStyle name="20% - Accent3 4 3" xfId="1046" xr:uid="{00000000-0005-0000-0000-0000BF010000}"/>
    <cellStyle name="20% - Accent3 4 3 2" xfId="3277" xr:uid="{00000000-0005-0000-0000-0000C0010000}"/>
    <cellStyle name="20% - Accent3 4 3 2 2" xfId="7500" xr:uid="{00000000-0005-0000-0000-0000C1010000}"/>
    <cellStyle name="20% - Accent3 4 3 2 2 2" xfId="15942" xr:uid="{F4BA3067-CE72-49B8-8A05-59C90DB24D49}"/>
    <cellStyle name="20% - Accent3 4 3 2 2 3" xfId="24379" xr:uid="{1233F9F1-422C-4CA5-8F7F-44D430EDA013}"/>
    <cellStyle name="20% - Accent3 4 3 2 3" xfId="11724" xr:uid="{D6509ADB-B256-4A7F-A732-FFB3DAD81970}"/>
    <cellStyle name="20% - Accent3 4 3 2 4" xfId="20162" xr:uid="{008D358F-D1D1-4376-86C6-739003FE2807}"/>
    <cellStyle name="20% - Accent3 4 3 3" xfId="5355" xr:uid="{00000000-0005-0000-0000-0000C2010000}"/>
    <cellStyle name="20% - Accent3 4 3 3 2" xfId="13797" xr:uid="{E6D75D8C-5711-425E-A984-F285CDA38C92}"/>
    <cellStyle name="20% - Accent3 4 3 3 3" xfId="22234" xr:uid="{A3875C42-EE5C-4AB0-B67F-539EE7FA1A01}"/>
    <cellStyle name="20% - Accent3 4 3 4" xfId="9579" xr:uid="{A851C003-E0D4-4C0E-AF9A-AD21E27BAFD0}"/>
    <cellStyle name="20% - Accent3 4 3 5" xfId="18017" xr:uid="{380E72E7-7108-445B-8C9A-65BE08A58B1F}"/>
    <cellStyle name="20% - Accent3 4 4" xfId="1460" xr:uid="{00000000-0005-0000-0000-0000C3010000}"/>
    <cellStyle name="20% - Accent3 4 4 2" xfId="3690" xr:uid="{00000000-0005-0000-0000-0000C4010000}"/>
    <cellStyle name="20% - Accent3 4 4 2 2" xfId="7913" xr:uid="{00000000-0005-0000-0000-0000C5010000}"/>
    <cellStyle name="20% - Accent3 4 4 2 2 2" xfId="16355" xr:uid="{F5DF0434-882C-4C6C-BD4B-2D5F6BE8F503}"/>
    <cellStyle name="20% - Accent3 4 4 2 2 3" xfId="24792" xr:uid="{BF34C4D5-AEBF-4430-AD4C-C2B2941D2FB7}"/>
    <cellStyle name="20% - Accent3 4 4 2 3" xfId="12137" xr:uid="{78109C95-7DFE-445C-9C9C-9A8CAE182814}"/>
    <cellStyle name="20% - Accent3 4 4 2 4" xfId="20575" xr:uid="{E2DFDD96-9EEB-43AF-BFFA-53D8645F50F5}"/>
    <cellStyle name="20% - Accent3 4 4 3" xfId="5768" xr:uid="{00000000-0005-0000-0000-0000C6010000}"/>
    <cellStyle name="20% - Accent3 4 4 3 2" xfId="14210" xr:uid="{AF52C280-0F79-4DC2-A335-EB8460950359}"/>
    <cellStyle name="20% - Accent3 4 4 3 3" xfId="22647" xr:uid="{DBD59B47-8511-4FCE-8E56-7904DA1D58C7}"/>
    <cellStyle name="20% - Accent3 4 4 4" xfId="9992" xr:uid="{CA2A498D-2A61-429B-9C17-97CE4BDBA5D9}"/>
    <cellStyle name="20% - Accent3 4 4 5" xfId="18430" xr:uid="{38BF177D-B55A-429E-A382-C6C08C599EB3}"/>
    <cellStyle name="20% - Accent3 4 5" xfId="1874" xr:uid="{00000000-0005-0000-0000-0000C7010000}"/>
    <cellStyle name="20% - Accent3 4 5 2" xfId="4103" xr:uid="{00000000-0005-0000-0000-0000C8010000}"/>
    <cellStyle name="20% - Accent3 4 5 2 2" xfId="8326" xr:uid="{00000000-0005-0000-0000-0000C9010000}"/>
    <cellStyle name="20% - Accent3 4 5 2 2 2" xfId="16768" xr:uid="{2F898200-DD59-4508-BCF8-C052C0997659}"/>
    <cellStyle name="20% - Accent3 4 5 2 2 3" xfId="25205" xr:uid="{E831C8A2-54DB-49EC-B97D-0B7E4CF5AA31}"/>
    <cellStyle name="20% - Accent3 4 5 2 3" xfId="12550" xr:uid="{57899FAD-BB44-43B5-8003-CC881579A5B4}"/>
    <cellStyle name="20% - Accent3 4 5 2 4" xfId="20988" xr:uid="{F0108178-44E6-407F-8DFC-100FA6D092B6}"/>
    <cellStyle name="20% - Accent3 4 5 3" xfId="6181" xr:uid="{00000000-0005-0000-0000-0000CA010000}"/>
    <cellStyle name="20% - Accent3 4 5 3 2" xfId="14623" xr:uid="{DF5FDB42-6FA1-40B8-B5E3-B9DACB0DF59A}"/>
    <cellStyle name="20% - Accent3 4 5 3 3" xfId="23060" xr:uid="{AF2594AB-FBE5-4B80-A2CF-9E5F10F01ED7}"/>
    <cellStyle name="20% - Accent3 4 5 4" xfId="10405" xr:uid="{D0769C51-903F-4BAE-82A1-738024F74F71}"/>
    <cellStyle name="20% - Accent3 4 5 5" xfId="18843" xr:uid="{FE59F116-D957-4F06-9478-4B9717F92CD9}"/>
    <cellStyle name="20% - Accent3 4 6" xfId="2287" xr:uid="{00000000-0005-0000-0000-0000CB010000}"/>
    <cellStyle name="20% - Accent3 4 6 2" xfId="6594" xr:uid="{00000000-0005-0000-0000-0000CC010000}"/>
    <cellStyle name="20% - Accent3 4 6 2 2" xfId="15036" xr:uid="{67380210-D648-46CE-8E4D-D957E9E370FB}"/>
    <cellStyle name="20% - Accent3 4 6 2 3" xfId="23473" xr:uid="{681598D0-1E0A-4862-8D80-E33DDD4B7914}"/>
    <cellStyle name="20% - Accent3 4 6 3" xfId="10818" xr:uid="{4F63DA33-F167-4E78-A9EC-DF27B3D03A92}"/>
    <cellStyle name="20% - Accent3 4 6 4" xfId="19256" xr:uid="{00EF47F1-29FC-47D7-B3D3-FC1998512E53}"/>
    <cellStyle name="20% - Accent3 4 7" xfId="4528" xr:uid="{00000000-0005-0000-0000-0000CD010000}"/>
    <cellStyle name="20% - Accent3 4 7 2" xfId="12970" xr:uid="{1CD50172-D6A0-4F90-898C-F5F20F86DD22}"/>
    <cellStyle name="20% - Accent3 4 7 3" xfId="21407" xr:uid="{8A953B21-1E81-4E11-8808-C88798004796}"/>
    <cellStyle name="20% - Accent3 4 8" xfId="8752" xr:uid="{108F4BB3-8E9C-4DEB-A0B1-3C380A503C68}"/>
    <cellStyle name="20% - Accent3 4 9" xfId="17190" xr:uid="{141B1BEB-CE98-4F1F-A647-C69769FF6CAB}"/>
    <cellStyle name="20% - Accent3 5" xfId="586" xr:uid="{00000000-0005-0000-0000-0000CE010000}"/>
    <cellStyle name="20% - Accent3 5 2" xfId="2857" xr:uid="{00000000-0005-0000-0000-0000CF010000}"/>
    <cellStyle name="20% - Accent3 5 2 2" xfId="7080" xr:uid="{00000000-0005-0000-0000-0000D0010000}"/>
    <cellStyle name="20% - Accent3 5 2 2 2" xfId="15522" xr:uid="{7D6D23C8-972E-4A7C-9D03-C861B9DB4134}"/>
    <cellStyle name="20% - Accent3 5 2 2 3" xfId="23959" xr:uid="{0CA6A0BA-69D7-45FC-B865-D8F173796BD8}"/>
    <cellStyle name="20% - Accent3 5 2 3" xfId="11304" xr:uid="{B2A37553-FF51-4FD5-9608-790FCF806F91}"/>
    <cellStyle name="20% - Accent3 5 2 4" xfId="19742" xr:uid="{8118711B-AB53-4EB5-9E5F-CFF6B520AAC5}"/>
    <cellStyle name="20% - Accent3 5 3" xfId="4935" xr:uid="{00000000-0005-0000-0000-0000D1010000}"/>
    <cellStyle name="20% - Accent3 5 3 2" xfId="13377" xr:uid="{5556D2B4-1B58-4F2F-B1E9-6DE9BBFCF393}"/>
    <cellStyle name="20% - Accent3 5 3 3" xfId="21814" xr:uid="{ADA31051-B713-46FF-8ECD-15E82BED0984}"/>
    <cellStyle name="20% - Accent3 5 4" xfId="9159" xr:uid="{47EB766C-6053-4E91-8688-DC491957F2C6}"/>
    <cellStyle name="20% - Accent3 5 5" xfId="17597" xr:uid="{5C880486-CECF-480D-8EC7-EA725B12ADF4}"/>
    <cellStyle name="20% - Accent3 6" xfId="1039" xr:uid="{00000000-0005-0000-0000-0000D2010000}"/>
    <cellStyle name="20% - Accent3 6 2" xfId="3270" xr:uid="{00000000-0005-0000-0000-0000D3010000}"/>
    <cellStyle name="20% - Accent3 6 2 2" xfId="7493" xr:uid="{00000000-0005-0000-0000-0000D4010000}"/>
    <cellStyle name="20% - Accent3 6 2 2 2" xfId="15935" xr:uid="{73438360-8D2E-4611-9C14-B9335CF56E09}"/>
    <cellStyle name="20% - Accent3 6 2 2 3" xfId="24372" xr:uid="{84302130-21AB-4DD6-BF53-8A39D1631EED}"/>
    <cellStyle name="20% - Accent3 6 2 3" xfId="11717" xr:uid="{6C258D3D-514C-4FCF-9A24-D80D24718B4A}"/>
    <cellStyle name="20% - Accent3 6 2 4" xfId="20155" xr:uid="{3C829908-B06B-494F-BF2B-B3542D66340C}"/>
    <cellStyle name="20% - Accent3 6 3" xfId="5348" xr:uid="{00000000-0005-0000-0000-0000D5010000}"/>
    <cellStyle name="20% - Accent3 6 3 2" xfId="13790" xr:uid="{9DC04D49-7417-4A27-B60A-CB67A436DC95}"/>
    <cellStyle name="20% - Accent3 6 3 3" xfId="22227" xr:uid="{0DCD92F8-EA39-4A91-901B-D53438FC8DA6}"/>
    <cellStyle name="20% - Accent3 6 4" xfId="9572" xr:uid="{98DA7AB8-354D-4A34-8676-689E945414BF}"/>
    <cellStyle name="20% - Accent3 6 5" xfId="18010" xr:uid="{469062D3-4386-4D63-97B0-115AF61E998F}"/>
    <cellStyle name="20% - Accent3 7" xfId="1453" xr:uid="{00000000-0005-0000-0000-0000D6010000}"/>
    <cellStyle name="20% - Accent3 7 2" xfId="3683" xr:uid="{00000000-0005-0000-0000-0000D7010000}"/>
    <cellStyle name="20% - Accent3 7 2 2" xfId="7906" xr:uid="{00000000-0005-0000-0000-0000D8010000}"/>
    <cellStyle name="20% - Accent3 7 2 2 2" xfId="16348" xr:uid="{431766B6-2283-453C-8F45-4CB133CFCC1E}"/>
    <cellStyle name="20% - Accent3 7 2 2 3" xfId="24785" xr:uid="{0F13BC35-7D41-4DD3-A280-F40A149B3CE7}"/>
    <cellStyle name="20% - Accent3 7 2 3" xfId="12130" xr:uid="{3DDD4173-E837-44A8-8702-F7E36B50FDDF}"/>
    <cellStyle name="20% - Accent3 7 2 4" xfId="20568" xr:uid="{651B79CF-A656-488B-AE6C-56ABAE737C60}"/>
    <cellStyle name="20% - Accent3 7 3" xfId="5761" xr:uid="{00000000-0005-0000-0000-0000D9010000}"/>
    <cellStyle name="20% - Accent3 7 3 2" xfId="14203" xr:uid="{2D81013A-A30E-4D5D-8F98-DC942993815D}"/>
    <cellStyle name="20% - Accent3 7 3 3" xfId="22640" xr:uid="{CB7B0819-D9D0-4438-9E49-2E5F77AA6040}"/>
    <cellStyle name="20% - Accent3 7 4" xfId="9985" xr:uid="{9E03DA4C-5CED-44F6-9B99-98D42B4E7807}"/>
    <cellStyle name="20% - Accent3 7 5" xfId="18423" xr:uid="{A7CE26EB-8DBC-4433-93EE-6BFA6FCA1BA7}"/>
    <cellStyle name="20% - Accent3 8" xfId="1867" xr:uid="{00000000-0005-0000-0000-0000DA010000}"/>
    <cellStyle name="20% - Accent3 8 2" xfId="4096" xr:uid="{00000000-0005-0000-0000-0000DB010000}"/>
    <cellStyle name="20% - Accent3 8 2 2" xfId="8319" xr:uid="{00000000-0005-0000-0000-0000DC010000}"/>
    <cellStyle name="20% - Accent3 8 2 2 2" xfId="16761" xr:uid="{FE623D77-048B-49B9-959F-E83E3B1B21F3}"/>
    <cellStyle name="20% - Accent3 8 2 2 3" xfId="25198" xr:uid="{34320838-AB1F-4978-A7D9-C2546334F902}"/>
    <cellStyle name="20% - Accent3 8 2 3" xfId="12543" xr:uid="{EC82ABC9-5EC7-4310-AE02-5B96106FA96E}"/>
    <cellStyle name="20% - Accent3 8 2 4" xfId="20981" xr:uid="{B3726F2E-EF0B-49D4-BCF6-E22FAD31C60D}"/>
    <cellStyle name="20% - Accent3 8 3" xfId="6174" xr:uid="{00000000-0005-0000-0000-0000DD010000}"/>
    <cellStyle name="20% - Accent3 8 3 2" xfId="14616" xr:uid="{5C929AFC-6765-4075-B01E-33850A387F0A}"/>
    <cellStyle name="20% - Accent3 8 3 3" xfId="23053" xr:uid="{B1B68592-33E3-467C-8CB8-BA6A557A83F6}"/>
    <cellStyle name="20% - Accent3 8 4" xfId="10398" xr:uid="{B02B4525-EB64-4EE2-AE2D-21C4BD674EF8}"/>
    <cellStyle name="20% - Accent3 8 5" xfId="18836" xr:uid="{A7EA8DD7-0803-4CDF-AD37-0D4470D5A629}"/>
    <cellStyle name="20% - Accent3 9" xfId="2280" xr:uid="{00000000-0005-0000-0000-0000DE010000}"/>
    <cellStyle name="20% - Accent3 9 2" xfId="6587" xr:uid="{00000000-0005-0000-0000-0000DF010000}"/>
    <cellStyle name="20% - Accent3 9 2 2" xfId="15029" xr:uid="{421C93AF-67E5-40BA-956E-45AA440E6AB2}"/>
    <cellStyle name="20% - Accent3 9 2 3" xfId="23466" xr:uid="{093AA498-0F32-4B56-BAAF-7CA6B312CA7F}"/>
    <cellStyle name="20% - Accent3 9 3" xfId="10811" xr:uid="{DB43FF60-92DA-4C50-8C68-0955FA6137BB}"/>
    <cellStyle name="20% - Accent3 9 4" xfId="19249" xr:uid="{FBA4AAE7-83C2-4E52-9082-AAF4BF6F5BAA}"/>
    <cellStyle name="20% - Accent4" xfId="25" builtinId="42" customBuiltin="1"/>
    <cellStyle name="20% - Accent4 10" xfId="4529" xr:uid="{00000000-0005-0000-0000-0000E1010000}"/>
    <cellStyle name="20% - Accent4 10 2" xfId="12971" xr:uid="{942C5CE0-54FD-4011-B668-A2AC2B8DE127}"/>
    <cellStyle name="20% - Accent4 10 3" xfId="21408" xr:uid="{AB02E6E2-2A4B-4053-AE42-629A28BA823A}"/>
    <cellStyle name="20% - Accent4 11" xfId="8753" xr:uid="{65216B12-6AE2-4D41-BC1C-BF4B747505F6}"/>
    <cellStyle name="20% - Accent4 12" xfId="17191" xr:uid="{844D605E-D76E-4BFC-8AF8-CED67B63DA5A}"/>
    <cellStyle name="20% - Accent4 2" xfId="26" xr:uid="{00000000-0005-0000-0000-0000E2010000}"/>
    <cellStyle name="20% - Accent4 2 10" xfId="8754" xr:uid="{F7597712-F47F-4D95-BBF7-254C20D406C0}"/>
    <cellStyle name="20% - Accent4 2 11" xfId="17192" xr:uid="{229E2DB8-7650-44BE-819F-94845463855B}"/>
    <cellStyle name="20% - Accent4 2 2" xfId="27" xr:uid="{00000000-0005-0000-0000-0000E3010000}"/>
    <cellStyle name="20% - Accent4 2 2 10" xfId="17193" xr:uid="{C770E711-5F96-492C-BCAB-0AE549DE2D5C}"/>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2 2 2" xfId="15533" xr:uid="{C5393FF3-37E7-4ADB-92FE-42698EAC5E8C}"/>
    <cellStyle name="20% - Accent4 2 2 2 2 2 2 3" xfId="23970" xr:uid="{7F3D5C4E-0464-4B35-936B-EABE867C747E}"/>
    <cellStyle name="20% - Accent4 2 2 2 2 2 3" xfId="11315" xr:uid="{7004F206-7E7A-4DCB-95E5-5CCAE2D50A52}"/>
    <cellStyle name="20% - Accent4 2 2 2 2 2 4" xfId="19753" xr:uid="{785D1FE0-B3A2-4120-8497-9AAA6DA55526}"/>
    <cellStyle name="20% - Accent4 2 2 2 2 3" xfId="4946" xr:uid="{00000000-0005-0000-0000-0000E8010000}"/>
    <cellStyle name="20% - Accent4 2 2 2 2 3 2" xfId="13388" xr:uid="{88D19D3E-A2DE-4B43-8C74-8D0714AAEBD3}"/>
    <cellStyle name="20% - Accent4 2 2 2 2 3 3" xfId="21825" xr:uid="{084E8ACB-6F35-4F78-9167-7C99914F84D8}"/>
    <cellStyle name="20% - Accent4 2 2 2 2 4" xfId="9170" xr:uid="{28912A98-3601-4A55-AF27-78D51BA25433}"/>
    <cellStyle name="20% - Accent4 2 2 2 2 5" xfId="17608" xr:uid="{8A6F5D0C-113D-4879-9022-1E7B2532AD48}"/>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2 2 2" xfId="15946" xr:uid="{3916C846-9F5E-403C-BA9E-82353311D5F9}"/>
    <cellStyle name="20% - Accent4 2 2 2 3 2 2 3" xfId="24383" xr:uid="{22D9AAA2-F7E7-49EA-B90D-CF5A1DF865EC}"/>
    <cellStyle name="20% - Accent4 2 2 2 3 2 3" xfId="11728" xr:uid="{EF88AF2D-6A75-4D09-B340-BD3816237249}"/>
    <cellStyle name="20% - Accent4 2 2 2 3 2 4" xfId="20166" xr:uid="{0386D4FE-C6DC-4C2E-B8A4-648DB95773BF}"/>
    <cellStyle name="20% - Accent4 2 2 2 3 3" xfId="5359" xr:uid="{00000000-0005-0000-0000-0000EC010000}"/>
    <cellStyle name="20% - Accent4 2 2 2 3 3 2" xfId="13801" xr:uid="{CF0C9717-0585-40A7-9292-593BFB458655}"/>
    <cellStyle name="20% - Accent4 2 2 2 3 3 3" xfId="22238" xr:uid="{3B11D903-71DC-4536-A93F-B2DD302147A7}"/>
    <cellStyle name="20% - Accent4 2 2 2 3 4" xfId="9583" xr:uid="{E016BBBE-D6D6-4514-953E-B1952C5E6DE3}"/>
    <cellStyle name="20% - Accent4 2 2 2 3 5" xfId="18021" xr:uid="{B22EF4D9-4FA9-43A8-8E3B-C5582A7FD68B}"/>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2 2 2" xfId="16359" xr:uid="{72C9FB93-164D-4C16-A228-4DBCD9705B92}"/>
    <cellStyle name="20% - Accent4 2 2 2 4 2 2 3" xfId="24796" xr:uid="{08FFB3E3-6B03-47A4-907C-79C774862F5A}"/>
    <cellStyle name="20% - Accent4 2 2 2 4 2 3" xfId="12141" xr:uid="{24FDFFD7-AC30-4D25-BA15-F116281CCE15}"/>
    <cellStyle name="20% - Accent4 2 2 2 4 2 4" xfId="20579" xr:uid="{521967A2-0DC1-4F9E-B98B-959F5E18E679}"/>
    <cellStyle name="20% - Accent4 2 2 2 4 3" xfId="5772" xr:uid="{00000000-0005-0000-0000-0000F0010000}"/>
    <cellStyle name="20% - Accent4 2 2 2 4 3 2" xfId="14214" xr:uid="{31DA8CBC-F779-41BA-A4D0-7B87B90E523D}"/>
    <cellStyle name="20% - Accent4 2 2 2 4 3 3" xfId="22651" xr:uid="{E04A2938-DB9D-484C-991F-97AFED151CED}"/>
    <cellStyle name="20% - Accent4 2 2 2 4 4" xfId="9996" xr:uid="{3782A1F6-A7F8-42F3-9B5D-8B53BD827DAA}"/>
    <cellStyle name="20% - Accent4 2 2 2 4 5" xfId="18434" xr:uid="{F5ACF4DD-AB2E-4FF6-B947-BEAC00669E8D}"/>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2 2 2" xfId="16772" xr:uid="{4B641962-0C1D-4AB5-AA1C-7EBDE1BC9519}"/>
    <cellStyle name="20% - Accent4 2 2 2 5 2 2 3" xfId="25209" xr:uid="{4231637E-77E0-4C77-AC63-639EAB49AE83}"/>
    <cellStyle name="20% - Accent4 2 2 2 5 2 3" xfId="12554" xr:uid="{F208EE6F-602C-4193-A8DB-ADDBB7592812}"/>
    <cellStyle name="20% - Accent4 2 2 2 5 2 4" xfId="20992" xr:uid="{F7940B50-F603-4F69-BD4E-B858959F8F19}"/>
    <cellStyle name="20% - Accent4 2 2 2 5 3" xfId="6185" xr:uid="{00000000-0005-0000-0000-0000F4010000}"/>
    <cellStyle name="20% - Accent4 2 2 2 5 3 2" xfId="14627" xr:uid="{2B64E0B8-5D79-4D66-AD2D-06AD759EF03C}"/>
    <cellStyle name="20% - Accent4 2 2 2 5 3 3" xfId="23064" xr:uid="{938B77BC-E21B-424A-BC73-880E7BEE24B3}"/>
    <cellStyle name="20% - Accent4 2 2 2 5 4" xfId="10409" xr:uid="{51C2D2D1-0709-4A97-88EC-FA9AB0B03DAB}"/>
    <cellStyle name="20% - Accent4 2 2 2 5 5" xfId="18847" xr:uid="{4922D6F8-5B7A-498F-9879-B543F3819077}"/>
    <cellStyle name="20% - Accent4 2 2 2 6" xfId="2291" xr:uid="{00000000-0005-0000-0000-0000F5010000}"/>
    <cellStyle name="20% - Accent4 2 2 2 6 2" xfId="6598" xr:uid="{00000000-0005-0000-0000-0000F6010000}"/>
    <cellStyle name="20% - Accent4 2 2 2 6 2 2" xfId="15040" xr:uid="{32D5F334-EB73-48F0-B682-E23DCDFD2F94}"/>
    <cellStyle name="20% - Accent4 2 2 2 6 2 3" xfId="23477" xr:uid="{09F53E09-0703-4E07-840C-F0701173C3BF}"/>
    <cellStyle name="20% - Accent4 2 2 2 6 3" xfId="10822" xr:uid="{CBB9A765-F920-4799-8B14-B03023CCB219}"/>
    <cellStyle name="20% - Accent4 2 2 2 6 4" xfId="19260" xr:uid="{12F4303E-B080-4002-9005-4258424EAAAF}"/>
    <cellStyle name="20% - Accent4 2 2 2 7" xfId="4532" xr:uid="{00000000-0005-0000-0000-0000F7010000}"/>
    <cellStyle name="20% - Accent4 2 2 2 7 2" xfId="12974" xr:uid="{99C7885B-B511-407C-ADDE-C6D9F68A2FB4}"/>
    <cellStyle name="20% - Accent4 2 2 2 7 3" xfId="21411" xr:uid="{9263D974-CDCC-4D02-850C-EF4F67BB9F63}"/>
    <cellStyle name="20% - Accent4 2 2 2 8" xfId="8756" xr:uid="{DD02BF86-2827-4691-94CB-CFC5F63D24A6}"/>
    <cellStyle name="20% - Accent4 2 2 2 9" xfId="17194" xr:uid="{12CF521A-0853-4438-BCF7-F752BC631616}"/>
    <cellStyle name="20% - Accent4 2 2 3" xfId="596" xr:uid="{00000000-0005-0000-0000-0000F8010000}"/>
    <cellStyle name="20% - Accent4 2 2 3 2" xfId="2867" xr:uid="{00000000-0005-0000-0000-0000F9010000}"/>
    <cellStyle name="20% - Accent4 2 2 3 2 2" xfId="7090" xr:uid="{00000000-0005-0000-0000-0000FA010000}"/>
    <cellStyle name="20% - Accent4 2 2 3 2 2 2" xfId="15532" xr:uid="{D9B85D87-353B-49B3-A086-10A8E4898E62}"/>
    <cellStyle name="20% - Accent4 2 2 3 2 2 3" xfId="23969" xr:uid="{44243786-7C2A-496F-B044-E98E82B11065}"/>
    <cellStyle name="20% - Accent4 2 2 3 2 3" xfId="11314" xr:uid="{7B2B0114-918B-4A3B-ABE7-0A25FD02C73E}"/>
    <cellStyle name="20% - Accent4 2 2 3 2 4" xfId="19752" xr:uid="{D89772F0-B3DB-4269-B29C-E9229491AE87}"/>
    <cellStyle name="20% - Accent4 2 2 3 3" xfId="4945" xr:uid="{00000000-0005-0000-0000-0000FB010000}"/>
    <cellStyle name="20% - Accent4 2 2 3 3 2" xfId="13387" xr:uid="{D442BB9F-44C6-4162-83E5-F59BC15DC2B3}"/>
    <cellStyle name="20% - Accent4 2 2 3 3 3" xfId="21824" xr:uid="{D03DAFB6-D334-44FF-8D59-69D90626BF7F}"/>
    <cellStyle name="20% - Accent4 2 2 3 4" xfId="9169" xr:uid="{CFCE841C-7F55-4366-BFA5-0BE881964A37}"/>
    <cellStyle name="20% - Accent4 2 2 3 5" xfId="17607" xr:uid="{3065F51F-4031-4AD7-A4E2-F640F7BE0F4F}"/>
    <cellStyle name="20% - Accent4 2 2 4" xfId="1049" xr:uid="{00000000-0005-0000-0000-0000FC010000}"/>
    <cellStyle name="20% - Accent4 2 2 4 2" xfId="3280" xr:uid="{00000000-0005-0000-0000-0000FD010000}"/>
    <cellStyle name="20% - Accent4 2 2 4 2 2" xfId="7503" xr:uid="{00000000-0005-0000-0000-0000FE010000}"/>
    <cellStyle name="20% - Accent4 2 2 4 2 2 2" xfId="15945" xr:uid="{7AB38E81-F323-4455-A7BB-08EDFA2D2F4F}"/>
    <cellStyle name="20% - Accent4 2 2 4 2 2 3" xfId="24382" xr:uid="{CBA86372-9B5F-4683-9914-D5A941FC5211}"/>
    <cellStyle name="20% - Accent4 2 2 4 2 3" xfId="11727" xr:uid="{E034CE78-47F2-49E9-A2C9-FCDE73112890}"/>
    <cellStyle name="20% - Accent4 2 2 4 2 4" xfId="20165" xr:uid="{E3E7370F-B9F1-4800-990C-EBEF1C9D5D53}"/>
    <cellStyle name="20% - Accent4 2 2 4 3" xfId="5358" xr:uid="{00000000-0005-0000-0000-0000FF010000}"/>
    <cellStyle name="20% - Accent4 2 2 4 3 2" xfId="13800" xr:uid="{E49895FE-309E-43A2-8625-DE9300C2116C}"/>
    <cellStyle name="20% - Accent4 2 2 4 3 3" xfId="22237" xr:uid="{4DB4A9B5-4846-4400-B891-C73820E2EE7D}"/>
    <cellStyle name="20% - Accent4 2 2 4 4" xfId="9582" xr:uid="{1A14C861-65C7-4764-9040-F279FA5D9E2D}"/>
    <cellStyle name="20% - Accent4 2 2 4 5" xfId="18020" xr:uid="{FCEC86B6-6036-4063-83C7-FA590C911F1D}"/>
    <cellStyle name="20% - Accent4 2 2 5" xfId="1463" xr:uid="{00000000-0005-0000-0000-000000020000}"/>
    <cellStyle name="20% - Accent4 2 2 5 2" xfId="3693" xr:uid="{00000000-0005-0000-0000-000001020000}"/>
    <cellStyle name="20% - Accent4 2 2 5 2 2" xfId="7916" xr:uid="{00000000-0005-0000-0000-000002020000}"/>
    <cellStyle name="20% - Accent4 2 2 5 2 2 2" xfId="16358" xr:uid="{94BB0CC6-7EBA-4D97-B7AF-0CB9391AAFF9}"/>
    <cellStyle name="20% - Accent4 2 2 5 2 2 3" xfId="24795" xr:uid="{E66E715C-6C6B-48D1-948B-2EC29889B5D0}"/>
    <cellStyle name="20% - Accent4 2 2 5 2 3" xfId="12140" xr:uid="{30B23183-1AA3-4E85-BBAB-3B9B4EACEC1C}"/>
    <cellStyle name="20% - Accent4 2 2 5 2 4" xfId="20578" xr:uid="{D0279FA3-96BD-41E4-8E27-E89C3E63FC4A}"/>
    <cellStyle name="20% - Accent4 2 2 5 3" xfId="5771" xr:uid="{00000000-0005-0000-0000-000003020000}"/>
    <cellStyle name="20% - Accent4 2 2 5 3 2" xfId="14213" xr:uid="{FA8FB238-4B54-42AA-BA19-C8EA1A48AA98}"/>
    <cellStyle name="20% - Accent4 2 2 5 3 3" xfId="22650" xr:uid="{ABF45EF3-408B-4472-BAF4-879B1591F3BB}"/>
    <cellStyle name="20% - Accent4 2 2 5 4" xfId="9995" xr:uid="{3E53023A-9D34-4157-A21A-F482CA8B2CD0}"/>
    <cellStyle name="20% - Accent4 2 2 5 5" xfId="18433" xr:uid="{BDFDFAC7-AF88-4E81-BE7E-425D9985FBCC}"/>
    <cellStyle name="20% - Accent4 2 2 6" xfId="1877" xr:uid="{00000000-0005-0000-0000-000004020000}"/>
    <cellStyle name="20% - Accent4 2 2 6 2" xfId="4106" xr:uid="{00000000-0005-0000-0000-000005020000}"/>
    <cellStyle name="20% - Accent4 2 2 6 2 2" xfId="8329" xr:uid="{00000000-0005-0000-0000-000006020000}"/>
    <cellStyle name="20% - Accent4 2 2 6 2 2 2" xfId="16771" xr:uid="{89DFD03A-9E10-4876-8450-0A9F6C0DB871}"/>
    <cellStyle name="20% - Accent4 2 2 6 2 2 3" xfId="25208" xr:uid="{AD0445DE-23E4-4C3B-B709-20117079478D}"/>
    <cellStyle name="20% - Accent4 2 2 6 2 3" xfId="12553" xr:uid="{325647E6-93F2-4587-AC8E-63D71B1A10BC}"/>
    <cellStyle name="20% - Accent4 2 2 6 2 4" xfId="20991" xr:uid="{DF3B58BB-46E1-4B54-8803-7834CB5B7DEB}"/>
    <cellStyle name="20% - Accent4 2 2 6 3" xfId="6184" xr:uid="{00000000-0005-0000-0000-000007020000}"/>
    <cellStyle name="20% - Accent4 2 2 6 3 2" xfId="14626" xr:uid="{CFE9C88B-6E8C-4556-A192-856FFBF1ABB3}"/>
    <cellStyle name="20% - Accent4 2 2 6 3 3" xfId="23063" xr:uid="{542BFDDC-DD04-454F-887E-BE76B32D6767}"/>
    <cellStyle name="20% - Accent4 2 2 6 4" xfId="10408" xr:uid="{0C12D052-5326-46EF-AF6A-48C3A29CA04B}"/>
    <cellStyle name="20% - Accent4 2 2 6 5" xfId="18846" xr:uid="{0F2C22DD-52D3-4AC6-8205-EA0D2D7A1436}"/>
    <cellStyle name="20% - Accent4 2 2 7" xfId="2290" xr:uid="{00000000-0005-0000-0000-000008020000}"/>
    <cellStyle name="20% - Accent4 2 2 7 2" xfId="6597" xr:uid="{00000000-0005-0000-0000-000009020000}"/>
    <cellStyle name="20% - Accent4 2 2 7 2 2" xfId="15039" xr:uid="{4F227F39-E009-4EF8-8A2D-3D05AF4DA9DB}"/>
    <cellStyle name="20% - Accent4 2 2 7 2 3" xfId="23476" xr:uid="{2F09B8CC-D582-44E5-A6F6-4D1DC69F74C1}"/>
    <cellStyle name="20% - Accent4 2 2 7 3" xfId="10821" xr:uid="{DAC1F87F-9ACE-4598-8C34-01914D252C73}"/>
    <cellStyle name="20% - Accent4 2 2 7 4" xfId="19259" xr:uid="{8E752EE2-57CC-4B8F-8F95-00623AB1CBDC}"/>
    <cellStyle name="20% - Accent4 2 2 8" xfId="4531" xr:uid="{00000000-0005-0000-0000-00000A020000}"/>
    <cellStyle name="20% - Accent4 2 2 8 2" xfId="12973" xr:uid="{069FBA9B-2E29-4854-AC83-7EAA4B4AF01E}"/>
    <cellStyle name="20% - Accent4 2 2 8 3" xfId="21410" xr:uid="{6CA3E9FC-EDCB-47A1-B897-2CCAC756742A}"/>
    <cellStyle name="20% - Accent4 2 2 9" xfId="8755" xr:uid="{5D142681-E200-4E75-BF06-007CB81F3D89}"/>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2 2 2" xfId="15534" xr:uid="{395B9A0D-FBEC-4A24-AB1C-C468891013C6}"/>
    <cellStyle name="20% - Accent4 2 3 2 2 2 3" xfId="23971" xr:uid="{E7C15313-79F2-4B3C-8A1D-9757CC1EDD30}"/>
    <cellStyle name="20% - Accent4 2 3 2 2 3" xfId="11316" xr:uid="{A384DEE1-5655-4542-9CCC-7B72937AC5B0}"/>
    <cellStyle name="20% - Accent4 2 3 2 2 4" xfId="19754" xr:uid="{6C044202-9209-49D5-9D11-ED3134551B10}"/>
    <cellStyle name="20% - Accent4 2 3 2 3" xfId="4947" xr:uid="{00000000-0005-0000-0000-00000F020000}"/>
    <cellStyle name="20% - Accent4 2 3 2 3 2" xfId="13389" xr:uid="{345F324C-4077-49CE-9CD8-DD9B233D55E6}"/>
    <cellStyle name="20% - Accent4 2 3 2 3 3" xfId="21826" xr:uid="{6F57BBA3-C8C9-4D10-9D84-C2F55CCCCE71}"/>
    <cellStyle name="20% - Accent4 2 3 2 4" xfId="9171" xr:uid="{0A5097EE-AA42-4EAA-A261-2B1AFB014688}"/>
    <cellStyle name="20% - Accent4 2 3 2 5" xfId="17609" xr:uid="{E504622D-9B70-411E-B148-CC4A3C74E2F7}"/>
    <cellStyle name="20% - Accent4 2 3 3" xfId="1051" xr:uid="{00000000-0005-0000-0000-000010020000}"/>
    <cellStyle name="20% - Accent4 2 3 3 2" xfId="3282" xr:uid="{00000000-0005-0000-0000-000011020000}"/>
    <cellStyle name="20% - Accent4 2 3 3 2 2" xfId="7505" xr:uid="{00000000-0005-0000-0000-000012020000}"/>
    <cellStyle name="20% - Accent4 2 3 3 2 2 2" xfId="15947" xr:uid="{C7F20487-01CD-42E7-B578-4C27D6DEE7FE}"/>
    <cellStyle name="20% - Accent4 2 3 3 2 2 3" xfId="24384" xr:uid="{0881A1A4-8478-444D-80BD-2EA4B9E4DB59}"/>
    <cellStyle name="20% - Accent4 2 3 3 2 3" xfId="11729" xr:uid="{23C56036-05D6-41B6-A776-EB974ED61E1A}"/>
    <cellStyle name="20% - Accent4 2 3 3 2 4" xfId="20167" xr:uid="{D299A318-0D4C-4EB6-9046-D8AF1A44044B}"/>
    <cellStyle name="20% - Accent4 2 3 3 3" xfId="5360" xr:uid="{00000000-0005-0000-0000-000013020000}"/>
    <cellStyle name="20% - Accent4 2 3 3 3 2" xfId="13802" xr:uid="{D70FDABD-E286-4A6D-A08E-D5B0998731E6}"/>
    <cellStyle name="20% - Accent4 2 3 3 3 3" xfId="22239" xr:uid="{4070C449-C254-4E1D-B784-3836B3ABCDB8}"/>
    <cellStyle name="20% - Accent4 2 3 3 4" xfId="9584" xr:uid="{821C2DBB-F5D1-446D-A11C-0CC9EF7B568E}"/>
    <cellStyle name="20% - Accent4 2 3 3 5" xfId="18022" xr:uid="{3A212F72-52FB-4647-BE90-5CFB03843F50}"/>
    <cellStyle name="20% - Accent4 2 3 4" xfId="1465" xr:uid="{00000000-0005-0000-0000-000014020000}"/>
    <cellStyle name="20% - Accent4 2 3 4 2" xfId="3695" xr:uid="{00000000-0005-0000-0000-000015020000}"/>
    <cellStyle name="20% - Accent4 2 3 4 2 2" xfId="7918" xr:uid="{00000000-0005-0000-0000-000016020000}"/>
    <cellStyle name="20% - Accent4 2 3 4 2 2 2" xfId="16360" xr:uid="{828ADC12-489F-42CF-BE4B-847C915ECBF3}"/>
    <cellStyle name="20% - Accent4 2 3 4 2 2 3" xfId="24797" xr:uid="{3F8E066B-68FB-42E2-AF2D-2D456CDE9C10}"/>
    <cellStyle name="20% - Accent4 2 3 4 2 3" xfId="12142" xr:uid="{C477B999-88C0-4EA1-A2BA-18F80CEB8CDE}"/>
    <cellStyle name="20% - Accent4 2 3 4 2 4" xfId="20580" xr:uid="{D1DE5397-C605-4A0D-A5F4-E547AB9E0D56}"/>
    <cellStyle name="20% - Accent4 2 3 4 3" xfId="5773" xr:uid="{00000000-0005-0000-0000-000017020000}"/>
    <cellStyle name="20% - Accent4 2 3 4 3 2" xfId="14215" xr:uid="{BB574DD4-B897-4A91-86FE-291693BB0B83}"/>
    <cellStyle name="20% - Accent4 2 3 4 3 3" xfId="22652" xr:uid="{6CD0F19C-F130-4CE8-948F-30958C6A2D10}"/>
    <cellStyle name="20% - Accent4 2 3 4 4" xfId="9997" xr:uid="{BFCCBB9B-FBE1-490A-9EE9-6C71A0D657BE}"/>
    <cellStyle name="20% - Accent4 2 3 4 5" xfId="18435" xr:uid="{3747CFE3-31DC-4004-B65A-FAC66C70976F}"/>
    <cellStyle name="20% - Accent4 2 3 5" xfId="1879" xr:uid="{00000000-0005-0000-0000-000018020000}"/>
    <cellStyle name="20% - Accent4 2 3 5 2" xfId="4108" xr:uid="{00000000-0005-0000-0000-000019020000}"/>
    <cellStyle name="20% - Accent4 2 3 5 2 2" xfId="8331" xr:uid="{00000000-0005-0000-0000-00001A020000}"/>
    <cellStyle name="20% - Accent4 2 3 5 2 2 2" xfId="16773" xr:uid="{CF0850C8-25E1-4D38-8561-6270F6202F9D}"/>
    <cellStyle name="20% - Accent4 2 3 5 2 2 3" xfId="25210" xr:uid="{DBFC6A3B-8148-4D6F-8347-DEE455CD9AD3}"/>
    <cellStyle name="20% - Accent4 2 3 5 2 3" xfId="12555" xr:uid="{1A5574C1-DA27-48FD-9C9B-205996EF5730}"/>
    <cellStyle name="20% - Accent4 2 3 5 2 4" xfId="20993" xr:uid="{C622A446-399D-4D8B-9FD0-6E3259072318}"/>
    <cellStyle name="20% - Accent4 2 3 5 3" xfId="6186" xr:uid="{00000000-0005-0000-0000-00001B020000}"/>
    <cellStyle name="20% - Accent4 2 3 5 3 2" xfId="14628" xr:uid="{34CD1102-416F-472F-BFA9-887462A45D51}"/>
    <cellStyle name="20% - Accent4 2 3 5 3 3" xfId="23065" xr:uid="{A8ADD3B6-999B-41E3-B172-E6B5516CBBBD}"/>
    <cellStyle name="20% - Accent4 2 3 5 4" xfId="10410" xr:uid="{CF2D86A6-5AC4-4B8B-990F-DE27110A7F14}"/>
    <cellStyle name="20% - Accent4 2 3 5 5" xfId="18848" xr:uid="{3CFCF086-5679-41E8-B9B8-D9108CD1D787}"/>
    <cellStyle name="20% - Accent4 2 3 6" xfId="2292" xr:uid="{00000000-0005-0000-0000-00001C020000}"/>
    <cellStyle name="20% - Accent4 2 3 6 2" xfId="6599" xr:uid="{00000000-0005-0000-0000-00001D020000}"/>
    <cellStyle name="20% - Accent4 2 3 6 2 2" xfId="15041" xr:uid="{2360BA0F-B2BC-49CF-82C5-362D4CCE6DC3}"/>
    <cellStyle name="20% - Accent4 2 3 6 2 3" xfId="23478" xr:uid="{AF2CB5C6-F51D-4EBE-84C3-5EF7C5B25A77}"/>
    <cellStyle name="20% - Accent4 2 3 6 3" xfId="10823" xr:uid="{CAA94ACC-1715-4B31-95A4-84EDBFA1FC0A}"/>
    <cellStyle name="20% - Accent4 2 3 6 4" xfId="19261" xr:uid="{4BA8FFBC-4A56-4F54-8E0E-CB3AF09A5C76}"/>
    <cellStyle name="20% - Accent4 2 3 7" xfId="4533" xr:uid="{00000000-0005-0000-0000-00001E020000}"/>
    <cellStyle name="20% - Accent4 2 3 7 2" xfId="12975" xr:uid="{494241AF-9322-4412-8DD4-24552EC80D2F}"/>
    <cellStyle name="20% - Accent4 2 3 7 3" xfId="21412" xr:uid="{409DE5A8-B916-422F-9F0B-C6839C61AEDF}"/>
    <cellStyle name="20% - Accent4 2 3 8" xfId="8757" xr:uid="{6BF1C0E7-70F1-42B9-9806-41B1B6FC4AC5}"/>
    <cellStyle name="20% - Accent4 2 3 9" xfId="17195" xr:uid="{213884AA-1674-4D49-A43F-072FF4A25B5C}"/>
    <cellStyle name="20% - Accent4 2 4" xfId="595" xr:uid="{00000000-0005-0000-0000-00001F020000}"/>
    <cellStyle name="20% - Accent4 2 4 2" xfId="2866" xr:uid="{00000000-0005-0000-0000-000020020000}"/>
    <cellStyle name="20% - Accent4 2 4 2 2" xfId="7089" xr:uid="{00000000-0005-0000-0000-000021020000}"/>
    <cellStyle name="20% - Accent4 2 4 2 2 2" xfId="15531" xr:uid="{4BEC1F4E-F6B6-4937-8F08-A6300D40ED3C}"/>
    <cellStyle name="20% - Accent4 2 4 2 2 3" xfId="23968" xr:uid="{BDE0707A-A9DB-4CF9-BDF3-9AE8C8B9ADA8}"/>
    <cellStyle name="20% - Accent4 2 4 2 3" xfId="11313" xr:uid="{AB95A92B-EDE6-4D11-90E5-B27B142983F5}"/>
    <cellStyle name="20% - Accent4 2 4 2 4" xfId="19751" xr:uid="{1342884F-0D40-4AE9-A74C-592DB4A9E1D9}"/>
    <cellStyle name="20% - Accent4 2 4 3" xfId="4944" xr:uid="{00000000-0005-0000-0000-000022020000}"/>
    <cellStyle name="20% - Accent4 2 4 3 2" xfId="13386" xr:uid="{324E6F62-8D8F-4C4B-979A-34345F566DD6}"/>
    <cellStyle name="20% - Accent4 2 4 3 3" xfId="21823" xr:uid="{1188CF69-07AD-4998-B3EA-4ED7E2B61988}"/>
    <cellStyle name="20% - Accent4 2 4 4" xfId="9168" xr:uid="{F39853B4-3CA1-494F-8015-632C50C2297F}"/>
    <cellStyle name="20% - Accent4 2 4 5" xfId="17606" xr:uid="{7E2C943C-28E9-4968-96D8-D2BBC0851214}"/>
    <cellStyle name="20% - Accent4 2 5" xfId="1048" xr:uid="{00000000-0005-0000-0000-000023020000}"/>
    <cellStyle name="20% - Accent4 2 5 2" xfId="3279" xr:uid="{00000000-0005-0000-0000-000024020000}"/>
    <cellStyle name="20% - Accent4 2 5 2 2" xfId="7502" xr:uid="{00000000-0005-0000-0000-000025020000}"/>
    <cellStyle name="20% - Accent4 2 5 2 2 2" xfId="15944" xr:uid="{D0C15DBF-C26F-4AE4-8753-710E6C56655E}"/>
    <cellStyle name="20% - Accent4 2 5 2 2 3" xfId="24381" xr:uid="{6FC94896-368A-40B6-8205-EE966A79AD97}"/>
    <cellStyle name="20% - Accent4 2 5 2 3" xfId="11726" xr:uid="{C0FC8078-0C17-414E-A751-9134728F9759}"/>
    <cellStyle name="20% - Accent4 2 5 2 4" xfId="20164" xr:uid="{B624B0E3-36E8-4D04-A7CA-E902DE5C4036}"/>
    <cellStyle name="20% - Accent4 2 5 3" xfId="5357" xr:uid="{00000000-0005-0000-0000-000026020000}"/>
    <cellStyle name="20% - Accent4 2 5 3 2" xfId="13799" xr:uid="{1865EA06-6301-4802-B08C-B9BBF6257750}"/>
    <cellStyle name="20% - Accent4 2 5 3 3" xfId="22236" xr:uid="{47DDF77C-E7E3-44D3-9B65-9F277040EFD9}"/>
    <cellStyle name="20% - Accent4 2 5 4" xfId="9581" xr:uid="{7B536BB5-659D-45F1-A77D-9599E22D12A5}"/>
    <cellStyle name="20% - Accent4 2 5 5" xfId="18019" xr:uid="{584B6009-32C8-461D-B72F-2EDBC7DE9939}"/>
    <cellStyle name="20% - Accent4 2 6" xfId="1462" xr:uid="{00000000-0005-0000-0000-000027020000}"/>
    <cellStyle name="20% - Accent4 2 6 2" xfId="3692" xr:uid="{00000000-0005-0000-0000-000028020000}"/>
    <cellStyle name="20% - Accent4 2 6 2 2" xfId="7915" xr:uid="{00000000-0005-0000-0000-000029020000}"/>
    <cellStyle name="20% - Accent4 2 6 2 2 2" xfId="16357" xr:uid="{B4CF9265-0CEE-45A0-A7F0-11F91A645BA6}"/>
    <cellStyle name="20% - Accent4 2 6 2 2 3" xfId="24794" xr:uid="{B33D6DAD-E35B-43E5-A9B3-69A15216EC74}"/>
    <cellStyle name="20% - Accent4 2 6 2 3" xfId="12139" xr:uid="{473FF520-8C75-4A7C-B579-E29E9381FE70}"/>
    <cellStyle name="20% - Accent4 2 6 2 4" xfId="20577" xr:uid="{1D518993-29B4-4482-92E0-C629148829E8}"/>
    <cellStyle name="20% - Accent4 2 6 3" xfId="5770" xr:uid="{00000000-0005-0000-0000-00002A020000}"/>
    <cellStyle name="20% - Accent4 2 6 3 2" xfId="14212" xr:uid="{90230641-FF48-418E-90D9-4454BB3D6D40}"/>
    <cellStyle name="20% - Accent4 2 6 3 3" xfId="22649" xr:uid="{1C6341C6-2463-4A54-9EF8-01F4FE785E80}"/>
    <cellStyle name="20% - Accent4 2 6 4" xfId="9994" xr:uid="{3B8FB3BA-D2B0-45F3-AD66-9A5A5A0ED882}"/>
    <cellStyle name="20% - Accent4 2 6 5" xfId="18432" xr:uid="{C6D089C0-A8DC-4DA2-894E-3DF2405570FC}"/>
    <cellStyle name="20% - Accent4 2 7" xfId="1876" xr:uid="{00000000-0005-0000-0000-00002B020000}"/>
    <cellStyle name="20% - Accent4 2 7 2" xfId="4105" xr:uid="{00000000-0005-0000-0000-00002C020000}"/>
    <cellStyle name="20% - Accent4 2 7 2 2" xfId="8328" xr:uid="{00000000-0005-0000-0000-00002D020000}"/>
    <cellStyle name="20% - Accent4 2 7 2 2 2" xfId="16770" xr:uid="{46AAEBC8-F6A7-4212-AA45-0CB37E091601}"/>
    <cellStyle name="20% - Accent4 2 7 2 2 3" xfId="25207" xr:uid="{9EE775D9-2089-47D7-B481-34B7D811746D}"/>
    <cellStyle name="20% - Accent4 2 7 2 3" xfId="12552" xr:uid="{A57BD766-9BE1-4BDF-AD37-1F3D8DFA76F4}"/>
    <cellStyle name="20% - Accent4 2 7 2 4" xfId="20990" xr:uid="{499172E8-19AC-4F8D-92C4-8A27BEC39A46}"/>
    <cellStyle name="20% - Accent4 2 7 3" xfId="6183" xr:uid="{00000000-0005-0000-0000-00002E020000}"/>
    <cellStyle name="20% - Accent4 2 7 3 2" xfId="14625" xr:uid="{86D1E8F1-CDE8-44BB-8862-4AEDC250429C}"/>
    <cellStyle name="20% - Accent4 2 7 3 3" xfId="23062" xr:uid="{347D8E25-32CC-4827-BD9C-4FA195EFDA98}"/>
    <cellStyle name="20% - Accent4 2 7 4" xfId="10407" xr:uid="{2E71BB65-1E6A-4363-B812-DDAB5588A91F}"/>
    <cellStyle name="20% - Accent4 2 7 5" xfId="18845" xr:uid="{56C23560-46F5-4A00-933C-005E16AECBE5}"/>
    <cellStyle name="20% - Accent4 2 8" xfId="2289" xr:uid="{00000000-0005-0000-0000-00002F020000}"/>
    <cellStyle name="20% - Accent4 2 8 2" xfId="6596" xr:uid="{00000000-0005-0000-0000-000030020000}"/>
    <cellStyle name="20% - Accent4 2 8 2 2" xfId="15038" xr:uid="{B99A8223-F1EC-475F-824B-72B1526AA37E}"/>
    <cellStyle name="20% - Accent4 2 8 2 3" xfId="23475" xr:uid="{461ACB32-5BC0-43E1-81AA-B1EA6550A815}"/>
    <cellStyle name="20% - Accent4 2 8 3" xfId="10820" xr:uid="{70D2CE97-7DE4-4905-AA73-8BD8EC461951}"/>
    <cellStyle name="20% - Accent4 2 8 4" xfId="19258" xr:uid="{789D9069-567C-44C4-9B16-C85F5C81351C}"/>
    <cellStyle name="20% - Accent4 2 9" xfId="4530" xr:uid="{00000000-0005-0000-0000-000031020000}"/>
    <cellStyle name="20% - Accent4 2 9 2" xfId="12972" xr:uid="{9962B1F1-F689-4F7E-A747-1714BBFD3A4F}"/>
    <cellStyle name="20% - Accent4 2 9 3" xfId="21409" xr:uid="{77BD1341-C2A4-49DD-8DE7-7B41506AD8E0}"/>
    <cellStyle name="20% - Accent4 3" xfId="30" xr:uid="{00000000-0005-0000-0000-000032020000}"/>
    <cellStyle name="20% - Accent4 3 10" xfId="17196" xr:uid="{3E215B17-3A92-4932-8245-0DBF800D438D}"/>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2 2 2" xfId="15536" xr:uid="{F2B4C8F4-4738-420C-8EB4-6BE8BB7EFDC8}"/>
    <cellStyle name="20% - Accent4 3 2 2 2 2 3" xfId="23973" xr:uid="{62B141AD-92BB-4D72-AC94-38DDC0359DF9}"/>
    <cellStyle name="20% - Accent4 3 2 2 2 3" xfId="11318" xr:uid="{D474CE51-73E2-4719-A41F-AAA1341F89C4}"/>
    <cellStyle name="20% - Accent4 3 2 2 2 4" xfId="19756" xr:uid="{2406BD04-6102-4355-B5E9-15F1FB932B20}"/>
    <cellStyle name="20% - Accent4 3 2 2 3" xfId="4949" xr:uid="{00000000-0005-0000-0000-000037020000}"/>
    <cellStyle name="20% - Accent4 3 2 2 3 2" xfId="13391" xr:uid="{45E6D5ED-CECF-4E45-AF86-78E52129EE49}"/>
    <cellStyle name="20% - Accent4 3 2 2 3 3" xfId="21828" xr:uid="{50B491D7-8A40-4F64-A819-B2E6004F5AC1}"/>
    <cellStyle name="20% - Accent4 3 2 2 4" xfId="9173" xr:uid="{FC00D6B4-C2EC-4FF1-A8A4-55605E01B230}"/>
    <cellStyle name="20% - Accent4 3 2 2 5" xfId="17611" xr:uid="{881AD240-2150-4A1E-8F52-8A8388712329}"/>
    <cellStyle name="20% - Accent4 3 2 3" xfId="1053" xr:uid="{00000000-0005-0000-0000-000038020000}"/>
    <cellStyle name="20% - Accent4 3 2 3 2" xfId="3284" xr:uid="{00000000-0005-0000-0000-000039020000}"/>
    <cellStyle name="20% - Accent4 3 2 3 2 2" xfId="7507" xr:uid="{00000000-0005-0000-0000-00003A020000}"/>
    <cellStyle name="20% - Accent4 3 2 3 2 2 2" xfId="15949" xr:uid="{A0C168E8-DCF7-4663-9DDB-6CA3F22A167F}"/>
    <cellStyle name="20% - Accent4 3 2 3 2 2 3" xfId="24386" xr:uid="{467FF500-9393-44BE-A648-EF8A77226A97}"/>
    <cellStyle name="20% - Accent4 3 2 3 2 3" xfId="11731" xr:uid="{1A7BA33B-5590-4000-9A54-C57161AB0DB8}"/>
    <cellStyle name="20% - Accent4 3 2 3 2 4" xfId="20169" xr:uid="{7AE6D9B8-55DC-402D-A0BD-556DA61E3B6C}"/>
    <cellStyle name="20% - Accent4 3 2 3 3" xfId="5362" xr:uid="{00000000-0005-0000-0000-00003B020000}"/>
    <cellStyle name="20% - Accent4 3 2 3 3 2" xfId="13804" xr:uid="{2594C6B7-D103-452A-B801-B44E66ACF241}"/>
    <cellStyle name="20% - Accent4 3 2 3 3 3" xfId="22241" xr:uid="{D035B826-3B76-424D-957D-FD47491F6800}"/>
    <cellStyle name="20% - Accent4 3 2 3 4" xfId="9586" xr:uid="{23EF85C3-DC68-4DC1-8721-0DD5EA525BCB}"/>
    <cellStyle name="20% - Accent4 3 2 3 5" xfId="18024" xr:uid="{1FEA0E85-5BAE-4CE2-8C65-7D60182787D0}"/>
    <cellStyle name="20% - Accent4 3 2 4" xfId="1467" xr:uid="{00000000-0005-0000-0000-00003C020000}"/>
    <cellStyle name="20% - Accent4 3 2 4 2" xfId="3697" xr:uid="{00000000-0005-0000-0000-00003D020000}"/>
    <cellStyle name="20% - Accent4 3 2 4 2 2" xfId="7920" xr:uid="{00000000-0005-0000-0000-00003E020000}"/>
    <cellStyle name="20% - Accent4 3 2 4 2 2 2" xfId="16362" xr:uid="{DF128A98-C29C-4945-BCAE-AC7FBAFF182E}"/>
    <cellStyle name="20% - Accent4 3 2 4 2 2 3" xfId="24799" xr:uid="{A3B73E2B-C91A-438E-8D40-32A397ACE065}"/>
    <cellStyle name="20% - Accent4 3 2 4 2 3" xfId="12144" xr:uid="{74708E9E-FE2E-4B41-BC6E-E9B8E151798F}"/>
    <cellStyle name="20% - Accent4 3 2 4 2 4" xfId="20582" xr:uid="{B6832FB0-9810-4F08-AAC9-1260AE0DC096}"/>
    <cellStyle name="20% - Accent4 3 2 4 3" xfId="5775" xr:uid="{00000000-0005-0000-0000-00003F020000}"/>
    <cellStyle name="20% - Accent4 3 2 4 3 2" xfId="14217" xr:uid="{8B60E749-02CD-4F66-87E3-4D7D7A170ABB}"/>
    <cellStyle name="20% - Accent4 3 2 4 3 3" xfId="22654" xr:uid="{BA0E73D7-D706-4A43-8063-73F2CCEECFA0}"/>
    <cellStyle name="20% - Accent4 3 2 4 4" xfId="9999" xr:uid="{D263E98E-15D0-4ABA-AB6B-ED4668EECF04}"/>
    <cellStyle name="20% - Accent4 3 2 4 5" xfId="18437" xr:uid="{E49082CD-FF3E-41B8-91FE-61FEEBE5BF3C}"/>
    <cellStyle name="20% - Accent4 3 2 5" xfId="1881" xr:uid="{00000000-0005-0000-0000-000040020000}"/>
    <cellStyle name="20% - Accent4 3 2 5 2" xfId="4110" xr:uid="{00000000-0005-0000-0000-000041020000}"/>
    <cellStyle name="20% - Accent4 3 2 5 2 2" xfId="8333" xr:uid="{00000000-0005-0000-0000-000042020000}"/>
    <cellStyle name="20% - Accent4 3 2 5 2 2 2" xfId="16775" xr:uid="{16FBE235-AEE9-4456-B430-E5D8D14933E3}"/>
    <cellStyle name="20% - Accent4 3 2 5 2 2 3" xfId="25212" xr:uid="{AB05CB79-CB95-4459-90F1-9DA75D43AAE0}"/>
    <cellStyle name="20% - Accent4 3 2 5 2 3" xfId="12557" xr:uid="{51408A44-8EDE-449A-B317-B7C76DCBC6C0}"/>
    <cellStyle name="20% - Accent4 3 2 5 2 4" xfId="20995" xr:uid="{AA011EDF-CD5A-47DE-824E-D57C9F2C0D79}"/>
    <cellStyle name="20% - Accent4 3 2 5 3" xfId="6188" xr:uid="{00000000-0005-0000-0000-000043020000}"/>
    <cellStyle name="20% - Accent4 3 2 5 3 2" xfId="14630" xr:uid="{1505E7B5-BAD7-41D2-9C93-F7014C6FBF7C}"/>
    <cellStyle name="20% - Accent4 3 2 5 3 3" xfId="23067" xr:uid="{72E6B91E-5A3C-470A-A709-CD7FA60B649F}"/>
    <cellStyle name="20% - Accent4 3 2 5 4" xfId="10412" xr:uid="{82A9C8B6-B89F-4E31-B9F9-0074A48EA600}"/>
    <cellStyle name="20% - Accent4 3 2 5 5" xfId="18850" xr:uid="{682E1883-799C-46C3-81D7-CF837B9DF0B7}"/>
    <cellStyle name="20% - Accent4 3 2 6" xfId="2294" xr:uid="{00000000-0005-0000-0000-000044020000}"/>
    <cellStyle name="20% - Accent4 3 2 6 2" xfId="6601" xr:uid="{00000000-0005-0000-0000-000045020000}"/>
    <cellStyle name="20% - Accent4 3 2 6 2 2" xfId="15043" xr:uid="{3FBA8BFB-69F1-4C6C-B046-A3C7DF7CFFA5}"/>
    <cellStyle name="20% - Accent4 3 2 6 2 3" xfId="23480" xr:uid="{38B20677-BF94-42BC-A29A-1C4E7956349D}"/>
    <cellStyle name="20% - Accent4 3 2 6 3" xfId="10825" xr:uid="{6A9DDE20-FAD0-4A02-B43F-284453E39DE1}"/>
    <cellStyle name="20% - Accent4 3 2 6 4" xfId="19263" xr:uid="{6912FA56-4FCE-4ED3-8D7D-0E92E5302AE3}"/>
    <cellStyle name="20% - Accent4 3 2 7" xfId="4535" xr:uid="{00000000-0005-0000-0000-000046020000}"/>
    <cellStyle name="20% - Accent4 3 2 7 2" xfId="12977" xr:uid="{97859C11-D7EC-4E28-89CC-CB7CDCF82461}"/>
    <cellStyle name="20% - Accent4 3 2 7 3" xfId="21414" xr:uid="{3ECDFF7A-B8E7-496D-BEFD-7AE9A4A6ACCC}"/>
    <cellStyle name="20% - Accent4 3 2 8" xfId="8759" xr:uid="{77B24D51-3DC7-47E6-BC29-FF8A2C37BAF2}"/>
    <cellStyle name="20% - Accent4 3 2 9" xfId="17197" xr:uid="{5B53E2EE-C6CF-4DC3-81B8-A8AE6CE331C6}"/>
    <cellStyle name="20% - Accent4 3 3" xfId="599" xr:uid="{00000000-0005-0000-0000-000047020000}"/>
    <cellStyle name="20% - Accent4 3 3 2" xfId="2870" xr:uid="{00000000-0005-0000-0000-000048020000}"/>
    <cellStyle name="20% - Accent4 3 3 2 2" xfId="7093" xr:uid="{00000000-0005-0000-0000-000049020000}"/>
    <cellStyle name="20% - Accent4 3 3 2 2 2" xfId="15535" xr:uid="{F1D599EB-5D1B-43DD-9EB5-BBAD6EBAB85C}"/>
    <cellStyle name="20% - Accent4 3 3 2 2 3" xfId="23972" xr:uid="{2C755AA7-4127-49CB-886E-522F13CA0B22}"/>
    <cellStyle name="20% - Accent4 3 3 2 3" xfId="11317" xr:uid="{37BB82E5-6B62-44B3-A189-CB499D167CC8}"/>
    <cellStyle name="20% - Accent4 3 3 2 4" xfId="19755" xr:uid="{7C1E83C7-6676-482A-9F34-493E550A7E52}"/>
    <cellStyle name="20% - Accent4 3 3 3" xfId="4948" xr:uid="{00000000-0005-0000-0000-00004A020000}"/>
    <cellStyle name="20% - Accent4 3 3 3 2" xfId="13390" xr:uid="{FA747628-4981-44D7-9DF8-5BD23D416E7A}"/>
    <cellStyle name="20% - Accent4 3 3 3 3" xfId="21827" xr:uid="{F68E0CBB-E130-4430-8B0C-A7068CA4FBC8}"/>
    <cellStyle name="20% - Accent4 3 3 4" xfId="9172" xr:uid="{F73CAB2D-62DC-410D-9EB1-7C14A218F3C3}"/>
    <cellStyle name="20% - Accent4 3 3 5" xfId="17610" xr:uid="{9727D9CC-4035-435E-B769-9E15CDF086EF}"/>
    <cellStyle name="20% - Accent4 3 4" xfId="1052" xr:uid="{00000000-0005-0000-0000-00004B020000}"/>
    <cellStyle name="20% - Accent4 3 4 2" xfId="3283" xr:uid="{00000000-0005-0000-0000-00004C020000}"/>
    <cellStyle name="20% - Accent4 3 4 2 2" xfId="7506" xr:uid="{00000000-0005-0000-0000-00004D020000}"/>
    <cellStyle name="20% - Accent4 3 4 2 2 2" xfId="15948" xr:uid="{98F8E4A0-7C50-42C6-B249-D0BDD68E8979}"/>
    <cellStyle name="20% - Accent4 3 4 2 2 3" xfId="24385" xr:uid="{C5A667B8-559D-405C-8ACC-1EB952161D69}"/>
    <cellStyle name="20% - Accent4 3 4 2 3" xfId="11730" xr:uid="{B0601302-9CFC-44C0-B3F1-79CFC3C0C5B3}"/>
    <cellStyle name="20% - Accent4 3 4 2 4" xfId="20168" xr:uid="{EEB23113-70CA-4439-9F6E-F2E300189BF8}"/>
    <cellStyle name="20% - Accent4 3 4 3" xfId="5361" xr:uid="{00000000-0005-0000-0000-00004E020000}"/>
    <cellStyle name="20% - Accent4 3 4 3 2" xfId="13803" xr:uid="{25150EE2-E725-4774-A0EA-44AA83997E77}"/>
    <cellStyle name="20% - Accent4 3 4 3 3" xfId="22240" xr:uid="{FF9F2763-437B-47DE-9DAF-EDAE9911C8E6}"/>
    <cellStyle name="20% - Accent4 3 4 4" xfId="9585" xr:uid="{D46D86CD-0641-40F4-9704-51F9CA70C577}"/>
    <cellStyle name="20% - Accent4 3 4 5" xfId="18023" xr:uid="{346809B4-9958-41EC-9407-4384C51FE7C3}"/>
    <cellStyle name="20% - Accent4 3 5" xfId="1466" xr:uid="{00000000-0005-0000-0000-00004F020000}"/>
    <cellStyle name="20% - Accent4 3 5 2" xfId="3696" xr:uid="{00000000-0005-0000-0000-000050020000}"/>
    <cellStyle name="20% - Accent4 3 5 2 2" xfId="7919" xr:uid="{00000000-0005-0000-0000-000051020000}"/>
    <cellStyle name="20% - Accent4 3 5 2 2 2" xfId="16361" xr:uid="{E9347C4C-B953-44AE-AB5B-7E83AC697F01}"/>
    <cellStyle name="20% - Accent4 3 5 2 2 3" xfId="24798" xr:uid="{44A63AD3-325C-404A-A589-9490D1780305}"/>
    <cellStyle name="20% - Accent4 3 5 2 3" xfId="12143" xr:uid="{192D293A-FACB-4B8D-8293-0359268A88CE}"/>
    <cellStyle name="20% - Accent4 3 5 2 4" xfId="20581" xr:uid="{D98BC261-F400-4D11-AFBA-75272AD67292}"/>
    <cellStyle name="20% - Accent4 3 5 3" xfId="5774" xr:uid="{00000000-0005-0000-0000-000052020000}"/>
    <cellStyle name="20% - Accent4 3 5 3 2" xfId="14216" xr:uid="{27CA9031-F4D2-4033-BB6C-9F0B3551DDE1}"/>
    <cellStyle name="20% - Accent4 3 5 3 3" xfId="22653" xr:uid="{123C4A46-1E73-4BEC-9E59-5D413DFBB0CF}"/>
    <cellStyle name="20% - Accent4 3 5 4" xfId="9998" xr:uid="{96D700E5-10E0-4CD0-A4A2-B4F513285BE1}"/>
    <cellStyle name="20% - Accent4 3 5 5" xfId="18436" xr:uid="{3E64410A-C558-4001-A999-E596A47CD2B9}"/>
    <cellStyle name="20% - Accent4 3 6" xfId="1880" xr:uid="{00000000-0005-0000-0000-000053020000}"/>
    <cellStyle name="20% - Accent4 3 6 2" xfId="4109" xr:uid="{00000000-0005-0000-0000-000054020000}"/>
    <cellStyle name="20% - Accent4 3 6 2 2" xfId="8332" xr:uid="{00000000-0005-0000-0000-000055020000}"/>
    <cellStyle name="20% - Accent4 3 6 2 2 2" xfId="16774" xr:uid="{D8EA2B2A-30F8-4389-A68C-31714DC4F811}"/>
    <cellStyle name="20% - Accent4 3 6 2 2 3" xfId="25211" xr:uid="{CD517E29-E346-4B3C-81F5-17B906EA80D9}"/>
    <cellStyle name="20% - Accent4 3 6 2 3" xfId="12556" xr:uid="{F3C4225B-7111-43E0-A729-05E98EFC2C69}"/>
    <cellStyle name="20% - Accent4 3 6 2 4" xfId="20994" xr:uid="{46A4D0FA-876A-4953-B848-96680B62342B}"/>
    <cellStyle name="20% - Accent4 3 6 3" xfId="6187" xr:uid="{00000000-0005-0000-0000-000056020000}"/>
    <cellStyle name="20% - Accent4 3 6 3 2" xfId="14629" xr:uid="{4E7CB8FF-D183-420C-AE80-9BD6456E95D3}"/>
    <cellStyle name="20% - Accent4 3 6 3 3" xfId="23066" xr:uid="{AD1C4E88-52CF-4E47-AE79-33463DE18DE1}"/>
    <cellStyle name="20% - Accent4 3 6 4" xfId="10411" xr:uid="{4DAE7E51-B2F7-4D35-BC00-EBE1F29735DA}"/>
    <cellStyle name="20% - Accent4 3 6 5" xfId="18849" xr:uid="{A5DA9BFD-A7FE-4F87-A77F-7CF87AC82D3F}"/>
    <cellStyle name="20% - Accent4 3 7" xfId="2293" xr:uid="{00000000-0005-0000-0000-000057020000}"/>
    <cellStyle name="20% - Accent4 3 7 2" xfId="6600" xr:uid="{00000000-0005-0000-0000-000058020000}"/>
    <cellStyle name="20% - Accent4 3 7 2 2" xfId="15042" xr:uid="{CAE555C3-C3DC-438B-B80E-1105F3002C58}"/>
    <cellStyle name="20% - Accent4 3 7 2 3" xfId="23479" xr:uid="{F5162E70-F1D5-4ECD-BB03-C0CB6F6934E0}"/>
    <cellStyle name="20% - Accent4 3 7 3" xfId="10824" xr:uid="{E7EC3E23-B2A0-4797-B9A5-472D54934241}"/>
    <cellStyle name="20% - Accent4 3 7 4" xfId="19262" xr:uid="{D8548661-9914-4C07-8989-6F30C23AA0F1}"/>
    <cellStyle name="20% - Accent4 3 8" xfId="4534" xr:uid="{00000000-0005-0000-0000-000059020000}"/>
    <cellStyle name="20% - Accent4 3 8 2" xfId="12976" xr:uid="{2077946B-A5BB-4D74-AA03-31E2EC068A29}"/>
    <cellStyle name="20% - Accent4 3 8 3" xfId="21413" xr:uid="{DF50DC38-9854-43DE-8603-45DB3EBA7837}"/>
    <cellStyle name="20% - Accent4 3 9" xfId="8758" xr:uid="{03A830F3-B03E-4B86-91E6-13534E8A8424}"/>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2 2 2" xfId="15537" xr:uid="{8991D373-8F08-4E72-BD4E-08ADE178EF44}"/>
    <cellStyle name="20% - Accent4 4 2 2 2 3" xfId="23974" xr:uid="{DBA19645-AC78-45E5-AEFD-A284C9187315}"/>
    <cellStyle name="20% - Accent4 4 2 2 3" xfId="11319" xr:uid="{C1ADF372-79F5-4DDA-89A3-65574B5B9C12}"/>
    <cellStyle name="20% - Accent4 4 2 2 4" xfId="19757" xr:uid="{036D2856-B576-40CB-B105-C7D00BDEE7E2}"/>
    <cellStyle name="20% - Accent4 4 2 3" xfId="4950" xr:uid="{00000000-0005-0000-0000-00005E020000}"/>
    <cellStyle name="20% - Accent4 4 2 3 2" xfId="13392" xr:uid="{6D2BC90A-2727-4D49-A531-5F9EF73FA1FE}"/>
    <cellStyle name="20% - Accent4 4 2 3 3" xfId="21829" xr:uid="{24FDEFB9-06A7-405C-B18B-1C69E73EFBB9}"/>
    <cellStyle name="20% - Accent4 4 2 4" xfId="9174" xr:uid="{7A79E1A2-6499-4E39-953A-5F9F8D8A9077}"/>
    <cellStyle name="20% - Accent4 4 2 5" xfId="17612" xr:uid="{403999D9-5F5E-4C02-A262-186E2B21F419}"/>
    <cellStyle name="20% - Accent4 4 3" xfId="1054" xr:uid="{00000000-0005-0000-0000-00005F020000}"/>
    <cellStyle name="20% - Accent4 4 3 2" xfId="3285" xr:uid="{00000000-0005-0000-0000-000060020000}"/>
    <cellStyle name="20% - Accent4 4 3 2 2" xfId="7508" xr:uid="{00000000-0005-0000-0000-000061020000}"/>
    <cellStyle name="20% - Accent4 4 3 2 2 2" xfId="15950" xr:uid="{228BF1F2-1A28-4D5E-A0F3-DEA84FF89BAE}"/>
    <cellStyle name="20% - Accent4 4 3 2 2 3" xfId="24387" xr:uid="{06636F9D-2D77-4D1C-9A56-1A115425B3A4}"/>
    <cellStyle name="20% - Accent4 4 3 2 3" xfId="11732" xr:uid="{5446EC89-D2C8-4540-8EEA-6FF89C3D42F8}"/>
    <cellStyle name="20% - Accent4 4 3 2 4" xfId="20170" xr:uid="{F1F711EA-8EDB-449D-826C-643B9669CF6A}"/>
    <cellStyle name="20% - Accent4 4 3 3" xfId="5363" xr:uid="{00000000-0005-0000-0000-000062020000}"/>
    <cellStyle name="20% - Accent4 4 3 3 2" xfId="13805" xr:uid="{8F66699B-C68D-42A7-B220-43CC3D956A34}"/>
    <cellStyle name="20% - Accent4 4 3 3 3" xfId="22242" xr:uid="{A09BDAC5-08DE-4664-871C-4764B559E695}"/>
    <cellStyle name="20% - Accent4 4 3 4" xfId="9587" xr:uid="{02641BE7-F892-4AA9-A6CF-C43F4B05E5B9}"/>
    <cellStyle name="20% - Accent4 4 3 5" xfId="18025" xr:uid="{9751A7A4-F618-4075-BD84-7AE15FCE3875}"/>
    <cellStyle name="20% - Accent4 4 4" xfId="1468" xr:uid="{00000000-0005-0000-0000-000063020000}"/>
    <cellStyle name="20% - Accent4 4 4 2" xfId="3698" xr:uid="{00000000-0005-0000-0000-000064020000}"/>
    <cellStyle name="20% - Accent4 4 4 2 2" xfId="7921" xr:uid="{00000000-0005-0000-0000-000065020000}"/>
    <cellStyle name="20% - Accent4 4 4 2 2 2" xfId="16363" xr:uid="{B08F8817-8FE8-47B6-9F49-180C4C37A9BF}"/>
    <cellStyle name="20% - Accent4 4 4 2 2 3" xfId="24800" xr:uid="{201E0167-56E0-4171-AB60-4122616FCF0D}"/>
    <cellStyle name="20% - Accent4 4 4 2 3" xfId="12145" xr:uid="{9527E9B8-68E2-4ED4-BD6B-604C3DDB686F}"/>
    <cellStyle name="20% - Accent4 4 4 2 4" xfId="20583" xr:uid="{2340A4FE-3705-410D-8C44-B8AD5CD5222C}"/>
    <cellStyle name="20% - Accent4 4 4 3" xfId="5776" xr:uid="{00000000-0005-0000-0000-000066020000}"/>
    <cellStyle name="20% - Accent4 4 4 3 2" xfId="14218" xr:uid="{72ED8483-5C9C-4A7B-8A71-EF44DB7DEFB3}"/>
    <cellStyle name="20% - Accent4 4 4 3 3" xfId="22655" xr:uid="{C93CF815-58DB-406C-AC95-2ACAAC8C19CC}"/>
    <cellStyle name="20% - Accent4 4 4 4" xfId="10000" xr:uid="{D1E784C4-B2BA-4446-A554-17652A9D8DDE}"/>
    <cellStyle name="20% - Accent4 4 4 5" xfId="18438" xr:uid="{9AEC582D-5021-44CA-B3FF-2830D4C2BED3}"/>
    <cellStyle name="20% - Accent4 4 5" xfId="1882" xr:uid="{00000000-0005-0000-0000-000067020000}"/>
    <cellStyle name="20% - Accent4 4 5 2" xfId="4111" xr:uid="{00000000-0005-0000-0000-000068020000}"/>
    <cellStyle name="20% - Accent4 4 5 2 2" xfId="8334" xr:uid="{00000000-0005-0000-0000-000069020000}"/>
    <cellStyle name="20% - Accent4 4 5 2 2 2" xfId="16776" xr:uid="{DA8F38B7-17D4-4086-9A42-3444A9849D8A}"/>
    <cellStyle name="20% - Accent4 4 5 2 2 3" xfId="25213" xr:uid="{E1493CA2-E06B-47D7-9EED-C83394660AB9}"/>
    <cellStyle name="20% - Accent4 4 5 2 3" xfId="12558" xr:uid="{047840E2-FA15-4219-8648-49CB46CD2F67}"/>
    <cellStyle name="20% - Accent4 4 5 2 4" xfId="20996" xr:uid="{8C7E4CDE-4035-47BC-A24C-983E69C73DF6}"/>
    <cellStyle name="20% - Accent4 4 5 3" xfId="6189" xr:uid="{00000000-0005-0000-0000-00006A020000}"/>
    <cellStyle name="20% - Accent4 4 5 3 2" xfId="14631" xr:uid="{A1FF55B9-9BF2-4B22-913D-A157B339FC0E}"/>
    <cellStyle name="20% - Accent4 4 5 3 3" xfId="23068" xr:uid="{541BCCC2-1DFF-4C76-9BF6-69B4D2BE2704}"/>
    <cellStyle name="20% - Accent4 4 5 4" xfId="10413" xr:uid="{07907CE0-7634-4D4B-A48C-F3EAAB44B021}"/>
    <cellStyle name="20% - Accent4 4 5 5" xfId="18851" xr:uid="{191B544A-F24D-4B0E-8107-3BCC8CEEFA70}"/>
    <cellStyle name="20% - Accent4 4 6" xfId="2295" xr:uid="{00000000-0005-0000-0000-00006B020000}"/>
    <cellStyle name="20% - Accent4 4 6 2" xfId="6602" xr:uid="{00000000-0005-0000-0000-00006C020000}"/>
    <cellStyle name="20% - Accent4 4 6 2 2" xfId="15044" xr:uid="{E7DCB49D-89C3-415E-B6E9-D470C2DE649E}"/>
    <cellStyle name="20% - Accent4 4 6 2 3" xfId="23481" xr:uid="{6A1E21D9-A9D7-45B0-A13C-AFCF76B5FE07}"/>
    <cellStyle name="20% - Accent4 4 6 3" xfId="10826" xr:uid="{FE2FF969-C286-4416-9309-6A956EB3468D}"/>
    <cellStyle name="20% - Accent4 4 6 4" xfId="19264" xr:uid="{54D1D773-4E63-43F1-8EAF-EC26783F994B}"/>
    <cellStyle name="20% - Accent4 4 7" xfId="4536" xr:uid="{00000000-0005-0000-0000-00006D020000}"/>
    <cellStyle name="20% - Accent4 4 7 2" xfId="12978" xr:uid="{913867FC-7327-4B50-A9A1-43E7D1F78682}"/>
    <cellStyle name="20% - Accent4 4 7 3" xfId="21415" xr:uid="{C2075BB5-3446-47C4-B343-A9E092917D3E}"/>
    <cellStyle name="20% - Accent4 4 8" xfId="8760" xr:uid="{E699FAD5-A13E-4F43-B50D-F9E08908C814}"/>
    <cellStyle name="20% - Accent4 4 9" xfId="17198" xr:uid="{A8F8F46B-FB33-4C81-87BD-A9AAF993E75D}"/>
    <cellStyle name="20% - Accent4 5" xfId="594" xr:uid="{00000000-0005-0000-0000-00006E020000}"/>
    <cellStyle name="20% - Accent4 5 2" xfId="2865" xr:uid="{00000000-0005-0000-0000-00006F020000}"/>
    <cellStyle name="20% - Accent4 5 2 2" xfId="7088" xr:uid="{00000000-0005-0000-0000-000070020000}"/>
    <cellStyle name="20% - Accent4 5 2 2 2" xfId="15530" xr:uid="{A7165CD4-34A7-45EB-89CA-D46E1BA4E57A}"/>
    <cellStyle name="20% - Accent4 5 2 2 3" xfId="23967" xr:uid="{891F7E64-64CC-4A13-AAD8-1CA5694D3331}"/>
    <cellStyle name="20% - Accent4 5 2 3" xfId="11312" xr:uid="{FF400376-1A54-41DD-96A0-F0EDF3E96683}"/>
    <cellStyle name="20% - Accent4 5 2 4" xfId="19750" xr:uid="{E2E64297-5B10-4C9B-ABB5-9A2C91A4C8B5}"/>
    <cellStyle name="20% - Accent4 5 3" xfId="4943" xr:uid="{00000000-0005-0000-0000-000071020000}"/>
    <cellStyle name="20% - Accent4 5 3 2" xfId="13385" xr:uid="{346377A6-8426-465E-B9F3-9F3CCC829463}"/>
    <cellStyle name="20% - Accent4 5 3 3" xfId="21822" xr:uid="{CCDB4A2D-6E70-47A4-8ACA-A292305EB6B3}"/>
    <cellStyle name="20% - Accent4 5 4" xfId="9167" xr:uid="{597525D5-83A4-4345-98AD-3BFA81B711A2}"/>
    <cellStyle name="20% - Accent4 5 5" xfId="17605" xr:uid="{A6416BD9-4B9F-4CB9-BD0E-5955FB5DADCD}"/>
    <cellStyle name="20% - Accent4 6" xfId="1047" xr:uid="{00000000-0005-0000-0000-000072020000}"/>
    <cellStyle name="20% - Accent4 6 2" xfId="3278" xr:uid="{00000000-0005-0000-0000-000073020000}"/>
    <cellStyle name="20% - Accent4 6 2 2" xfId="7501" xr:uid="{00000000-0005-0000-0000-000074020000}"/>
    <cellStyle name="20% - Accent4 6 2 2 2" xfId="15943" xr:uid="{AA6D3881-776E-4D24-99EA-2AADCEEB08BA}"/>
    <cellStyle name="20% - Accent4 6 2 2 3" xfId="24380" xr:uid="{44A0F3B1-6DCA-40FF-BAF0-C9A0246F3E08}"/>
    <cellStyle name="20% - Accent4 6 2 3" xfId="11725" xr:uid="{B8F77076-FC27-4461-A959-512E63685FC2}"/>
    <cellStyle name="20% - Accent4 6 2 4" xfId="20163" xr:uid="{F845C2B7-D69A-4931-B102-6B7C0C2CAE13}"/>
    <cellStyle name="20% - Accent4 6 3" xfId="5356" xr:uid="{00000000-0005-0000-0000-000075020000}"/>
    <cellStyle name="20% - Accent4 6 3 2" xfId="13798" xr:uid="{9D93EF96-C06C-4B04-80BF-2B268894085B}"/>
    <cellStyle name="20% - Accent4 6 3 3" xfId="22235" xr:uid="{73B9B002-AB1F-4A48-B319-A02F283D6A5F}"/>
    <cellStyle name="20% - Accent4 6 4" xfId="9580" xr:uid="{C9EE5BD9-8ACD-43B4-9B8E-F3EC393ADE80}"/>
    <cellStyle name="20% - Accent4 6 5" xfId="18018" xr:uid="{EB496B68-F991-4765-938A-552941D75CBC}"/>
    <cellStyle name="20% - Accent4 7" xfId="1461" xr:uid="{00000000-0005-0000-0000-000076020000}"/>
    <cellStyle name="20% - Accent4 7 2" xfId="3691" xr:uid="{00000000-0005-0000-0000-000077020000}"/>
    <cellStyle name="20% - Accent4 7 2 2" xfId="7914" xr:uid="{00000000-0005-0000-0000-000078020000}"/>
    <cellStyle name="20% - Accent4 7 2 2 2" xfId="16356" xr:uid="{D259B0CC-F7A8-4C95-BE35-6F2C94FC8E67}"/>
    <cellStyle name="20% - Accent4 7 2 2 3" xfId="24793" xr:uid="{4AAE9A16-2C3F-4907-AF7E-4FE7FD87E0E1}"/>
    <cellStyle name="20% - Accent4 7 2 3" xfId="12138" xr:uid="{E6709684-F91E-4CEA-BC28-BB245F4C57D6}"/>
    <cellStyle name="20% - Accent4 7 2 4" xfId="20576" xr:uid="{485FBEC6-9133-42A5-8746-0B726CC8746F}"/>
    <cellStyle name="20% - Accent4 7 3" xfId="5769" xr:uid="{00000000-0005-0000-0000-000079020000}"/>
    <cellStyle name="20% - Accent4 7 3 2" xfId="14211" xr:uid="{A72F35C8-06A4-46BE-937D-FCC233257E05}"/>
    <cellStyle name="20% - Accent4 7 3 3" xfId="22648" xr:uid="{A9ED1D90-6BB3-46DD-AF0C-A1B56D630682}"/>
    <cellStyle name="20% - Accent4 7 4" xfId="9993" xr:uid="{5B06AEE7-F3EB-4166-982D-5BAEC8182799}"/>
    <cellStyle name="20% - Accent4 7 5" xfId="18431" xr:uid="{17B76F5C-6695-42BE-8567-AFF6C5E40B93}"/>
    <cellStyle name="20% - Accent4 8" xfId="1875" xr:uid="{00000000-0005-0000-0000-00007A020000}"/>
    <cellStyle name="20% - Accent4 8 2" xfId="4104" xr:uid="{00000000-0005-0000-0000-00007B020000}"/>
    <cellStyle name="20% - Accent4 8 2 2" xfId="8327" xr:uid="{00000000-0005-0000-0000-00007C020000}"/>
    <cellStyle name="20% - Accent4 8 2 2 2" xfId="16769" xr:uid="{D2EE93C4-9CAA-4F2E-9281-330EC15E6231}"/>
    <cellStyle name="20% - Accent4 8 2 2 3" xfId="25206" xr:uid="{5DDB83A4-6C29-4C3D-B77D-480D24423B19}"/>
    <cellStyle name="20% - Accent4 8 2 3" xfId="12551" xr:uid="{4028DB11-83E3-4606-B368-9730F2F6B9C9}"/>
    <cellStyle name="20% - Accent4 8 2 4" xfId="20989" xr:uid="{205503FB-4D62-4220-9A7D-61F5E824FF9A}"/>
    <cellStyle name="20% - Accent4 8 3" xfId="6182" xr:uid="{00000000-0005-0000-0000-00007D020000}"/>
    <cellStyle name="20% - Accent4 8 3 2" xfId="14624" xr:uid="{0536368A-40FD-479F-A92F-EB5B148A3E9F}"/>
    <cellStyle name="20% - Accent4 8 3 3" xfId="23061" xr:uid="{D57CF532-1AFE-46F0-9A48-52E5267B6A95}"/>
    <cellStyle name="20% - Accent4 8 4" xfId="10406" xr:uid="{113A6153-958F-4E59-A749-ABADF90D1963}"/>
    <cellStyle name="20% - Accent4 8 5" xfId="18844" xr:uid="{733018FA-5A21-42BE-A6DB-6364F3BBFD4C}"/>
    <cellStyle name="20% - Accent4 9" xfId="2288" xr:uid="{00000000-0005-0000-0000-00007E020000}"/>
    <cellStyle name="20% - Accent4 9 2" xfId="6595" xr:uid="{00000000-0005-0000-0000-00007F020000}"/>
    <cellStyle name="20% - Accent4 9 2 2" xfId="15037" xr:uid="{00308C14-6367-49D1-B614-22FE85254739}"/>
    <cellStyle name="20% - Accent4 9 2 3" xfId="23474" xr:uid="{6FAB2F58-8986-4B2D-83C1-14FB2A87CD66}"/>
    <cellStyle name="20% - Accent4 9 3" xfId="10819" xr:uid="{827C429A-263F-4B46-8231-9485605E44E8}"/>
    <cellStyle name="20% - Accent4 9 4" xfId="19257" xr:uid="{FBFFBF3D-8A38-4EDB-9421-639A85B93E0E}"/>
    <cellStyle name="20% - Accent5" xfId="33" builtinId="46" customBuiltin="1"/>
    <cellStyle name="20% - Accent5 10" xfId="4537" xr:uid="{00000000-0005-0000-0000-000081020000}"/>
    <cellStyle name="20% - Accent5 10 2" xfId="12979" xr:uid="{3796BF1E-0EB6-4388-ADC8-8A107B2D6C8B}"/>
    <cellStyle name="20% - Accent5 10 3" xfId="21416" xr:uid="{6C6B875B-3E2C-4B1E-A2FD-CF50252FFE01}"/>
    <cellStyle name="20% - Accent5 11" xfId="8761" xr:uid="{9C0C1923-1A96-4C58-ABB0-2E2DCC095C8F}"/>
    <cellStyle name="20% - Accent5 12" xfId="17199" xr:uid="{9B57F1DE-1E96-4043-AF10-8313C50CDAEE}"/>
    <cellStyle name="20% - Accent5 2" xfId="34" xr:uid="{00000000-0005-0000-0000-000082020000}"/>
    <cellStyle name="20% - Accent5 2 10" xfId="8762" xr:uid="{124256E4-4CDB-4D0E-8FE8-312C53F42125}"/>
    <cellStyle name="20% - Accent5 2 11" xfId="17200" xr:uid="{BB16A150-4BC1-431A-8E88-872313D06330}"/>
    <cellStyle name="20% - Accent5 2 2" xfId="35" xr:uid="{00000000-0005-0000-0000-000083020000}"/>
    <cellStyle name="20% - Accent5 2 2 10" xfId="17201" xr:uid="{3456325F-2E86-46AE-921F-F89BBB3B811F}"/>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2 2 2" xfId="15541" xr:uid="{BD4D9427-E4D4-4B06-B7DB-D952D9F04398}"/>
    <cellStyle name="20% - Accent5 2 2 2 2 2 2 3" xfId="23978" xr:uid="{E77A37AD-FBB4-45AF-AC3E-A79BCBFEEBFE}"/>
    <cellStyle name="20% - Accent5 2 2 2 2 2 3" xfId="11323" xr:uid="{B2CEE602-5EDA-4D39-973C-1AE037C76433}"/>
    <cellStyle name="20% - Accent5 2 2 2 2 2 4" xfId="19761" xr:uid="{0C2F8B5E-D2CC-4AF2-AAAD-4F0A0FE91E12}"/>
    <cellStyle name="20% - Accent5 2 2 2 2 3" xfId="4954" xr:uid="{00000000-0005-0000-0000-000088020000}"/>
    <cellStyle name="20% - Accent5 2 2 2 2 3 2" xfId="13396" xr:uid="{AC2A5579-B856-45F9-BD3C-95635312CE27}"/>
    <cellStyle name="20% - Accent5 2 2 2 2 3 3" xfId="21833" xr:uid="{9CDAD44A-1A98-4B03-87F5-13AE31BA9026}"/>
    <cellStyle name="20% - Accent5 2 2 2 2 4" xfId="9178" xr:uid="{5644CE4D-50FC-4494-8811-CC9EC3931EB7}"/>
    <cellStyle name="20% - Accent5 2 2 2 2 5" xfId="17616" xr:uid="{A4531D6B-74BA-4B80-B6CC-0E8B1FE80BA2}"/>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2 2 2" xfId="15954" xr:uid="{437F4EA6-DC31-494F-9DD1-8FC65A38CAF5}"/>
    <cellStyle name="20% - Accent5 2 2 2 3 2 2 3" xfId="24391" xr:uid="{6CBE9E55-D0E0-47C3-8F7D-BD5B5070E12E}"/>
    <cellStyle name="20% - Accent5 2 2 2 3 2 3" xfId="11736" xr:uid="{BBF54665-7DC6-4BDF-B018-BC146E0DBE12}"/>
    <cellStyle name="20% - Accent5 2 2 2 3 2 4" xfId="20174" xr:uid="{B8EF425A-63BD-4E8E-B64A-39C2DD0B2DD0}"/>
    <cellStyle name="20% - Accent5 2 2 2 3 3" xfId="5367" xr:uid="{00000000-0005-0000-0000-00008C020000}"/>
    <cellStyle name="20% - Accent5 2 2 2 3 3 2" xfId="13809" xr:uid="{D15786F6-F027-4976-BB61-11E6638D5CC1}"/>
    <cellStyle name="20% - Accent5 2 2 2 3 3 3" xfId="22246" xr:uid="{9EC7D6F2-46EA-4401-ACC5-E06478D6C443}"/>
    <cellStyle name="20% - Accent5 2 2 2 3 4" xfId="9591" xr:uid="{8C08B93D-9828-4260-AA14-4AFE7E8BC30E}"/>
    <cellStyle name="20% - Accent5 2 2 2 3 5" xfId="18029" xr:uid="{F70BDC89-7281-4BE2-9BAC-B6CE347EDE61}"/>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2 2 2" xfId="16367" xr:uid="{5498CC37-A8B7-4EDA-929B-FE0F0AA90D5B}"/>
    <cellStyle name="20% - Accent5 2 2 2 4 2 2 3" xfId="24804" xr:uid="{801E73DE-B4C4-4C81-A191-E07278E7014A}"/>
    <cellStyle name="20% - Accent5 2 2 2 4 2 3" xfId="12149" xr:uid="{70F5DF13-5712-4801-B55D-85E02ACF937A}"/>
    <cellStyle name="20% - Accent5 2 2 2 4 2 4" xfId="20587" xr:uid="{26BC09AF-63BB-4C11-9E9D-186D9E338635}"/>
    <cellStyle name="20% - Accent5 2 2 2 4 3" xfId="5780" xr:uid="{00000000-0005-0000-0000-000090020000}"/>
    <cellStyle name="20% - Accent5 2 2 2 4 3 2" xfId="14222" xr:uid="{5736A356-F830-4DB2-81F4-727314FFD4F7}"/>
    <cellStyle name="20% - Accent5 2 2 2 4 3 3" xfId="22659" xr:uid="{7D263F71-BA5B-444B-B1AD-1F4A4995AC5F}"/>
    <cellStyle name="20% - Accent5 2 2 2 4 4" xfId="10004" xr:uid="{AAE040AB-77F8-4264-B69E-A437BB53CA1D}"/>
    <cellStyle name="20% - Accent5 2 2 2 4 5" xfId="18442" xr:uid="{0AA51E0C-6762-4EE5-A5D4-D1D148090E53}"/>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2 2 2" xfId="16780" xr:uid="{51668798-8DCE-4EF7-A00F-C42B4A809FD7}"/>
    <cellStyle name="20% - Accent5 2 2 2 5 2 2 3" xfId="25217" xr:uid="{68CB64F0-86E1-4CDD-A398-0CDBF0AD9B35}"/>
    <cellStyle name="20% - Accent5 2 2 2 5 2 3" xfId="12562" xr:uid="{9BA28F7C-C5A6-474C-AADE-3E323FC1C075}"/>
    <cellStyle name="20% - Accent5 2 2 2 5 2 4" xfId="21000" xr:uid="{CD0ED8E7-F2F1-4A77-8B94-CCE95C0B4871}"/>
    <cellStyle name="20% - Accent5 2 2 2 5 3" xfId="6193" xr:uid="{00000000-0005-0000-0000-000094020000}"/>
    <cellStyle name="20% - Accent5 2 2 2 5 3 2" xfId="14635" xr:uid="{24CB8842-EDA5-4E05-A261-E41B38397D82}"/>
    <cellStyle name="20% - Accent5 2 2 2 5 3 3" xfId="23072" xr:uid="{5CFAD00E-4CAE-4FFF-8E55-F5FE7D84305A}"/>
    <cellStyle name="20% - Accent5 2 2 2 5 4" xfId="10417" xr:uid="{E49F9CCA-6A92-43A7-9746-271DDC681A9B}"/>
    <cellStyle name="20% - Accent5 2 2 2 5 5" xfId="18855" xr:uid="{E481FABC-2B08-43AD-9CA9-A3D19354CAE8}"/>
    <cellStyle name="20% - Accent5 2 2 2 6" xfId="2299" xr:uid="{00000000-0005-0000-0000-000095020000}"/>
    <cellStyle name="20% - Accent5 2 2 2 6 2" xfId="6606" xr:uid="{00000000-0005-0000-0000-000096020000}"/>
    <cellStyle name="20% - Accent5 2 2 2 6 2 2" xfId="15048" xr:uid="{24A0D5BB-6765-4A4D-9F8A-364E332154A3}"/>
    <cellStyle name="20% - Accent5 2 2 2 6 2 3" xfId="23485" xr:uid="{2975781D-EE76-459A-972F-59FF46A4C38F}"/>
    <cellStyle name="20% - Accent5 2 2 2 6 3" xfId="10830" xr:uid="{81B0F786-6EBF-4879-AE88-3BFB56EE1610}"/>
    <cellStyle name="20% - Accent5 2 2 2 6 4" xfId="19268" xr:uid="{8C569FD1-A039-4F66-8796-A87F9259DE8E}"/>
    <cellStyle name="20% - Accent5 2 2 2 7" xfId="4540" xr:uid="{00000000-0005-0000-0000-000097020000}"/>
    <cellStyle name="20% - Accent5 2 2 2 7 2" xfId="12982" xr:uid="{C88ABA0C-0850-41F4-9D49-09B7C8B3C634}"/>
    <cellStyle name="20% - Accent5 2 2 2 7 3" xfId="21419" xr:uid="{B1FD1CCF-D4D4-40E4-8843-90F5476936B3}"/>
    <cellStyle name="20% - Accent5 2 2 2 8" xfId="8764" xr:uid="{ADAFA4FB-1BDF-42FD-A9E8-0F07687A8C05}"/>
    <cellStyle name="20% - Accent5 2 2 2 9" xfId="17202" xr:uid="{58E0B5C2-D75B-4705-B146-2FC15481D5D4}"/>
    <cellStyle name="20% - Accent5 2 2 3" xfId="604" xr:uid="{00000000-0005-0000-0000-000098020000}"/>
    <cellStyle name="20% - Accent5 2 2 3 2" xfId="2875" xr:uid="{00000000-0005-0000-0000-000099020000}"/>
    <cellStyle name="20% - Accent5 2 2 3 2 2" xfId="7098" xr:uid="{00000000-0005-0000-0000-00009A020000}"/>
    <cellStyle name="20% - Accent5 2 2 3 2 2 2" xfId="15540" xr:uid="{A99B120A-A118-4D91-9956-A498CF00EECC}"/>
    <cellStyle name="20% - Accent5 2 2 3 2 2 3" xfId="23977" xr:uid="{4E8747E1-0D94-45D0-8F33-DD32134E45D3}"/>
    <cellStyle name="20% - Accent5 2 2 3 2 3" xfId="11322" xr:uid="{62586960-8F9B-4E32-8F41-8BD5CA118B8A}"/>
    <cellStyle name="20% - Accent5 2 2 3 2 4" xfId="19760" xr:uid="{CE93126C-5A79-43A4-865C-6B5A30CBD85D}"/>
    <cellStyle name="20% - Accent5 2 2 3 3" xfId="4953" xr:uid="{00000000-0005-0000-0000-00009B020000}"/>
    <cellStyle name="20% - Accent5 2 2 3 3 2" xfId="13395" xr:uid="{24472930-9D15-435E-98FC-D0CDD74F5E68}"/>
    <cellStyle name="20% - Accent5 2 2 3 3 3" xfId="21832" xr:uid="{D44F2D6E-26B6-440F-BE9F-46B79A389167}"/>
    <cellStyle name="20% - Accent5 2 2 3 4" xfId="9177" xr:uid="{2B1F77E6-A29B-4D9A-B2D5-06D34559AD5F}"/>
    <cellStyle name="20% - Accent5 2 2 3 5" xfId="17615" xr:uid="{7E59AD15-A010-4233-8163-56FBB48F1694}"/>
    <cellStyle name="20% - Accent5 2 2 4" xfId="1057" xr:uid="{00000000-0005-0000-0000-00009C020000}"/>
    <cellStyle name="20% - Accent5 2 2 4 2" xfId="3288" xr:uid="{00000000-0005-0000-0000-00009D020000}"/>
    <cellStyle name="20% - Accent5 2 2 4 2 2" xfId="7511" xr:uid="{00000000-0005-0000-0000-00009E020000}"/>
    <cellStyle name="20% - Accent5 2 2 4 2 2 2" xfId="15953" xr:uid="{1A217408-D727-466C-8A00-23FD0EBFAF10}"/>
    <cellStyle name="20% - Accent5 2 2 4 2 2 3" xfId="24390" xr:uid="{1DE5FD01-8980-488B-98F4-2AD92300AE80}"/>
    <cellStyle name="20% - Accent5 2 2 4 2 3" xfId="11735" xr:uid="{7C9A5215-3866-47D8-9326-A51204BF3E3C}"/>
    <cellStyle name="20% - Accent5 2 2 4 2 4" xfId="20173" xr:uid="{C288C467-E43E-488B-8F6C-80C4B97AFA7C}"/>
    <cellStyle name="20% - Accent5 2 2 4 3" xfId="5366" xr:uid="{00000000-0005-0000-0000-00009F020000}"/>
    <cellStyle name="20% - Accent5 2 2 4 3 2" xfId="13808" xr:uid="{5C4EE962-F468-4CD4-A67B-3BA8A23889B0}"/>
    <cellStyle name="20% - Accent5 2 2 4 3 3" xfId="22245" xr:uid="{83014A2A-1917-4033-94C8-45E5D2662CFA}"/>
    <cellStyle name="20% - Accent5 2 2 4 4" xfId="9590" xr:uid="{5F2D8A3E-7A66-42FA-99C6-0624FD9F2C82}"/>
    <cellStyle name="20% - Accent5 2 2 4 5" xfId="18028" xr:uid="{22803519-B903-4D3F-A8A1-9E46218DA70B}"/>
    <cellStyle name="20% - Accent5 2 2 5" xfId="1471" xr:uid="{00000000-0005-0000-0000-0000A0020000}"/>
    <cellStyle name="20% - Accent5 2 2 5 2" xfId="3701" xr:uid="{00000000-0005-0000-0000-0000A1020000}"/>
    <cellStyle name="20% - Accent5 2 2 5 2 2" xfId="7924" xr:uid="{00000000-0005-0000-0000-0000A2020000}"/>
    <cellStyle name="20% - Accent5 2 2 5 2 2 2" xfId="16366" xr:uid="{3EF98764-0BB4-4151-A028-4F28EB327F11}"/>
    <cellStyle name="20% - Accent5 2 2 5 2 2 3" xfId="24803" xr:uid="{91C93604-3D2A-4E56-A069-D8ACA47C5448}"/>
    <cellStyle name="20% - Accent5 2 2 5 2 3" xfId="12148" xr:uid="{A0F75CCB-FC4B-4CAE-8DE3-8BB3906F24C9}"/>
    <cellStyle name="20% - Accent5 2 2 5 2 4" xfId="20586" xr:uid="{9C94682B-B301-49C9-BB19-69D699C0FF2E}"/>
    <cellStyle name="20% - Accent5 2 2 5 3" xfId="5779" xr:uid="{00000000-0005-0000-0000-0000A3020000}"/>
    <cellStyle name="20% - Accent5 2 2 5 3 2" xfId="14221" xr:uid="{79F04F8E-B05C-4AC5-AD6E-1C7447E903A9}"/>
    <cellStyle name="20% - Accent5 2 2 5 3 3" xfId="22658" xr:uid="{AC126A33-ACCB-4AC3-B702-AAEAE849435A}"/>
    <cellStyle name="20% - Accent5 2 2 5 4" xfId="10003" xr:uid="{9953F079-F27C-4F1D-AE76-717A4411E814}"/>
    <cellStyle name="20% - Accent5 2 2 5 5" xfId="18441" xr:uid="{8E5FA042-40F4-4797-A4CC-999F0B159885}"/>
    <cellStyle name="20% - Accent5 2 2 6" xfId="1885" xr:uid="{00000000-0005-0000-0000-0000A4020000}"/>
    <cellStyle name="20% - Accent5 2 2 6 2" xfId="4114" xr:uid="{00000000-0005-0000-0000-0000A5020000}"/>
    <cellStyle name="20% - Accent5 2 2 6 2 2" xfId="8337" xr:uid="{00000000-0005-0000-0000-0000A6020000}"/>
    <cellStyle name="20% - Accent5 2 2 6 2 2 2" xfId="16779" xr:uid="{FDB925F8-752A-4B0E-9237-CB2D002F572E}"/>
    <cellStyle name="20% - Accent5 2 2 6 2 2 3" xfId="25216" xr:uid="{3C293AD1-A622-4588-A362-B9B159657DBD}"/>
    <cellStyle name="20% - Accent5 2 2 6 2 3" xfId="12561" xr:uid="{7A911062-B107-4AAC-A533-846EF6DB0F3F}"/>
    <cellStyle name="20% - Accent5 2 2 6 2 4" xfId="20999" xr:uid="{07F00F5C-A5D8-430C-8766-0E80AE03FB43}"/>
    <cellStyle name="20% - Accent5 2 2 6 3" xfId="6192" xr:uid="{00000000-0005-0000-0000-0000A7020000}"/>
    <cellStyle name="20% - Accent5 2 2 6 3 2" xfId="14634" xr:uid="{A97BC92C-72F3-4FA3-ACD0-04D6D2AE192D}"/>
    <cellStyle name="20% - Accent5 2 2 6 3 3" xfId="23071" xr:uid="{137F5E8B-15CC-434A-8C7E-75006B837493}"/>
    <cellStyle name="20% - Accent5 2 2 6 4" xfId="10416" xr:uid="{A6A495C9-1747-467C-8153-6F820F6AB921}"/>
    <cellStyle name="20% - Accent5 2 2 6 5" xfId="18854" xr:uid="{1D332EB9-FA5B-421D-8509-0CD7E7550209}"/>
    <cellStyle name="20% - Accent5 2 2 7" xfId="2298" xr:uid="{00000000-0005-0000-0000-0000A8020000}"/>
    <cellStyle name="20% - Accent5 2 2 7 2" xfId="6605" xr:uid="{00000000-0005-0000-0000-0000A9020000}"/>
    <cellStyle name="20% - Accent5 2 2 7 2 2" xfId="15047" xr:uid="{A4B14D53-9D35-45AB-89FF-8F5BB2D392EB}"/>
    <cellStyle name="20% - Accent5 2 2 7 2 3" xfId="23484" xr:uid="{68D5EE35-9DCE-4220-BE16-969EC28A6F29}"/>
    <cellStyle name="20% - Accent5 2 2 7 3" xfId="10829" xr:uid="{CE5E0432-1A47-4BDB-ABF9-DC863136756F}"/>
    <cellStyle name="20% - Accent5 2 2 7 4" xfId="19267" xr:uid="{F56BD117-D211-4CF1-8E7E-285959DFA5CF}"/>
    <cellStyle name="20% - Accent5 2 2 8" xfId="4539" xr:uid="{00000000-0005-0000-0000-0000AA020000}"/>
    <cellStyle name="20% - Accent5 2 2 8 2" xfId="12981" xr:uid="{F3B4EEA0-8198-447A-B259-E10FD16FEB18}"/>
    <cellStyle name="20% - Accent5 2 2 8 3" xfId="21418" xr:uid="{2E0A9526-F00B-4E0E-835A-A29ECC5D197F}"/>
    <cellStyle name="20% - Accent5 2 2 9" xfId="8763" xr:uid="{C4A845C8-0CE1-40D9-BC02-AAB722AC6209}"/>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2 2 2" xfId="15542" xr:uid="{8E0C4CBF-51B0-4110-91BC-97BC0742A222}"/>
    <cellStyle name="20% - Accent5 2 3 2 2 2 3" xfId="23979" xr:uid="{FA885910-36FE-4691-BD44-6C6642A9590F}"/>
    <cellStyle name="20% - Accent5 2 3 2 2 3" xfId="11324" xr:uid="{F309C382-9A5D-447C-8198-3B4FD6F75EFD}"/>
    <cellStyle name="20% - Accent5 2 3 2 2 4" xfId="19762" xr:uid="{9EEEA46D-1F2F-4EE2-828D-01CD2C15274A}"/>
    <cellStyle name="20% - Accent5 2 3 2 3" xfId="4955" xr:uid="{00000000-0005-0000-0000-0000AF020000}"/>
    <cellStyle name="20% - Accent5 2 3 2 3 2" xfId="13397" xr:uid="{EA205584-3635-4B4C-9856-C961E760A64E}"/>
    <cellStyle name="20% - Accent5 2 3 2 3 3" xfId="21834" xr:uid="{4262C1C3-45A4-4C6D-975F-011D86A1599B}"/>
    <cellStyle name="20% - Accent5 2 3 2 4" xfId="9179" xr:uid="{72774347-CFD9-48BC-8F57-DCAF7265039C}"/>
    <cellStyle name="20% - Accent5 2 3 2 5" xfId="17617" xr:uid="{BA07C2D6-9918-4C81-AB90-5964229207D1}"/>
    <cellStyle name="20% - Accent5 2 3 3" xfId="1059" xr:uid="{00000000-0005-0000-0000-0000B0020000}"/>
    <cellStyle name="20% - Accent5 2 3 3 2" xfId="3290" xr:uid="{00000000-0005-0000-0000-0000B1020000}"/>
    <cellStyle name="20% - Accent5 2 3 3 2 2" xfId="7513" xr:uid="{00000000-0005-0000-0000-0000B2020000}"/>
    <cellStyle name="20% - Accent5 2 3 3 2 2 2" xfId="15955" xr:uid="{4AA120CE-238D-41D1-81EF-375AA9A2CF4E}"/>
    <cellStyle name="20% - Accent5 2 3 3 2 2 3" xfId="24392" xr:uid="{25FED50A-B649-4790-A37A-9B27A54F7D79}"/>
    <cellStyle name="20% - Accent5 2 3 3 2 3" xfId="11737" xr:uid="{C370A67A-EB9B-41BE-BD2A-D85FCD15BDE2}"/>
    <cellStyle name="20% - Accent5 2 3 3 2 4" xfId="20175" xr:uid="{A13B6E6E-3C67-435D-AFE4-2F102EE1259D}"/>
    <cellStyle name="20% - Accent5 2 3 3 3" xfId="5368" xr:uid="{00000000-0005-0000-0000-0000B3020000}"/>
    <cellStyle name="20% - Accent5 2 3 3 3 2" xfId="13810" xr:uid="{5EB50CA3-233D-48BD-A16D-D9BEC32A0671}"/>
    <cellStyle name="20% - Accent5 2 3 3 3 3" xfId="22247" xr:uid="{DC04B876-C0D0-4501-A910-3E1B8427C01F}"/>
    <cellStyle name="20% - Accent5 2 3 3 4" xfId="9592" xr:uid="{4CD08A41-9AC8-46AA-B003-F4BF6A0313E0}"/>
    <cellStyle name="20% - Accent5 2 3 3 5" xfId="18030" xr:uid="{1A312B9A-D3DA-4503-AB99-7CBE44F54156}"/>
    <cellStyle name="20% - Accent5 2 3 4" xfId="1473" xr:uid="{00000000-0005-0000-0000-0000B4020000}"/>
    <cellStyle name="20% - Accent5 2 3 4 2" xfId="3703" xr:uid="{00000000-0005-0000-0000-0000B5020000}"/>
    <cellStyle name="20% - Accent5 2 3 4 2 2" xfId="7926" xr:uid="{00000000-0005-0000-0000-0000B6020000}"/>
    <cellStyle name="20% - Accent5 2 3 4 2 2 2" xfId="16368" xr:uid="{02FFD50E-0198-4E2A-B6A8-809D61FB98A0}"/>
    <cellStyle name="20% - Accent5 2 3 4 2 2 3" xfId="24805" xr:uid="{4E35D479-9E1B-4006-A7FF-3FFBC0D793D1}"/>
    <cellStyle name="20% - Accent5 2 3 4 2 3" xfId="12150" xr:uid="{BEF929BC-F536-4D52-85E8-69A8D82446C4}"/>
    <cellStyle name="20% - Accent5 2 3 4 2 4" xfId="20588" xr:uid="{835AD462-CFFC-4208-BBEB-E69953D22AEA}"/>
    <cellStyle name="20% - Accent5 2 3 4 3" xfId="5781" xr:uid="{00000000-0005-0000-0000-0000B7020000}"/>
    <cellStyle name="20% - Accent5 2 3 4 3 2" xfId="14223" xr:uid="{2FEE0656-62E3-4E27-B226-8C6756761D75}"/>
    <cellStyle name="20% - Accent5 2 3 4 3 3" xfId="22660" xr:uid="{4B4A2B60-5167-4BD6-82BB-E922476CA2F1}"/>
    <cellStyle name="20% - Accent5 2 3 4 4" xfId="10005" xr:uid="{9A79E226-9777-4985-9460-B955AA49B00B}"/>
    <cellStyle name="20% - Accent5 2 3 4 5" xfId="18443" xr:uid="{80596082-E352-4F1B-8577-B66D6EF0FA4B}"/>
    <cellStyle name="20% - Accent5 2 3 5" xfId="1887" xr:uid="{00000000-0005-0000-0000-0000B8020000}"/>
    <cellStyle name="20% - Accent5 2 3 5 2" xfId="4116" xr:uid="{00000000-0005-0000-0000-0000B9020000}"/>
    <cellStyle name="20% - Accent5 2 3 5 2 2" xfId="8339" xr:uid="{00000000-0005-0000-0000-0000BA020000}"/>
    <cellStyle name="20% - Accent5 2 3 5 2 2 2" xfId="16781" xr:uid="{01EF8120-7D79-4996-95B0-164742CD818A}"/>
    <cellStyle name="20% - Accent5 2 3 5 2 2 3" xfId="25218" xr:uid="{923D52B6-D97E-4EAC-853B-CF1F6138AB3E}"/>
    <cellStyle name="20% - Accent5 2 3 5 2 3" xfId="12563" xr:uid="{02EE0721-A8F6-4B61-AE02-2DFC0CCA8965}"/>
    <cellStyle name="20% - Accent5 2 3 5 2 4" xfId="21001" xr:uid="{D61158AD-5B74-42E1-85A4-5EFD31041963}"/>
    <cellStyle name="20% - Accent5 2 3 5 3" xfId="6194" xr:uid="{00000000-0005-0000-0000-0000BB020000}"/>
    <cellStyle name="20% - Accent5 2 3 5 3 2" xfId="14636" xr:uid="{3827D758-D0EF-4538-B19B-07F1E11403C0}"/>
    <cellStyle name="20% - Accent5 2 3 5 3 3" xfId="23073" xr:uid="{C2D336E4-8072-4AB6-B187-FF5A59E772C4}"/>
    <cellStyle name="20% - Accent5 2 3 5 4" xfId="10418" xr:uid="{FF4290EE-C361-4F33-BF98-2209407F6877}"/>
    <cellStyle name="20% - Accent5 2 3 5 5" xfId="18856" xr:uid="{A702D87E-0169-43D2-93C0-9531D1C106AC}"/>
    <cellStyle name="20% - Accent5 2 3 6" xfId="2300" xr:uid="{00000000-0005-0000-0000-0000BC020000}"/>
    <cellStyle name="20% - Accent5 2 3 6 2" xfId="6607" xr:uid="{00000000-0005-0000-0000-0000BD020000}"/>
    <cellStyle name="20% - Accent5 2 3 6 2 2" xfId="15049" xr:uid="{FEDCA5F0-A99E-46B2-9FB5-6BDF9D0F3FA4}"/>
    <cellStyle name="20% - Accent5 2 3 6 2 3" xfId="23486" xr:uid="{32380EEF-F0A5-4B9B-A1D9-DD674D84E2A4}"/>
    <cellStyle name="20% - Accent5 2 3 6 3" xfId="10831" xr:uid="{3B9BABEF-698A-4DBF-B138-FCD35D531B79}"/>
    <cellStyle name="20% - Accent5 2 3 6 4" xfId="19269" xr:uid="{06321BD1-6BDB-4D16-9E1A-92C41469A309}"/>
    <cellStyle name="20% - Accent5 2 3 7" xfId="4541" xr:uid="{00000000-0005-0000-0000-0000BE020000}"/>
    <cellStyle name="20% - Accent5 2 3 7 2" xfId="12983" xr:uid="{19C4EE3E-79A6-4D75-BDAF-1FC501CEF0FC}"/>
    <cellStyle name="20% - Accent5 2 3 7 3" xfId="21420" xr:uid="{F15631D9-E953-40FA-83B3-08931DC34FBF}"/>
    <cellStyle name="20% - Accent5 2 3 8" xfId="8765" xr:uid="{C6893D94-AB37-4A79-9358-6B3A2D107DF3}"/>
    <cellStyle name="20% - Accent5 2 3 9" xfId="17203" xr:uid="{1D5D412E-7F68-44A7-895C-0320795479A3}"/>
    <cellStyle name="20% - Accent5 2 4" xfId="603" xr:uid="{00000000-0005-0000-0000-0000BF020000}"/>
    <cellStyle name="20% - Accent5 2 4 2" xfId="2874" xr:uid="{00000000-0005-0000-0000-0000C0020000}"/>
    <cellStyle name="20% - Accent5 2 4 2 2" xfId="7097" xr:uid="{00000000-0005-0000-0000-0000C1020000}"/>
    <cellStyle name="20% - Accent5 2 4 2 2 2" xfId="15539" xr:uid="{2263A54A-A781-4C55-89B8-05646FD6D5D8}"/>
    <cellStyle name="20% - Accent5 2 4 2 2 3" xfId="23976" xr:uid="{8B214573-095A-4086-BFF1-2D95517A0850}"/>
    <cellStyle name="20% - Accent5 2 4 2 3" xfId="11321" xr:uid="{F037DD2E-5EF8-46C2-82B8-BA4FD10016D1}"/>
    <cellStyle name="20% - Accent5 2 4 2 4" xfId="19759" xr:uid="{DD906B17-D61B-46A4-9F76-DABBF01FECF8}"/>
    <cellStyle name="20% - Accent5 2 4 3" xfId="4952" xr:uid="{00000000-0005-0000-0000-0000C2020000}"/>
    <cellStyle name="20% - Accent5 2 4 3 2" xfId="13394" xr:uid="{B6CBBB01-3DDF-4DB5-8437-9CFB5C9A6A6F}"/>
    <cellStyle name="20% - Accent5 2 4 3 3" xfId="21831" xr:uid="{58ED6BAC-C309-469E-8E74-4A9DA4D54624}"/>
    <cellStyle name="20% - Accent5 2 4 4" xfId="9176" xr:uid="{3FE2E533-5B5E-4B04-B1DE-9BA38BFAF211}"/>
    <cellStyle name="20% - Accent5 2 4 5" xfId="17614" xr:uid="{DBDAF605-6913-4847-A351-9632788A6740}"/>
    <cellStyle name="20% - Accent5 2 5" xfId="1056" xr:uid="{00000000-0005-0000-0000-0000C3020000}"/>
    <cellStyle name="20% - Accent5 2 5 2" xfId="3287" xr:uid="{00000000-0005-0000-0000-0000C4020000}"/>
    <cellStyle name="20% - Accent5 2 5 2 2" xfId="7510" xr:uid="{00000000-0005-0000-0000-0000C5020000}"/>
    <cellStyle name="20% - Accent5 2 5 2 2 2" xfId="15952" xr:uid="{40418246-EBF3-40C7-BC90-93BA081DBEAB}"/>
    <cellStyle name="20% - Accent5 2 5 2 2 3" xfId="24389" xr:uid="{A7E714B4-1328-4BC7-B41B-88E27DDF5D8D}"/>
    <cellStyle name="20% - Accent5 2 5 2 3" xfId="11734" xr:uid="{9ADFFF58-BC61-470D-9700-5FA29486F4F9}"/>
    <cellStyle name="20% - Accent5 2 5 2 4" xfId="20172" xr:uid="{E218B969-9C9D-4257-98CE-4023A0A9EBCC}"/>
    <cellStyle name="20% - Accent5 2 5 3" xfId="5365" xr:uid="{00000000-0005-0000-0000-0000C6020000}"/>
    <cellStyle name="20% - Accent5 2 5 3 2" xfId="13807" xr:uid="{DB0734B2-949C-4542-A60A-68CA463347D0}"/>
    <cellStyle name="20% - Accent5 2 5 3 3" xfId="22244" xr:uid="{0D9B6939-A97D-4FD5-918A-AA11AF77C49E}"/>
    <cellStyle name="20% - Accent5 2 5 4" xfId="9589" xr:uid="{A84526F7-F884-4096-A2D6-8F66C639B9E1}"/>
    <cellStyle name="20% - Accent5 2 5 5" xfId="18027" xr:uid="{116E8768-22D6-4671-9B03-E62DDC06F0ED}"/>
    <cellStyle name="20% - Accent5 2 6" xfId="1470" xr:uid="{00000000-0005-0000-0000-0000C7020000}"/>
    <cellStyle name="20% - Accent5 2 6 2" xfId="3700" xr:uid="{00000000-0005-0000-0000-0000C8020000}"/>
    <cellStyle name="20% - Accent5 2 6 2 2" xfId="7923" xr:uid="{00000000-0005-0000-0000-0000C9020000}"/>
    <cellStyle name="20% - Accent5 2 6 2 2 2" xfId="16365" xr:uid="{4CF9C36A-A03E-4C91-BF7E-43454E8D40B5}"/>
    <cellStyle name="20% - Accent5 2 6 2 2 3" xfId="24802" xr:uid="{7DB20292-4747-4557-87D2-549081DF0FDA}"/>
    <cellStyle name="20% - Accent5 2 6 2 3" xfId="12147" xr:uid="{3C857EEF-DED6-4FCA-8BB1-2D467831AE69}"/>
    <cellStyle name="20% - Accent5 2 6 2 4" xfId="20585" xr:uid="{58639BB9-5E9D-4102-BB02-CF236F1F9895}"/>
    <cellStyle name="20% - Accent5 2 6 3" xfId="5778" xr:uid="{00000000-0005-0000-0000-0000CA020000}"/>
    <cellStyle name="20% - Accent5 2 6 3 2" xfId="14220" xr:uid="{849E9D01-08E3-4DBB-AFE8-A5B3D6BA2067}"/>
    <cellStyle name="20% - Accent5 2 6 3 3" xfId="22657" xr:uid="{EFDD5CAF-1966-4AE7-BE9A-AA4329E8B55E}"/>
    <cellStyle name="20% - Accent5 2 6 4" xfId="10002" xr:uid="{0FC639AB-9DC3-4B62-89D4-70E009C305B3}"/>
    <cellStyle name="20% - Accent5 2 6 5" xfId="18440" xr:uid="{72A34A48-ACFB-43AB-9178-B0F4FB5A987E}"/>
    <cellStyle name="20% - Accent5 2 7" xfId="1884" xr:uid="{00000000-0005-0000-0000-0000CB020000}"/>
    <cellStyle name="20% - Accent5 2 7 2" xfId="4113" xr:uid="{00000000-0005-0000-0000-0000CC020000}"/>
    <cellStyle name="20% - Accent5 2 7 2 2" xfId="8336" xr:uid="{00000000-0005-0000-0000-0000CD020000}"/>
    <cellStyle name="20% - Accent5 2 7 2 2 2" xfId="16778" xr:uid="{98E7F311-6839-4D62-A8F7-F949837ADF88}"/>
    <cellStyle name="20% - Accent5 2 7 2 2 3" xfId="25215" xr:uid="{7D3209F0-ED46-47E5-A154-1B742037C054}"/>
    <cellStyle name="20% - Accent5 2 7 2 3" xfId="12560" xr:uid="{9ACB8914-DDD0-4014-BC04-D9EDECA4E924}"/>
    <cellStyle name="20% - Accent5 2 7 2 4" xfId="20998" xr:uid="{3B38F07A-AFD7-4A1D-AAD6-3E3F9DE84F31}"/>
    <cellStyle name="20% - Accent5 2 7 3" xfId="6191" xr:uid="{00000000-0005-0000-0000-0000CE020000}"/>
    <cellStyle name="20% - Accent5 2 7 3 2" xfId="14633" xr:uid="{E0CD5C49-48C8-4E12-8215-A09F70510EAF}"/>
    <cellStyle name="20% - Accent5 2 7 3 3" xfId="23070" xr:uid="{336AC09F-FFA0-4CD9-B9EA-B252EA423A3C}"/>
    <cellStyle name="20% - Accent5 2 7 4" xfId="10415" xr:uid="{9B96CBDA-9682-4A13-9681-0800DEF46729}"/>
    <cellStyle name="20% - Accent5 2 7 5" xfId="18853" xr:uid="{ED70E01A-EF15-435C-9642-3A59FA0F73E2}"/>
    <cellStyle name="20% - Accent5 2 8" xfId="2297" xr:uid="{00000000-0005-0000-0000-0000CF020000}"/>
    <cellStyle name="20% - Accent5 2 8 2" xfId="6604" xr:uid="{00000000-0005-0000-0000-0000D0020000}"/>
    <cellStyle name="20% - Accent5 2 8 2 2" xfId="15046" xr:uid="{4F8EE166-8E7D-41D6-AE3D-D41E3A522CE6}"/>
    <cellStyle name="20% - Accent5 2 8 2 3" xfId="23483" xr:uid="{566EF57E-5E87-4DC1-B6EC-8C3635C2F122}"/>
    <cellStyle name="20% - Accent5 2 8 3" xfId="10828" xr:uid="{C678EE3A-3D20-42EE-B953-B11C0D717B6F}"/>
    <cellStyle name="20% - Accent5 2 8 4" xfId="19266" xr:uid="{99E843E8-1866-4E85-ADC3-3F55FC615282}"/>
    <cellStyle name="20% - Accent5 2 9" xfId="4538" xr:uid="{00000000-0005-0000-0000-0000D1020000}"/>
    <cellStyle name="20% - Accent5 2 9 2" xfId="12980" xr:uid="{3E178423-8CA0-4DA7-A8B8-FC45D1AF06E0}"/>
    <cellStyle name="20% - Accent5 2 9 3" xfId="21417" xr:uid="{CF509E7F-3FAA-4438-B34B-F2368B55A69E}"/>
    <cellStyle name="20% - Accent5 3" xfId="38" xr:uid="{00000000-0005-0000-0000-0000D2020000}"/>
    <cellStyle name="20% - Accent5 3 10" xfId="17204" xr:uid="{356FEA8A-81BA-438D-BA6A-93A746E5F4C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2 2 2" xfId="15544" xr:uid="{ADA9724E-56F7-44B0-90F1-4ED32A0BB485}"/>
    <cellStyle name="20% - Accent5 3 2 2 2 2 3" xfId="23981" xr:uid="{E83168DE-FA31-47ED-B3E9-55917D9A05A0}"/>
    <cellStyle name="20% - Accent5 3 2 2 2 3" xfId="11326" xr:uid="{53DBF81C-DEE1-4FDF-84D2-BA6C74910CB6}"/>
    <cellStyle name="20% - Accent5 3 2 2 2 4" xfId="19764" xr:uid="{BE370180-C27E-419B-A03E-4E6D3A966ADA}"/>
    <cellStyle name="20% - Accent5 3 2 2 3" xfId="4957" xr:uid="{00000000-0005-0000-0000-0000D7020000}"/>
    <cellStyle name="20% - Accent5 3 2 2 3 2" xfId="13399" xr:uid="{0407C3F6-EAAE-4484-AB38-AC2FEC5C48CB}"/>
    <cellStyle name="20% - Accent5 3 2 2 3 3" xfId="21836" xr:uid="{C7BBCFC2-724B-4636-832E-7A725261C642}"/>
    <cellStyle name="20% - Accent5 3 2 2 4" xfId="9181" xr:uid="{EDE92696-EA14-4833-BC28-940EF5693969}"/>
    <cellStyle name="20% - Accent5 3 2 2 5" xfId="17619" xr:uid="{4C7DE4F0-D70A-4C11-BA7D-F775C353D70B}"/>
    <cellStyle name="20% - Accent5 3 2 3" xfId="1061" xr:uid="{00000000-0005-0000-0000-0000D8020000}"/>
    <cellStyle name="20% - Accent5 3 2 3 2" xfId="3292" xr:uid="{00000000-0005-0000-0000-0000D9020000}"/>
    <cellStyle name="20% - Accent5 3 2 3 2 2" xfId="7515" xr:uid="{00000000-0005-0000-0000-0000DA020000}"/>
    <cellStyle name="20% - Accent5 3 2 3 2 2 2" xfId="15957" xr:uid="{4C773195-E014-4854-B598-CBEF1C93F25F}"/>
    <cellStyle name="20% - Accent5 3 2 3 2 2 3" xfId="24394" xr:uid="{5DEDA050-72F4-4DD8-9F2D-D05E9D46ED21}"/>
    <cellStyle name="20% - Accent5 3 2 3 2 3" xfId="11739" xr:uid="{940D814F-CA62-48AE-B7AE-3BE564D322EB}"/>
    <cellStyle name="20% - Accent5 3 2 3 2 4" xfId="20177" xr:uid="{A1F97FE5-85D4-46CC-B9DF-AD7FCF94A99F}"/>
    <cellStyle name="20% - Accent5 3 2 3 3" xfId="5370" xr:uid="{00000000-0005-0000-0000-0000DB020000}"/>
    <cellStyle name="20% - Accent5 3 2 3 3 2" xfId="13812" xr:uid="{816FC719-1A42-402E-9371-D18F36C41A2B}"/>
    <cellStyle name="20% - Accent5 3 2 3 3 3" xfId="22249" xr:uid="{A796CFE1-B43F-4936-B50C-6654DB4AFE05}"/>
    <cellStyle name="20% - Accent5 3 2 3 4" xfId="9594" xr:uid="{38F9075F-542B-4946-A00F-6FE5FF3A0F47}"/>
    <cellStyle name="20% - Accent5 3 2 3 5" xfId="18032" xr:uid="{3EEC167F-07E9-433C-A144-2F3E9A83ADB4}"/>
    <cellStyle name="20% - Accent5 3 2 4" xfId="1475" xr:uid="{00000000-0005-0000-0000-0000DC020000}"/>
    <cellStyle name="20% - Accent5 3 2 4 2" xfId="3705" xr:uid="{00000000-0005-0000-0000-0000DD020000}"/>
    <cellStyle name="20% - Accent5 3 2 4 2 2" xfId="7928" xr:uid="{00000000-0005-0000-0000-0000DE020000}"/>
    <cellStyle name="20% - Accent5 3 2 4 2 2 2" xfId="16370" xr:uid="{A485B65F-D0A2-4D44-B4CE-D13698D01328}"/>
    <cellStyle name="20% - Accent5 3 2 4 2 2 3" xfId="24807" xr:uid="{688FE14A-7F42-444F-B8DD-48222C1C0AA0}"/>
    <cellStyle name="20% - Accent5 3 2 4 2 3" xfId="12152" xr:uid="{1E3AA941-9AE4-4E8D-B3EB-F70FE024308D}"/>
    <cellStyle name="20% - Accent5 3 2 4 2 4" xfId="20590" xr:uid="{E3D4B517-C725-4719-AB9F-E3FD6AA4783B}"/>
    <cellStyle name="20% - Accent5 3 2 4 3" xfId="5783" xr:uid="{00000000-0005-0000-0000-0000DF020000}"/>
    <cellStyle name="20% - Accent5 3 2 4 3 2" xfId="14225" xr:uid="{3CFB6DBC-8008-4896-BD18-1DD81D44017A}"/>
    <cellStyle name="20% - Accent5 3 2 4 3 3" xfId="22662" xr:uid="{7DBE6A9E-5733-41C1-8903-FD21B1561EC6}"/>
    <cellStyle name="20% - Accent5 3 2 4 4" xfId="10007" xr:uid="{34BBD9E8-76AB-4585-AB15-A7B40CBB63E5}"/>
    <cellStyle name="20% - Accent5 3 2 4 5" xfId="18445" xr:uid="{418D643D-B3A3-4F0A-BD94-C78FF1358EF5}"/>
    <cellStyle name="20% - Accent5 3 2 5" xfId="1889" xr:uid="{00000000-0005-0000-0000-0000E0020000}"/>
    <cellStyle name="20% - Accent5 3 2 5 2" xfId="4118" xr:uid="{00000000-0005-0000-0000-0000E1020000}"/>
    <cellStyle name="20% - Accent5 3 2 5 2 2" xfId="8341" xr:uid="{00000000-0005-0000-0000-0000E2020000}"/>
    <cellStyle name="20% - Accent5 3 2 5 2 2 2" xfId="16783" xr:uid="{9C38ECC3-1762-4E82-AED7-17C915E9F1B1}"/>
    <cellStyle name="20% - Accent5 3 2 5 2 2 3" xfId="25220" xr:uid="{092806CB-602E-4175-96AC-8A91A83C8462}"/>
    <cellStyle name="20% - Accent5 3 2 5 2 3" xfId="12565" xr:uid="{625B2C4A-2AE2-4871-81F3-1F4699A4C28E}"/>
    <cellStyle name="20% - Accent5 3 2 5 2 4" xfId="21003" xr:uid="{2D083F73-2163-446F-94F9-0B64D4F6A8CF}"/>
    <cellStyle name="20% - Accent5 3 2 5 3" xfId="6196" xr:uid="{00000000-0005-0000-0000-0000E3020000}"/>
    <cellStyle name="20% - Accent5 3 2 5 3 2" xfId="14638" xr:uid="{9DE5A074-0909-45DF-A4CC-A8896191CA15}"/>
    <cellStyle name="20% - Accent5 3 2 5 3 3" xfId="23075" xr:uid="{FC200C8A-AB12-42FA-926E-CFCEFDBB4AD2}"/>
    <cellStyle name="20% - Accent5 3 2 5 4" xfId="10420" xr:uid="{41D5DCAD-3B54-47C8-95EA-7D1827E808F1}"/>
    <cellStyle name="20% - Accent5 3 2 5 5" xfId="18858" xr:uid="{4894B633-5A8B-438D-982A-75F8242DF21C}"/>
    <cellStyle name="20% - Accent5 3 2 6" xfId="2302" xr:uid="{00000000-0005-0000-0000-0000E4020000}"/>
    <cellStyle name="20% - Accent5 3 2 6 2" xfId="6609" xr:uid="{00000000-0005-0000-0000-0000E5020000}"/>
    <cellStyle name="20% - Accent5 3 2 6 2 2" xfId="15051" xr:uid="{CE5BECC9-6EFA-4D09-BD4C-C6C3F653027B}"/>
    <cellStyle name="20% - Accent5 3 2 6 2 3" xfId="23488" xr:uid="{9353008E-2C28-42E0-B18E-CB93663134A7}"/>
    <cellStyle name="20% - Accent5 3 2 6 3" xfId="10833" xr:uid="{F3EF8FFD-EA96-4580-9558-56AB9EDF1F5C}"/>
    <cellStyle name="20% - Accent5 3 2 6 4" xfId="19271" xr:uid="{E067607B-0D92-4803-8BCA-5FE824516E86}"/>
    <cellStyle name="20% - Accent5 3 2 7" xfId="4543" xr:uid="{00000000-0005-0000-0000-0000E6020000}"/>
    <cellStyle name="20% - Accent5 3 2 7 2" xfId="12985" xr:uid="{5B1A8D7F-61D2-40AA-9912-B45D9E495EB1}"/>
    <cellStyle name="20% - Accent5 3 2 7 3" xfId="21422" xr:uid="{BE28E296-13A4-49E4-B173-D92093470EF8}"/>
    <cellStyle name="20% - Accent5 3 2 8" xfId="8767" xr:uid="{19B2C1BA-1980-4E29-8ACE-FCF8D30B4EFD}"/>
    <cellStyle name="20% - Accent5 3 2 9" xfId="17205" xr:uid="{662AADBA-229A-48DC-AA72-30F5F277D9CA}"/>
    <cellStyle name="20% - Accent5 3 3" xfId="607" xr:uid="{00000000-0005-0000-0000-0000E7020000}"/>
    <cellStyle name="20% - Accent5 3 3 2" xfId="2878" xr:uid="{00000000-0005-0000-0000-0000E8020000}"/>
    <cellStyle name="20% - Accent5 3 3 2 2" xfId="7101" xr:uid="{00000000-0005-0000-0000-0000E9020000}"/>
    <cellStyle name="20% - Accent5 3 3 2 2 2" xfId="15543" xr:uid="{9F408124-E395-4061-9C4E-AF97D84C9938}"/>
    <cellStyle name="20% - Accent5 3 3 2 2 3" xfId="23980" xr:uid="{D7A61588-7A43-4880-8874-7B2711ED94BD}"/>
    <cellStyle name="20% - Accent5 3 3 2 3" xfId="11325" xr:uid="{0BDD0C15-3474-40A3-AC07-0DA4548A2668}"/>
    <cellStyle name="20% - Accent5 3 3 2 4" xfId="19763" xr:uid="{79EB9886-0432-44D6-BF9D-E38002E7D20E}"/>
    <cellStyle name="20% - Accent5 3 3 3" xfId="4956" xr:uid="{00000000-0005-0000-0000-0000EA020000}"/>
    <cellStyle name="20% - Accent5 3 3 3 2" xfId="13398" xr:uid="{DB684DE4-2AA7-4DA7-BC07-8EFCB35FED85}"/>
    <cellStyle name="20% - Accent5 3 3 3 3" xfId="21835" xr:uid="{06E9CD90-347E-4F02-BE78-E2979B4ECEB2}"/>
    <cellStyle name="20% - Accent5 3 3 4" xfId="9180" xr:uid="{EC7F07AE-5AF4-46AA-9EAB-2EEE1627A364}"/>
    <cellStyle name="20% - Accent5 3 3 5" xfId="17618" xr:uid="{337264BC-4135-4462-B347-38C681D249A8}"/>
    <cellStyle name="20% - Accent5 3 4" xfId="1060" xr:uid="{00000000-0005-0000-0000-0000EB020000}"/>
    <cellStyle name="20% - Accent5 3 4 2" xfId="3291" xr:uid="{00000000-0005-0000-0000-0000EC020000}"/>
    <cellStyle name="20% - Accent5 3 4 2 2" xfId="7514" xr:uid="{00000000-0005-0000-0000-0000ED020000}"/>
    <cellStyle name="20% - Accent5 3 4 2 2 2" xfId="15956" xr:uid="{EAC60681-37C5-463E-A9CF-305A59A7F850}"/>
    <cellStyle name="20% - Accent5 3 4 2 2 3" xfId="24393" xr:uid="{639BBA13-9F36-4161-A7D9-AD4948604B2A}"/>
    <cellStyle name="20% - Accent5 3 4 2 3" xfId="11738" xr:uid="{776768CB-AE78-4770-855B-11A2AC847F4F}"/>
    <cellStyle name="20% - Accent5 3 4 2 4" xfId="20176" xr:uid="{0DDF57ED-5CC4-45CA-AC11-F509D4545B8D}"/>
    <cellStyle name="20% - Accent5 3 4 3" xfId="5369" xr:uid="{00000000-0005-0000-0000-0000EE020000}"/>
    <cellStyle name="20% - Accent5 3 4 3 2" xfId="13811" xr:uid="{A1BF533C-D2C1-46EA-9A56-5A593462F7BE}"/>
    <cellStyle name="20% - Accent5 3 4 3 3" xfId="22248" xr:uid="{4B344A0A-DEDB-41C7-867A-C79C8BB7C60A}"/>
    <cellStyle name="20% - Accent5 3 4 4" xfId="9593" xr:uid="{EA4C5826-A61A-42CB-85A7-500FD984F469}"/>
    <cellStyle name="20% - Accent5 3 4 5" xfId="18031" xr:uid="{C96FD71F-1F67-49DC-92E0-79795F6D08DF}"/>
    <cellStyle name="20% - Accent5 3 5" xfId="1474" xr:uid="{00000000-0005-0000-0000-0000EF020000}"/>
    <cellStyle name="20% - Accent5 3 5 2" xfId="3704" xr:uid="{00000000-0005-0000-0000-0000F0020000}"/>
    <cellStyle name="20% - Accent5 3 5 2 2" xfId="7927" xr:uid="{00000000-0005-0000-0000-0000F1020000}"/>
    <cellStyle name="20% - Accent5 3 5 2 2 2" xfId="16369" xr:uid="{0C4A342C-3CCA-4CBD-AF86-A207B132D89C}"/>
    <cellStyle name="20% - Accent5 3 5 2 2 3" xfId="24806" xr:uid="{8A405103-C76B-46AB-AED5-EF734596FD8A}"/>
    <cellStyle name="20% - Accent5 3 5 2 3" xfId="12151" xr:uid="{8AB64C53-97A6-4D52-816E-7D29984804D1}"/>
    <cellStyle name="20% - Accent5 3 5 2 4" xfId="20589" xr:uid="{FD5E0612-B7B5-49F6-A052-81FF1E106D6A}"/>
    <cellStyle name="20% - Accent5 3 5 3" xfId="5782" xr:uid="{00000000-0005-0000-0000-0000F2020000}"/>
    <cellStyle name="20% - Accent5 3 5 3 2" xfId="14224" xr:uid="{C19E5C40-FDE7-41D9-89C8-AE2E3D9A802F}"/>
    <cellStyle name="20% - Accent5 3 5 3 3" xfId="22661" xr:uid="{4319E11C-556E-4AA1-BC64-010D96BC1E13}"/>
    <cellStyle name="20% - Accent5 3 5 4" xfId="10006" xr:uid="{7100AF4D-2190-4243-95B0-440EB4B397E9}"/>
    <cellStyle name="20% - Accent5 3 5 5" xfId="18444" xr:uid="{838359EC-E650-46C6-B22F-7B790B5A699A}"/>
    <cellStyle name="20% - Accent5 3 6" xfId="1888" xr:uid="{00000000-0005-0000-0000-0000F3020000}"/>
    <cellStyle name="20% - Accent5 3 6 2" xfId="4117" xr:uid="{00000000-0005-0000-0000-0000F4020000}"/>
    <cellStyle name="20% - Accent5 3 6 2 2" xfId="8340" xr:uid="{00000000-0005-0000-0000-0000F5020000}"/>
    <cellStyle name="20% - Accent5 3 6 2 2 2" xfId="16782" xr:uid="{567FAFDA-92DF-449E-8193-7ACB65D5EEDD}"/>
    <cellStyle name="20% - Accent5 3 6 2 2 3" xfId="25219" xr:uid="{381FD0F8-8E95-4C9D-AFCF-475C60B7B14B}"/>
    <cellStyle name="20% - Accent5 3 6 2 3" xfId="12564" xr:uid="{8B98C180-1264-4EC4-B473-BCF2A9B0C1BC}"/>
    <cellStyle name="20% - Accent5 3 6 2 4" xfId="21002" xr:uid="{1145A83C-05D6-4CF0-8081-E20380FA1192}"/>
    <cellStyle name="20% - Accent5 3 6 3" xfId="6195" xr:uid="{00000000-0005-0000-0000-0000F6020000}"/>
    <cellStyle name="20% - Accent5 3 6 3 2" xfId="14637" xr:uid="{AE79319D-2736-49FB-B476-F7EBC9A90671}"/>
    <cellStyle name="20% - Accent5 3 6 3 3" xfId="23074" xr:uid="{D220F16F-FAD4-4081-891B-E7363E5B3DE2}"/>
    <cellStyle name="20% - Accent5 3 6 4" xfId="10419" xr:uid="{3A765738-B649-401B-BBD1-963BAD4B35EA}"/>
    <cellStyle name="20% - Accent5 3 6 5" xfId="18857" xr:uid="{1650A20F-2CCA-43BE-8B53-DB20C660FC00}"/>
    <cellStyle name="20% - Accent5 3 7" xfId="2301" xr:uid="{00000000-0005-0000-0000-0000F7020000}"/>
    <cellStyle name="20% - Accent5 3 7 2" xfId="6608" xr:uid="{00000000-0005-0000-0000-0000F8020000}"/>
    <cellStyle name="20% - Accent5 3 7 2 2" xfId="15050" xr:uid="{A1715728-A1C0-4CC9-95C4-55518778BA41}"/>
    <cellStyle name="20% - Accent5 3 7 2 3" xfId="23487" xr:uid="{6890958D-D816-422C-A9B0-77CFB1B3F6AC}"/>
    <cellStyle name="20% - Accent5 3 7 3" xfId="10832" xr:uid="{9C5F916F-DE32-46BD-BF26-5EE256032D09}"/>
    <cellStyle name="20% - Accent5 3 7 4" xfId="19270" xr:uid="{D1F6C573-480F-49E1-9D15-78EA96CDA517}"/>
    <cellStyle name="20% - Accent5 3 8" xfId="4542" xr:uid="{00000000-0005-0000-0000-0000F9020000}"/>
    <cellStyle name="20% - Accent5 3 8 2" xfId="12984" xr:uid="{427A8E00-88F3-4EBB-8CD4-B8A29048E4DF}"/>
    <cellStyle name="20% - Accent5 3 8 3" xfId="21421" xr:uid="{8CBC613D-F47B-4FAA-8B77-5CEABB523322}"/>
    <cellStyle name="20% - Accent5 3 9" xfId="8766" xr:uid="{6E1F80C3-0D1C-4340-9FC6-86C4F6711FF5}"/>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2 2 2" xfId="15545" xr:uid="{23AA389A-B1AF-43CC-AFB5-FD92F5E48C83}"/>
    <cellStyle name="20% - Accent5 4 2 2 2 3" xfId="23982" xr:uid="{5728A981-4328-4393-AF13-4C1B584AB97F}"/>
    <cellStyle name="20% - Accent5 4 2 2 3" xfId="11327" xr:uid="{29DD65AC-033C-4E8A-9A0D-DCE1D7448E66}"/>
    <cellStyle name="20% - Accent5 4 2 2 4" xfId="19765" xr:uid="{468D1A87-98DE-4564-A75D-6279A5FB9CC4}"/>
    <cellStyle name="20% - Accent5 4 2 3" xfId="4958" xr:uid="{00000000-0005-0000-0000-0000FE020000}"/>
    <cellStyle name="20% - Accent5 4 2 3 2" xfId="13400" xr:uid="{59E9EE1E-1602-4E45-9B9E-C0DCF6ECDE1A}"/>
    <cellStyle name="20% - Accent5 4 2 3 3" xfId="21837" xr:uid="{4A778FEE-74FC-4448-9FAC-6870ED91CA1D}"/>
    <cellStyle name="20% - Accent5 4 2 4" xfId="9182" xr:uid="{8B732C3C-B2DF-45E0-A297-31B4E3742D92}"/>
    <cellStyle name="20% - Accent5 4 2 5" xfId="17620" xr:uid="{AEB1B885-1FDB-439F-B1A8-4FAD680572DD}"/>
    <cellStyle name="20% - Accent5 4 3" xfId="1062" xr:uid="{00000000-0005-0000-0000-0000FF020000}"/>
    <cellStyle name="20% - Accent5 4 3 2" xfId="3293" xr:uid="{00000000-0005-0000-0000-000000030000}"/>
    <cellStyle name="20% - Accent5 4 3 2 2" xfId="7516" xr:uid="{00000000-0005-0000-0000-000001030000}"/>
    <cellStyle name="20% - Accent5 4 3 2 2 2" xfId="15958" xr:uid="{686F819A-43E8-457B-A0D3-FEA28843AB29}"/>
    <cellStyle name="20% - Accent5 4 3 2 2 3" xfId="24395" xr:uid="{18387BE4-FAD1-4177-BC2E-0B1CC6E3312B}"/>
    <cellStyle name="20% - Accent5 4 3 2 3" xfId="11740" xr:uid="{B5A4DB33-8956-42FD-8EA9-F18B022A300B}"/>
    <cellStyle name="20% - Accent5 4 3 2 4" xfId="20178" xr:uid="{77E96CC1-8F58-490F-969B-F9F0AF8A3D95}"/>
    <cellStyle name="20% - Accent5 4 3 3" xfId="5371" xr:uid="{00000000-0005-0000-0000-000002030000}"/>
    <cellStyle name="20% - Accent5 4 3 3 2" xfId="13813" xr:uid="{0B66664E-D4E8-4A3E-B461-25429636568F}"/>
    <cellStyle name="20% - Accent5 4 3 3 3" xfId="22250" xr:uid="{CBFF0C94-9BA7-47B3-9811-E6B67DFA0682}"/>
    <cellStyle name="20% - Accent5 4 3 4" xfId="9595" xr:uid="{D7F7EC2F-41A8-408B-A384-01B7A4242C1B}"/>
    <cellStyle name="20% - Accent5 4 3 5" xfId="18033" xr:uid="{53E1C11C-6F9A-4763-A401-80299A5C5D96}"/>
    <cellStyle name="20% - Accent5 4 4" xfId="1476" xr:uid="{00000000-0005-0000-0000-000003030000}"/>
    <cellStyle name="20% - Accent5 4 4 2" xfId="3706" xr:uid="{00000000-0005-0000-0000-000004030000}"/>
    <cellStyle name="20% - Accent5 4 4 2 2" xfId="7929" xr:uid="{00000000-0005-0000-0000-000005030000}"/>
    <cellStyle name="20% - Accent5 4 4 2 2 2" xfId="16371" xr:uid="{D8312FE6-C34F-4EEE-B06C-7283B723C49D}"/>
    <cellStyle name="20% - Accent5 4 4 2 2 3" xfId="24808" xr:uid="{4ED64375-ED16-4DB7-9BCC-87339F3A94AE}"/>
    <cellStyle name="20% - Accent5 4 4 2 3" xfId="12153" xr:uid="{B11A286D-9CE4-4237-AB0A-24CC42DC4EBA}"/>
    <cellStyle name="20% - Accent5 4 4 2 4" xfId="20591" xr:uid="{59ED509F-6FE7-4012-A042-18A5E75F69EE}"/>
    <cellStyle name="20% - Accent5 4 4 3" xfId="5784" xr:uid="{00000000-0005-0000-0000-000006030000}"/>
    <cellStyle name="20% - Accent5 4 4 3 2" xfId="14226" xr:uid="{6FB4F9A4-813F-45B3-BBCC-106E20A5FEA0}"/>
    <cellStyle name="20% - Accent5 4 4 3 3" xfId="22663" xr:uid="{7661ABCB-4366-4BA4-A602-DA114B91584B}"/>
    <cellStyle name="20% - Accent5 4 4 4" xfId="10008" xr:uid="{F0F7E169-5409-4CBF-B137-AE6EEC907134}"/>
    <cellStyle name="20% - Accent5 4 4 5" xfId="18446" xr:uid="{B3FAA52B-803B-4F5D-849C-5E81E94F706C}"/>
    <cellStyle name="20% - Accent5 4 5" xfId="1890" xr:uid="{00000000-0005-0000-0000-000007030000}"/>
    <cellStyle name="20% - Accent5 4 5 2" xfId="4119" xr:uid="{00000000-0005-0000-0000-000008030000}"/>
    <cellStyle name="20% - Accent5 4 5 2 2" xfId="8342" xr:uid="{00000000-0005-0000-0000-000009030000}"/>
    <cellStyle name="20% - Accent5 4 5 2 2 2" xfId="16784" xr:uid="{99E6C7A9-D635-4447-9B91-40D1DA38D4EE}"/>
    <cellStyle name="20% - Accent5 4 5 2 2 3" xfId="25221" xr:uid="{3A35933E-8A72-456E-B1E6-AB3131765B49}"/>
    <cellStyle name="20% - Accent5 4 5 2 3" xfId="12566" xr:uid="{8D53F7DA-1155-4484-BEC6-696C2A678B06}"/>
    <cellStyle name="20% - Accent5 4 5 2 4" xfId="21004" xr:uid="{1ED9EA7E-11BB-4B74-A49F-EC81F1FF3BB2}"/>
    <cellStyle name="20% - Accent5 4 5 3" xfId="6197" xr:uid="{00000000-0005-0000-0000-00000A030000}"/>
    <cellStyle name="20% - Accent5 4 5 3 2" xfId="14639" xr:uid="{6E3FD07F-F613-4964-9255-5302644EF14E}"/>
    <cellStyle name="20% - Accent5 4 5 3 3" xfId="23076" xr:uid="{7461B7D6-778E-411F-9F71-D39B2A4B232C}"/>
    <cellStyle name="20% - Accent5 4 5 4" xfId="10421" xr:uid="{D25D233F-3148-4C47-99D7-01D0A44A2D72}"/>
    <cellStyle name="20% - Accent5 4 5 5" xfId="18859" xr:uid="{40876D59-8F9C-445C-9366-7BE8A6A9DBBE}"/>
    <cellStyle name="20% - Accent5 4 6" xfId="2303" xr:uid="{00000000-0005-0000-0000-00000B030000}"/>
    <cellStyle name="20% - Accent5 4 6 2" xfId="6610" xr:uid="{00000000-0005-0000-0000-00000C030000}"/>
    <cellStyle name="20% - Accent5 4 6 2 2" xfId="15052" xr:uid="{1BCF56E6-A202-4B18-9C40-393DCEB00F11}"/>
    <cellStyle name="20% - Accent5 4 6 2 3" xfId="23489" xr:uid="{D6334D48-E5A6-4D9F-AA26-033A2D745F61}"/>
    <cellStyle name="20% - Accent5 4 6 3" xfId="10834" xr:uid="{85AE517A-466F-47F8-93B6-A65E0A984D9D}"/>
    <cellStyle name="20% - Accent5 4 6 4" xfId="19272" xr:uid="{58BE6112-6FC8-4431-AEE2-4F153E7B4F36}"/>
    <cellStyle name="20% - Accent5 4 7" xfId="4544" xr:uid="{00000000-0005-0000-0000-00000D030000}"/>
    <cellStyle name="20% - Accent5 4 7 2" xfId="12986" xr:uid="{87B58241-F073-4733-AC79-A0369F24D263}"/>
    <cellStyle name="20% - Accent5 4 7 3" xfId="21423" xr:uid="{8528CA9E-BDFB-4E74-B225-E575960EBD9E}"/>
    <cellStyle name="20% - Accent5 4 8" xfId="8768" xr:uid="{F541C551-08F2-4277-A783-A87490988B25}"/>
    <cellStyle name="20% - Accent5 4 9" xfId="17206" xr:uid="{1B0E13A9-A8B3-420D-9CD1-236CFE8DB536}"/>
    <cellStyle name="20% - Accent5 5" xfId="602" xr:uid="{00000000-0005-0000-0000-00000E030000}"/>
    <cellStyle name="20% - Accent5 5 2" xfId="2873" xr:uid="{00000000-0005-0000-0000-00000F030000}"/>
    <cellStyle name="20% - Accent5 5 2 2" xfId="7096" xr:uid="{00000000-0005-0000-0000-000010030000}"/>
    <cellStyle name="20% - Accent5 5 2 2 2" xfId="15538" xr:uid="{98A53767-983F-46C4-895E-27FE1A5E2795}"/>
    <cellStyle name="20% - Accent5 5 2 2 3" xfId="23975" xr:uid="{410C0E94-C920-4B51-B0E5-C71C5538C5D7}"/>
    <cellStyle name="20% - Accent5 5 2 3" xfId="11320" xr:uid="{294416A0-B7F7-4920-8D69-C97CE1960FFC}"/>
    <cellStyle name="20% - Accent5 5 2 4" xfId="19758" xr:uid="{52985D9F-AF5A-47E8-B77B-BAA2FDBF7A9C}"/>
    <cellStyle name="20% - Accent5 5 3" xfId="4951" xr:uid="{00000000-0005-0000-0000-000011030000}"/>
    <cellStyle name="20% - Accent5 5 3 2" xfId="13393" xr:uid="{9F21A8AB-7BC7-4D8F-BE27-8A67CC16771F}"/>
    <cellStyle name="20% - Accent5 5 3 3" xfId="21830" xr:uid="{8E1F4145-E30B-4B83-AA6A-28D821EE29CA}"/>
    <cellStyle name="20% - Accent5 5 4" xfId="9175" xr:uid="{F89BCDC3-1EFE-40BB-AD0C-48B627F3C369}"/>
    <cellStyle name="20% - Accent5 5 5" xfId="17613" xr:uid="{FD3FE36C-9540-4DF5-B3F1-D882E16D96B1}"/>
    <cellStyle name="20% - Accent5 6" xfId="1055" xr:uid="{00000000-0005-0000-0000-000012030000}"/>
    <cellStyle name="20% - Accent5 6 2" xfId="3286" xr:uid="{00000000-0005-0000-0000-000013030000}"/>
    <cellStyle name="20% - Accent5 6 2 2" xfId="7509" xr:uid="{00000000-0005-0000-0000-000014030000}"/>
    <cellStyle name="20% - Accent5 6 2 2 2" xfId="15951" xr:uid="{3C67017C-1E2E-497F-A3DA-6B32C35BDA87}"/>
    <cellStyle name="20% - Accent5 6 2 2 3" xfId="24388" xr:uid="{D21BA90A-E0FC-42A7-AF1C-414665C36960}"/>
    <cellStyle name="20% - Accent5 6 2 3" xfId="11733" xr:uid="{F7318520-5EAE-42BB-8EA2-641B5B2F9B4A}"/>
    <cellStyle name="20% - Accent5 6 2 4" xfId="20171" xr:uid="{E54B21E6-24FF-4D00-A46D-5396681D55D5}"/>
    <cellStyle name="20% - Accent5 6 3" xfId="5364" xr:uid="{00000000-0005-0000-0000-000015030000}"/>
    <cellStyle name="20% - Accent5 6 3 2" xfId="13806" xr:uid="{2DAB456D-5F37-4D08-9C65-528FE8987C06}"/>
    <cellStyle name="20% - Accent5 6 3 3" xfId="22243" xr:uid="{A94789AF-26E6-4036-B7AB-B8ED00208162}"/>
    <cellStyle name="20% - Accent5 6 4" xfId="9588" xr:uid="{977E5F99-C6BF-4040-84E6-BE4AAAEDD637}"/>
    <cellStyle name="20% - Accent5 6 5" xfId="18026" xr:uid="{ECB284AD-11F5-48B8-A400-2E547B86BDEF}"/>
    <cellStyle name="20% - Accent5 7" xfId="1469" xr:uid="{00000000-0005-0000-0000-000016030000}"/>
    <cellStyle name="20% - Accent5 7 2" xfId="3699" xr:uid="{00000000-0005-0000-0000-000017030000}"/>
    <cellStyle name="20% - Accent5 7 2 2" xfId="7922" xr:uid="{00000000-0005-0000-0000-000018030000}"/>
    <cellStyle name="20% - Accent5 7 2 2 2" xfId="16364" xr:uid="{2AF5D8A8-F5F2-411D-B431-44FEE5E63587}"/>
    <cellStyle name="20% - Accent5 7 2 2 3" xfId="24801" xr:uid="{4B7D3E4A-A509-41FE-A9A1-A4947E12F39E}"/>
    <cellStyle name="20% - Accent5 7 2 3" xfId="12146" xr:uid="{A4AB8B50-43A8-4D1D-AA51-00685959DEE1}"/>
    <cellStyle name="20% - Accent5 7 2 4" xfId="20584" xr:uid="{D9EFD656-E700-413A-AE8E-9431E5B74A83}"/>
    <cellStyle name="20% - Accent5 7 3" xfId="5777" xr:uid="{00000000-0005-0000-0000-000019030000}"/>
    <cellStyle name="20% - Accent5 7 3 2" xfId="14219" xr:uid="{8ED09817-0D4C-4FD1-9D04-3BDDCCA02378}"/>
    <cellStyle name="20% - Accent5 7 3 3" xfId="22656" xr:uid="{27619525-88EB-4EB7-993A-32FA277470B9}"/>
    <cellStyle name="20% - Accent5 7 4" xfId="10001" xr:uid="{7B8B3BCF-859B-459D-8373-169FF2B2CBA7}"/>
    <cellStyle name="20% - Accent5 7 5" xfId="18439" xr:uid="{C97D8223-4741-49AF-BA77-E59E78FA31B9}"/>
    <cellStyle name="20% - Accent5 8" xfId="1883" xr:uid="{00000000-0005-0000-0000-00001A030000}"/>
    <cellStyle name="20% - Accent5 8 2" xfId="4112" xr:uid="{00000000-0005-0000-0000-00001B030000}"/>
    <cellStyle name="20% - Accent5 8 2 2" xfId="8335" xr:uid="{00000000-0005-0000-0000-00001C030000}"/>
    <cellStyle name="20% - Accent5 8 2 2 2" xfId="16777" xr:uid="{F052C560-5C69-40B6-93ED-144FDCE9220F}"/>
    <cellStyle name="20% - Accent5 8 2 2 3" xfId="25214" xr:uid="{EE4D46DA-F547-4A01-9C26-007571B03A4C}"/>
    <cellStyle name="20% - Accent5 8 2 3" xfId="12559" xr:uid="{706CA4CB-7AD3-4F43-807F-F2CCDD891153}"/>
    <cellStyle name="20% - Accent5 8 2 4" xfId="20997" xr:uid="{D60384AC-C570-4FFE-BA4C-5DCA52F03B05}"/>
    <cellStyle name="20% - Accent5 8 3" xfId="6190" xr:uid="{00000000-0005-0000-0000-00001D030000}"/>
    <cellStyle name="20% - Accent5 8 3 2" xfId="14632" xr:uid="{92B3208B-86D0-4CAA-A711-A9C01ADA89B0}"/>
    <cellStyle name="20% - Accent5 8 3 3" xfId="23069" xr:uid="{B38DC056-9195-4558-88B5-E57256AB4F34}"/>
    <cellStyle name="20% - Accent5 8 4" xfId="10414" xr:uid="{8C679F6D-76C9-4396-97CC-06F81C10F1F7}"/>
    <cellStyle name="20% - Accent5 8 5" xfId="18852" xr:uid="{C7F4A094-C4CA-4496-8CAE-4FFEDA9B4DCC}"/>
    <cellStyle name="20% - Accent5 9" xfId="2296" xr:uid="{00000000-0005-0000-0000-00001E030000}"/>
    <cellStyle name="20% - Accent5 9 2" xfId="6603" xr:uid="{00000000-0005-0000-0000-00001F030000}"/>
    <cellStyle name="20% - Accent5 9 2 2" xfId="15045" xr:uid="{7DAD1121-8F4C-47FF-A3E6-BC2625B0BB64}"/>
    <cellStyle name="20% - Accent5 9 2 3" xfId="23482" xr:uid="{58731A1B-FAE4-4BD8-892A-74553F2F0D48}"/>
    <cellStyle name="20% - Accent5 9 3" xfId="10827" xr:uid="{D0D43F80-824D-4B67-8F21-A96A179284AA}"/>
    <cellStyle name="20% - Accent5 9 4" xfId="19265" xr:uid="{D4D3EB63-7320-4F71-9D04-8D854AA0BF23}"/>
    <cellStyle name="20% - Accent6" xfId="41" builtinId="50" customBuiltin="1"/>
    <cellStyle name="20% - Accent6 10" xfId="4545" xr:uid="{00000000-0005-0000-0000-000021030000}"/>
    <cellStyle name="20% - Accent6 10 2" xfId="12987" xr:uid="{C4703EE6-0DCA-467E-8277-64B07AA60CC7}"/>
    <cellStyle name="20% - Accent6 10 3" xfId="21424" xr:uid="{B01DA22C-7BE5-4BDD-BF18-9529D359F4D8}"/>
    <cellStyle name="20% - Accent6 11" xfId="8769" xr:uid="{B9D1AB13-1536-4D8A-8187-4206B6C78AB3}"/>
    <cellStyle name="20% - Accent6 12" xfId="17207" xr:uid="{6DDF15F3-4EB0-4455-BBE5-7ED84A9CA8E7}"/>
    <cellStyle name="20% - Accent6 2" xfId="42" xr:uid="{00000000-0005-0000-0000-000022030000}"/>
    <cellStyle name="20% - Accent6 2 10" xfId="8770" xr:uid="{A7DD4AE4-1A94-49B5-8B54-EE7BA8A6B2B2}"/>
    <cellStyle name="20% - Accent6 2 11" xfId="17208" xr:uid="{D7736DF4-DEBC-4F82-8722-5F898BC461C1}"/>
    <cellStyle name="20% - Accent6 2 2" xfId="43" xr:uid="{00000000-0005-0000-0000-000023030000}"/>
    <cellStyle name="20% - Accent6 2 2 10" xfId="17209" xr:uid="{5BDF14AD-D1F8-4F47-A724-B653AC6FE2D5}"/>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2 2 2" xfId="15549" xr:uid="{FC5C0097-8AB5-4D50-B415-3AAA6672BB90}"/>
    <cellStyle name="20% - Accent6 2 2 2 2 2 2 3" xfId="23986" xr:uid="{FF2BAFDE-A929-46A7-A388-4F00B65B1239}"/>
    <cellStyle name="20% - Accent6 2 2 2 2 2 3" xfId="11331" xr:uid="{482C641E-ED88-421E-B4D2-6AB31DACE8DB}"/>
    <cellStyle name="20% - Accent6 2 2 2 2 2 4" xfId="19769" xr:uid="{25194C1A-B834-45A0-B64D-C4DC32B9A71F}"/>
    <cellStyle name="20% - Accent6 2 2 2 2 3" xfId="4962" xr:uid="{00000000-0005-0000-0000-000028030000}"/>
    <cellStyle name="20% - Accent6 2 2 2 2 3 2" xfId="13404" xr:uid="{02606847-D0D4-4EB6-81C8-BACDE8767158}"/>
    <cellStyle name="20% - Accent6 2 2 2 2 3 3" xfId="21841" xr:uid="{B4A5F567-4661-4BD8-BFBD-44E1592EE67A}"/>
    <cellStyle name="20% - Accent6 2 2 2 2 4" xfId="9186" xr:uid="{3D5E1ABE-8E0C-4EA8-9EFD-71C9F3B8F023}"/>
    <cellStyle name="20% - Accent6 2 2 2 2 5" xfId="17624" xr:uid="{C516B6EE-0B63-43C5-8BAE-2B35FC7BB623}"/>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2 2 2" xfId="15962" xr:uid="{C1E51D72-AE16-4D96-A5D4-E40AB7897526}"/>
    <cellStyle name="20% - Accent6 2 2 2 3 2 2 3" xfId="24399" xr:uid="{B8133589-00F4-40B6-9B83-DD24EA1B0B3F}"/>
    <cellStyle name="20% - Accent6 2 2 2 3 2 3" xfId="11744" xr:uid="{A97BE546-6468-41D6-9959-EB466800C289}"/>
    <cellStyle name="20% - Accent6 2 2 2 3 2 4" xfId="20182" xr:uid="{7BA2A721-BB1A-43D7-85CB-0EB23770F5D0}"/>
    <cellStyle name="20% - Accent6 2 2 2 3 3" xfId="5375" xr:uid="{00000000-0005-0000-0000-00002C030000}"/>
    <cellStyle name="20% - Accent6 2 2 2 3 3 2" xfId="13817" xr:uid="{0F2AF137-E655-4B9E-A43C-7BE8BB8A67C8}"/>
    <cellStyle name="20% - Accent6 2 2 2 3 3 3" xfId="22254" xr:uid="{2EEA17A9-A76B-41EF-B98E-B118098F1381}"/>
    <cellStyle name="20% - Accent6 2 2 2 3 4" xfId="9599" xr:uid="{B74A2FAE-CEE1-4901-8FFD-12967776A5D3}"/>
    <cellStyle name="20% - Accent6 2 2 2 3 5" xfId="18037" xr:uid="{0C59342E-B3DA-46D1-85D4-C431EE080C9F}"/>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2 2 2" xfId="16375" xr:uid="{D38B1CD8-A754-4715-9753-416FFE46BFB9}"/>
    <cellStyle name="20% - Accent6 2 2 2 4 2 2 3" xfId="24812" xr:uid="{AF1ADE7D-B498-41DC-BFB3-0B6BFA6E385B}"/>
    <cellStyle name="20% - Accent6 2 2 2 4 2 3" xfId="12157" xr:uid="{43F80200-2061-49FD-82AA-2D39D99EEEA6}"/>
    <cellStyle name="20% - Accent6 2 2 2 4 2 4" xfId="20595" xr:uid="{F2EEFD9F-2544-4B70-96E4-1D899359CB98}"/>
    <cellStyle name="20% - Accent6 2 2 2 4 3" xfId="5788" xr:uid="{00000000-0005-0000-0000-000030030000}"/>
    <cellStyle name="20% - Accent6 2 2 2 4 3 2" xfId="14230" xr:uid="{84E83230-5C76-4573-89E2-259C32389D7B}"/>
    <cellStyle name="20% - Accent6 2 2 2 4 3 3" xfId="22667" xr:uid="{6CF19957-F49C-41E1-99C8-F81E6411A464}"/>
    <cellStyle name="20% - Accent6 2 2 2 4 4" xfId="10012" xr:uid="{D25E22D8-084C-4680-A523-BCCF478AB5E2}"/>
    <cellStyle name="20% - Accent6 2 2 2 4 5" xfId="18450" xr:uid="{0A9857FE-84D0-44A9-BC61-3CE285E7742F}"/>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2 2 2" xfId="16788" xr:uid="{5E581832-023D-481B-909D-0E1F157227D9}"/>
    <cellStyle name="20% - Accent6 2 2 2 5 2 2 3" xfId="25225" xr:uid="{6777F1DD-D232-4A19-A953-4544AD84817A}"/>
    <cellStyle name="20% - Accent6 2 2 2 5 2 3" xfId="12570" xr:uid="{B8F78F86-6BFA-4A5F-9A50-831AED00FD64}"/>
    <cellStyle name="20% - Accent6 2 2 2 5 2 4" xfId="21008" xr:uid="{33690C3F-E7DB-481F-A9BB-FC76A740BAB6}"/>
    <cellStyle name="20% - Accent6 2 2 2 5 3" xfId="6201" xr:uid="{00000000-0005-0000-0000-000034030000}"/>
    <cellStyle name="20% - Accent6 2 2 2 5 3 2" xfId="14643" xr:uid="{48B4ED86-5158-48EA-83C1-C9930E6DAA34}"/>
    <cellStyle name="20% - Accent6 2 2 2 5 3 3" xfId="23080" xr:uid="{C72132AD-CEE4-4251-9D98-1EA8E2913599}"/>
    <cellStyle name="20% - Accent6 2 2 2 5 4" xfId="10425" xr:uid="{8A50E5A3-C828-4279-88A0-7FD2986D8DAE}"/>
    <cellStyle name="20% - Accent6 2 2 2 5 5" xfId="18863" xr:uid="{51A916B0-1ADB-4604-99BE-5E2C992FAE77}"/>
    <cellStyle name="20% - Accent6 2 2 2 6" xfId="2307" xr:uid="{00000000-0005-0000-0000-000035030000}"/>
    <cellStyle name="20% - Accent6 2 2 2 6 2" xfId="6614" xr:uid="{00000000-0005-0000-0000-000036030000}"/>
    <cellStyle name="20% - Accent6 2 2 2 6 2 2" xfId="15056" xr:uid="{5B26C934-0A8E-4015-B4DD-4546D4E9E20C}"/>
    <cellStyle name="20% - Accent6 2 2 2 6 2 3" xfId="23493" xr:uid="{CCA012FF-AC28-46AD-A0ED-83A73B2528FC}"/>
    <cellStyle name="20% - Accent6 2 2 2 6 3" xfId="10838" xr:uid="{AF2C11DD-BFFC-4A9E-AB81-76F370B5DD74}"/>
    <cellStyle name="20% - Accent6 2 2 2 6 4" xfId="19276" xr:uid="{76195BF9-B9CC-4222-BFFD-BAFC2712F0F6}"/>
    <cellStyle name="20% - Accent6 2 2 2 7" xfId="4548" xr:uid="{00000000-0005-0000-0000-000037030000}"/>
    <cellStyle name="20% - Accent6 2 2 2 7 2" xfId="12990" xr:uid="{E2922551-1050-4A60-A6EA-463056529258}"/>
    <cellStyle name="20% - Accent6 2 2 2 7 3" xfId="21427" xr:uid="{0B07F279-CE53-4298-A89D-013F2B6D7A64}"/>
    <cellStyle name="20% - Accent6 2 2 2 8" xfId="8772" xr:uid="{B6462F96-6C87-457C-A26F-6A96430DB727}"/>
    <cellStyle name="20% - Accent6 2 2 2 9" xfId="17210" xr:uid="{7AFCAF76-7784-4805-B68E-A6DB4AC894CB}"/>
    <cellStyle name="20% - Accent6 2 2 3" xfId="612" xr:uid="{00000000-0005-0000-0000-000038030000}"/>
    <cellStyle name="20% - Accent6 2 2 3 2" xfId="2883" xr:uid="{00000000-0005-0000-0000-000039030000}"/>
    <cellStyle name="20% - Accent6 2 2 3 2 2" xfId="7106" xr:uid="{00000000-0005-0000-0000-00003A030000}"/>
    <cellStyle name="20% - Accent6 2 2 3 2 2 2" xfId="15548" xr:uid="{2AFC6D49-CE88-49CA-A759-1C75FF8D02A8}"/>
    <cellStyle name="20% - Accent6 2 2 3 2 2 3" xfId="23985" xr:uid="{D899828D-065B-4BEB-B99A-AB3C538A6BBE}"/>
    <cellStyle name="20% - Accent6 2 2 3 2 3" xfId="11330" xr:uid="{ED79FD8F-A86E-4DDE-9A25-D012DB692C22}"/>
    <cellStyle name="20% - Accent6 2 2 3 2 4" xfId="19768" xr:uid="{638D46AF-037B-42D8-BB99-206E30F9B0C5}"/>
    <cellStyle name="20% - Accent6 2 2 3 3" xfId="4961" xr:uid="{00000000-0005-0000-0000-00003B030000}"/>
    <cellStyle name="20% - Accent6 2 2 3 3 2" xfId="13403" xr:uid="{96B91352-672A-40A6-BAA1-2D3CD94CD4F5}"/>
    <cellStyle name="20% - Accent6 2 2 3 3 3" xfId="21840" xr:uid="{1F52109C-1A86-4EA1-BE35-1AA7EC723D9D}"/>
    <cellStyle name="20% - Accent6 2 2 3 4" xfId="9185" xr:uid="{0F972A8C-AE1E-4FE2-B537-EBFFD5A837A6}"/>
    <cellStyle name="20% - Accent6 2 2 3 5" xfId="17623" xr:uid="{328B3BF7-6CC1-4488-8FE8-A79B25BF26E0}"/>
    <cellStyle name="20% - Accent6 2 2 4" xfId="1065" xr:uid="{00000000-0005-0000-0000-00003C030000}"/>
    <cellStyle name="20% - Accent6 2 2 4 2" xfId="3296" xr:uid="{00000000-0005-0000-0000-00003D030000}"/>
    <cellStyle name="20% - Accent6 2 2 4 2 2" xfId="7519" xr:uid="{00000000-0005-0000-0000-00003E030000}"/>
    <cellStyle name="20% - Accent6 2 2 4 2 2 2" xfId="15961" xr:uid="{0558634D-1AC9-4069-B67B-32B2A0E10082}"/>
    <cellStyle name="20% - Accent6 2 2 4 2 2 3" xfId="24398" xr:uid="{2057DC7A-8E23-42A0-90D8-6F9BBC119774}"/>
    <cellStyle name="20% - Accent6 2 2 4 2 3" xfId="11743" xr:uid="{B0968059-B2C8-49EA-BB9F-6DB4EE76500F}"/>
    <cellStyle name="20% - Accent6 2 2 4 2 4" xfId="20181" xr:uid="{686CFB39-C0CF-42B1-8004-062AAC707EBC}"/>
    <cellStyle name="20% - Accent6 2 2 4 3" xfId="5374" xr:uid="{00000000-0005-0000-0000-00003F030000}"/>
    <cellStyle name="20% - Accent6 2 2 4 3 2" xfId="13816" xr:uid="{E3334E9B-A3C5-426E-92EE-1C8A60301CD3}"/>
    <cellStyle name="20% - Accent6 2 2 4 3 3" xfId="22253" xr:uid="{10B403BD-FCF5-4A59-B8A5-C6A5D60FA39F}"/>
    <cellStyle name="20% - Accent6 2 2 4 4" xfId="9598" xr:uid="{D85A4832-A721-45E5-B566-6133DC1BAA9B}"/>
    <cellStyle name="20% - Accent6 2 2 4 5" xfId="18036" xr:uid="{B9F288DF-6520-46E9-B175-68BE930CB1A8}"/>
    <cellStyle name="20% - Accent6 2 2 5" xfId="1479" xr:uid="{00000000-0005-0000-0000-000040030000}"/>
    <cellStyle name="20% - Accent6 2 2 5 2" xfId="3709" xr:uid="{00000000-0005-0000-0000-000041030000}"/>
    <cellStyle name="20% - Accent6 2 2 5 2 2" xfId="7932" xr:uid="{00000000-0005-0000-0000-000042030000}"/>
    <cellStyle name="20% - Accent6 2 2 5 2 2 2" xfId="16374" xr:uid="{68EFD7E7-C12C-49FF-A5F2-08FA3CCF7ACB}"/>
    <cellStyle name="20% - Accent6 2 2 5 2 2 3" xfId="24811" xr:uid="{66607D0C-1C63-404F-9F2B-AD11F32F530E}"/>
    <cellStyle name="20% - Accent6 2 2 5 2 3" xfId="12156" xr:uid="{07890934-5EBB-46E2-8CB9-5FBB212047C3}"/>
    <cellStyle name="20% - Accent6 2 2 5 2 4" xfId="20594" xr:uid="{59B65E90-2F80-454C-BD6F-4A15502E31D3}"/>
    <cellStyle name="20% - Accent6 2 2 5 3" xfId="5787" xr:uid="{00000000-0005-0000-0000-000043030000}"/>
    <cellStyle name="20% - Accent6 2 2 5 3 2" xfId="14229" xr:uid="{A5A9DA4F-E131-41AC-AC79-D71DB86B9E48}"/>
    <cellStyle name="20% - Accent6 2 2 5 3 3" xfId="22666" xr:uid="{E978CDB9-BDC3-4BC6-88F3-4A7855F45582}"/>
    <cellStyle name="20% - Accent6 2 2 5 4" xfId="10011" xr:uid="{343874FB-09EA-4081-A04C-A09C698ACBD3}"/>
    <cellStyle name="20% - Accent6 2 2 5 5" xfId="18449" xr:uid="{A31E7059-2481-4E74-94F3-8745C5A134FF}"/>
    <cellStyle name="20% - Accent6 2 2 6" xfId="1893" xr:uid="{00000000-0005-0000-0000-000044030000}"/>
    <cellStyle name="20% - Accent6 2 2 6 2" xfId="4122" xr:uid="{00000000-0005-0000-0000-000045030000}"/>
    <cellStyle name="20% - Accent6 2 2 6 2 2" xfId="8345" xr:uid="{00000000-0005-0000-0000-000046030000}"/>
    <cellStyle name="20% - Accent6 2 2 6 2 2 2" xfId="16787" xr:uid="{B81F7E44-B2BF-4BB7-A483-4A3B738D0574}"/>
    <cellStyle name="20% - Accent6 2 2 6 2 2 3" xfId="25224" xr:uid="{EFEAD15B-6ECF-4353-90C4-11988DE8DF86}"/>
    <cellStyle name="20% - Accent6 2 2 6 2 3" xfId="12569" xr:uid="{5A659F63-70B2-4C17-B15C-F23A27ACFBCB}"/>
    <cellStyle name="20% - Accent6 2 2 6 2 4" xfId="21007" xr:uid="{DBAA0A2E-F9E3-4537-91FF-72F4159D89EF}"/>
    <cellStyle name="20% - Accent6 2 2 6 3" xfId="6200" xr:uid="{00000000-0005-0000-0000-000047030000}"/>
    <cellStyle name="20% - Accent6 2 2 6 3 2" xfId="14642" xr:uid="{53F2E219-5F0C-4110-9438-6E25508DFF1F}"/>
    <cellStyle name="20% - Accent6 2 2 6 3 3" xfId="23079" xr:uid="{C3971A1F-F190-445A-9B4E-76A2C3229D8A}"/>
    <cellStyle name="20% - Accent6 2 2 6 4" xfId="10424" xr:uid="{4D8F4A2C-8185-4444-A529-9571E239AB6F}"/>
    <cellStyle name="20% - Accent6 2 2 6 5" xfId="18862" xr:uid="{AB50BC53-507E-420F-B4D9-282323447555}"/>
    <cellStyle name="20% - Accent6 2 2 7" xfId="2306" xr:uid="{00000000-0005-0000-0000-000048030000}"/>
    <cellStyle name="20% - Accent6 2 2 7 2" xfId="6613" xr:uid="{00000000-0005-0000-0000-000049030000}"/>
    <cellStyle name="20% - Accent6 2 2 7 2 2" xfId="15055" xr:uid="{CDEF091B-F1FB-4365-8AFE-B100A75910D3}"/>
    <cellStyle name="20% - Accent6 2 2 7 2 3" xfId="23492" xr:uid="{F18E5678-1C29-4C01-9DDE-8AC45D9DA033}"/>
    <cellStyle name="20% - Accent6 2 2 7 3" xfId="10837" xr:uid="{5BA3A738-7DBC-49CA-B978-A529989D5AD2}"/>
    <cellStyle name="20% - Accent6 2 2 7 4" xfId="19275" xr:uid="{B7132E91-9818-4EFC-942F-D5C5AF0E1775}"/>
    <cellStyle name="20% - Accent6 2 2 8" xfId="4547" xr:uid="{00000000-0005-0000-0000-00004A030000}"/>
    <cellStyle name="20% - Accent6 2 2 8 2" xfId="12989" xr:uid="{019D74CC-BAC2-499C-8BC8-FCCECC32A5BB}"/>
    <cellStyle name="20% - Accent6 2 2 8 3" xfId="21426" xr:uid="{3DA6A8A1-0FD4-4CE0-8B3A-8B9441FBF4B8}"/>
    <cellStyle name="20% - Accent6 2 2 9" xfId="8771" xr:uid="{7335D481-7C04-429C-ACDF-70A7ACA0FCF9}"/>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2 2 2" xfId="15550" xr:uid="{5226BEC9-FB4E-4FF8-A5C4-C65DE6EFC373}"/>
    <cellStyle name="20% - Accent6 2 3 2 2 2 3" xfId="23987" xr:uid="{9010713B-855D-4371-8083-EA4F0B2B39A9}"/>
    <cellStyle name="20% - Accent6 2 3 2 2 3" xfId="11332" xr:uid="{07E61FC1-91F5-46B2-A9B5-E4C55C10E4C1}"/>
    <cellStyle name="20% - Accent6 2 3 2 2 4" xfId="19770" xr:uid="{92482EFC-BC10-48E0-A2D3-7CC95DFC2ED4}"/>
    <cellStyle name="20% - Accent6 2 3 2 3" xfId="4963" xr:uid="{00000000-0005-0000-0000-00004F030000}"/>
    <cellStyle name="20% - Accent6 2 3 2 3 2" xfId="13405" xr:uid="{1B8A44F5-DBD3-4115-BF79-8AAFEC7C75FF}"/>
    <cellStyle name="20% - Accent6 2 3 2 3 3" xfId="21842" xr:uid="{58F3EC51-7C07-448D-B521-007B38D92120}"/>
    <cellStyle name="20% - Accent6 2 3 2 4" xfId="9187" xr:uid="{B7CD068F-4099-4570-ABAE-F7D5C6F50DB9}"/>
    <cellStyle name="20% - Accent6 2 3 2 5" xfId="17625" xr:uid="{DD558D26-589B-473B-A4A7-7F860AD0193F}"/>
    <cellStyle name="20% - Accent6 2 3 3" xfId="1067" xr:uid="{00000000-0005-0000-0000-000050030000}"/>
    <cellStyle name="20% - Accent6 2 3 3 2" xfId="3298" xr:uid="{00000000-0005-0000-0000-000051030000}"/>
    <cellStyle name="20% - Accent6 2 3 3 2 2" xfId="7521" xr:uid="{00000000-0005-0000-0000-000052030000}"/>
    <cellStyle name="20% - Accent6 2 3 3 2 2 2" xfId="15963" xr:uid="{2608F486-0256-4E57-BE99-58D3F8AF4321}"/>
    <cellStyle name="20% - Accent6 2 3 3 2 2 3" xfId="24400" xr:uid="{E4ADF480-23BE-4A11-BDF9-AF8CE497C8E9}"/>
    <cellStyle name="20% - Accent6 2 3 3 2 3" xfId="11745" xr:uid="{5B0B50CB-086A-4EC7-8629-56E51F7099C3}"/>
    <cellStyle name="20% - Accent6 2 3 3 2 4" xfId="20183" xr:uid="{6611118F-F985-4323-8CE0-502647EFFBA2}"/>
    <cellStyle name="20% - Accent6 2 3 3 3" xfId="5376" xr:uid="{00000000-0005-0000-0000-000053030000}"/>
    <cellStyle name="20% - Accent6 2 3 3 3 2" xfId="13818" xr:uid="{F02903C7-6CFF-44F1-ADBE-C848F8938592}"/>
    <cellStyle name="20% - Accent6 2 3 3 3 3" xfId="22255" xr:uid="{CAD8BF40-D586-4BBB-A006-0F8F226C3B62}"/>
    <cellStyle name="20% - Accent6 2 3 3 4" xfId="9600" xr:uid="{435FCFFC-F0C7-4A67-B2D6-0402A8F85D78}"/>
    <cellStyle name="20% - Accent6 2 3 3 5" xfId="18038" xr:uid="{B61CD506-3722-4663-B183-F911CA5D731B}"/>
    <cellStyle name="20% - Accent6 2 3 4" xfId="1481" xr:uid="{00000000-0005-0000-0000-000054030000}"/>
    <cellStyle name="20% - Accent6 2 3 4 2" xfId="3711" xr:uid="{00000000-0005-0000-0000-000055030000}"/>
    <cellStyle name="20% - Accent6 2 3 4 2 2" xfId="7934" xr:uid="{00000000-0005-0000-0000-000056030000}"/>
    <cellStyle name="20% - Accent6 2 3 4 2 2 2" xfId="16376" xr:uid="{AB45F9AE-77CA-405E-958D-FD8ADE3B93FE}"/>
    <cellStyle name="20% - Accent6 2 3 4 2 2 3" xfId="24813" xr:uid="{82358A71-52B5-4058-8EE4-C9435EB0EAF8}"/>
    <cellStyle name="20% - Accent6 2 3 4 2 3" xfId="12158" xr:uid="{7DDD3688-CA4D-4137-995D-97A895CAE17F}"/>
    <cellStyle name="20% - Accent6 2 3 4 2 4" xfId="20596" xr:uid="{DCF53B54-899A-4557-8801-F59667C1856E}"/>
    <cellStyle name="20% - Accent6 2 3 4 3" xfId="5789" xr:uid="{00000000-0005-0000-0000-000057030000}"/>
    <cellStyle name="20% - Accent6 2 3 4 3 2" xfId="14231" xr:uid="{505F0B5D-D135-44A5-A686-AD4DD24186AE}"/>
    <cellStyle name="20% - Accent6 2 3 4 3 3" xfId="22668" xr:uid="{16539379-262C-4271-B130-50243C51235D}"/>
    <cellStyle name="20% - Accent6 2 3 4 4" xfId="10013" xr:uid="{91FCB7E1-91A3-4BB1-B026-F76A647A3524}"/>
    <cellStyle name="20% - Accent6 2 3 4 5" xfId="18451" xr:uid="{9764F068-338E-45B3-BEB3-8039A5F3F5C6}"/>
    <cellStyle name="20% - Accent6 2 3 5" xfId="1895" xr:uid="{00000000-0005-0000-0000-000058030000}"/>
    <cellStyle name="20% - Accent6 2 3 5 2" xfId="4124" xr:uid="{00000000-0005-0000-0000-000059030000}"/>
    <cellStyle name="20% - Accent6 2 3 5 2 2" xfId="8347" xr:uid="{00000000-0005-0000-0000-00005A030000}"/>
    <cellStyle name="20% - Accent6 2 3 5 2 2 2" xfId="16789" xr:uid="{F2906646-4816-4D41-ADF3-0C68FE205AC8}"/>
    <cellStyle name="20% - Accent6 2 3 5 2 2 3" xfId="25226" xr:uid="{DAAC70A5-05CD-40F2-9492-4AB4CD94A776}"/>
    <cellStyle name="20% - Accent6 2 3 5 2 3" xfId="12571" xr:uid="{D7C00074-BB41-4BF7-8CF4-50378B299595}"/>
    <cellStyle name="20% - Accent6 2 3 5 2 4" xfId="21009" xr:uid="{61F5F7D5-2AB0-44D5-B4B0-C192B96D5BD4}"/>
    <cellStyle name="20% - Accent6 2 3 5 3" xfId="6202" xr:uid="{00000000-0005-0000-0000-00005B030000}"/>
    <cellStyle name="20% - Accent6 2 3 5 3 2" xfId="14644" xr:uid="{56118FFC-4BED-4D54-91FC-97333068A7A6}"/>
    <cellStyle name="20% - Accent6 2 3 5 3 3" xfId="23081" xr:uid="{D1C98FF2-751B-4441-9552-7B710A9377B2}"/>
    <cellStyle name="20% - Accent6 2 3 5 4" xfId="10426" xr:uid="{4B6CE5E1-6910-4AA9-B9F3-4F263294D1BF}"/>
    <cellStyle name="20% - Accent6 2 3 5 5" xfId="18864" xr:uid="{4D9350E2-2380-4658-B53C-50594FAF89CE}"/>
    <cellStyle name="20% - Accent6 2 3 6" xfId="2308" xr:uid="{00000000-0005-0000-0000-00005C030000}"/>
    <cellStyle name="20% - Accent6 2 3 6 2" xfId="6615" xr:uid="{00000000-0005-0000-0000-00005D030000}"/>
    <cellStyle name="20% - Accent6 2 3 6 2 2" xfId="15057" xr:uid="{3F76C19B-92C4-4F37-9634-E506EA037E13}"/>
    <cellStyle name="20% - Accent6 2 3 6 2 3" xfId="23494" xr:uid="{57CCDB12-3CCC-4363-9C17-978BB60EDF89}"/>
    <cellStyle name="20% - Accent6 2 3 6 3" xfId="10839" xr:uid="{AAAD0AC4-2FCC-45C3-B9CF-C5121E8DDB1A}"/>
    <cellStyle name="20% - Accent6 2 3 6 4" xfId="19277" xr:uid="{85A99282-416F-41AC-9464-1299BE28741B}"/>
    <cellStyle name="20% - Accent6 2 3 7" xfId="4549" xr:uid="{00000000-0005-0000-0000-00005E030000}"/>
    <cellStyle name="20% - Accent6 2 3 7 2" xfId="12991" xr:uid="{BA00E5B2-D147-422E-A9FE-96D0BC73932D}"/>
    <cellStyle name="20% - Accent6 2 3 7 3" xfId="21428" xr:uid="{777DFBF0-0A64-4480-9F33-E06D9208A27C}"/>
    <cellStyle name="20% - Accent6 2 3 8" xfId="8773" xr:uid="{28F0D301-12E0-48A8-9851-7B3057CEE880}"/>
    <cellStyle name="20% - Accent6 2 3 9" xfId="17211" xr:uid="{B336A927-7A1D-4DE4-BB0B-6DC770B94380}"/>
    <cellStyle name="20% - Accent6 2 4" xfId="611" xr:uid="{00000000-0005-0000-0000-00005F030000}"/>
    <cellStyle name="20% - Accent6 2 4 2" xfId="2882" xr:uid="{00000000-0005-0000-0000-000060030000}"/>
    <cellStyle name="20% - Accent6 2 4 2 2" xfId="7105" xr:uid="{00000000-0005-0000-0000-000061030000}"/>
    <cellStyle name="20% - Accent6 2 4 2 2 2" xfId="15547" xr:uid="{6BC7F2CF-8CA9-473F-9800-622594D1A86F}"/>
    <cellStyle name="20% - Accent6 2 4 2 2 3" xfId="23984" xr:uid="{1B45D2F6-94B8-498E-90D0-4B4BF3230B98}"/>
    <cellStyle name="20% - Accent6 2 4 2 3" xfId="11329" xr:uid="{39C094F9-190B-4AA4-BA47-CBA9C8AE653E}"/>
    <cellStyle name="20% - Accent6 2 4 2 4" xfId="19767" xr:uid="{11A4B668-E278-4AE6-B60B-337A9367F164}"/>
    <cellStyle name="20% - Accent6 2 4 3" xfId="4960" xr:uid="{00000000-0005-0000-0000-000062030000}"/>
    <cellStyle name="20% - Accent6 2 4 3 2" xfId="13402" xr:uid="{5F17A76E-2382-4C4E-A9E5-63084A880BDE}"/>
    <cellStyle name="20% - Accent6 2 4 3 3" xfId="21839" xr:uid="{BB2DE124-2D34-485A-8B47-B099D14AA674}"/>
    <cellStyle name="20% - Accent6 2 4 4" xfId="9184" xr:uid="{704D46FA-3FB3-4A18-B4D1-291BCA508245}"/>
    <cellStyle name="20% - Accent6 2 4 5" xfId="17622" xr:uid="{DFEC9D4E-4BEC-4228-9CDF-C1B65BF41790}"/>
    <cellStyle name="20% - Accent6 2 5" xfId="1064" xr:uid="{00000000-0005-0000-0000-000063030000}"/>
    <cellStyle name="20% - Accent6 2 5 2" xfId="3295" xr:uid="{00000000-0005-0000-0000-000064030000}"/>
    <cellStyle name="20% - Accent6 2 5 2 2" xfId="7518" xr:uid="{00000000-0005-0000-0000-000065030000}"/>
    <cellStyle name="20% - Accent6 2 5 2 2 2" xfId="15960" xr:uid="{F2311ADD-5941-4FCD-9ECF-F92466CFAFCC}"/>
    <cellStyle name="20% - Accent6 2 5 2 2 3" xfId="24397" xr:uid="{1CAEB041-2B57-4D25-919D-FD2C6C996313}"/>
    <cellStyle name="20% - Accent6 2 5 2 3" xfId="11742" xr:uid="{6EBEAC07-3974-4465-935E-475862159B94}"/>
    <cellStyle name="20% - Accent6 2 5 2 4" xfId="20180" xr:uid="{B3D7791D-690C-4CC3-8436-4ADE98C50D99}"/>
    <cellStyle name="20% - Accent6 2 5 3" xfId="5373" xr:uid="{00000000-0005-0000-0000-000066030000}"/>
    <cellStyle name="20% - Accent6 2 5 3 2" xfId="13815" xr:uid="{971CC858-2D76-4B6F-83FA-67D57B570ED7}"/>
    <cellStyle name="20% - Accent6 2 5 3 3" xfId="22252" xr:uid="{767C1F36-2C4E-496F-87F5-F59C35572119}"/>
    <cellStyle name="20% - Accent6 2 5 4" xfId="9597" xr:uid="{EE43BF59-504D-4F77-B76D-1A9B92AA3C83}"/>
    <cellStyle name="20% - Accent6 2 5 5" xfId="18035" xr:uid="{7EA8728A-3061-400A-A9F2-FDA5F3A3FDD9}"/>
    <cellStyle name="20% - Accent6 2 6" xfId="1478" xr:uid="{00000000-0005-0000-0000-000067030000}"/>
    <cellStyle name="20% - Accent6 2 6 2" xfId="3708" xr:uid="{00000000-0005-0000-0000-000068030000}"/>
    <cellStyle name="20% - Accent6 2 6 2 2" xfId="7931" xr:uid="{00000000-0005-0000-0000-000069030000}"/>
    <cellStyle name="20% - Accent6 2 6 2 2 2" xfId="16373" xr:uid="{DEE372D5-C3FA-40CD-8B66-E71663669419}"/>
    <cellStyle name="20% - Accent6 2 6 2 2 3" xfId="24810" xr:uid="{F12F5390-1509-405E-BAF6-157BF666F6C4}"/>
    <cellStyle name="20% - Accent6 2 6 2 3" xfId="12155" xr:uid="{D95F1BA9-896F-4021-A1A4-72B3F7E75105}"/>
    <cellStyle name="20% - Accent6 2 6 2 4" xfId="20593" xr:uid="{0D98C0C2-0813-4FE0-8399-E4584BFE749C}"/>
    <cellStyle name="20% - Accent6 2 6 3" xfId="5786" xr:uid="{00000000-0005-0000-0000-00006A030000}"/>
    <cellStyle name="20% - Accent6 2 6 3 2" xfId="14228" xr:uid="{D556CB3A-5976-4162-B552-D68191D9A91A}"/>
    <cellStyle name="20% - Accent6 2 6 3 3" xfId="22665" xr:uid="{F25CD9FF-21AD-4801-A9E2-BFCFB11F9F36}"/>
    <cellStyle name="20% - Accent6 2 6 4" xfId="10010" xr:uid="{57F7636B-488B-4C5E-86DF-518D71047D51}"/>
    <cellStyle name="20% - Accent6 2 6 5" xfId="18448" xr:uid="{C047A676-0727-40A2-921A-A756776A922B}"/>
    <cellStyle name="20% - Accent6 2 7" xfId="1892" xr:uid="{00000000-0005-0000-0000-00006B030000}"/>
    <cellStyle name="20% - Accent6 2 7 2" xfId="4121" xr:uid="{00000000-0005-0000-0000-00006C030000}"/>
    <cellStyle name="20% - Accent6 2 7 2 2" xfId="8344" xr:uid="{00000000-0005-0000-0000-00006D030000}"/>
    <cellStyle name="20% - Accent6 2 7 2 2 2" xfId="16786" xr:uid="{A966734B-36BF-42DE-967F-DCFF6336B4FE}"/>
    <cellStyle name="20% - Accent6 2 7 2 2 3" xfId="25223" xr:uid="{07DC04B4-876D-4FAD-A1BA-60A2B214A363}"/>
    <cellStyle name="20% - Accent6 2 7 2 3" xfId="12568" xr:uid="{A48B1FB8-2C4B-4E25-B28F-AB2A59B33B44}"/>
    <cellStyle name="20% - Accent6 2 7 2 4" xfId="21006" xr:uid="{68B6AF04-6C05-4569-84DF-A7A494E24C3E}"/>
    <cellStyle name="20% - Accent6 2 7 3" xfId="6199" xr:uid="{00000000-0005-0000-0000-00006E030000}"/>
    <cellStyle name="20% - Accent6 2 7 3 2" xfId="14641" xr:uid="{7B5487A0-BE85-4FCF-8812-2D6AE520BE8F}"/>
    <cellStyle name="20% - Accent6 2 7 3 3" xfId="23078" xr:uid="{A9F0BBA7-4675-47A1-B137-B418C6FE85EA}"/>
    <cellStyle name="20% - Accent6 2 7 4" xfId="10423" xr:uid="{55B0FC58-6944-48EF-880C-BCFCDC9458D1}"/>
    <cellStyle name="20% - Accent6 2 7 5" xfId="18861" xr:uid="{B4B2C63E-3C05-4775-99C2-36371E4F0A2F}"/>
    <cellStyle name="20% - Accent6 2 8" xfId="2305" xr:uid="{00000000-0005-0000-0000-00006F030000}"/>
    <cellStyle name="20% - Accent6 2 8 2" xfId="6612" xr:uid="{00000000-0005-0000-0000-000070030000}"/>
    <cellStyle name="20% - Accent6 2 8 2 2" xfId="15054" xr:uid="{0E7E9FF6-84B8-4110-B314-1484B961206D}"/>
    <cellStyle name="20% - Accent6 2 8 2 3" xfId="23491" xr:uid="{06AB84BC-C53F-4B98-86D0-26B40325F105}"/>
    <cellStyle name="20% - Accent6 2 8 3" xfId="10836" xr:uid="{2CEFECD4-285B-473F-AD06-0DB6A6B6FFA0}"/>
    <cellStyle name="20% - Accent6 2 8 4" xfId="19274" xr:uid="{555239C3-92A9-4983-BFC2-210F99D1FF7D}"/>
    <cellStyle name="20% - Accent6 2 9" xfId="4546" xr:uid="{00000000-0005-0000-0000-000071030000}"/>
    <cellStyle name="20% - Accent6 2 9 2" xfId="12988" xr:uid="{CE7BB0B5-B86F-409E-8559-D4E077F61F0A}"/>
    <cellStyle name="20% - Accent6 2 9 3" xfId="21425" xr:uid="{46B368F9-F3B1-423E-A14E-31F1CFB2B8BD}"/>
    <cellStyle name="20% - Accent6 3" xfId="46" xr:uid="{00000000-0005-0000-0000-000072030000}"/>
    <cellStyle name="20% - Accent6 3 10" xfId="17212" xr:uid="{E8CF947F-84A0-4466-AD10-04472286D881}"/>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2 2 2" xfId="15552" xr:uid="{3FE7A018-D6A9-40C5-928E-C6FD5E5549EC}"/>
    <cellStyle name="20% - Accent6 3 2 2 2 2 3" xfId="23989" xr:uid="{7B47C0CB-69B9-4CBD-89BE-2C61AD5F3586}"/>
    <cellStyle name="20% - Accent6 3 2 2 2 3" xfId="11334" xr:uid="{8E5729D2-3943-419C-8186-05FFA479CE02}"/>
    <cellStyle name="20% - Accent6 3 2 2 2 4" xfId="19772" xr:uid="{D54FB701-598F-43CE-B17E-4266F2B0FA46}"/>
    <cellStyle name="20% - Accent6 3 2 2 3" xfId="4965" xr:uid="{00000000-0005-0000-0000-000077030000}"/>
    <cellStyle name="20% - Accent6 3 2 2 3 2" xfId="13407" xr:uid="{F98E507C-5F8B-412E-9E51-0EC7E92EC0AD}"/>
    <cellStyle name="20% - Accent6 3 2 2 3 3" xfId="21844" xr:uid="{B991C208-05D3-45CA-A5C1-F39FD19630FB}"/>
    <cellStyle name="20% - Accent6 3 2 2 4" xfId="9189" xr:uid="{E1BE5747-1C16-4AC1-ADBD-020B5E1570A9}"/>
    <cellStyle name="20% - Accent6 3 2 2 5" xfId="17627" xr:uid="{C2A17A40-E5C8-4DF1-B32D-5B4EE04C0E92}"/>
    <cellStyle name="20% - Accent6 3 2 3" xfId="1069" xr:uid="{00000000-0005-0000-0000-000078030000}"/>
    <cellStyle name="20% - Accent6 3 2 3 2" xfId="3300" xr:uid="{00000000-0005-0000-0000-000079030000}"/>
    <cellStyle name="20% - Accent6 3 2 3 2 2" xfId="7523" xr:uid="{00000000-0005-0000-0000-00007A030000}"/>
    <cellStyle name="20% - Accent6 3 2 3 2 2 2" xfId="15965" xr:uid="{604AD706-B9A3-4082-A1BB-C03504D3B8F1}"/>
    <cellStyle name="20% - Accent6 3 2 3 2 2 3" xfId="24402" xr:uid="{BFE217BB-6958-4894-98C6-11D3FE70FB57}"/>
    <cellStyle name="20% - Accent6 3 2 3 2 3" xfId="11747" xr:uid="{8A87501C-F05C-493E-B754-6320A128498F}"/>
    <cellStyle name="20% - Accent6 3 2 3 2 4" xfId="20185" xr:uid="{6AEEE154-6EF8-4BFC-99F5-34EADA44E73D}"/>
    <cellStyle name="20% - Accent6 3 2 3 3" xfId="5378" xr:uid="{00000000-0005-0000-0000-00007B030000}"/>
    <cellStyle name="20% - Accent6 3 2 3 3 2" xfId="13820" xr:uid="{92542B9E-7F83-43C7-A9CB-903446FFD0B3}"/>
    <cellStyle name="20% - Accent6 3 2 3 3 3" xfId="22257" xr:uid="{6014FDCA-11EE-4BA3-BEC3-6EA91DE0F1BA}"/>
    <cellStyle name="20% - Accent6 3 2 3 4" xfId="9602" xr:uid="{39C1EE21-F23F-4AAC-B9D4-4E1CB6A129FD}"/>
    <cellStyle name="20% - Accent6 3 2 3 5" xfId="18040" xr:uid="{061E51E8-4E5A-4FA2-866D-72FDDE0EEE34}"/>
    <cellStyle name="20% - Accent6 3 2 4" xfId="1483" xr:uid="{00000000-0005-0000-0000-00007C030000}"/>
    <cellStyle name="20% - Accent6 3 2 4 2" xfId="3713" xr:uid="{00000000-0005-0000-0000-00007D030000}"/>
    <cellStyle name="20% - Accent6 3 2 4 2 2" xfId="7936" xr:uid="{00000000-0005-0000-0000-00007E030000}"/>
    <cellStyle name="20% - Accent6 3 2 4 2 2 2" xfId="16378" xr:uid="{8A5704A2-D727-4735-94CA-314F55491EAB}"/>
    <cellStyle name="20% - Accent6 3 2 4 2 2 3" xfId="24815" xr:uid="{7B1123AD-442A-48A4-ADCF-5DF48AAA7A82}"/>
    <cellStyle name="20% - Accent6 3 2 4 2 3" xfId="12160" xr:uid="{27D9C5FD-8CBA-4FDE-A994-49F7F8986857}"/>
    <cellStyle name="20% - Accent6 3 2 4 2 4" xfId="20598" xr:uid="{5B7062BC-43C6-46DC-BA2A-4AF858EF3AF1}"/>
    <cellStyle name="20% - Accent6 3 2 4 3" xfId="5791" xr:uid="{00000000-0005-0000-0000-00007F030000}"/>
    <cellStyle name="20% - Accent6 3 2 4 3 2" xfId="14233" xr:uid="{9DFD6E81-8546-464F-9C4C-A8208008B6B7}"/>
    <cellStyle name="20% - Accent6 3 2 4 3 3" xfId="22670" xr:uid="{5EA4A827-C095-46D5-B86A-4A65D04C0AF6}"/>
    <cellStyle name="20% - Accent6 3 2 4 4" xfId="10015" xr:uid="{174D2BA0-3407-416E-873E-2643367CA48A}"/>
    <cellStyle name="20% - Accent6 3 2 4 5" xfId="18453" xr:uid="{B63BBA1D-4EAC-44AE-9428-3FE7C8AA8287}"/>
    <cellStyle name="20% - Accent6 3 2 5" xfId="1897" xr:uid="{00000000-0005-0000-0000-000080030000}"/>
    <cellStyle name="20% - Accent6 3 2 5 2" xfId="4126" xr:uid="{00000000-0005-0000-0000-000081030000}"/>
    <cellStyle name="20% - Accent6 3 2 5 2 2" xfId="8349" xr:uid="{00000000-0005-0000-0000-000082030000}"/>
    <cellStyle name="20% - Accent6 3 2 5 2 2 2" xfId="16791" xr:uid="{910C0B1C-BE41-4E05-81D6-CBC3C4F3B970}"/>
    <cellStyle name="20% - Accent6 3 2 5 2 2 3" xfId="25228" xr:uid="{0CB1FEAA-657E-4D24-B323-E189D957DA84}"/>
    <cellStyle name="20% - Accent6 3 2 5 2 3" xfId="12573" xr:uid="{6C2802E3-EBEA-40F9-945C-6E10F88221D5}"/>
    <cellStyle name="20% - Accent6 3 2 5 2 4" xfId="21011" xr:uid="{C98EA13A-A178-44F1-BB51-C7028678260A}"/>
    <cellStyle name="20% - Accent6 3 2 5 3" xfId="6204" xr:uid="{00000000-0005-0000-0000-000083030000}"/>
    <cellStyle name="20% - Accent6 3 2 5 3 2" xfId="14646" xr:uid="{EDA3E6C5-940C-4C93-A095-158873BA5E99}"/>
    <cellStyle name="20% - Accent6 3 2 5 3 3" xfId="23083" xr:uid="{53548E29-080C-4F2A-9C7E-EC05F5EC6936}"/>
    <cellStyle name="20% - Accent6 3 2 5 4" xfId="10428" xr:uid="{8395E6D2-757D-42D0-B950-F1EB2E872F68}"/>
    <cellStyle name="20% - Accent6 3 2 5 5" xfId="18866" xr:uid="{989EA430-F26B-483E-8AD0-4DE6AE4E70F2}"/>
    <cellStyle name="20% - Accent6 3 2 6" xfId="2310" xr:uid="{00000000-0005-0000-0000-000084030000}"/>
    <cellStyle name="20% - Accent6 3 2 6 2" xfId="6617" xr:uid="{00000000-0005-0000-0000-000085030000}"/>
    <cellStyle name="20% - Accent6 3 2 6 2 2" xfId="15059" xr:uid="{0C08F72E-4F24-4C12-A675-29EB4FA5CBCF}"/>
    <cellStyle name="20% - Accent6 3 2 6 2 3" xfId="23496" xr:uid="{97761DF0-2693-47B0-BB9B-93274E500874}"/>
    <cellStyle name="20% - Accent6 3 2 6 3" xfId="10841" xr:uid="{39C59518-463C-4850-89DB-CC88C9D41D0C}"/>
    <cellStyle name="20% - Accent6 3 2 6 4" xfId="19279" xr:uid="{435889F5-2922-4CEE-8A53-C1EF66C43090}"/>
    <cellStyle name="20% - Accent6 3 2 7" xfId="4551" xr:uid="{00000000-0005-0000-0000-000086030000}"/>
    <cellStyle name="20% - Accent6 3 2 7 2" xfId="12993" xr:uid="{C50084BF-BD2D-4971-B531-054A8B262279}"/>
    <cellStyle name="20% - Accent6 3 2 7 3" xfId="21430" xr:uid="{EF554922-81A7-4C26-A112-69A59024B22C}"/>
    <cellStyle name="20% - Accent6 3 2 8" xfId="8775" xr:uid="{2B40CD42-58E0-4479-A796-206F78FEF600}"/>
    <cellStyle name="20% - Accent6 3 2 9" xfId="17213" xr:uid="{D565AFDB-A240-4196-AB45-7043578F468A}"/>
    <cellStyle name="20% - Accent6 3 3" xfId="615" xr:uid="{00000000-0005-0000-0000-000087030000}"/>
    <cellStyle name="20% - Accent6 3 3 2" xfId="2886" xr:uid="{00000000-0005-0000-0000-000088030000}"/>
    <cellStyle name="20% - Accent6 3 3 2 2" xfId="7109" xr:uid="{00000000-0005-0000-0000-000089030000}"/>
    <cellStyle name="20% - Accent6 3 3 2 2 2" xfId="15551" xr:uid="{ED6EB000-51D2-4EFA-A23A-896EFF3B696A}"/>
    <cellStyle name="20% - Accent6 3 3 2 2 3" xfId="23988" xr:uid="{88465EC8-197C-43E5-90AB-C63D3AD20352}"/>
    <cellStyle name="20% - Accent6 3 3 2 3" xfId="11333" xr:uid="{7CCCE7BE-0EE3-49B2-965D-126B8EED69D3}"/>
    <cellStyle name="20% - Accent6 3 3 2 4" xfId="19771" xr:uid="{567DBAC2-46D8-447D-8C2F-C6AB0BE756D0}"/>
    <cellStyle name="20% - Accent6 3 3 3" xfId="4964" xr:uid="{00000000-0005-0000-0000-00008A030000}"/>
    <cellStyle name="20% - Accent6 3 3 3 2" xfId="13406" xr:uid="{AADAC4F8-DC53-4108-9B8D-F01FE7D7750D}"/>
    <cellStyle name="20% - Accent6 3 3 3 3" xfId="21843" xr:uid="{96C20A82-CBDD-4407-8DB2-4D8B8FECB120}"/>
    <cellStyle name="20% - Accent6 3 3 4" xfId="9188" xr:uid="{4A4671C8-49B8-4925-BDEC-2D52A583CC94}"/>
    <cellStyle name="20% - Accent6 3 3 5" xfId="17626" xr:uid="{04EEC3BA-9D12-43E6-8CF5-FED08A5DB34B}"/>
    <cellStyle name="20% - Accent6 3 4" xfId="1068" xr:uid="{00000000-0005-0000-0000-00008B030000}"/>
    <cellStyle name="20% - Accent6 3 4 2" xfId="3299" xr:uid="{00000000-0005-0000-0000-00008C030000}"/>
    <cellStyle name="20% - Accent6 3 4 2 2" xfId="7522" xr:uid="{00000000-0005-0000-0000-00008D030000}"/>
    <cellStyle name="20% - Accent6 3 4 2 2 2" xfId="15964" xr:uid="{31D75AB8-A815-4806-A0FE-AAED4547E7A0}"/>
    <cellStyle name="20% - Accent6 3 4 2 2 3" xfId="24401" xr:uid="{055009FC-F6B5-4C47-8D4E-B92FE8203B89}"/>
    <cellStyle name="20% - Accent6 3 4 2 3" xfId="11746" xr:uid="{22B4F50F-E0F3-4976-890C-C43C9ECB4FD0}"/>
    <cellStyle name="20% - Accent6 3 4 2 4" xfId="20184" xr:uid="{54FB7E26-D456-413B-8A3D-9B268512A123}"/>
    <cellStyle name="20% - Accent6 3 4 3" xfId="5377" xr:uid="{00000000-0005-0000-0000-00008E030000}"/>
    <cellStyle name="20% - Accent6 3 4 3 2" xfId="13819" xr:uid="{BF9DCC56-67F7-42CB-B59F-5B1D86FF0445}"/>
    <cellStyle name="20% - Accent6 3 4 3 3" xfId="22256" xr:uid="{A1CFC087-4995-4D77-BEAC-7769415777B5}"/>
    <cellStyle name="20% - Accent6 3 4 4" xfId="9601" xr:uid="{6624C62A-F62C-46D5-B5DE-12913CD08DBA}"/>
    <cellStyle name="20% - Accent6 3 4 5" xfId="18039" xr:uid="{3461AE67-4717-4DE0-845F-74FEF7D966AA}"/>
    <cellStyle name="20% - Accent6 3 5" xfId="1482" xr:uid="{00000000-0005-0000-0000-00008F030000}"/>
    <cellStyle name="20% - Accent6 3 5 2" xfId="3712" xr:uid="{00000000-0005-0000-0000-000090030000}"/>
    <cellStyle name="20% - Accent6 3 5 2 2" xfId="7935" xr:uid="{00000000-0005-0000-0000-000091030000}"/>
    <cellStyle name="20% - Accent6 3 5 2 2 2" xfId="16377" xr:uid="{06F7BF79-F24C-427D-AA23-8F0289F7A467}"/>
    <cellStyle name="20% - Accent6 3 5 2 2 3" xfId="24814" xr:uid="{1B70E19E-EBB4-4244-A502-82E1148D7D10}"/>
    <cellStyle name="20% - Accent6 3 5 2 3" xfId="12159" xr:uid="{CC81ADB4-78EC-401C-91D9-403F68FA0106}"/>
    <cellStyle name="20% - Accent6 3 5 2 4" xfId="20597" xr:uid="{C0BD9497-86A0-4E92-A338-9FC820BBFE56}"/>
    <cellStyle name="20% - Accent6 3 5 3" xfId="5790" xr:uid="{00000000-0005-0000-0000-000092030000}"/>
    <cellStyle name="20% - Accent6 3 5 3 2" xfId="14232" xr:uid="{21E58424-4DA6-42D7-8723-C6D20BC38B5C}"/>
    <cellStyle name="20% - Accent6 3 5 3 3" xfId="22669" xr:uid="{B9DF216E-B163-4A42-8C44-35BBDBA164D7}"/>
    <cellStyle name="20% - Accent6 3 5 4" xfId="10014" xr:uid="{63EFF3D5-DBF9-4C58-A754-C99D34ED5BDE}"/>
    <cellStyle name="20% - Accent6 3 5 5" xfId="18452" xr:uid="{CE4EF0F7-CECF-4061-A26F-89CE2040C45B}"/>
    <cellStyle name="20% - Accent6 3 6" xfId="1896" xr:uid="{00000000-0005-0000-0000-000093030000}"/>
    <cellStyle name="20% - Accent6 3 6 2" xfId="4125" xr:uid="{00000000-0005-0000-0000-000094030000}"/>
    <cellStyle name="20% - Accent6 3 6 2 2" xfId="8348" xr:uid="{00000000-0005-0000-0000-000095030000}"/>
    <cellStyle name="20% - Accent6 3 6 2 2 2" xfId="16790" xr:uid="{EE251A3B-10B0-446B-ABB0-7ECAF96E9067}"/>
    <cellStyle name="20% - Accent6 3 6 2 2 3" xfId="25227" xr:uid="{A01C0E86-635E-47EE-995C-3007B3507BA1}"/>
    <cellStyle name="20% - Accent6 3 6 2 3" xfId="12572" xr:uid="{B11493A4-9CB5-4E1E-80AB-B7AFA3854A5E}"/>
    <cellStyle name="20% - Accent6 3 6 2 4" xfId="21010" xr:uid="{77A15FF0-9D21-41B1-BFC1-2F3467855849}"/>
    <cellStyle name="20% - Accent6 3 6 3" xfId="6203" xr:uid="{00000000-0005-0000-0000-000096030000}"/>
    <cellStyle name="20% - Accent6 3 6 3 2" xfId="14645" xr:uid="{B278D46E-3A43-4DC4-B2C2-8EF08EDED67B}"/>
    <cellStyle name="20% - Accent6 3 6 3 3" xfId="23082" xr:uid="{2B095738-DB70-41D4-8772-0CCDB5C588EA}"/>
    <cellStyle name="20% - Accent6 3 6 4" xfId="10427" xr:uid="{85458873-F3B6-45F0-B3D6-45855B55C267}"/>
    <cellStyle name="20% - Accent6 3 6 5" xfId="18865" xr:uid="{137C76DB-59AF-40B7-B6C6-B8C7576F482C}"/>
    <cellStyle name="20% - Accent6 3 7" xfId="2309" xr:uid="{00000000-0005-0000-0000-000097030000}"/>
    <cellStyle name="20% - Accent6 3 7 2" xfId="6616" xr:uid="{00000000-0005-0000-0000-000098030000}"/>
    <cellStyle name="20% - Accent6 3 7 2 2" xfId="15058" xr:uid="{44722836-7C15-49FC-8734-ADC306FB2D04}"/>
    <cellStyle name="20% - Accent6 3 7 2 3" xfId="23495" xr:uid="{2B18A12F-0190-4DF3-BBCE-8355975F29D5}"/>
    <cellStyle name="20% - Accent6 3 7 3" xfId="10840" xr:uid="{202E2164-B2F3-420F-838D-8DE545579EFC}"/>
    <cellStyle name="20% - Accent6 3 7 4" xfId="19278" xr:uid="{48DE6E3C-17AF-4359-97AB-E0E5EC060327}"/>
    <cellStyle name="20% - Accent6 3 8" xfId="4550" xr:uid="{00000000-0005-0000-0000-000099030000}"/>
    <cellStyle name="20% - Accent6 3 8 2" xfId="12992" xr:uid="{A81FAB44-B63B-4BF4-BD1C-7676AE749464}"/>
    <cellStyle name="20% - Accent6 3 8 3" xfId="21429" xr:uid="{F7AC174F-EDD4-41E5-BA31-BBD441E784A3}"/>
    <cellStyle name="20% - Accent6 3 9" xfId="8774" xr:uid="{1E722867-C3F2-4F39-9596-FE33A5EDAF84}"/>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2 2 2" xfId="15553" xr:uid="{8A73E58D-18A2-4901-8C51-6BB180E288DE}"/>
    <cellStyle name="20% - Accent6 4 2 2 2 3" xfId="23990" xr:uid="{4B419152-0CBF-4A7C-835A-6726C31516F0}"/>
    <cellStyle name="20% - Accent6 4 2 2 3" xfId="11335" xr:uid="{3D7FBD65-E313-4170-A0B2-65EDB6E59DE2}"/>
    <cellStyle name="20% - Accent6 4 2 2 4" xfId="19773" xr:uid="{168FDF0D-EF84-4D01-9F85-1CA47B2C1C2F}"/>
    <cellStyle name="20% - Accent6 4 2 3" xfId="4966" xr:uid="{00000000-0005-0000-0000-00009E030000}"/>
    <cellStyle name="20% - Accent6 4 2 3 2" xfId="13408" xr:uid="{D61E5CC8-B24E-4C77-8A9B-8823FF672B59}"/>
    <cellStyle name="20% - Accent6 4 2 3 3" xfId="21845" xr:uid="{4403B1E1-5A55-4D63-B455-0B92B1499B4E}"/>
    <cellStyle name="20% - Accent6 4 2 4" xfId="9190" xr:uid="{91ECCD75-3B1F-402A-856D-560F7DD36C7E}"/>
    <cellStyle name="20% - Accent6 4 2 5" xfId="17628" xr:uid="{5346B9D9-F47F-445B-82F3-3626F428BB2C}"/>
    <cellStyle name="20% - Accent6 4 3" xfId="1070" xr:uid="{00000000-0005-0000-0000-00009F030000}"/>
    <cellStyle name="20% - Accent6 4 3 2" xfId="3301" xr:uid="{00000000-0005-0000-0000-0000A0030000}"/>
    <cellStyle name="20% - Accent6 4 3 2 2" xfId="7524" xr:uid="{00000000-0005-0000-0000-0000A1030000}"/>
    <cellStyle name="20% - Accent6 4 3 2 2 2" xfId="15966" xr:uid="{F5C11AC7-654B-4D6C-A9EF-F1AE50CE7D9A}"/>
    <cellStyle name="20% - Accent6 4 3 2 2 3" xfId="24403" xr:uid="{3A56368B-4328-4BCF-B7EE-DFBB7370A311}"/>
    <cellStyle name="20% - Accent6 4 3 2 3" xfId="11748" xr:uid="{297233DA-75ED-4E27-9040-62B0691F0DE2}"/>
    <cellStyle name="20% - Accent6 4 3 2 4" xfId="20186" xr:uid="{22FB09B5-260B-4EA8-9AF9-284952FDBEBC}"/>
    <cellStyle name="20% - Accent6 4 3 3" xfId="5379" xr:uid="{00000000-0005-0000-0000-0000A2030000}"/>
    <cellStyle name="20% - Accent6 4 3 3 2" xfId="13821" xr:uid="{0CBE85A5-41B0-4D30-85E1-A28A091EF231}"/>
    <cellStyle name="20% - Accent6 4 3 3 3" xfId="22258" xr:uid="{C592A0BE-B3DF-428A-A71F-F3530A7C126A}"/>
    <cellStyle name="20% - Accent6 4 3 4" xfId="9603" xr:uid="{7A1AB462-F528-4F13-B8D8-30CA02FCBA43}"/>
    <cellStyle name="20% - Accent6 4 3 5" xfId="18041" xr:uid="{9D6E0BB7-5A15-4AE7-A066-F7CC80C3A86A}"/>
    <cellStyle name="20% - Accent6 4 4" xfId="1484" xr:uid="{00000000-0005-0000-0000-0000A3030000}"/>
    <cellStyle name="20% - Accent6 4 4 2" xfId="3714" xr:uid="{00000000-0005-0000-0000-0000A4030000}"/>
    <cellStyle name="20% - Accent6 4 4 2 2" xfId="7937" xr:uid="{00000000-0005-0000-0000-0000A5030000}"/>
    <cellStyle name="20% - Accent6 4 4 2 2 2" xfId="16379" xr:uid="{4AD82A74-0AFB-452F-BA11-CE76231C95E8}"/>
    <cellStyle name="20% - Accent6 4 4 2 2 3" xfId="24816" xr:uid="{EB6AC730-22C6-4CC5-9036-8935E6D1D616}"/>
    <cellStyle name="20% - Accent6 4 4 2 3" xfId="12161" xr:uid="{29A7EAC0-6DA5-4DFD-B769-BBC2FAE70F85}"/>
    <cellStyle name="20% - Accent6 4 4 2 4" xfId="20599" xr:uid="{844F8AFB-5BD9-4167-B3D4-4CC9ECE324D8}"/>
    <cellStyle name="20% - Accent6 4 4 3" xfId="5792" xr:uid="{00000000-0005-0000-0000-0000A6030000}"/>
    <cellStyle name="20% - Accent6 4 4 3 2" xfId="14234" xr:uid="{4ECBF5C4-4080-4DB6-B0AD-5AE48D4A8C20}"/>
    <cellStyle name="20% - Accent6 4 4 3 3" xfId="22671" xr:uid="{05B6F2EB-A266-41B3-A4FA-A88006BE6BFA}"/>
    <cellStyle name="20% - Accent6 4 4 4" xfId="10016" xr:uid="{01308507-DB37-4A11-A205-0105F6713056}"/>
    <cellStyle name="20% - Accent6 4 4 5" xfId="18454" xr:uid="{C44E2A4E-66E3-43AC-A500-483797D5ED59}"/>
    <cellStyle name="20% - Accent6 4 5" xfId="1898" xr:uid="{00000000-0005-0000-0000-0000A7030000}"/>
    <cellStyle name="20% - Accent6 4 5 2" xfId="4127" xr:uid="{00000000-0005-0000-0000-0000A8030000}"/>
    <cellStyle name="20% - Accent6 4 5 2 2" xfId="8350" xr:uid="{00000000-0005-0000-0000-0000A9030000}"/>
    <cellStyle name="20% - Accent6 4 5 2 2 2" xfId="16792" xr:uid="{5841A434-0E84-4F6F-AE6D-AC88E2EE9B0E}"/>
    <cellStyle name="20% - Accent6 4 5 2 2 3" xfId="25229" xr:uid="{EB0C41E9-3252-4A66-8A13-BC6C8A20F185}"/>
    <cellStyle name="20% - Accent6 4 5 2 3" xfId="12574" xr:uid="{A8073084-28AC-46F6-84E2-7A44DC053EFB}"/>
    <cellStyle name="20% - Accent6 4 5 2 4" xfId="21012" xr:uid="{A65665D2-4E35-4CE8-9464-922EEAC743BA}"/>
    <cellStyle name="20% - Accent6 4 5 3" xfId="6205" xr:uid="{00000000-0005-0000-0000-0000AA030000}"/>
    <cellStyle name="20% - Accent6 4 5 3 2" xfId="14647" xr:uid="{27BA16F0-FEB7-4261-9FB8-0F0757DFD7A3}"/>
    <cellStyle name="20% - Accent6 4 5 3 3" xfId="23084" xr:uid="{FD0FB1E2-441F-458F-85CD-5E3DECDFC0E8}"/>
    <cellStyle name="20% - Accent6 4 5 4" xfId="10429" xr:uid="{48C84A33-3F84-4A8D-B027-66E52B263698}"/>
    <cellStyle name="20% - Accent6 4 5 5" xfId="18867" xr:uid="{6DE7A608-8F9A-48DB-95B9-D8719E60700F}"/>
    <cellStyle name="20% - Accent6 4 6" xfId="2311" xr:uid="{00000000-0005-0000-0000-0000AB030000}"/>
    <cellStyle name="20% - Accent6 4 6 2" xfId="6618" xr:uid="{00000000-0005-0000-0000-0000AC030000}"/>
    <cellStyle name="20% - Accent6 4 6 2 2" xfId="15060" xr:uid="{9984F706-85EE-421D-99E3-D8FB603CC480}"/>
    <cellStyle name="20% - Accent6 4 6 2 3" xfId="23497" xr:uid="{25CD525E-3BB8-427D-9A3B-BF751666D9E8}"/>
    <cellStyle name="20% - Accent6 4 6 3" xfId="10842" xr:uid="{2E955818-6BCC-4611-BEAD-0E84B50306E7}"/>
    <cellStyle name="20% - Accent6 4 6 4" xfId="19280" xr:uid="{11225882-8049-4679-B063-4FD35591A3E4}"/>
    <cellStyle name="20% - Accent6 4 7" xfId="4552" xr:uid="{00000000-0005-0000-0000-0000AD030000}"/>
    <cellStyle name="20% - Accent6 4 7 2" xfId="12994" xr:uid="{A751AC30-D00C-410B-BC82-A18EC0F62196}"/>
    <cellStyle name="20% - Accent6 4 7 3" xfId="21431" xr:uid="{15E76C7C-77F1-427F-B263-B9CBC9A1B696}"/>
    <cellStyle name="20% - Accent6 4 8" xfId="8776" xr:uid="{5CA1A44C-B8A5-4552-83EA-1316CE71BA9F}"/>
    <cellStyle name="20% - Accent6 4 9" xfId="17214" xr:uid="{8415CE0D-5111-4557-BB30-0B152B8AC3FB}"/>
    <cellStyle name="20% - Accent6 5" xfId="610" xr:uid="{00000000-0005-0000-0000-0000AE030000}"/>
    <cellStyle name="20% - Accent6 5 2" xfId="2881" xr:uid="{00000000-0005-0000-0000-0000AF030000}"/>
    <cellStyle name="20% - Accent6 5 2 2" xfId="7104" xr:uid="{00000000-0005-0000-0000-0000B0030000}"/>
    <cellStyle name="20% - Accent6 5 2 2 2" xfId="15546" xr:uid="{8D121731-2955-435F-B616-708BB569F9B8}"/>
    <cellStyle name="20% - Accent6 5 2 2 3" xfId="23983" xr:uid="{76DDCB93-6D38-4487-A864-C3E702B26B71}"/>
    <cellStyle name="20% - Accent6 5 2 3" xfId="11328" xr:uid="{28B5BAFF-C6B1-4246-9FFB-1E48E7E2CB26}"/>
    <cellStyle name="20% - Accent6 5 2 4" xfId="19766" xr:uid="{E30ACF67-E8A2-4545-B02C-4B973A6442F1}"/>
    <cellStyle name="20% - Accent6 5 3" xfId="4959" xr:uid="{00000000-0005-0000-0000-0000B1030000}"/>
    <cellStyle name="20% - Accent6 5 3 2" xfId="13401" xr:uid="{9174EAEF-7729-450F-80E4-69EC47725A8E}"/>
    <cellStyle name="20% - Accent6 5 3 3" xfId="21838" xr:uid="{999EDCB6-319C-4664-9CD6-D8D14F38DC81}"/>
    <cellStyle name="20% - Accent6 5 4" xfId="9183" xr:uid="{4D6251DC-C9F5-49A8-9C8C-28B012BED408}"/>
    <cellStyle name="20% - Accent6 5 5" xfId="17621" xr:uid="{2F332DBD-46E4-4F55-B52D-F7510312725E}"/>
    <cellStyle name="20% - Accent6 6" xfId="1063" xr:uid="{00000000-0005-0000-0000-0000B2030000}"/>
    <cellStyle name="20% - Accent6 6 2" xfId="3294" xr:uid="{00000000-0005-0000-0000-0000B3030000}"/>
    <cellStyle name="20% - Accent6 6 2 2" xfId="7517" xr:uid="{00000000-0005-0000-0000-0000B4030000}"/>
    <cellStyle name="20% - Accent6 6 2 2 2" xfId="15959" xr:uid="{776B5ED2-FA3D-4CA3-B478-9E6C28095278}"/>
    <cellStyle name="20% - Accent6 6 2 2 3" xfId="24396" xr:uid="{A1EA52E5-E138-45DD-85F3-3E5376D46AD1}"/>
    <cellStyle name="20% - Accent6 6 2 3" xfId="11741" xr:uid="{E0DC174E-1002-4E45-AC2F-E3149DB0EBB3}"/>
    <cellStyle name="20% - Accent6 6 2 4" xfId="20179" xr:uid="{01FAA6D4-5673-4033-923A-944FE0F4973C}"/>
    <cellStyle name="20% - Accent6 6 3" xfId="5372" xr:uid="{00000000-0005-0000-0000-0000B5030000}"/>
    <cellStyle name="20% - Accent6 6 3 2" xfId="13814" xr:uid="{1889EC96-4C3C-45E8-BCBF-1A6C65BE7245}"/>
    <cellStyle name="20% - Accent6 6 3 3" xfId="22251" xr:uid="{5F3E805E-BC84-41B7-9B33-5ACC343063C7}"/>
    <cellStyle name="20% - Accent6 6 4" xfId="9596" xr:uid="{C285EF6F-2E01-4950-A051-EFA9A9C91014}"/>
    <cellStyle name="20% - Accent6 6 5" xfId="18034" xr:uid="{BDD06FB8-1FF2-40C9-BB59-9014B9719199}"/>
    <cellStyle name="20% - Accent6 7" xfId="1477" xr:uid="{00000000-0005-0000-0000-0000B6030000}"/>
    <cellStyle name="20% - Accent6 7 2" xfId="3707" xr:uid="{00000000-0005-0000-0000-0000B7030000}"/>
    <cellStyle name="20% - Accent6 7 2 2" xfId="7930" xr:uid="{00000000-0005-0000-0000-0000B8030000}"/>
    <cellStyle name="20% - Accent6 7 2 2 2" xfId="16372" xr:uid="{25E22597-BF6B-49A6-976A-91B31644678B}"/>
    <cellStyle name="20% - Accent6 7 2 2 3" xfId="24809" xr:uid="{970CC2BE-147C-42E7-B1AC-F0770B8C85DC}"/>
    <cellStyle name="20% - Accent6 7 2 3" xfId="12154" xr:uid="{83A0130E-E671-4D13-B0EC-D8091A649341}"/>
    <cellStyle name="20% - Accent6 7 2 4" xfId="20592" xr:uid="{F8196C43-B450-499E-A463-B0E26DF637E6}"/>
    <cellStyle name="20% - Accent6 7 3" xfId="5785" xr:uid="{00000000-0005-0000-0000-0000B9030000}"/>
    <cellStyle name="20% - Accent6 7 3 2" xfId="14227" xr:uid="{F037C4AF-C17B-4382-A969-C829474EB303}"/>
    <cellStyle name="20% - Accent6 7 3 3" xfId="22664" xr:uid="{2DBE35DD-2EB7-4488-8E5A-2C6DCE7B3707}"/>
    <cellStyle name="20% - Accent6 7 4" xfId="10009" xr:uid="{F85B9FA0-CEB3-4952-AF93-2689461E678D}"/>
    <cellStyle name="20% - Accent6 7 5" xfId="18447" xr:uid="{37E7AF7C-1F19-44E1-A3B2-13CE89E95D3C}"/>
    <cellStyle name="20% - Accent6 8" xfId="1891" xr:uid="{00000000-0005-0000-0000-0000BA030000}"/>
    <cellStyle name="20% - Accent6 8 2" xfId="4120" xr:uid="{00000000-0005-0000-0000-0000BB030000}"/>
    <cellStyle name="20% - Accent6 8 2 2" xfId="8343" xr:uid="{00000000-0005-0000-0000-0000BC030000}"/>
    <cellStyle name="20% - Accent6 8 2 2 2" xfId="16785" xr:uid="{0FBD4EA6-E813-4C9F-8900-C59FC5B50DC6}"/>
    <cellStyle name="20% - Accent6 8 2 2 3" xfId="25222" xr:uid="{53CAD83A-B3B3-4F5B-8B4C-A53B0D254523}"/>
    <cellStyle name="20% - Accent6 8 2 3" xfId="12567" xr:uid="{73FBCD61-9F2A-44A4-BACB-F7322D0FD696}"/>
    <cellStyle name="20% - Accent6 8 2 4" xfId="21005" xr:uid="{3E5F739C-4FF4-4414-BBC4-07B77D1EB952}"/>
    <cellStyle name="20% - Accent6 8 3" xfId="6198" xr:uid="{00000000-0005-0000-0000-0000BD030000}"/>
    <cellStyle name="20% - Accent6 8 3 2" xfId="14640" xr:uid="{BC9DBD75-AE9B-4621-BFBA-7960F8928890}"/>
    <cellStyle name="20% - Accent6 8 3 3" xfId="23077" xr:uid="{D4523D57-BEC5-4C8E-942B-C7241869A07E}"/>
    <cellStyle name="20% - Accent6 8 4" xfId="10422" xr:uid="{E380C75F-D68C-4502-A5A1-AF95C932178B}"/>
    <cellStyle name="20% - Accent6 8 5" xfId="18860" xr:uid="{964E9C52-1ABC-4544-8B34-65F79D55B1ED}"/>
    <cellStyle name="20% - Accent6 9" xfId="2304" xr:uid="{00000000-0005-0000-0000-0000BE030000}"/>
    <cellStyle name="20% - Accent6 9 2" xfId="6611" xr:uid="{00000000-0005-0000-0000-0000BF030000}"/>
    <cellStyle name="20% - Accent6 9 2 2" xfId="15053" xr:uid="{F8C2EF3B-A99A-429C-BA65-C29E05440C3C}"/>
    <cellStyle name="20% - Accent6 9 2 3" xfId="23490" xr:uid="{00EA41DC-6E63-44DB-A015-DA5D611A427E}"/>
    <cellStyle name="20% - Accent6 9 3" xfId="10835" xr:uid="{5F82527D-D782-4DF2-BE6C-8A1D9799348B}"/>
    <cellStyle name="20% - Accent6 9 4" xfId="19273" xr:uid="{2FE2EC55-E3D4-43EE-8B96-EF1F59C5AB4F}"/>
    <cellStyle name="40% - Accent1" xfId="49" builtinId="31" customBuiltin="1"/>
    <cellStyle name="40% - Accent1 10" xfId="4553" xr:uid="{00000000-0005-0000-0000-0000C1030000}"/>
    <cellStyle name="40% - Accent1 10 2" xfId="12995" xr:uid="{B5C278FD-5850-4C14-BE89-6260F06C94E1}"/>
    <cellStyle name="40% - Accent1 10 3" xfId="21432" xr:uid="{8C52FE7B-8083-43CB-AD8B-DD4DF953EFED}"/>
    <cellStyle name="40% - Accent1 11" xfId="8777" xr:uid="{CA9674C9-DCC5-4921-B678-347A0A3712CD}"/>
    <cellStyle name="40% - Accent1 12" xfId="17215" xr:uid="{7D1538EA-6C2A-4B2C-8D9D-78E951F43D00}"/>
    <cellStyle name="40% - Accent1 2" xfId="50" xr:uid="{00000000-0005-0000-0000-0000C2030000}"/>
    <cellStyle name="40% - Accent1 2 10" xfId="8778" xr:uid="{14C1A7B5-6354-489B-87DD-5D0CA3F650B6}"/>
    <cellStyle name="40% - Accent1 2 11" xfId="17216" xr:uid="{17630840-E725-4DF8-8EBD-18ED3618DC9C}"/>
    <cellStyle name="40% - Accent1 2 2" xfId="51" xr:uid="{00000000-0005-0000-0000-0000C3030000}"/>
    <cellStyle name="40% - Accent1 2 2 10" xfId="17217" xr:uid="{CB7AB29A-295E-4640-9CA0-D44416AEE862}"/>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2 2 2" xfId="15557" xr:uid="{5CF1B796-64F0-403F-A899-AE1A50F5B6E7}"/>
    <cellStyle name="40% - Accent1 2 2 2 2 2 2 3" xfId="23994" xr:uid="{CDD30F26-8252-4D26-8FB8-018CF17BC1C1}"/>
    <cellStyle name="40% - Accent1 2 2 2 2 2 3" xfId="11339" xr:uid="{9FF858F7-F6BA-487C-BB02-F5148256EC0C}"/>
    <cellStyle name="40% - Accent1 2 2 2 2 2 4" xfId="19777" xr:uid="{2C77CCEC-CBCD-4CDE-8AEC-3420E1C7EA91}"/>
    <cellStyle name="40% - Accent1 2 2 2 2 3" xfId="4970" xr:uid="{00000000-0005-0000-0000-0000C8030000}"/>
    <cellStyle name="40% - Accent1 2 2 2 2 3 2" xfId="13412" xr:uid="{99205E08-F558-42B7-A4E1-9D1EBE741B1E}"/>
    <cellStyle name="40% - Accent1 2 2 2 2 3 3" xfId="21849" xr:uid="{432C84C2-3ACE-46AC-81DC-21E2F24AC840}"/>
    <cellStyle name="40% - Accent1 2 2 2 2 4" xfId="9194" xr:uid="{51960223-5264-436C-AAE5-E86C4084B9DC}"/>
    <cellStyle name="40% - Accent1 2 2 2 2 5" xfId="17632" xr:uid="{62571B46-91AC-4D2B-8D40-C77A1E0A3958}"/>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2 2 2" xfId="15970" xr:uid="{6795DFC6-B834-4210-99DC-2BF1EE4D3EF3}"/>
    <cellStyle name="40% - Accent1 2 2 2 3 2 2 3" xfId="24407" xr:uid="{A0886DE9-E3B7-447B-8680-959719661F57}"/>
    <cellStyle name="40% - Accent1 2 2 2 3 2 3" xfId="11752" xr:uid="{66CB4D7D-9762-43AE-A78D-A78F5202B001}"/>
    <cellStyle name="40% - Accent1 2 2 2 3 2 4" xfId="20190" xr:uid="{18A191EE-AEC2-4DE0-BEC3-39D1512C77E6}"/>
    <cellStyle name="40% - Accent1 2 2 2 3 3" xfId="5383" xr:uid="{00000000-0005-0000-0000-0000CC030000}"/>
    <cellStyle name="40% - Accent1 2 2 2 3 3 2" xfId="13825" xr:uid="{9DF0369E-7EA3-4944-B7F8-4F091E53B339}"/>
    <cellStyle name="40% - Accent1 2 2 2 3 3 3" xfId="22262" xr:uid="{3F81A575-F057-4D36-B794-12533CE7F528}"/>
    <cellStyle name="40% - Accent1 2 2 2 3 4" xfId="9607" xr:uid="{B4F830A0-0601-493C-9F96-50EC5D498378}"/>
    <cellStyle name="40% - Accent1 2 2 2 3 5" xfId="18045" xr:uid="{FFE69865-21C6-415D-831A-492D74E6F088}"/>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2 2 2" xfId="16383" xr:uid="{36C9DA74-EE2F-4745-9E4D-2595B62A54D0}"/>
    <cellStyle name="40% - Accent1 2 2 2 4 2 2 3" xfId="24820" xr:uid="{7937006C-9E01-4E73-9C0E-88C7F3C537A4}"/>
    <cellStyle name="40% - Accent1 2 2 2 4 2 3" xfId="12165" xr:uid="{BCD4EC73-86B4-49DE-B5AC-2DB482225438}"/>
    <cellStyle name="40% - Accent1 2 2 2 4 2 4" xfId="20603" xr:uid="{BD4EDFBA-0C2D-455B-B061-38692FB44488}"/>
    <cellStyle name="40% - Accent1 2 2 2 4 3" xfId="5796" xr:uid="{00000000-0005-0000-0000-0000D0030000}"/>
    <cellStyle name="40% - Accent1 2 2 2 4 3 2" xfId="14238" xr:uid="{7BD4A947-885E-4986-9E00-7ABBFCF7C777}"/>
    <cellStyle name="40% - Accent1 2 2 2 4 3 3" xfId="22675" xr:uid="{7A20F266-8477-4AC2-B912-EE8A068DD94C}"/>
    <cellStyle name="40% - Accent1 2 2 2 4 4" xfId="10020" xr:uid="{B59B4F2B-83E4-4208-88F0-46BF060A2250}"/>
    <cellStyle name="40% - Accent1 2 2 2 4 5" xfId="18458" xr:uid="{255A88F0-8FB5-44A6-A8E6-ABFE517654D6}"/>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2 2 2" xfId="16796" xr:uid="{AB912E23-69FC-4429-A83B-2BD56902BFC9}"/>
    <cellStyle name="40% - Accent1 2 2 2 5 2 2 3" xfId="25233" xr:uid="{85466578-F985-4E55-9BEA-C4C559E5803E}"/>
    <cellStyle name="40% - Accent1 2 2 2 5 2 3" xfId="12578" xr:uid="{8C86E34A-A55D-4515-AD97-691FF01D345E}"/>
    <cellStyle name="40% - Accent1 2 2 2 5 2 4" xfId="21016" xr:uid="{9FF172C6-C272-4ACF-A799-A5C76D668450}"/>
    <cellStyle name="40% - Accent1 2 2 2 5 3" xfId="6209" xr:uid="{00000000-0005-0000-0000-0000D4030000}"/>
    <cellStyle name="40% - Accent1 2 2 2 5 3 2" xfId="14651" xr:uid="{D7AAA00E-525C-4648-8524-51D73CA43822}"/>
    <cellStyle name="40% - Accent1 2 2 2 5 3 3" xfId="23088" xr:uid="{C4EEC690-47AC-4BAF-B53B-CFA091EBE2B6}"/>
    <cellStyle name="40% - Accent1 2 2 2 5 4" xfId="10433" xr:uid="{41FCFC92-2986-44B0-9EB4-43B9E33536FF}"/>
    <cellStyle name="40% - Accent1 2 2 2 5 5" xfId="18871" xr:uid="{2011321B-EC42-4F1F-B401-D0EC39CDAE26}"/>
    <cellStyle name="40% - Accent1 2 2 2 6" xfId="2315" xr:uid="{00000000-0005-0000-0000-0000D5030000}"/>
    <cellStyle name="40% - Accent1 2 2 2 6 2" xfId="6622" xr:uid="{00000000-0005-0000-0000-0000D6030000}"/>
    <cellStyle name="40% - Accent1 2 2 2 6 2 2" xfId="15064" xr:uid="{306102DA-420F-4272-A50F-0AB16A19AFA7}"/>
    <cellStyle name="40% - Accent1 2 2 2 6 2 3" xfId="23501" xr:uid="{ACE14932-FF5C-479D-9F8F-2110BEDB29CE}"/>
    <cellStyle name="40% - Accent1 2 2 2 6 3" xfId="10846" xr:uid="{E7E9F20A-9EAC-4800-8D55-0EC317A8A88C}"/>
    <cellStyle name="40% - Accent1 2 2 2 6 4" xfId="19284" xr:uid="{72FB62D4-BDE8-48B7-A1A5-4E186CBCAAC8}"/>
    <cellStyle name="40% - Accent1 2 2 2 7" xfId="4556" xr:uid="{00000000-0005-0000-0000-0000D7030000}"/>
    <cellStyle name="40% - Accent1 2 2 2 7 2" xfId="12998" xr:uid="{FB08AE20-314F-4573-992D-4098B8E82F97}"/>
    <cellStyle name="40% - Accent1 2 2 2 7 3" xfId="21435" xr:uid="{93C46BD7-160D-4A66-9BE9-C153E0D5F022}"/>
    <cellStyle name="40% - Accent1 2 2 2 8" xfId="8780" xr:uid="{7067B2E6-BE4E-4F78-A3F3-07A575128C9A}"/>
    <cellStyle name="40% - Accent1 2 2 2 9" xfId="17218" xr:uid="{6828A446-06EB-48BB-9718-26B9E6B634EB}"/>
    <cellStyle name="40% - Accent1 2 2 3" xfId="620" xr:uid="{00000000-0005-0000-0000-0000D8030000}"/>
    <cellStyle name="40% - Accent1 2 2 3 2" xfId="2891" xr:uid="{00000000-0005-0000-0000-0000D9030000}"/>
    <cellStyle name="40% - Accent1 2 2 3 2 2" xfId="7114" xr:uid="{00000000-0005-0000-0000-0000DA030000}"/>
    <cellStyle name="40% - Accent1 2 2 3 2 2 2" xfId="15556" xr:uid="{FD9A10DF-CBCD-4C61-A0AF-826EDF09762A}"/>
    <cellStyle name="40% - Accent1 2 2 3 2 2 3" xfId="23993" xr:uid="{A267B11B-47C4-4D80-9F2F-E35262146A4E}"/>
    <cellStyle name="40% - Accent1 2 2 3 2 3" xfId="11338" xr:uid="{6770E152-6BF4-47C0-92C7-3B93ADF2D8CD}"/>
    <cellStyle name="40% - Accent1 2 2 3 2 4" xfId="19776" xr:uid="{EB6089DC-BCCA-4050-92C9-136DFEF06E94}"/>
    <cellStyle name="40% - Accent1 2 2 3 3" xfId="4969" xr:uid="{00000000-0005-0000-0000-0000DB030000}"/>
    <cellStyle name="40% - Accent1 2 2 3 3 2" xfId="13411" xr:uid="{51A21829-68CD-4999-A080-F4BA48ECB171}"/>
    <cellStyle name="40% - Accent1 2 2 3 3 3" xfId="21848" xr:uid="{D32D1BFB-CD60-495D-878A-22808108CA58}"/>
    <cellStyle name="40% - Accent1 2 2 3 4" xfId="9193" xr:uid="{B05D3764-CCEC-44FE-8049-25336706CCB5}"/>
    <cellStyle name="40% - Accent1 2 2 3 5" xfId="17631" xr:uid="{3CF71783-B3C2-408C-8C0F-59E08F338F6B}"/>
    <cellStyle name="40% - Accent1 2 2 4" xfId="1073" xr:uid="{00000000-0005-0000-0000-0000DC030000}"/>
    <cellStyle name="40% - Accent1 2 2 4 2" xfId="3304" xr:uid="{00000000-0005-0000-0000-0000DD030000}"/>
    <cellStyle name="40% - Accent1 2 2 4 2 2" xfId="7527" xr:uid="{00000000-0005-0000-0000-0000DE030000}"/>
    <cellStyle name="40% - Accent1 2 2 4 2 2 2" xfId="15969" xr:uid="{40E5E1EB-A444-47D8-A603-1FEDD0954858}"/>
    <cellStyle name="40% - Accent1 2 2 4 2 2 3" xfId="24406" xr:uid="{2233EEC7-2DC1-47BF-AACA-7A2DA8587E6E}"/>
    <cellStyle name="40% - Accent1 2 2 4 2 3" xfId="11751" xr:uid="{5D153104-14E0-46C7-B739-556616557D46}"/>
    <cellStyle name="40% - Accent1 2 2 4 2 4" xfId="20189" xr:uid="{C810E118-936B-49B8-97CB-880FBA339C21}"/>
    <cellStyle name="40% - Accent1 2 2 4 3" xfId="5382" xr:uid="{00000000-0005-0000-0000-0000DF030000}"/>
    <cellStyle name="40% - Accent1 2 2 4 3 2" xfId="13824" xr:uid="{01414683-A0A5-4C51-80CF-437186302E62}"/>
    <cellStyle name="40% - Accent1 2 2 4 3 3" xfId="22261" xr:uid="{BC17B510-D025-4B2B-973C-D74B69D20230}"/>
    <cellStyle name="40% - Accent1 2 2 4 4" xfId="9606" xr:uid="{ADC9FBD2-01F2-4EF7-996F-B00A09AFBF13}"/>
    <cellStyle name="40% - Accent1 2 2 4 5" xfId="18044" xr:uid="{7E3D9747-4656-4936-B30F-7C065532840C}"/>
    <cellStyle name="40% - Accent1 2 2 5" xfId="1487" xr:uid="{00000000-0005-0000-0000-0000E0030000}"/>
    <cellStyle name="40% - Accent1 2 2 5 2" xfId="3717" xr:uid="{00000000-0005-0000-0000-0000E1030000}"/>
    <cellStyle name="40% - Accent1 2 2 5 2 2" xfId="7940" xr:uid="{00000000-0005-0000-0000-0000E2030000}"/>
    <cellStyle name="40% - Accent1 2 2 5 2 2 2" xfId="16382" xr:uid="{BDE62878-63DB-4570-9D19-945BF29539B2}"/>
    <cellStyle name="40% - Accent1 2 2 5 2 2 3" xfId="24819" xr:uid="{59232384-2F13-4897-A6C6-50600B5E0711}"/>
    <cellStyle name="40% - Accent1 2 2 5 2 3" xfId="12164" xr:uid="{F7152540-CD61-4377-93F6-C04BF10D1183}"/>
    <cellStyle name="40% - Accent1 2 2 5 2 4" xfId="20602" xr:uid="{CC63D95C-FF65-4865-9629-C1B3660CB444}"/>
    <cellStyle name="40% - Accent1 2 2 5 3" xfId="5795" xr:uid="{00000000-0005-0000-0000-0000E3030000}"/>
    <cellStyle name="40% - Accent1 2 2 5 3 2" xfId="14237" xr:uid="{15611E13-29B0-486C-805C-BCB5C941FB20}"/>
    <cellStyle name="40% - Accent1 2 2 5 3 3" xfId="22674" xr:uid="{5A47674A-3E96-4743-B9B2-E0FAC21D1541}"/>
    <cellStyle name="40% - Accent1 2 2 5 4" xfId="10019" xr:uid="{0B10B880-B15D-40A7-BAE5-D0942DA0D126}"/>
    <cellStyle name="40% - Accent1 2 2 5 5" xfId="18457" xr:uid="{22A0FF34-FFB5-40CC-BDDE-C11F65D974E7}"/>
    <cellStyle name="40% - Accent1 2 2 6" xfId="1901" xr:uid="{00000000-0005-0000-0000-0000E4030000}"/>
    <cellStyle name="40% - Accent1 2 2 6 2" xfId="4130" xr:uid="{00000000-0005-0000-0000-0000E5030000}"/>
    <cellStyle name="40% - Accent1 2 2 6 2 2" xfId="8353" xr:uid="{00000000-0005-0000-0000-0000E6030000}"/>
    <cellStyle name="40% - Accent1 2 2 6 2 2 2" xfId="16795" xr:uid="{977C8458-5144-4304-9219-60C829CDC18A}"/>
    <cellStyle name="40% - Accent1 2 2 6 2 2 3" xfId="25232" xr:uid="{C2AF734F-70C2-4CCB-811E-9824E0689A3B}"/>
    <cellStyle name="40% - Accent1 2 2 6 2 3" xfId="12577" xr:uid="{54F00AD2-9D12-4270-BEB5-0A2C2D26C3CB}"/>
    <cellStyle name="40% - Accent1 2 2 6 2 4" xfId="21015" xr:uid="{B612F619-BF34-46EB-8E16-5BB0B3EE28D4}"/>
    <cellStyle name="40% - Accent1 2 2 6 3" xfId="6208" xr:uid="{00000000-0005-0000-0000-0000E7030000}"/>
    <cellStyle name="40% - Accent1 2 2 6 3 2" xfId="14650" xr:uid="{C8BA622B-E7B4-4404-B92E-30F72FC22DAF}"/>
    <cellStyle name="40% - Accent1 2 2 6 3 3" xfId="23087" xr:uid="{2B992823-C227-420D-AE58-2DE926B6A2CD}"/>
    <cellStyle name="40% - Accent1 2 2 6 4" xfId="10432" xr:uid="{B2A8A4C8-E673-45A4-9599-AC65F9CD44CD}"/>
    <cellStyle name="40% - Accent1 2 2 6 5" xfId="18870" xr:uid="{71A2AD57-890B-4128-9898-D2DA04E3886B}"/>
    <cellStyle name="40% - Accent1 2 2 7" xfId="2314" xr:uid="{00000000-0005-0000-0000-0000E8030000}"/>
    <cellStyle name="40% - Accent1 2 2 7 2" xfId="6621" xr:uid="{00000000-0005-0000-0000-0000E9030000}"/>
    <cellStyle name="40% - Accent1 2 2 7 2 2" xfId="15063" xr:uid="{EC69C7A2-7DFA-4182-81C5-C6F5A5091000}"/>
    <cellStyle name="40% - Accent1 2 2 7 2 3" xfId="23500" xr:uid="{04C100F9-563A-4300-BC39-452163BFE871}"/>
    <cellStyle name="40% - Accent1 2 2 7 3" xfId="10845" xr:uid="{3F7CC948-4423-4375-B848-138B9D771FC3}"/>
    <cellStyle name="40% - Accent1 2 2 7 4" xfId="19283" xr:uid="{531F7ACC-163F-4673-A242-5B261C40CD14}"/>
    <cellStyle name="40% - Accent1 2 2 8" xfId="4555" xr:uid="{00000000-0005-0000-0000-0000EA030000}"/>
    <cellStyle name="40% - Accent1 2 2 8 2" xfId="12997" xr:uid="{1E747D10-85EF-46A6-8204-32141496CDFB}"/>
    <cellStyle name="40% - Accent1 2 2 8 3" xfId="21434" xr:uid="{CB2494D4-5257-43B9-9AB9-B3E2FB4454CE}"/>
    <cellStyle name="40% - Accent1 2 2 9" xfId="8779" xr:uid="{C3BA88A1-2DA5-4DDA-B0B3-E3413FE42913}"/>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2 2 2" xfId="15558" xr:uid="{CF585122-EA0E-465F-954E-DB67E1F106E6}"/>
    <cellStyle name="40% - Accent1 2 3 2 2 2 3" xfId="23995" xr:uid="{E56B7A6E-B051-4251-A4F1-63B0E0B8E492}"/>
    <cellStyle name="40% - Accent1 2 3 2 2 3" xfId="11340" xr:uid="{2BDE8574-22DE-4B00-8221-CA337ACD4432}"/>
    <cellStyle name="40% - Accent1 2 3 2 2 4" xfId="19778" xr:uid="{5A79BFD3-AC0C-4D15-AEBE-6088980895A4}"/>
    <cellStyle name="40% - Accent1 2 3 2 3" xfId="4971" xr:uid="{00000000-0005-0000-0000-0000EF030000}"/>
    <cellStyle name="40% - Accent1 2 3 2 3 2" xfId="13413" xr:uid="{A584C0AF-6CBD-451C-9C05-FA365945D9E7}"/>
    <cellStyle name="40% - Accent1 2 3 2 3 3" xfId="21850" xr:uid="{67A645A1-CA50-4BD4-9096-30C700BE92A2}"/>
    <cellStyle name="40% - Accent1 2 3 2 4" xfId="9195" xr:uid="{699FB817-6867-4705-B5A0-3FF1D9F0A65A}"/>
    <cellStyle name="40% - Accent1 2 3 2 5" xfId="17633" xr:uid="{CBE5A04D-1C2B-49DA-8C56-E1046CA04C07}"/>
    <cellStyle name="40% - Accent1 2 3 3" xfId="1075" xr:uid="{00000000-0005-0000-0000-0000F0030000}"/>
    <cellStyle name="40% - Accent1 2 3 3 2" xfId="3306" xr:uid="{00000000-0005-0000-0000-0000F1030000}"/>
    <cellStyle name="40% - Accent1 2 3 3 2 2" xfId="7529" xr:uid="{00000000-0005-0000-0000-0000F2030000}"/>
    <cellStyle name="40% - Accent1 2 3 3 2 2 2" xfId="15971" xr:uid="{3B242A37-8453-4B4E-8F26-47DC8880BD63}"/>
    <cellStyle name="40% - Accent1 2 3 3 2 2 3" xfId="24408" xr:uid="{74910510-41D9-4764-A9A2-17D9E95737C4}"/>
    <cellStyle name="40% - Accent1 2 3 3 2 3" xfId="11753" xr:uid="{C32D76A5-3E58-444C-8C2B-B75659016629}"/>
    <cellStyle name="40% - Accent1 2 3 3 2 4" xfId="20191" xr:uid="{8C309928-7DC1-46F3-BD76-BB91E7D019B8}"/>
    <cellStyle name="40% - Accent1 2 3 3 3" xfId="5384" xr:uid="{00000000-0005-0000-0000-0000F3030000}"/>
    <cellStyle name="40% - Accent1 2 3 3 3 2" xfId="13826" xr:uid="{EF123206-0581-4ABD-8751-EC9E5C32E357}"/>
    <cellStyle name="40% - Accent1 2 3 3 3 3" xfId="22263" xr:uid="{C44B8C3B-3374-4ADF-B6A8-36F150FFCEBC}"/>
    <cellStyle name="40% - Accent1 2 3 3 4" xfId="9608" xr:uid="{2AF33A32-D963-4461-9EFA-E482557FAE49}"/>
    <cellStyle name="40% - Accent1 2 3 3 5" xfId="18046" xr:uid="{C9FA39AE-E562-43E2-836E-D97BD49B217E}"/>
    <cellStyle name="40% - Accent1 2 3 4" xfId="1489" xr:uid="{00000000-0005-0000-0000-0000F4030000}"/>
    <cellStyle name="40% - Accent1 2 3 4 2" xfId="3719" xr:uid="{00000000-0005-0000-0000-0000F5030000}"/>
    <cellStyle name="40% - Accent1 2 3 4 2 2" xfId="7942" xr:uid="{00000000-0005-0000-0000-0000F6030000}"/>
    <cellStyle name="40% - Accent1 2 3 4 2 2 2" xfId="16384" xr:uid="{F7DFE32A-92B3-4094-A318-67876A81AE4A}"/>
    <cellStyle name="40% - Accent1 2 3 4 2 2 3" xfId="24821" xr:uid="{1C4047E5-3AA9-409E-B3C1-64697D023EC3}"/>
    <cellStyle name="40% - Accent1 2 3 4 2 3" xfId="12166" xr:uid="{8A2B4D97-5E11-4F37-BF2C-3FC6B7A16AC3}"/>
    <cellStyle name="40% - Accent1 2 3 4 2 4" xfId="20604" xr:uid="{CFFAF1AC-4F44-450E-AF02-0F9C88EB5692}"/>
    <cellStyle name="40% - Accent1 2 3 4 3" xfId="5797" xr:uid="{00000000-0005-0000-0000-0000F7030000}"/>
    <cellStyle name="40% - Accent1 2 3 4 3 2" xfId="14239" xr:uid="{53C0B0F1-19EE-4D58-9382-7B36EF7589CC}"/>
    <cellStyle name="40% - Accent1 2 3 4 3 3" xfId="22676" xr:uid="{200998DF-0BC2-43E6-BF98-FD8CB53A0658}"/>
    <cellStyle name="40% - Accent1 2 3 4 4" xfId="10021" xr:uid="{D9249E39-BE53-4D9F-97B0-FCF57AAD409E}"/>
    <cellStyle name="40% - Accent1 2 3 4 5" xfId="18459" xr:uid="{17536BCA-5A88-4A48-B20C-FF59888F22DD}"/>
    <cellStyle name="40% - Accent1 2 3 5" xfId="1903" xr:uid="{00000000-0005-0000-0000-0000F8030000}"/>
    <cellStyle name="40% - Accent1 2 3 5 2" xfId="4132" xr:uid="{00000000-0005-0000-0000-0000F9030000}"/>
    <cellStyle name="40% - Accent1 2 3 5 2 2" xfId="8355" xr:uid="{00000000-0005-0000-0000-0000FA030000}"/>
    <cellStyle name="40% - Accent1 2 3 5 2 2 2" xfId="16797" xr:uid="{20A8870F-A32D-4BDA-B584-5CD4363DD26B}"/>
    <cellStyle name="40% - Accent1 2 3 5 2 2 3" xfId="25234" xr:uid="{20D51578-51D6-499D-9B61-8A992BBE3A0E}"/>
    <cellStyle name="40% - Accent1 2 3 5 2 3" xfId="12579" xr:uid="{952FA8DB-D2F6-42A8-8103-C6CB7779D860}"/>
    <cellStyle name="40% - Accent1 2 3 5 2 4" xfId="21017" xr:uid="{E416491C-2FD1-44E2-BDFD-32772B3A875B}"/>
    <cellStyle name="40% - Accent1 2 3 5 3" xfId="6210" xr:uid="{00000000-0005-0000-0000-0000FB030000}"/>
    <cellStyle name="40% - Accent1 2 3 5 3 2" xfId="14652" xr:uid="{EC04BAF5-CDD5-40B7-A12E-95D9FA27CF03}"/>
    <cellStyle name="40% - Accent1 2 3 5 3 3" xfId="23089" xr:uid="{B06B0154-35C7-45F4-A733-A88EBCCC38DD}"/>
    <cellStyle name="40% - Accent1 2 3 5 4" xfId="10434" xr:uid="{EC408E6C-D838-48D8-9C21-74B457E4FF3F}"/>
    <cellStyle name="40% - Accent1 2 3 5 5" xfId="18872" xr:uid="{D778935D-22D6-4400-B5C2-08867941AA6A}"/>
    <cellStyle name="40% - Accent1 2 3 6" xfId="2316" xr:uid="{00000000-0005-0000-0000-0000FC030000}"/>
    <cellStyle name="40% - Accent1 2 3 6 2" xfId="6623" xr:uid="{00000000-0005-0000-0000-0000FD030000}"/>
    <cellStyle name="40% - Accent1 2 3 6 2 2" xfId="15065" xr:uid="{BCCB56C0-132B-4B30-819A-ACEA7B3D3BC4}"/>
    <cellStyle name="40% - Accent1 2 3 6 2 3" xfId="23502" xr:uid="{35104C94-E03C-47EE-8CD2-750F088BC85A}"/>
    <cellStyle name="40% - Accent1 2 3 6 3" xfId="10847" xr:uid="{0F9887AF-E57B-404D-90DC-A218A82F0804}"/>
    <cellStyle name="40% - Accent1 2 3 6 4" xfId="19285" xr:uid="{A094BC5D-36BC-4F33-8DFE-F1C5179B186F}"/>
    <cellStyle name="40% - Accent1 2 3 7" xfId="4557" xr:uid="{00000000-0005-0000-0000-0000FE030000}"/>
    <cellStyle name="40% - Accent1 2 3 7 2" xfId="12999" xr:uid="{F02BCAFF-2FC1-444E-92C3-A1EC57E72B71}"/>
    <cellStyle name="40% - Accent1 2 3 7 3" xfId="21436" xr:uid="{4666EF7F-9DE9-4172-ABAA-E68ADF76D152}"/>
    <cellStyle name="40% - Accent1 2 3 8" xfId="8781" xr:uid="{42492BA1-E589-4815-9675-FBC5DE410CB0}"/>
    <cellStyle name="40% - Accent1 2 3 9" xfId="17219" xr:uid="{37B1C3C6-BAF1-4076-80F4-B8BC3F5D0E6C}"/>
    <cellStyle name="40% - Accent1 2 4" xfId="619" xr:uid="{00000000-0005-0000-0000-0000FF030000}"/>
    <cellStyle name="40% - Accent1 2 4 2" xfId="2890" xr:uid="{00000000-0005-0000-0000-000000040000}"/>
    <cellStyle name="40% - Accent1 2 4 2 2" xfId="7113" xr:uid="{00000000-0005-0000-0000-000001040000}"/>
    <cellStyle name="40% - Accent1 2 4 2 2 2" xfId="15555" xr:uid="{E8F51360-52D5-40BE-BC43-407BF6790303}"/>
    <cellStyle name="40% - Accent1 2 4 2 2 3" xfId="23992" xr:uid="{5A37189A-5D8F-4932-9306-59F3262643BF}"/>
    <cellStyle name="40% - Accent1 2 4 2 3" xfId="11337" xr:uid="{5A080763-74BF-460F-9BC3-BA8C2B9C247B}"/>
    <cellStyle name="40% - Accent1 2 4 2 4" xfId="19775" xr:uid="{E0A0CCD0-55CD-4E66-BBF2-DA3AD6E0787D}"/>
    <cellStyle name="40% - Accent1 2 4 3" xfId="4968" xr:uid="{00000000-0005-0000-0000-000002040000}"/>
    <cellStyle name="40% - Accent1 2 4 3 2" xfId="13410" xr:uid="{1F3D2727-9A10-4A6E-82AB-B29206A02D81}"/>
    <cellStyle name="40% - Accent1 2 4 3 3" xfId="21847" xr:uid="{45CF24D6-487D-4451-B491-57558E959FCA}"/>
    <cellStyle name="40% - Accent1 2 4 4" xfId="9192" xr:uid="{C603CE8A-0077-49C2-B034-033F227FE423}"/>
    <cellStyle name="40% - Accent1 2 4 5" xfId="17630" xr:uid="{931EB05E-27B7-4005-8A60-E9A58F06AB34}"/>
    <cellStyle name="40% - Accent1 2 5" xfId="1072" xr:uid="{00000000-0005-0000-0000-000003040000}"/>
    <cellStyle name="40% - Accent1 2 5 2" xfId="3303" xr:uid="{00000000-0005-0000-0000-000004040000}"/>
    <cellStyle name="40% - Accent1 2 5 2 2" xfId="7526" xr:uid="{00000000-0005-0000-0000-000005040000}"/>
    <cellStyle name="40% - Accent1 2 5 2 2 2" xfId="15968" xr:uid="{343E358A-2470-416A-B150-A36B31F8D1A9}"/>
    <cellStyle name="40% - Accent1 2 5 2 2 3" xfId="24405" xr:uid="{9D8C95C7-4757-489D-A838-24897311A713}"/>
    <cellStyle name="40% - Accent1 2 5 2 3" xfId="11750" xr:uid="{E54FA301-9832-470B-B65F-D7EEE66FE485}"/>
    <cellStyle name="40% - Accent1 2 5 2 4" xfId="20188" xr:uid="{7CFF5773-48FF-434B-8743-AEF533CB070A}"/>
    <cellStyle name="40% - Accent1 2 5 3" xfId="5381" xr:uid="{00000000-0005-0000-0000-000006040000}"/>
    <cellStyle name="40% - Accent1 2 5 3 2" xfId="13823" xr:uid="{729FDE0A-355A-45C0-90E1-D9FBC80A66F7}"/>
    <cellStyle name="40% - Accent1 2 5 3 3" xfId="22260" xr:uid="{3DC7D087-149C-41B4-9292-1BE1BCD01960}"/>
    <cellStyle name="40% - Accent1 2 5 4" xfId="9605" xr:uid="{3F42DFC6-2518-47B5-A3FC-169F4305D166}"/>
    <cellStyle name="40% - Accent1 2 5 5" xfId="18043" xr:uid="{DE1AD5AD-E34D-4F0C-88BC-A2121F2F114B}"/>
    <cellStyle name="40% - Accent1 2 6" xfId="1486" xr:uid="{00000000-0005-0000-0000-000007040000}"/>
    <cellStyle name="40% - Accent1 2 6 2" xfId="3716" xr:uid="{00000000-0005-0000-0000-000008040000}"/>
    <cellStyle name="40% - Accent1 2 6 2 2" xfId="7939" xr:uid="{00000000-0005-0000-0000-000009040000}"/>
    <cellStyle name="40% - Accent1 2 6 2 2 2" xfId="16381" xr:uid="{5CB8F8B1-1907-4378-A6B9-63E29BD15ABF}"/>
    <cellStyle name="40% - Accent1 2 6 2 2 3" xfId="24818" xr:uid="{FBDEDD2F-0E23-497F-818D-BA822509A6C5}"/>
    <cellStyle name="40% - Accent1 2 6 2 3" xfId="12163" xr:uid="{CEBB5B1C-8071-4253-9484-C6AC91647EBC}"/>
    <cellStyle name="40% - Accent1 2 6 2 4" xfId="20601" xr:uid="{434B7B0B-A933-4E9B-B4B3-F306FE140A51}"/>
    <cellStyle name="40% - Accent1 2 6 3" xfId="5794" xr:uid="{00000000-0005-0000-0000-00000A040000}"/>
    <cellStyle name="40% - Accent1 2 6 3 2" xfId="14236" xr:uid="{85DECC25-EA23-42EC-9212-9C28396C2007}"/>
    <cellStyle name="40% - Accent1 2 6 3 3" xfId="22673" xr:uid="{85F5EEB8-B495-44E9-B692-7E75C9300DCE}"/>
    <cellStyle name="40% - Accent1 2 6 4" xfId="10018" xr:uid="{CAC1854C-F635-4773-A372-5159D8A904B5}"/>
    <cellStyle name="40% - Accent1 2 6 5" xfId="18456" xr:uid="{489924A8-92CF-4EA6-949A-E65E800CE9E2}"/>
    <cellStyle name="40% - Accent1 2 7" xfId="1900" xr:uid="{00000000-0005-0000-0000-00000B040000}"/>
    <cellStyle name="40% - Accent1 2 7 2" xfId="4129" xr:uid="{00000000-0005-0000-0000-00000C040000}"/>
    <cellStyle name="40% - Accent1 2 7 2 2" xfId="8352" xr:uid="{00000000-0005-0000-0000-00000D040000}"/>
    <cellStyle name="40% - Accent1 2 7 2 2 2" xfId="16794" xr:uid="{B01909DA-4CF8-4AFC-8275-D19A3ED12613}"/>
    <cellStyle name="40% - Accent1 2 7 2 2 3" xfId="25231" xr:uid="{63390C91-DB85-496C-94DC-09B779D11029}"/>
    <cellStyle name="40% - Accent1 2 7 2 3" xfId="12576" xr:uid="{0BAF715D-B22E-4D05-A537-BFC8ECE0AA4B}"/>
    <cellStyle name="40% - Accent1 2 7 2 4" xfId="21014" xr:uid="{446DC82A-8D73-4948-880D-AC3B2699D88F}"/>
    <cellStyle name="40% - Accent1 2 7 3" xfId="6207" xr:uid="{00000000-0005-0000-0000-00000E040000}"/>
    <cellStyle name="40% - Accent1 2 7 3 2" xfId="14649" xr:uid="{24B8631B-13C7-4D7C-B49C-2FAEFFF2BA9A}"/>
    <cellStyle name="40% - Accent1 2 7 3 3" xfId="23086" xr:uid="{76B4D770-3D65-4223-ACC5-22D2B78288F2}"/>
    <cellStyle name="40% - Accent1 2 7 4" xfId="10431" xr:uid="{836AC353-F480-4990-B825-AB0ECF68F5B6}"/>
    <cellStyle name="40% - Accent1 2 7 5" xfId="18869" xr:uid="{2DB9C8F8-2D86-47E8-BE59-7A69F85BAE4E}"/>
    <cellStyle name="40% - Accent1 2 8" xfId="2313" xr:uid="{00000000-0005-0000-0000-00000F040000}"/>
    <cellStyle name="40% - Accent1 2 8 2" xfId="6620" xr:uid="{00000000-0005-0000-0000-000010040000}"/>
    <cellStyle name="40% - Accent1 2 8 2 2" xfId="15062" xr:uid="{2520F0CB-82B8-4040-BC98-CAF384BE7CC9}"/>
    <cellStyle name="40% - Accent1 2 8 2 3" xfId="23499" xr:uid="{139EC7AA-8501-4DE0-A941-6956822943FC}"/>
    <cellStyle name="40% - Accent1 2 8 3" xfId="10844" xr:uid="{99BCA8D1-3B8B-4F42-A019-38DA81282593}"/>
    <cellStyle name="40% - Accent1 2 8 4" xfId="19282" xr:uid="{53172A54-A432-4252-BB74-07334393E1B4}"/>
    <cellStyle name="40% - Accent1 2 9" xfId="4554" xr:uid="{00000000-0005-0000-0000-000011040000}"/>
    <cellStyle name="40% - Accent1 2 9 2" xfId="12996" xr:uid="{054DF9F1-279F-4C94-8B6C-7918E6460388}"/>
    <cellStyle name="40% - Accent1 2 9 3" xfId="21433" xr:uid="{3539FF7B-C354-45EF-A244-879A37D8C349}"/>
    <cellStyle name="40% - Accent1 3" xfId="54" xr:uid="{00000000-0005-0000-0000-000012040000}"/>
    <cellStyle name="40% - Accent1 3 10" xfId="17220" xr:uid="{3F214389-B626-4F29-9BEA-F33BAC21569C}"/>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2 2 2" xfId="15560" xr:uid="{0135BAC1-9BBE-4788-8287-9EFE9492A695}"/>
    <cellStyle name="40% - Accent1 3 2 2 2 2 3" xfId="23997" xr:uid="{174788FB-A40D-49A1-9961-E324D970011B}"/>
    <cellStyle name="40% - Accent1 3 2 2 2 3" xfId="11342" xr:uid="{08D6C70F-952B-481B-8896-728EAAFE577E}"/>
    <cellStyle name="40% - Accent1 3 2 2 2 4" xfId="19780" xr:uid="{BC6D2FA4-FD66-425F-A88F-423378C36262}"/>
    <cellStyle name="40% - Accent1 3 2 2 3" xfId="4973" xr:uid="{00000000-0005-0000-0000-000017040000}"/>
    <cellStyle name="40% - Accent1 3 2 2 3 2" xfId="13415" xr:uid="{DE7981CE-B2B0-4921-9057-33583C43D99F}"/>
    <cellStyle name="40% - Accent1 3 2 2 3 3" xfId="21852" xr:uid="{3D0BA5D2-477B-4242-88E6-14752D819964}"/>
    <cellStyle name="40% - Accent1 3 2 2 4" xfId="9197" xr:uid="{FCB5B9B6-1DAB-4176-8618-99F89B176F03}"/>
    <cellStyle name="40% - Accent1 3 2 2 5" xfId="17635" xr:uid="{C8C7036D-E01E-4BDA-9E16-525B4F75F5B1}"/>
    <cellStyle name="40% - Accent1 3 2 3" xfId="1077" xr:uid="{00000000-0005-0000-0000-000018040000}"/>
    <cellStyle name="40% - Accent1 3 2 3 2" xfId="3308" xr:uid="{00000000-0005-0000-0000-000019040000}"/>
    <cellStyle name="40% - Accent1 3 2 3 2 2" xfId="7531" xr:uid="{00000000-0005-0000-0000-00001A040000}"/>
    <cellStyle name="40% - Accent1 3 2 3 2 2 2" xfId="15973" xr:uid="{F7349FE3-ADBA-421E-90C5-7387E250DECE}"/>
    <cellStyle name="40% - Accent1 3 2 3 2 2 3" xfId="24410" xr:uid="{E7B0F493-D1BA-4E3C-8639-715F979EE5C1}"/>
    <cellStyle name="40% - Accent1 3 2 3 2 3" xfId="11755" xr:uid="{7CBB7AAC-92E5-4256-A08D-9194A60ABFAE}"/>
    <cellStyle name="40% - Accent1 3 2 3 2 4" xfId="20193" xr:uid="{D2ADB14D-7318-41B1-A1CC-51DF0311AA87}"/>
    <cellStyle name="40% - Accent1 3 2 3 3" xfId="5386" xr:uid="{00000000-0005-0000-0000-00001B040000}"/>
    <cellStyle name="40% - Accent1 3 2 3 3 2" xfId="13828" xr:uid="{1EA7D757-731F-49E0-BEB9-BE15280E7EB2}"/>
    <cellStyle name="40% - Accent1 3 2 3 3 3" xfId="22265" xr:uid="{8A0A37A2-5ACA-4C2C-98CF-726CDAAA0BA1}"/>
    <cellStyle name="40% - Accent1 3 2 3 4" xfId="9610" xr:uid="{BFDB1403-B9C7-4C85-8A9F-D29EA916D08B}"/>
    <cellStyle name="40% - Accent1 3 2 3 5" xfId="18048" xr:uid="{672AF60F-FF14-4F3A-A2B1-ACA697CDFA55}"/>
    <cellStyle name="40% - Accent1 3 2 4" xfId="1491" xr:uid="{00000000-0005-0000-0000-00001C040000}"/>
    <cellStyle name="40% - Accent1 3 2 4 2" xfId="3721" xr:uid="{00000000-0005-0000-0000-00001D040000}"/>
    <cellStyle name="40% - Accent1 3 2 4 2 2" xfId="7944" xr:uid="{00000000-0005-0000-0000-00001E040000}"/>
    <cellStyle name="40% - Accent1 3 2 4 2 2 2" xfId="16386" xr:uid="{588AAF4F-C0D6-4A65-A2CA-E698A427276E}"/>
    <cellStyle name="40% - Accent1 3 2 4 2 2 3" xfId="24823" xr:uid="{2300130E-38CD-4A15-8247-E92C61C5A203}"/>
    <cellStyle name="40% - Accent1 3 2 4 2 3" xfId="12168" xr:uid="{CDB168C1-4CE4-4DD4-B654-8FC91B505E41}"/>
    <cellStyle name="40% - Accent1 3 2 4 2 4" xfId="20606" xr:uid="{0CAB0ED5-1B4F-4929-BAA1-4A8DFCA8BBB1}"/>
    <cellStyle name="40% - Accent1 3 2 4 3" xfId="5799" xr:uid="{00000000-0005-0000-0000-00001F040000}"/>
    <cellStyle name="40% - Accent1 3 2 4 3 2" xfId="14241" xr:uid="{2261245E-6381-4156-BA2A-EAB065A2DF4E}"/>
    <cellStyle name="40% - Accent1 3 2 4 3 3" xfId="22678" xr:uid="{4238272A-6C80-40A8-8577-A913230FA054}"/>
    <cellStyle name="40% - Accent1 3 2 4 4" xfId="10023" xr:uid="{9E47A37C-A309-4B74-9BDE-C27D5A76B311}"/>
    <cellStyle name="40% - Accent1 3 2 4 5" xfId="18461" xr:uid="{4674FE6A-BE0C-407B-BF78-578547BF76C9}"/>
    <cellStyle name="40% - Accent1 3 2 5" xfId="1905" xr:uid="{00000000-0005-0000-0000-000020040000}"/>
    <cellStyle name="40% - Accent1 3 2 5 2" xfId="4134" xr:uid="{00000000-0005-0000-0000-000021040000}"/>
    <cellStyle name="40% - Accent1 3 2 5 2 2" xfId="8357" xr:uid="{00000000-0005-0000-0000-000022040000}"/>
    <cellStyle name="40% - Accent1 3 2 5 2 2 2" xfId="16799" xr:uid="{FD27382D-1AF6-4424-97A2-82E8F6BC8AF9}"/>
    <cellStyle name="40% - Accent1 3 2 5 2 2 3" xfId="25236" xr:uid="{8CA19C32-6840-4807-BBB3-173D7B7EF20A}"/>
    <cellStyle name="40% - Accent1 3 2 5 2 3" xfId="12581" xr:uid="{29D38CC0-4A41-4D4A-8A09-53ACE84C350C}"/>
    <cellStyle name="40% - Accent1 3 2 5 2 4" xfId="21019" xr:uid="{6247E008-C5E2-448F-8908-F464AA7264BE}"/>
    <cellStyle name="40% - Accent1 3 2 5 3" xfId="6212" xr:uid="{00000000-0005-0000-0000-000023040000}"/>
    <cellStyle name="40% - Accent1 3 2 5 3 2" xfId="14654" xr:uid="{7B3A8A68-B029-4094-AE1C-C2262209F6EC}"/>
    <cellStyle name="40% - Accent1 3 2 5 3 3" xfId="23091" xr:uid="{D31F2D02-AEFF-4A99-AACD-01B0F88A40BC}"/>
    <cellStyle name="40% - Accent1 3 2 5 4" xfId="10436" xr:uid="{CBE333B2-3929-4E52-85EE-A17EA892B214}"/>
    <cellStyle name="40% - Accent1 3 2 5 5" xfId="18874" xr:uid="{6E77A25C-3BF3-4B2C-830C-2C86262D24AB}"/>
    <cellStyle name="40% - Accent1 3 2 6" xfId="2318" xr:uid="{00000000-0005-0000-0000-000024040000}"/>
    <cellStyle name="40% - Accent1 3 2 6 2" xfId="6625" xr:uid="{00000000-0005-0000-0000-000025040000}"/>
    <cellStyle name="40% - Accent1 3 2 6 2 2" xfId="15067" xr:uid="{F5AF4059-EBA9-49BA-98F0-B6F507FE181C}"/>
    <cellStyle name="40% - Accent1 3 2 6 2 3" xfId="23504" xr:uid="{FE19C6A4-46D9-4F83-AE42-63453C24C424}"/>
    <cellStyle name="40% - Accent1 3 2 6 3" xfId="10849" xr:uid="{9DB67C40-DD28-43D0-9DA8-5FBCF2C9FB87}"/>
    <cellStyle name="40% - Accent1 3 2 6 4" xfId="19287" xr:uid="{E9CB5EE7-8ACC-4FB3-9025-625A36280CA2}"/>
    <cellStyle name="40% - Accent1 3 2 7" xfId="4559" xr:uid="{00000000-0005-0000-0000-000026040000}"/>
    <cellStyle name="40% - Accent1 3 2 7 2" xfId="13001" xr:uid="{81265A49-1512-4658-9070-15EB6FF9435A}"/>
    <cellStyle name="40% - Accent1 3 2 7 3" xfId="21438" xr:uid="{F22AA379-14D3-4B5A-A8E9-E2967C0FAEB0}"/>
    <cellStyle name="40% - Accent1 3 2 8" xfId="8783" xr:uid="{B95E555A-AC66-4864-9A8A-5226A44E0DC3}"/>
    <cellStyle name="40% - Accent1 3 2 9" xfId="17221" xr:uid="{E3FDF5B7-7CC3-433A-9460-F6D8A5FC956A}"/>
    <cellStyle name="40% - Accent1 3 3" xfId="623" xr:uid="{00000000-0005-0000-0000-000027040000}"/>
    <cellStyle name="40% - Accent1 3 3 2" xfId="2894" xr:uid="{00000000-0005-0000-0000-000028040000}"/>
    <cellStyle name="40% - Accent1 3 3 2 2" xfId="7117" xr:uid="{00000000-0005-0000-0000-000029040000}"/>
    <cellStyle name="40% - Accent1 3 3 2 2 2" xfId="15559" xr:uid="{11573F5B-DFF6-44BC-85C2-B4C09C33DD84}"/>
    <cellStyle name="40% - Accent1 3 3 2 2 3" xfId="23996" xr:uid="{9F41A085-5501-46A8-8486-2FEF87189D98}"/>
    <cellStyle name="40% - Accent1 3 3 2 3" xfId="11341" xr:uid="{31AE607A-4576-4973-A2F2-9F9BBCC2B802}"/>
    <cellStyle name="40% - Accent1 3 3 2 4" xfId="19779" xr:uid="{F8FE3591-C014-465C-B454-047A0E0C9F7D}"/>
    <cellStyle name="40% - Accent1 3 3 3" xfId="4972" xr:uid="{00000000-0005-0000-0000-00002A040000}"/>
    <cellStyle name="40% - Accent1 3 3 3 2" xfId="13414" xr:uid="{F5994741-F432-4E42-AF00-D4CAF595B007}"/>
    <cellStyle name="40% - Accent1 3 3 3 3" xfId="21851" xr:uid="{D52BA29F-0A9F-47BA-9DBB-F90247041873}"/>
    <cellStyle name="40% - Accent1 3 3 4" xfId="9196" xr:uid="{BABC9E28-B767-4971-801F-596181CDDD2D}"/>
    <cellStyle name="40% - Accent1 3 3 5" xfId="17634" xr:uid="{FD585FF0-FF48-406B-8794-F5ABB354224C}"/>
    <cellStyle name="40% - Accent1 3 4" xfId="1076" xr:uid="{00000000-0005-0000-0000-00002B040000}"/>
    <cellStyle name="40% - Accent1 3 4 2" xfId="3307" xr:uid="{00000000-0005-0000-0000-00002C040000}"/>
    <cellStyle name="40% - Accent1 3 4 2 2" xfId="7530" xr:uid="{00000000-0005-0000-0000-00002D040000}"/>
    <cellStyle name="40% - Accent1 3 4 2 2 2" xfId="15972" xr:uid="{73E0E53D-6274-4CEA-ADEC-744A725EB93C}"/>
    <cellStyle name="40% - Accent1 3 4 2 2 3" xfId="24409" xr:uid="{EB4806E8-7138-4A0C-BACA-7A7F27FC9816}"/>
    <cellStyle name="40% - Accent1 3 4 2 3" xfId="11754" xr:uid="{606AAF3C-77F9-40F9-9EB5-8879C63E66D6}"/>
    <cellStyle name="40% - Accent1 3 4 2 4" xfId="20192" xr:uid="{D7DB110B-8FA6-4F10-AF59-5AE53C0DBF41}"/>
    <cellStyle name="40% - Accent1 3 4 3" xfId="5385" xr:uid="{00000000-0005-0000-0000-00002E040000}"/>
    <cellStyle name="40% - Accent1 3 4 3 2" xfId="13827" xr:uid="{9D9F0F12-78B5-495A-97F4-E23EA2ABE990}"/>
    <cellStyle name="40% - Accent1 3 4 3 3" xfId="22264" xr:uid="{EBA47074-7388-4A00-8FEC-2D73DBA6E48D}"/>
    <cellStyle name="40% - Accent1 3 4 4" xfId="9609" xr:uid="{789B651B-1364-4ADA-BADF-CF1D13F3159C}"/>
    <cellStyle name="40% - Accent1 3 4 5" xfId="18047" xr:uid="{7721BA64-BE79-4CF4-A7C1-A7E17CB3E06C}"/>
    <cellStyle name="40% - Accent1 3 5" xfId="1490" xr:uid="{00000000-0005-0000-0000-00002F040000}"/>
    <cellStyle name="40% - Accent1 3 5 2" xfId="3720" xr:uid="{00000000-0005-0000-0000-000030040000}"/>
    <cellStyle name="40% - Accent1 3 5 2 2" xfId="7943" xr:uid="{00000000-0005-0000-0000-000031040000}"/>
    <cellStyle name="40% - Accent1 3 5 2 2 2" xfId="16385" xr:uid="{2099DAEB-08E6-4654-98FD-7C18923CA6EB}"/>
    <cellStyle name="40% - Accent1 3 5 2 2 3" xfId="24822" xr:uid="{8973880A-ABF3-4A57-ADDC-2D3E941E5DB6}"/>
    <cellStyle name="40% - Accent1 3 5 2 3" xfId="12167" xr:uid="{549890A2-4D60-4340-AE26-49F4669208C7}"/>
    <cellStyle name="40% - Accent1 3 5 2 4" xfId="20605" xr:uid="{84F07CEA-C36F-4A30-B497-FADEF6ADBA9A}"/>
    <cellStyle name="40% - Accent1 3 5 3" xfId="5798" xr:uid="{00000000-0005-0000-0000-000032040000}"/>
    <cellStyle name="40% - Accent1 3 5 3 2" xfId="14240" xr:uid="{341E2DA5-8121-4F1C-9244-ABC9D22BCE9E}"/>
    <cellStyle name="40% - Accent1 3 5 3 3" xfId="22677" xr:uid="{F2234541-7344-480A-82CB-27769118023C}"/>
    <cellStyle name="40% - Accent1 3 5 4" xfId="10022" xr:uid="{8B2EAD5D-E17F-4AB4-95D2-7D7635E1583E}"/>
    <cellStyle name="40% - Accent1 3 5 5" xfId="18460" xr:uid="{06E4CF70-4D56-4437-B112-B79C9572933C}"/>
    <cellStyle name="40% - Accent1 3 6" xfId="1904" xr:uid="{00000000-0005-0000-0000-000033040000}"/>
    <cellStyle name="40% - Accent1 3 6 2" xfId="4133" xr:uid="{00000000-0005-0000-0000-000034040000}"/>
    <cellStyle name="40% - Accent1 3 6 2 2" xfId="8356" xr:uid="{00000000-0005-0000-0000-000035040000}"/>
    <cellStyle name="40% - Accent1 3 6 2 2 2" xfId="16798" xr:uid="{1789E7BD-E369-454B-A729-8FDCEFE88AAD}"/>
    <cellStyle name="40% - Accent1 3 6 2 2 3" xfId="25235" xr:uid="{2CA7E8D6-8F43-49AF-B43B-08D3C6B35FA0}"/>
    <cellStyle name="40% - Accent1 3 6 2 3" xfId="12580" xr:uid="{F19EB15F-9932-49C8-88F5-716FA7C161EA}"/>
    <cellStyle name="40% - Accent1 3 6 2 4" xfId="21018" xr:uid="{79A475A1-7BB9-454E-8175-49C721A002F2}"/>
    <cellStyle name="40% - Accent1 3 6 3" xfId="6211" xr:uid="{00000000-0005-0000-0000-000036040000}"/>
    <cellStyle name="40% - Accent1 3 6 3 2" xfId="14653" xr:uid="{2B6AB26E-1F9F-434A-BB16-E352E38340AB}"/>
    <cellStyle name="40% - Accent1 3 6 3 3" xfId="23090" xr:uid="{785629D8-3CD4-41E4-AD46-F31B650D47C0}"/>
    <cellStyle name="40% - Accent1 3 6 4" xfId="10435" xr:uid="{BBE97465-4984-4C8B-9B2D-5E33946AF0BE}"/>
    <cellStyle name="40% - Accent1 3 6 5" xfId="18873" xr:uid="{3349D2F1-C25C-4837-BEE2-36EB70511DC3}"/>
    <cellStyle name="40% - Accent1 3 7" xfId="2317" xr:uid="{00000000-0005-0000-0000-000037040000}"/>
    <cellStyle name="40% - Accent1 3 7 2" xfId="6624" xr:uid="{00000000-0005-0000-0000-000038040000}"/>
    <cellStyle name="40% - Accent1 3 7 2 2" xfId="15066" xr:uid="{BBBAABF3-3FBF-4575-BEF5-1DC1146453D4}"/>
    <cellStyle name="40% - Accent1 3 7 2 3" xfId="23503" xr:uid="{A8C1C2FE-C6AB-4CF4-9E39-64495CB9E2A1}"/>
    <cellStyle name="40% - Accent1 3 7 3" xfId="10848" xr:uid="{C5A43999-0A86-4C05-B61F-C5E93CD09D14}"/>
    <cellStyle name="40% - Accent1 3 7 4" xfId="19286" xr:uid="{BD8673E4-0F7C-4B8B-9382-08508FD5B754}"/>
    <cellStyle name="40% - Accent1 3 8" xfId="4558" xr:uid="{00000000-0005-0000-0000-000039040000}"/>
    <cellStyle name="40% - Accent1 3 8 2" xfId="13000" xr:uid="{EDA3E26B-0055-4B44-887A-FF0E9062B631}"/>
    <cellStyle name="40% - Accent1 3 8 3" xfId="21437" xr:uid="{DE81A651-17A9-4CE0-A275-205C03E7492E}"/>
    <cellStyle name="40% - Accent1 3 9" xfId="8782" xr:uid="{374BD482-C1E6-4EB6-8BFA-4F87534CBE5B}"/>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2 2 2" xfId="15561" xr:uid="{93B4DC47-E3BF-4F7B-B712-B7EED36844E0}"/>
    <cellStyle name="40% - Accent1 4 2 2 2 3" xfId="23998" xr:uid="{106664F1-7FBF-4A3E-AD8F-C63BDB49EDBB}"/>
    <cellStyle name="40% - Accent1 4 2 2 3" xfId="11343" xr:uid="{A607B555-3FA1-4117-8ED2-384D21D30C05}"/>
    <cellStyle name="40% - Accent1 4 2 2 4" xfId="19781" xr:uid="{4B4BF1BA-9CDF-4629-BA71-B9CC096B07E3}"/>
    <cellStyle name="40% - Accent1 4 2 3" xfId="4974" xr:uid="{00000000-0005-0000-0000-00003E040000}"/>
    <cellStyle name="40% - Accent1 4 2 3 2" xfId="13416" xr:uid="{62AA5B77-D964-4BDC-8482-E5AC5255217C}"/>
    <cellStyle name="40% - Accent1 4 2 3 3" xfId="21853" xr:uid="{86D84E79-BCC9-4B30-AF04-B94E4FE15378}"/>
    <cellStyle name="40% - Accent1 4 2 4" xfId="9198" xr:uid="{6F3EB7B6-5DD4-4563-9946-E799AE7D6731}"/>
    <cellStyle name="40% - Accent1 4 2 5" xfId="17636" xr:uid="{7FDDED13-10FB-4348-A7A6-F300357F02F9}"/>
    <cellStyle name="40% - Accent1 4 3" xfId="1078" xr:uid="{00000000-0005-0000-0000-00003F040000}"/>
    <cellStyle name="40% - Accent1 4 3 2" xfId="3309" xr:uid="{00000000-0005-0000-0000-000040040000}"/>
    <cellStyle name="40% - Accent1 4 3 2 2" xfId="7532" xr:uid="{00000000-0005-0000-0000-000041040000}"/>
    <cellStyle name="40% - Accent1 4 3 2 2 2" xfId="15974" xr:uid="{FB9D951C-EA6B-48DC-8DE6-9250974E9117}"/>
    <cellStyle name="40% - Accent1 4 3 2 2 3" xfId="24411" xr:uid="{8DED0CD0-C60B-4E8C-AA05-7FE71CED2B73}"/>
    <cellStyle name="40% - Accent1 4 3 2 3" xfId="11756" xr:uid="{1D1912A2-0833-4B06-9EF6-4BC7C40774C5}"/>
    <cellStyle name="40% - Accent1 4 3 2 4" xfId="20194" xr:uid="{67E471A4-F81E-46AA-A062-18311DD2C296}"/>
    <cellStyle name="40% - Accent1 4 3 3" xfId="5387" xr:uid="{00000000-0005-0000-0000-000042040000}"/>
    <cellStyle name="40% - Accent1 4 3 3 2" xfId="13829" xr:uid="{1A47BB2E-8B40-442F-A4B0-66EF4268684A}"/>
    <cellStyle name="40% - Accent1 4 3 3 3" xfId="22266" xr:uid="{E1BB75ED-5760-4EF2-B45D-6639B9318C06}"/>
    <cellStyle name="40% - Accent1 4 3 4" xfId="9611" xr:uid="{C55B2BE9-F676-4FF0-BD00-377F2D0EE76B}"/>
    <cellStyle name="40% - Accent1 4 3 5" xfId="18049" xr:uid="{91D92A70-F57F-4856-B319-46EF8503A9C0}"/>
    <cellStyle name="40% - Accent1 4 4" xfId="1492" xr:uid="{00000000-0005-0000-0000-000043040000}"/>
    <cellStyle name="40% - Accent1 4 4 2" xfId="3722" xr:uid="{00000000-0005-0000-0000-000044040000}"/>
    <cellStyle name="40% - Accent1 4 4 2 2" xfId="7945" xr:uid="{00000000-0005-0000-0000-000045040000}"/>
    <cellStyle name="40% - Accent1 4 4 2 2 2" xfId="16387" xr:uid="{AF44CAF7-2F2A-49C0-9D2B-EC31A3220E4D}"/>
    <cellStyle name="40% - Accent1 4 4 2 2 3" xfId="24824" xr:uid="{602B2BB8-287F-4586-9E4C-E5B80AFDF037}"/>
    <cellStyle name="40% - Accent1 4 4 2 3" xfId="12169" xr:uid="{F7FFB55E-189D-4040-89F6-2855176C0534}"/>
    <cellStyle name="40% - Accent1 4 4 2 4" xfId="20607" xr:uid="{9D619229-5F98-481A-9630-47F6D23C4296}"/>
    <cellStyle name="40% - Accent1 4 4 3" xfId="5800" xr:uid="{00000000-0005-0000-0000-000046040000}"/>
    <cellStyle name="40% - Accent1 4 4 3 2" xfId="14242" xr:uid="{FD738A39-39D0-4EDC-8BAD-5D267290A531}"/>
    <cellStyle name="40% - Accent1 4 4 3 3" xfId="22679" xr:uid="{7733D8EA-5DF8-4BAE-A28C-682A5CF6AA77}"/>
    <cellStyle name="40% - Accent1 4 4 4" xfId="10024" xr:uid="{C66C5876-DD4C-4B1E-A18A-A0188F12E543}"/>
    <cellStyle name="40% - Accent1 4 4 5" xfId="18462" xr:uid="{BDD20C7A-C8B9-4D60-9FD1-18D5A4F148C6}"/>
    <cellStyle name="40% - Accent1 4 5" xfId="1906" xr:uid="{00000000-0005-0000-0000-000047040000}"/>
    <cellStyle name="40% - Accent1 4 5 2" xfId="4135" xr:uid="{00000000-0005-0000-0000-000048040000}"/>
    <cellStyle name="40% - Accent1 4 5 2 2" xfId="8358" xr:uid="{00000000-0005-0000-0000-000049040000}"/>
    <cellStyle name="40% - Accent1 4 5 2 2 2" xfId="16800" xr:uid="{6FD474B3-921F-4C82-A2F8-39CDE41D3C6C}"/>
    <cellStyle name="40% - Accent1 4 5 2 2 3" xfId="25237" xr:uid="{04CD31B5-76CC-4B01-9C4F-94F44F80F698}"/>
    <cellStyle name="40% - Accent1 4 5 2 3" xfId="12582" xr:uid="{C5AA8605-287F-4193-A7DC-0E38A02ADC5E}"/>
    <cellStyle name="40% - Accent1 4 5 2 4" xfId="21020" xr:uid="{6E826105-A508-40C1-8293-5E5A965B1AA6}"/>
    <cellStyle name="40% - Accent1 4 5 3" xfId="6213" xr:uid="{00000000-0005-0000-0000-00004A040000}"/>
    <cellStyle name="40% - Accent1 4 5 3 2" xfId="14655" xr:uid="{AFCF6AC2-EF4D-4705-8DB3-453319294018}"/>
    <cellStyle name="40% - Accent1 4 5 3 3" xfId="23092" xr:uid="{DE007899-D3FC-4AE6-9086-D7770801D99D}"/>
    <cellStyle name="40% - Accent1 4 5 4" xfId="10437" xr:uid="{446D7971-CF9B-4734-93B4-D0FBB7C6DF68}"/>
    <cellStyle name="40% - Accent1 4 5 5" xfId="18875" xr:uid="{700EC3FE-7D9E-484F-9BAD-73C051DBA6B5}"/>
    <cellStyle name="40% - Accent1 4 6" xfId="2319" xr:uid="{00000000-0005-0000-0000-00004B040000}"/>
    <cellStyle name="40% - Accent1 4 6 2" xfId="6626" xr:uid="{00000000-0005-0000-0000-00004C040000}"/>
    <cellStyle name="40% - Accent1 4 6 2 2" xfId="15068" xr:uid="{C86BFA3F-967D-4EE6-BDBB-FC5D9614C7AB}"/>
    <cellStyle name="40% - Accent1 4 6 2 3" xfId="23505" xr:uid="{A1325408-E1A6-4F22-9A58-820FE9FEE94D}"/>
    <cellStyle name="40% - Accent1 4 6 3" xfId="10850" xr:uid="{FF7953FE-2A6B-4F81-A78D-50AC489571AE}"/>
    <cellStyle name="40% - Accent1 4 6 4" xfId="19288" xr:uid="{787669B2-D87A-4395-968D-6A5AE6D69B6F}"/>
    <cellStyle name="40% - Accent1 4 7" xfId="4560" xr:uid="{00000000-0005-0000-0000-00004D040000}"/>
    <cellStyle name="40% - Accent1 4 7 2" xfId="13002" xr:uid="{7EEFEDD2-EA14-4B76-A228-1958B649139C}"/>
    <cellStyle name="40% - Accent1 4 7 3" xfId="21439" xr:uid="{E4888636-6777-4A5F-A574-0B0EC50C7309}"/>
    <cellStyle name="40% - Accent1 4 8" xfId="8784" xr:uid="{DA203DFF-9188-4715-82B4-2C9DCA532550}"/>
    <cellStyle name="40% - Accent1 4 9" xfId="17222" xr:uid="{F1A90425-F34F-4B84-9ED2-D7919AF47031}"/>
    <cellStyle name="40% - Accent1 5" xfId="618" xr:uid="{00000000-0005-0000-0000-00004E040000}"/>
    <cellStyle name="40% - Accent1 5 2" xfId="2889" xr:uid="{00000000-0005-0000-0000-00004F040000}"/>
    <cellStyle name="40% - Accent1 5 2 2" xfId="7112" xr:uid="{00000000-0005-0000-0000-000050040000}"/>
    <cellStyle name="40% - Accent1 5 2 2 2" xfId="15554" xr:uid="{1296BF1D-5867-4CE8-8E10-D5FCA2EC66EF}"/>
    <cellStyle name="40% - Accent1 5 2 2 3" xfId="23991" xr:uid="{C9D666B1-25D8-4A6B-A661-2026557B840E}"/>
    <cellStyle name="40% - Accent1 5 2 3" xfId="11336" xr:uid="{2C47152D-C67C-4E6E-A78F-E0082A7FD97F}"/>
    <cellStyle name="40% - Accent1 5 2 4" xfId="19774" xr:uid="{3ABFACBB-A7D2-4771-BBB9-75499F80A376}"/>
    <cellStyle name="40% - Accent1 5 3" xfId="4967" xr:uid="{00000000-0005-0000-0000-000051040000}"/>
    <cellStyle name="40% - Accent1 5 3 2" xfId="13409" xr:uid="{85B67B36-AF1C-42AF-B47E-FC7DB80497A4}"/>
    <cellStyle name="40% - Accent1 5 3 3" xfId="21846" xr:uid="{36794A05-1A78-443F-A940-7D42B73478DC}"/>
    <cellStyle name="40% - Accent1 5 4" xfId="9191" xr:uid="{933C35B8-6557-4D56-A60D-974352E73C5C}"/>
    <cellStyle name="40% - Accent1 5 5" xfId="17629" xr:uid="{55B70B33-1CA7-4268-9F3E-CA16C8F79207}"/>
    <cellStyle name="40% - Accent1 6" xfId="1071" xr:uid="{00000000-0005-0000-0000-000052040000}"/>
    <cellStyle name="40% - Accent1 6 2" xfId="3302" xr:uid="{00000000-0005-0000-0000-000053040000}"/>
    <cellStyle name="40% - Accent1 6 2 2" xfId="7525" xr:uid="{00000000-0005-0000-0000-000054040000}"/>
    <cellStyle name="40% - Accent1 6 2 2 2" xfId="15967" xr:uid="{7182E922-A2BA-49EA-B947-1F37B37F4374}"/>
    <cellStyle name="40% - Accent1 6 2 2 3" xfId="24404" xr:uid="{674360CF-8854-41F9-8A9D-0E797E01E841}"/>
    <cellStyle name="40% - Accent1 6 2 3" xfId="11749" xr:uid="{88C08698-1C02-498E-BBAB-D279D65D3484}"/>
    <cellStyle name="40% - Accent1 6 2 4" xfId="20187" xr:uid="{144C4BA0-0999-4833-A693-B13A0DB1A3E5}"/>
    <cellStyle name="40% - Accent1 6 3" xfId="5380" xr:uid="{00000000-0005-0000-0000-000055040000}"/>
    <cellStyle name="40% - Accent1 6 3 2" xfId="13822" xr:uid="{2E9CBC02-F49C-4388-A202-215D8B9A4BDA}"/>
    <cellStyle name="40% - Accent1 6 3 3" xfId="22259" xr:uid="{AE48815F-D750-4D2B-9F43-D2773F10F660}"/>
    <cellStyle name="40% - Accent1 6 4" xfId="9604" xr:uid="{A9C8929B-91FB-460C-92E6-88F8F834F817}"/>
    <cellStyle name="40% - Accent1 6 5" xfId="18042" xr:uid="{2E6963C5-D9AD-4EF0-BE29-96438E3FCFC3}"/>
    <cellStyle name="40% - Accent1 7" xfId="1485" xr:uid="{00000000-0005-0000-0000-000056040000}"/>
    <cellStyle name="40% - Accent1 7 2" xfId="3715" xr:uid="{00000000-0005-0000-0000-000057040000}"/>
    <cellStyle name="40% - Accent1 7 2 2" xfId="7938" xr:uid="{00000000-0005-0000-0000-000058040000}"/>
    <cellStyle name="40% - Accent1 7 2 2 2" xfId="16380" xr:uid="{4718071F-3D20-422C-BCB3-F1A578E919A2}"/>
    <cellStyle name="40% - Accent1 7 2 2 3" xfId="24817" xr:uid="{CCC25671-FA84-40C8-9836-90BF4860AC81}"/>
    <cellStyle name="40% - Accent1 7 2 3" xfId="12162" xr:uid="{54BE860D-F7E8-4B08-B27C-DE504B0728AA}"/>
    <cellStyle name="40% - Accent1 7 2 4" xfId="20600" xr:uid="{814DAD10-2860-4B92-BA6B-AE472BAA2E59}"/>
    <cellStyle name="40% - Accent1 7 3" xfId="5793" xr:uid="{00000000-0005-0000-0000-000059040000}"/>
    <cellStyle name="40% - Accent1 7 3 2" xfId="14235" xr:uid="{F71D9330-FD0A-44E2-BAAE-1356DDB16367}"/>
    <cellStyle name="40% - Accent1 7 3 3" xfId="22672" xr:uid="{E3A95CA5-CBD4-4CC9-AADC-91455E5FAFF9}"/>
    <cellStyle name="40% - Accent1 7 4" xfId="10017" xr:uid="{96A2F518-631B-4218-9C9E-9266766F815F}"/>
    <cellStyle name="40% - Accent1 7 5" xfId="18455" xr:uid="{765A9EC9-7DB8-4103-9C52-F2C6885FFB18}"/>
    <cellStyle name="40% - Accent1 8" xfId="1899" xr:uid="{00000000-0005-0000-0000-00005A040000}"/>
    <cellStyle name="40% - Accent1 8 2" xfId="4128" xr:uid="{00000000-0005-0000-0000-00005B040000}"/>
    <cellStyle name="40% - Accent1 8 2 2" xfId="8351" xr:uid="{00000000-0005-0000-0000-00005C040000}"/>
    <cellStyle name="40% - Accent1 8 2 2 2" xfId="16793" xr:uid="{B0DCDA77-DAFD-4485-81D7-BCB7C90145EB}"/>
    <cellStyle name="40% - Accent1 8 2 2 3" xfId="25230" xr:uid="{F094CCA4-3200-4AB6-85CC-3786E10866EA}"/>
    <cellStyle name="40% - Accent1 8 2 3" xfId="12575" xr:uid="{B953646A-F160-43B7-9004-E8B8A8338439}"/>
    <cellStyle name="40% - Accent1 8 2 4" xfId="21013" xr:uid="{CC462A2B-5ECB-48C0-A428-3FAF8F9A3A46}"/>
    <cellStyle name="40% - Accent1 8 3" xfId="6206" xr:uid="{00000000-0005-0000-0000-00005D040000}"/>
    <cellStyle name="40% - Accent1 8 3 2" xfId="14648" xr:uid="{03A9436E-38D3-478D-A0A9-79E34F0B147E}"/>
    <cellStyle name="40% - Accent1 8 3 3" xfId="23085" xr:uid="{8459947A-E323-44D3-A228-005E6EFF5C9F}"/>
    <cellStyle name="40% - Accent1 8 4" xfId="10430" xr:uid="{8597968E-CA2C-4525-B0E6-2265C6B4D01A}"/>
    <cellStyle name="40% - Accent1 8 5" xfId="18868" xr:uid="{EB197941-1631-4CF0-B447-DA8F600E73EF}"/>
    <cellStyle name="40% - Accent1 9" xfId="2312" xr:uid="{00000000-0005-0000-0000-00005E040000}"/>
    <cellStyle name="40% - Accent1 9 2" xfId="6619" xr:uid="{00000000-0005-0000-0000-00005F040000}"/>
    <cellStyle name="40% - Accent1 9 2 2" xfId="15061" xr:uid="{AC07B0C5-567C-4604-BFA0-5FD69BFC7345}"/>
    <cellStyle name="40% - Accent1 9 2 3" xfId="23498" xr:uid="{30E4A057-F645-40CD-905E-0DEC484FE111}"/>
    <cellStyle name="40% - Accent1 9 3" xfId="10843" xr:uid="{91E323A0-4937-4666-B36F-3A3D7AD294D9}"/>
    <cellStyle name="40% - Accent1 9 4" xfId="19281" xr:uid="{43A52C1E-4035-458A-92E1-73F531EC435D}"/>
    <cellStyle name="40% - Accent2" xfId="57" builtinId="35" customBuiltin="1"/>
    <cellStyle name="40% - Accent2 10" xfId="4561" xr:uid="{00000000-0005-0000-0000-000061040000}"/>
    <cellStyle name="40% - Accent2 10 2" xfId="13003" xr:uid="{8E9BD178-DE34-4014-9796-9371F4B108A2}"/>
    <cellStyle name="40% - Accent2 10 3" xfId="21440" xr:uid="{D45255DD-501E-42FB-B3F2-BF386FC57635}"/>
    <cellStyle name="40% - Accent2 11" xfId="8785" xr:uid="{EE9CF0B1-5730-4DD2-B800-04E4AB57FD53}"/>
    <cellStyle name="40% - Accent2 12" xfId="17223" xr:uid="{14033183-3CF4-4469-925A-56F33264D9D7}"/>
    <cellStyle name="40% - Accent2 2" xfId="58" xr:uid="{00000000-0005-0000-0000-000062040000}"/>
    <cellStyle name="40% - Accent2 2 10" xfId="8786" xr:uid="{AA378AB5-F93C-4595-BBFF-516F286E075D}"/>
    <cellStyle name="40% - Accent2 2 11" xfId="17224" xr:uid="{C98161ED-E66D-49AA-A3E0-DBBEED30C672}"/>
    <cellStyle name="40% - Accent2 2 2" xfId="59" xr:uid="{00000000-0005-0000-0000-000063040000}"/>
    <cellStyle name="40% - Accent2 2 2 10" xfId="17225" xr:uid="{0FAF23B2-5B25-4218-B5D4-BC5B0D3CF101}"/>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2 2 2" xfId="15565" xr:uid="{739DD8EC-BA73-41B6-BCC4-E7D24A4B5A73}"/>
    <cellStyle name="40% - Accent2 2 2 2 2 2 2 3" xfId="24002" xr:uid="{E3AD97BB-535C-493B-8AF3-D83F5D3AD8AD}"/>
    <cellStyle name="40% - Accent2 2 2 2 2 2 3" xfId="11347" xr:uid="{DDE96D56-CEAD-40A7-A395-2AD0CB32F534}"/>
    <cellStyle name="40% - Accent2 2 2 2 2 2 4" xfId="19785" xr:uid="{C9A069E0-B7E3-405F-AE9B-48FC904296D0}"/>
    <cellStyle name="40% - Accent2 2 2 2 2 3" xfId="4978" xr:uid="{00000000-0005-0000-0000-000068040000}"/>
    <cellStyle name="40% - Accent2 2 2 2 2 3 2" xfId="13420" xr:uid="{D4C5E2F3-2709-4EFB-9245-2ED94D34BFD2}"/>
    <cellStyle name="40% - Accent2 2 2 2 2 3 3" xfId="21857" xr:uid="{E4CDBFAA-53A1-49C1-A03F-223CB88918BB}"/>
    <cellStyle name="40% - Accent2 2 2 2 2 4" xfId="9202" xr:uid="{6D6BDC68-A9B7-4A5C-8FEB-E0FA0E04F4E0}"/>
    <cellStyle name="40% - Accent2 2 2 2 2 5" xfId="17640" xr:uid="{E3D4CEF6-4A72-4C3C-A5AA-8610C00A866E}"/>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2 2 2" xfId="15978" xr:uid="{CC551EBB-33A6-47FF-ACE8-8D16E579A3E9}"/>
    <cellStyle name="40% - Accent2 2 2 2 3 2 2 3" xfId="24415" xr:uid="{63DAA259-3786-4E12-8E96-6301BEAFCAD6}"/>
    <cellStyle name="40% - Accent2 2 2 2 3 2 3" xfId="11760" xr:uid="{3128BDC2-5F13-4A06-9E8C-2C6515EC82EE}"/>
    <cellStyle name="40% - Accent2 2 2 2 3 2 4" xfId="20198" xr:uid="{B5AD8A5D-EB5D-4074-A946-3F4BFE629B1A}"/>
    <cellStyle name="40% - Accent2 2 2 2 3 3" xfId="5391" xr:uid="{00000000-0005-0000-0000-00006C040000}"/>
    <cellStyle name="40% - Accent2 2 2 2 3 3 2" xfId="13833" xr:uid="{12178A98-34E6-42E3-9FE4-6D02B60211C3}"/>
    <cellStyle name="40% - Accent2 2 2 2 3 3 3" xfId="22270" xr:uid="{34A15515-3608-4EE6-AE85-A173F4BD8D57}"/>
    <cellStyle name="40% - Accent2 2 2 2 3 4" xfId="9615" xr:uid="{7284CA07-1499-4EC8-BEEA-97E34DC9B0BD}"/>
    <cellStyle name="40% - Accent2 2 2 2 3 5" xfId="18053" xr:uid="{089E7ADC-F4A3-4689-8D12-58722327F8EA}"/>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2 2 2" xfId="16391" xr:uid="{856C5D3B-8D67-4980-85C1-0FF101809824}"/>
    <cellStyle name="40% - Accent2 2 2 2 4 2 2 3" xfId="24828" xr:uid="{BB5D0DD0-DB56-4BC6-AE86-2EAF5E80113F}"/>
    <cellStyle name="40% - Accent2 2 2 2 4 2 3" xfId="12173" xr:uid="{B49D53A8-943C-4BFE-B7AE-FD54E1E3AC1D}"/>
    <cellStyle name="40% - Accent2 2 2 2 4 2 4" xfId="20611" xr:uid="{23649D12-AFD2-43F8-90D1-BD5DC102967D}"/>
    <cellStyle name="40% - Accent2 2 2 2 4 3" xfId="5804" xr:uid="{00000000-0005-0000-0000-000070040000}"/>
    <cellStyle name="40% - Accent2 2 2 2 4 3 2" xfId="14246" xr:uid="{B28357AE-BA61-403A-AA18-F06676553887}"/>
    <cellStyle name="40% - Accent2 2 2 2 4 3 3" xfId="22683" xr:uid="{E4DD37C8-6348-42CC-A998-46A0C636E7C7}"/>
    <cellStyle name="40% - Accent2 2 2 2 4 4" xfId="10028" xr:uid="{AA995307-5C60-415E-8465-2B8AF223C793}"/>
    <cellStyle name="40% - Accent2 2 2 2 4 5" xfId="18466" xr:uid="{F6D7AB56-3BAB-4648-9CB7-9B9D53FDB82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2 2 2" xfId="16804" xr:uid="{A6C6776D-9930-4AFA-8278-04E8C9061689}"/>
    <cellStyle name="40% - Accent2 2 2 2 5 2 2 3" xfId="25241" xr:uid="{26E98184-E180-4EF8-A04B-89D0300D1E2D}"/>
    <cellStyle name="40% - Accent2 2 2 2 5 2 3" xfId="12586" xr:uid="{88721BC0-1315-4121-981B-BC5E1D4D9FCF}"/>
    <cellStyle name="40% - Accent2 2 2 2 5 2 4" xfId="21024" xr:uid="{F3DDBEB9-0BEB-44C9-B3CF-7B0140077861}"/>
    <cellStyle name="40% - Accent2 2 2 2 5 3" xfId="6217" xr:uid="{00000000-0005-0000-0000-000074040000}"/>
    <cellStyle name="40% - Accent2 2 2 2 5 3 2" xfId="14659" xr:uid="{B36A12A2-98B3-4E8A-BB29-AE15760E006E}"/>
    <cellStyle name="40% - Accent2 2 2 2 5 3 3" xfId="23096" xr:uid="{991C0F66-1983-41D2-8614-DFBDE3164BFD}"/>
    <cellStyle name="40% - Accent2 2 2 2 5 4" xfId="10441" xr:uid="{C5D33E62-0D15-4D62-817E-D057B2F7DEA5}"/>
    <cellStyle name="40% - Accent2 2 2 2 5 5" xfId="18879" xr:uid="{AB4177DD-F791-4FE7-B5F3-6A5EEC060538}"/>
    <cellStyle name="40% - Accent2 2 2 2 6" xfId="2323" xr:uid="{00000000-0005-0000-0000-000075040000}"/>
    <cellStyle name="40% - Accent2 2 2 2 6 2" xfId="6630" xr:uid="{00000000-0005-0000-0000-000076040000}"/>
    <cellStyle name="40% - Accent2 2 2 2 6 2 2" xfId="15072" xr:uid="{1923D44D-EF99-4711-A306-88C869D410A1}"/>
    <cellStyle name="40% - Accent2 2 2 2 6 2 3" xfId="23509" xr:uid="{BF99FC60-1E3D-4C50-8620-AF0808A38D63}"/>
    <cellStyle name="40% - Accent2 2 2 2 6 3" xfId="10854" xr:uid="{52A4F695-5A37-49FB-9649-8720F7736267}"/>
    <cellStyle name="40% - Accent2 2 2 2 6 4" xfId="19292" xr:uid="{C9F14E7A-3D7B-4C0F-B661-37A79AD9D257}"/>
    <cellStyle name="40% - Accent2 2 2 2 7" xfId="4564" xr:uid="{00000000-0005-0000-0000-000077040000}"/>
    <cellStyle name="40% - Accent2 2 2 2 7 2" xfId="13006" xr:uid="{209D0E74-9C27-4704-9563-4578F2DBE761}"/>
    <cellStyle name="40% - Accent2 2 2 2 7 3" xfId="21443" xr:uid="{3213E705-2F68-4637-9025-B9BB25FD0D6D}"/>
    <cellStyle name="40% - Accent2 2 2 2 8" xfId="8788" xr:uid="{BD642C58-FCA9-4122-AEBF-922DF4FE46DE}"/>
    <cellStyle name="40% - Accent2 2 2 2 9" xfId="17226" xr:uid="{E6A6B3CF-BE5F-4CB4-8D3A-D509841E31C3}"/>
    <cellStyle name="40% - Accent2 2 2 3" xfId="628" xr:uid="{00000000-0005-0000-0000-000078040000}"/>
    <cellStyle name="40% - Accent2 2 2 3 2" xfId="2899" xr:uid="{00000000-0005-0000-0000-000079040000}"/>
    <cellStyle name="40% - Accent2 2 2 3 2 2" xfId="7122" xr:uid="{00000000-0005-0000-0000-00007A040000}"/>
    <cellStyle name="40% - Accent2 2 2 3 2 2 2" xfId="15564" xr:uid="{60466BDC-7550-475A-981F-338DF711201A}"/>
    <cellStyle name="40% - Accent2 2 2 3 2 2 3" xfId="24001" xr:uid="{7890E581-F3CB-408F-8C30-460CA2CA3909}"/>
    <cellStyle name="40% - Accent2 2 2 3 2 3" xfId="11346" xr:uid="{E9208796-5C78-4396-B673-1AFEA7E715E4}"/>
    <cellStyle name="40% - Accent2 2 2 3 2 4" xfId="19784" xr:uid="{E8936EB5-0FFD-4BBE-9BD9-B0134D582D86}"/>
    <cellStyle name="40% - Accent2 2 2 3 3" xfId="4977" xr:uid="{00000000-0005-0000-0000-00007B040000}"/>
    <cellStyle name="40% - Accent2 2 2 3 3 2" xfId="13419" xr:uid="{4AA4EE9F-E543-4804-B802-DE5DD05DA57A}"/>
    <cellStyle name="40% - Accent2 2 2 3 3 3" xfId="21856" xr:uid="{CF340373-BD52-4F5D-8EB3-F840B1B133FA}"/>
    <cellStyle name="40% - Accent2 2 2 3 4" xfId="9201" xr:uid="{6610B8B3-284B-4ED5-8AD5-6FF2EE2DABA0}"/>
    <cellStyle name="40% - Accent2 2 2 3 5" xfId="17639" xr:uid="{B1E72319-3E41-4611-B700-C90DD1508195}"/>
    <cellStyle name="40% - Accent2 2 2 4" xfId="1081" xr:uid="{00000000-0005-0000-0000-00007C040000}"/>
    <cellStyle name="40% - Accent2 2 2 4 2" xfId="3312" xr:uid="{00000000-0005-0000-0000-00007D040000}"/>
    <cellStyle name="40% - Accent2 2 2 4 2 2" xfId="7535" xr:uid="{00000000-0005-0000-0000-00007E040000}"/>
    <cellStyle name="40% - Accent2 2 2 4 2 2 2" xfId="15977" xr:uid="{BED65639-AEB0-4EE0-B4FA-6419647D2ADE}"/>
    <cellStyle name="40% - Accent2 2 2 4 2 2 3" xfId="24414" xr:uid="{85E58756-5DA4-4451-8F42-EB73DF5EA863}"/>
    <cellStyle name="40% - Accent2 2 2 4 2 3" xfId="11759" xr:uid="{0826352E-552E-4DC9-BF8F-8AF0DD6556CB}"/>
    <cellStyle name="40% - Accent2 2 2 4 2 4" xfId="20197" xr:uid="{F5F01062-0806-4B97-B5BF-BADF5AB90BB5}"/>
    <cellStyle name="40% - Accent2 2 2 4 3" xfId="5390" xr:uid="{00000000-0005-0000-0000-00007F040000}"/>
    <cellStyle name="40% - Accent2 2 2 4 3 2" xfId="13832" xr:uid="{83979F2C-3416-4FC8-9E97-3B3628E526F7}"/>
    <cellStyle name="40% - Accent2 2 2 4 3 3" xfId="22269" xr:uid="{42BA72CD-970A-43D3-A809-8CA1518FBDF3}"/>
    <cellStyle name="40% - Accent2 2 2 4 4" xfId="9614" xr:uid="{2C07A3E4-04F1-4BEF-B739-92B2173B3F24}"/>
    <cellStyle name="40% - Accent2 2 2 4 5" xfId="18052" xr:uid="{42098BD2-1F39-4596-9062-895A4FA4334F}"/>
    <cellStyle name="40% - Accent2 2 2 5" xfId="1495" xr:uid="{00000000-0005-0000-0000-000080040000}"/>
    <cellStyle name="40% - Accent2 2 2 5 2" xfId="3725" xr:uid="{00000000-0005-0000-0000-000081040000}"/>
    <cellStyle name="40% - Accent2 2 2 5 2 2" xfId="7948" xr:uid="{00000000-0005-0000-0000-000082040000}"/>
    <cellStyle name="40% - Accent2 2 2 5 2 2 2" xfId="16390" xr:uid="{7383C62D-4AC4-46DD-9C40-5871C76C015C}"/>
    <cellStyle name="40% - Accent2 2 2 5 2 2 3" xfId="24827" xr:uid="{D03FDB16-089D-40DF-AA64-C74B302F65E9}"/>
    <cellStyle name="40% - Accent2 2 2 5 2 3" xfId="12172" xr:uid="{9500341F-BDDE-4975-A24D-41412B455633}"/>
    <cellStyle name="40% - Accent2 2 2 5 2 4" xfId="20610" xr:uid="{333EC865-CBA5-4B9C-AAF1-E9364F0BE311}"/>
    <cellStyle name="40% - Accent2 2 2 5 3" xfId="5803" xr:uid="{00000000-0005-0000-0000-000083040000}"/>
    <cellStyle name="40% - Accent2 2 2 5 3 2" xfId="14245" xr:uid="{8A746616-1C7D-4E3A-B70F-76899AF3A767}"/>
    <cellStyle name="40% - Accent2 2 2 5 3 3" xfId="22682" xr:uid="{F343DE4D-510E-4A31-87A1-4247F672D5F3}"/>
    <cellStyle name="40% - Accent2 2 2 5 4" xfId="10027" xr:uid="{EB339BDB-4CE3-42F4-A866-44425BE15301}"/>
    <cellStyle name="40% - Accent2 2 2 5 5" xfId="18465" xr:uid="{EEE7D731-E1AF-43DA-B7F3-54B834254E50}"/>
    <cellStyle name="40% - Accent2 2 2 6" xfId="1909" xr:uid="{00000000-0005-0000-0000-000084040000}"/>
    <cellStyle name="40% - Accent2 2 2 6 2" xfId="4138" xr:uid="{00000000-0005-0000-0000-000085040000}"/>
    <cellStyle name="40% - Accent2 2 2 6 2 2" xfId="8361" xr:uid="{00000000-0005-0000-0000-000086040000}"/>
    <cellStyle name="40% - Accent2 2 2 6 2 2 2" xfId="16803" xr:uid="{A0D528C3-ED81-48FC-9867-4D072CC44BD8}"/>
    <cellStyle name="40% - Accent2 2 2 6 2 2 3" xfId="25240" xr:uid="{2ACC8CCB-DB1B-490F-8FB3-222D7F8D69F1}"/>
    <cellStyle name="40% - Accent2 2 2 6 2 3" xfId="12585" xr:uid="{9A0FB034-7C47-46EC-B08D-FE130CDD391E}"/>
    <cellStyle name="40% - Accent2 2 2 6 2 4" xfId="21023" xr:uid="{6CBE3F2B-A90B-4E59-B9A5-3AB914A513B0}"/>
    <cellStyle name="40% - Accent2 2 2 6 3" xfId="6216" xr:uid="{00000000-0005-0000-0000-000087040000}"/>
    <cellStyle name="40% - Accent2 2 2 6 3 2" xfId="14658" xr:uid="{CBBB9C83-6CE4-4964-8487-815855CC0BAD}"/>
    <cellStyle name="40% - Accent2 2 2 6 3 3" xfId="23095" xr:uid="{69DC18D4-601F-41D5-B006-750892BB45E4}"/>
    <cellStyle name="40% - Accent2 2 2 6 4" xfId="10440" xr:uid="{8EAE173B-F9B0-48E0-84CF-40948774975D}"/>
    <cellStyle name="40% - Accent2 2 2 6 5" xfId="18878" xr:uid="{0D824DB6-7039-44C1-9F8D-14E1036BA495}"/>
    <cellStyle name="40% - Accent2 2 2 7" xfId="2322" xr:uid="{00000000-0005-0000-0000-000088040000}"/>
    <cellStyle name="40% - Accent2 2 2 7 2" xfId="6629" xr:uid="{00000000-0005-0000-0000-000089040000}"/>
    <cellStyle name="40% - Accent2 2 2 7 2 2" xfId="15071" xr:uid="{2CC9195C-63B4-4DED-BB52-A3FF626CB463}"/>
    <cellStyle name="40% - Accent2 2 2 7 2 3" xfId="23508" xr:uid="{76C1511E-6301-4136-A140-1BA8931D69BF}"/>
    <cellStyle name="40% - Accent2 2 2 7 3" xfId="10853" xr:uid="{D3FF7369-19DA-4E35-BCDF-3B61F806B68B}"/>
    <cellStyle name="40% - Accent2 2 2 7 4" xfId="19291" xr:uid="{C3DBB2D6-F97E-4A46-B10A-E24CAFBEAB23}"/>
    <cellStyle name="40% - Accent2 2 2 8" xfId="4563" xr:uid="{00000000-0005-0000-0000-00008A040000}"/>
    <cellStyle name="40% - Accent2 2 2 8 2" xfId="13005" xr:uid="{F5081EC9-4866-4586-B4F2-CD9BDB53B46B}"/>
    <cellStyle name="40% - Accent2 2 2 8 3" xfId="21442" xr:uid="{CE059C55-3CCF-4844-8257-84D0CACDCAA0}"/>
    <cellStyle name="40% - Accent2 2 2 9" xfId="8787" xr:uid="{C1DE22AA-1FA1-4A71-B281-3AFD8E07B618}"/>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2 2 2" xfId="15566" xr:uid="{E7A5F53D-1C57-48CC-ADC4-61F645AF5298}"/>
    <cellStyle name="40% - Accent2 2 3 2 2 2 3" xfId="24003" xr:uid="{45E7004C-A13C-47A0-849C-6D6E14748B8F}"/>
    <cellStyle name="40% - Accent2 2 3 2 2 3" xfId="11348" xr:uid="{B2EAB38D-0430-40E1-9F8C-6263846F1C2D}"/>
    <cellStyle name="40% - Accent2 2 3 2 2 4" xfId="19786" xr:uid="{2B7A137B-A8D4-4026-8EE0-F66C1661E517}"/>
    <cellStyle name="40% - Accent2 2 3 2 3" xfId="4979" xr:uid="{00000000-0005-0000-0000-00008F040000}"/>
    <cellStyle name="40% - Accent2 2 3 2 3 2" xfId="13421" xr:uid="{E61485CD-8504-4D35-BE0A-0708BD91A144}"/>
    <cellStyle name="40% - Accent2 2 3 2 3 3" xfId="21858" xr:uid="{1EFA8748-A026-489F-8189-F60F643EC3CD}"/>
    <cellStyle name="40% - Accent2 2 3 2 4" xfId="9203" xr:uid="{C923D1EB-6AB2-4943-B334-BA9EBBB0E359}"/>
    <cellStyle name="40% - Accent2 2 3 2 5" xfId="17641" xr:uid="{037C3E93-51FE-4DE5-8AF4-6D8A5A6C6FBE}"/>
    <cellStyle name="40% - Accent2 2 3 3" xfId="1083" xr:uid="{00000000-0005-0000-0000-000090040000}"/>
    <cellStyle name="40% - Accent2 2 3 3 2" xfId="3314" xr:uid="{00000000-0005-0000-0000-000091040000}"/>
    <cellStyle name="40% - Accent2 2 3 3 2 2" xfId="7537" xr:uid="{00000000-0005-0000-0000-000092040000}"/>
    <cellStyle name="40% - Accent2 2 3 3 2 2 2" xfId="15979" xr:uid="{4C327A39-8766-4D03-9365-8A8DCB7C9173}"/>
    <cellStyle name="40% - Accent2 2 3 3 2 2 3" xfId="24416" xr:uid="{00B9264A-27EE-41C5-81FD-A7473291B783}"/>
    <cellStyle name="40% - Accent2 2 3 3 2 3" xfId="11761" xr:uid="{7EC2D1B7-2A89-4F6C-A185-09FD179F83CB}"/>
    <cellStyle name="40% - Accent2 2 3 3 2 4" xfId="20199" xr:uid="{2237449F-4818-4D51-AADE-61163CCF5F42}"/>
    <cellStyle name="40% - Accent2 2 3 3 3" xfId="5392" xr:uid="{00000000-0005-0000-0000-000093040000}"/>
    <cellStyle name="40% - Accent2 2 3 3 3 2" xfId="13834" xr:uid="{45E379C5-B58B-4447-8526-651ACA0071AC}"/>
    <cellStyle name="40% - Accent2 2 3 3 3 3" xfId="22271" xr:uid="{9B1E05A7-2403-4C8B-8B22-49030957853D}"/>
    <cellStyle name="40% - Accent2 2 3 3 4" xfId="9616" xr:uid="{0137B7FF-0976-4A34-BC7B-9E95AD23ECE6}"/>
    <cellStyle name="40% - Accent2 2 3 3 5" xfId="18054" xr:uid="{02779456-AE4A-44A0-BB09-7AC770B8AF2F}"/>
    <cellStyle name="40% - Accent2 2 3 4" xfId="1497" xr:uid="{00000000-0005-0000-0000-000094040000}"/>
    <cellStyle name="40% - Accent2 2 3 4 2" xfId="3727" xr:uid="{00000000-0005-0000-0000-000095040000}"/>
    <cellStyle name="40% - Accent2 2 3 4 2 2" xfId="7950" xr:uid="{00000000-0005-0000-0000-000096040000}"/>
    <cellStyle name="40% - Accent2 2 3 4 2 2 2" xfId="16392" xr:uid="{0550F201-7048-47C8-BDF3-8DC6C7AB619E}"/>
    <cellStyle name="40% - Accent2 2 3 4 2 2 3" xfId="24829" xr:uid="{2355D06D-FD39-4A35-A8E4-2437E58D2A1D}"/>
    <cellStyle name="40% - Accent2 2 3 4 2 3" xfId="12174" xr:uid="{F16C754C-4954-40F0-B41F-6CC3A454BF2F}"/>
    <cellStyle name="40% - Accent2 2 3 4 2 4" xfId="20612" xr:uid="{5A4CD943-2909-4CCB-830A-30F7B62C1D3E}"/>
    <cellStyle name="40% - Accent2 2 3 4 3" xfId="5805" xr:uid="{00000000-0005-0000-0000-000097040000}"/>
    <cellStyle name="40% - Accent2 2 3 4 3 2" xfId="14247" xr:uid="{5FE223C7-E9C7-446F-936B-4F888C253FA5}"/>
    <cellStyle name="40% - Accent2 2 3 4 3 3" xfId="22684" xr:uid="{4DEBAE75-3DCD-45AB-A07F-3DD51983B0DE}"/>
    <cellStyle name="40% - Accent2 2 3 4 4" xfId="10029" xr:uid="{8B9968C5-FDF2-4DF5-9747-571B38A43C59}"/>
    <cellStyle name="40% - Accent2 2 3 4 5" xfId="18467" xr:uid="{7E1930EB-93A7-42D4-90E0-CAB4C6A7DD3B}"/>
    <cellStyle name="40% - Accent2 2 3 5" xfId="1911" xr:uid="{00000000-0005-0000-0000-000098040000}"/>
    <cellStyle name="40% - Accent2 2 3 5 2" xfId="4140" xr:uid="{00000000-0005-0000-0000-000099040000}"/>
    <cellStyle name="40% - Accent2 2 3 5 2 2" xfId="8363" xr:uid="{00000000-0005-0000-0000-00009A040000}"/>
    <cellStyle name="40% - Accent2 2 3 5 2 2 2" xfId="16805" xr:uid="{DB545989-5BB6-4238-8BA9-BAC456CDA7AB}"/>
    <cellStyle name="40% - Accent2 2 3 5 2 2 3" xfId="25242" xr:uid="{8B616E5C-BE40-422C-9791-6BE4DF631165}"/>
    <cellStyle name="40% - Accent2 2 3 5 2 3" xfId="12587" xr:uid="{96B7CCC1-DBE1-4A14-B50A-AB8E2A944DC4}"/>
    <cellStyle name="40% - Accent2 2 3 5 2 4" xfId="21025" xr:uid="{7BF7AE39-3179-4A13-BA64-358926A4749A}"/>
    <cellStyle name="40% - Accent2 2 3 5 3" xfId="6218" xr:uid="{00000000-0005-0000-0000-00009B040000}"/>
    <cellStyle name="40% - Accent2 2 3 5 3 2" xfId="14660" xr:uid="{68C3FA4C-D3F0-488C-8AD7-9CD8239DD636}"/>
    <cellStyle name="40% - Accent2 2 3 5 3 3" xfId="23097" xr:uid="{68E90B32-BE93-49AF-9E7A-00F29BFFB5DB}"/>
    <cellStyle name="40% - Accent2 2 3 5 4" xfId="10442" xr:uid="{A228E13C-472A-45C2-8408-4995836C2949}"/>
    <cellStyle name="40% - Accent2 2 3 5 5" xfId="18880" xr:uid="{5C7B45AC-2091-4788-8608-0744B804EADD}"/>
    <cellStyle name="40% - Accent2 2 3 6" xfId="2324" xr:uid="{00000000-0005-0000-0000-00009C040000}"/>
    <cellStyle name="40% - Accent2 2 3 6 2" xfId="6631" xr:uid="{00000000-0005-0000-0000-00009D040000}"/>
    <cellStyle name="40% - Accent2 2 3 6 2 2" xfId="15073" xr:uid="{D4863943-2B03-4492-921A-51D20C2577B9}"/>
    <cellStyle name="40% - Accent2 2 3 6 2 3" xfId="23510" xr:uid="{E5782D2E-669B-4F2B-8D39-4E8AAA167A28}"/>
    <cellStyle name="40% - Accent2 2 3 6 3" xfId="10855" xr:uid="{6FA12B5B-9994-4A6B-870E-EE7A0CAF8EE8}"/>
    <cellStyle name="40% - Accent2 2 3 6 4" xfId="19293" xr:uid="{2FEDE5CB-F7AB-49F0-A03E-6787D0D3CB5A}"/>
    <cellStyle name="40% - Accent2 2 3 7" xfId="4565" xr:uid="{00000000-0005-0000-0000-00009E040000}"/>
    <cellStyle name="40% - Accent2 2 3 7 2" xfId="13007" xr:uid="{7A823AA6-A9E1-49A9-9000-BDFF4646888A}"/>
    <cellStyle name="40% - Accent2 2 3 7 3" xfId="21444" xr:uid="{5AD0F0EA-19A3-487E-938E-3485BB47028F}"/>
    <cellStyle name="40% - Accent2 2 3 8" xfId="8789" xr:uid="{DC8F64FE-6686-4435-8698-D1D5DF178F4B}"/>
    <cellStyle name="40% - Accent2 2 3 9" xfId="17227" xr:uid="{6D888C1F-B351-48A7-8071-BF9E179848A4}"/>
    <cellStyle name="40% - Accent2 2 4" xfId="627" xr:uid="{00000000-0005-0000-0000-00009F040000}"/>
    <cellStyle name="40% - Accent2 2 4 2" xfId="2898" xr:uid="{00000000-0005-0000-0000-0000A0040000}"/>
    <cellStyle name="40% - Accent2 2 4 2 2" xfId="7121" xr:uid="{00000000-0005-0000-0000-0000A1040000}"/>
    <cellStyle name="40% - Accent2 2 4 2 2 2" xfId="15563" xr:uid="{5494ABA6-0633-4159-A2FF-0982FA6C4EAD}"/>
    <cellStyle name="40% - Accent2 2 4 2 2 3" xfId="24000" xr:uid="{CDCEB7A0-D592-45C5-8925-E1B422E03546}"/>
    <cellStyle name="40% - Accent2 2 4 2 3" xfId="11345" xr:uid="{E72B87BE-FB92-4963-9BF8-3B050127610D}"/>
    <cellStyle name="40% - Accent2 2 4 2 4" xfId="19783" xr:uid="{EB319377-62ED-4154-B0B9-7DAD82B21BC1}"/>
    <cellStyle name="40% - Accent2 2 4 3" xfId="4976" xr:uid="{00000000-0005-0000-0000-0000A2040000}"/>
    <cellStyle name="40% - Accent2 2 4 3 2" xfId="13418" xr:uid="{6816C124-3768-402F-B52C-4C088A227C85}"/>
    <cellStyle name="40% - Accent2 2 4 3 3" xfId="21855" xr:uid="{BDCB35ED-1B23-4ABA-9F9B-023121496D02}"/>
    <cellStyle name="40% - Accent2 2 4 4" xfId="9200" xr:uid="{D0700B9F-31AE-4CAB-BAEB-E270D6D73ACE}"/>
    <cellStyle name="40% - Accent2 2 4 5" xfId="17638" xr:uid="{FFDA937B-1E22-41C8-8AA3-CC1C74CC0DCD}"/>
    <cellStyle name="40% - Accent2 2 5" xfId="1080" xr:uid="{00000000-0005-0000-0000-0000A3040000}"/>
    <cellStyle name="40% - Accent2 2 5 2" xfId="3311" xr:uid="{00000000-0005-0000-0000-0000A4040000}"/>
    <cellStyle name="40% - Accent2 2 5 2 2" xfId="7534" xr:uid="{00000000-0005-0000-0000-0000A5040000}"/>
    <cellStyle name="40% - Accent2 2 5 2 2 2" xfId="15976" xr:uid="{8E682897-D4FA-4FFB-BF3A-FC36258C8B12}"/>
    <cellStyle name="40% - Accent2 2 5 2 2 3" xfId="24413" xr:uid="{2C0D5365-DAB3-4A5B-A8E1-A18850B0997A}"/>
    <cellStyle name="40% - Accent2 2 5 2 3" xfId="11758" xr:uid="{7EFB8A36-7901-40E6-AE15-9CBC95F0D9E1}"/>
    <cellStyle name="40% - Accent2 2 5 2 4" xfId="20196" xr:uid="{DFE5BEC9-3A04-4EA8-BE68-2F4910E2505E}"/>
    <cellStyle name="40% - Accent2 2 5 3" xfId="5389" xr:uid="{00000000-0005-0000-0000-0000A6040000}"/>
    <cellStyle name="40% - Accent2 2 5 3 2" xfId="13831" xr:uid="{548690CD-B2FE-42C2-868E-71D743D1CABE}"/>
    <cellStyle name="40% - Accent2 2 5 3 3" xfId="22268" xr:uid="{169C5787-57B8-463A-8343-A58367586BAD}"/>
    <cellStyle name="40% - Accent2 2 5 4" xfId="9613" xr:uid="{E1095E18-9775-4691-A315-8CEC12C363CC}"/>
    <cellStyle name="40% - Accent2 2 5 5" xfId="18051" xr:uid="{092EA1AF-D85C-473B-BB91-421A63FD0AB3}"/>
    <cellStyle name="40% - Accent2 2 6" xfId="1494" xr:uid="{00000000-0005-0000-0000-0000A7040000}"/>
    <cellStyle name="40% - Accent2 2 6 2" xfId="3724" xr:uid="{00000000-0005-0000-0000-0000A8040000}"/>
    <cellStyle name="40% - Accent2 2 6 2 2" xfId="7947" xr:uid="{00000000-0005-0000-0000-0000A9040000}"/>
    <cellStyle name="40% - Accent2 2 6 2 2 2" xfId="16389" xr:uid="{A8CD4C57-DAFC-4FEF-A89C-5C038B854E90}"/>
    <cellStyle name="40% - Accent2 2 6 2 2 3" xfId="24826" xr:uid="{916E7D1E-8B3C-4B76-884E-5284A97284AC}"/>
    <cellStyle name="40% - Accent2 2 6 2 3" xfId="12171" xr:uid="{5CE76AD1-A53D-4037-87A1-F9057CA64981}"/>
    <cellStyle name="40% - Accent2 2 6 2 4" xfId="20609" xr:uid="{8F3E78AD-7197-41AB-A200-D3C910E66757}"/>
    <cellStyle name="40% - Accent2 2 6 3" xfId="5802" xr:uid="{00000000-0005-0000-0000-0000AA040000}"/>
    <cellStyle name="40% - Accent2 2 6 3 2" xfId="14244" xr:uid="{9E7E3E95-FE86-4D5C-A021-2D37BEF5825F}"/>
    <cellStyle name="40% - Accent2 2 6 3 3" xfId="22681" xr:uid="{489D752D-500C-477C-8C5B-92D22B328A3D}"/>
    <cellStyle name="40% - Accent2 2 6 4" xfId="10026" xr:uid="{1F500B18-830A-4AED-96D0-7846264F22C8}"/>
    <cellStyle name="40% - Accent2 2 6 5" xfId="18464" xr:uid="{D70C415F-EA18-4BFC-ACD1-ED2221D65618}"/>
    <cellStyle name="40% - Accent2 2 7" xfId="1908" xr:uid="{00000000-0005-0000-0000-0000AB040000}"/>
    <cellStyle name="40% - Accent2 2 7 2" xfId="4137" xr:uid="{00000000-0005-0000-0000-0000AC040000}"/>
    <cellStyle name="40% - Accent2 2 7 2 2" xfId="8360" xr:uid="{00000000-0005-0000-0000-0000AD040000}"/>
    <cellStyle name="40% - Accent2 2 7 2 2 2" xfId="16802" xr:uid="{06A3018C-D13E-4767-92A1-F2EF47180416}"/>
    <cellStyle name="40% - Accent2 2 7 2 2 3" xfId="25239" xr:uid="{F535EA86-0ED1-4C86-9692-B4CF09412CCA}"/>
    <cellStyle name="40% - Accent2 2 7 2 3" xfId="12584" xr:uid="{8521F728-DDC9-4871-A188-1EC52C103CB6}"/>
    <cellStyle name="40% - Accent2 2 7 2 4" xfId="21022" xr:uid="{25AE857A-2F90-4C6B-882D-79D63B653BA4}"/>
    <cellStyle name="40% - Accent2 2 7 3" xfId="6215" xr:uid="{00000000-0005-0000-0000-0000AE040000}"/>
    <cellStyle name="40% - Accent2 2 7 3 2" xfId="14657" xr:uid="{38AB3CEC-42EF-409C-B1E4-FC3C658B2BE1}"/>
    <cellStyle name="40% - Accent2 2 7 3 3" xfId="23094" xr:uid="{9B674CCF-E04A-466A-A4B0-C87AA620708E}"/>
    <cellStyle name="40% - Accent2 2 7 4" xfId="10439" xr:uid="{0D513128-51FF-4855-AAC8-1A2FF0BBB562}"/>
    <cellStyle name="40% - Accent2 2 7 5" xfId="18877" xr:uid="{D494D38B-F0F6-4B3A-B50B-0C106AB8640D}"/>
    <cellStyle name="40% - Accent2 2 8" xfId="2321" xr:uid="{00000000-0005-0000-0000-0000AF040000}"/>
    <cellStyle name="40% - Accent2 2 8 2" xfId="6628" xr:uid="{00000000-0005-0000-0000-0000B0040000}"/>
    <cellStyle name="40% - Accent2 2 8 2 2" xfId="15070" xr:uid="{C3DDAFF6-72E9-410B-891A-08777B36BB6D}"/>
    <cellStyle name="40% - Accent2 2 8 2 3" xfId="23507" xr:uid="{10C8F3CE-10CC-4D15-9208-24D8C28EC16B}"/>
    <cellStyle name="40% - Accent2 2 8 3" xfId="10852" xr:uid="{D72D3BAC-7EC1-4855-A143-ADFFE405006B}"/>
    <cellStyle name="40% - Accent2 2 8 4" xfId="19290" xr:uid="{664F7E9A-FCCD-4EFC-A7C6-6A97C98B9BC9}"/>
    <cellStyle name="40% - Accent2 2 9" xfId="4562" xr:uid="{00000000-0005-0000-0000-0000B1040000}"/>
    <cellStyle name="40% - Accent2 2 9 2" xfId="13004" xr:uid="{062E2E25-B684-4ED9-A0CF-DDBBEA631CC6}"/>
    <cellStyle name="40% - Accent2 2 9 3" xfId="21441" xr:uid="{8B4B61C4-3F36-4740-89F8-9E05BCE2E451}"/>
    <cellStyle name="40% - Accent2 3" xfId="62" xr:uid="{00000000-0005-0000-0000-0000B2040000}"/>
    <cellStyle name="40% - Accent2 3 10" xfId="17228" xr:uid="{FDF27B67-A24C-480D-B849-475D7CBCF45B}"/>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2 2 2" xfId="15568" xr:uid="{FDAA8814-98B2-46C9-9E0B-15E85FA09EEB}"/>
    <cellStyle name="40% - Accent2 3 2 2 2 2 3" xfId="24005" xr:uid="{E0938331-77B8-47AB-B744-D89C59B02BB9}"/>
    <cellStyle name="40% - Accent2 3 2 2 2 3" xfId="11350" xr:uid="{B4B96463-8C3E-476C-85E0-CF4CC0C3ADE3}"/>
    <cellStyle name="40% - Accent2 3 2 2 2 4" xfId="19788" xr:uid="{22770447-72C8-4151-955F-45D402F1A616}"/>
    <cellStyle name="40% - Accent2 3 2 2 3" xfId="4981" xr:uid="{00000000-0005-0000-0000-0000B7040000}"/>
    <cellStyle name="40% - Accent2 3 2 2 3 2" xfId="13423" xr:uid="{1B8A0DB0-CE8D-4651-8732-B78879B29BFA}"/>
    <cellStyle name="40% - Accent2 3 2 2 3 3" xfId="21860" xr:uid="{FAB11AF8-D37C-413F-AFEE-7E93DF7D48D5}"/>
    <cellStyle name="40% - Accent2 3 2 2 4" xfId="9205" xr:uid="{31B96D4D-2E06-4A51-BDEF-A0B94F194F0D}"/>
    <cellStyle name="40% - Accent2 3 2 2 5" xfId="17643" xr:uid="{4E16F4D1-96C8-4255-BC87-1B5F5F705C7E}"/>
    <cellStyle name="40% - Accent2 3 2 3" xfId="1085" xr:uid="{00000000-0005-0000-0000-0000B8040000}"/>
    <cellStyle name="40% - Accent2 3 2 3 2" xfId="3316" xr:uid="{00000000-0005-0000-0000-0000B9040000}"/>
    <cellStyle name="40% - Accent2 3 2 3 2 2" xfId="7539" xr:uid="{00000000-0005-0000-0000-0000BA040000}"/>
    <cellStyle name="40% - Accent2 3 2 3 2 2 2" xfId="15981" xr:uid="{6E89E987-9821-4293-8A14-2F37825FB3DF}"/>
    <cellStyle name="40% - Accent2 3 2 3 2 2 3" xfId="24418" xr:uid="{A2556B06-D7FD-4428-B249-12799EE9A370}"/>
    <cellStyle name="40% - Accent2 3 2 3 2 3" xfId="11763" xr:uid="{1BEC1880-3422-405A-8229-1FAF5992E433}"/>
    <cellStyle name="40% - Accent2 3 2 3 2 4" xfId="20201" xr:uid="{1CD6BB47-887E-423B-9040-0CC575EEA8D0}"/>
    <cellStyle name="40% - Accent2 3 2 3 3" xfId="5394" xr:uid="{00000000-0005-0000-0000-0000BB040000}"/>
    <cellStyle name="40% - Accent2 3 2 3 3 2" xfId="13836" xr:uid="{0A416E68-2E3C-4898-A9F0-A7E40741D218}"/>
    <cellStyle name="40% - Accent2 3 2 3 3 3" xfId="22273" xr:uid="{104FC410-6B75-4611-A86B-254706A1BB8A}"/>
    <cellStyle name="40% - Accent2 3 2 3 4" xfId="9618" xr:uid="{AD606CBD-F1B9-402B-A04E-238C5C4ECAA1}"/>
    <cellStyle name="40% - Accent2 3 2 3 5" xfId="18056" xr:uid="{75090DDF-8C31-4FB6-906D-CB6B42107060}"/>
    <cellStyle name="40% - Accent2 3 2 4" xfId="1499" xr:uid="{00000000-0005-0000-0000-0000BC040000}"/>
    <cellStyle name="40% - Accent2 3 2 4 2" xfId="3729" xr:uid="{00000000-0005-0000-0000-0000BD040000}"/>
    <cellStyle name="40% - Accent2 3 2 4 2 2" xfId="7952" xr:uid="{00000000-0005-0000-0000-0000BE040000}"/>
    <cellStyle name="40% - Accent2 3 2 4 2 2 2" xfId="16394" xr:uid="{DEDD97DA-E11F-4107-8ECD-C40A4585F3AC}"/>
    <cellStyle name="40% - Accent2 3 2 4 2 2 3" xfId="24831" xr:uid="{597CC25F-67A4-4A33-B5DA-F852863213AA}"/>
    <cellStyle name="40% - Accent2 3 2 4 2 3" xfId="12176" xr:uid="{38B40C59-8D3A-48AA-8903-AD2E7B7AC4B9}"/>
    <cellStyle name="40% - Accent2 3 2 4 2 4" xfId="20614" xr:uid="{17835FDA-067F-470C-9A2C-545C0742F320}"/>
    <cellStyle name="40% - Accent2 3 2 4 3" xfId="5807" xr:uid="{00000000-0005-0000-0000-0000BF040000}"/>
    <cellStyle name="40% - Accent2 3 2 4 3 2" xfId="14249" xr:uid="{4B5739BC-1802-458C-8646-1BCA39706B04}"/>
    <cellStyle name="40% - Accent2 3 2 4 3 3" xfId="22686" xr:uid="{40F2BF8D-D13F-4574-A261-A41763D238F7}"/>
    <cellStyle name="40% - Accent2 3 2 4 4" xfId="10031" xr:uid="{318DDEFF-8E40-40BF-8C9B-5EC4E8722D82}"/>
    <cellStyle name="40% - Accent2 3 2 4 5" xfId="18469" xr:uid="{B4A17D74-3CD8-4A9B-8AEC-8A2801AD00B1}"/>
    <cellStyle name="40% - Accent2 3 2 5" xfId="1913" xr:uid="{00000000-0005-0000-0000-0000C0040000}"/>
    <cellStyle name="40% - Accent2 3 2 5 2" xfId="4142" xr:uid="{00000000-0005-0000-0000-0000C1040000}"/>
    <cellStyle name="40% - Accent2 3 2 5 2 2" xfId="8365" xr:uid="{00000000-0005-0000-0000-0000C2040000}"/>
    <cellStyle name="40% - Accent2 3 2 5 2 2 2" xfId="16807" xr:uid="{729227CA-977E-495A-9AE0-DED206AF2034}"/>
    <cellStyle name="40% - Accent2 3 2 5 2 2 3" xfId="25244" xr:uid="{C8ADC7E0-E631-4D7E-AB79-ED4203D5D727}"/>
    <cellStyle name="40% - Accent2 3 2 5 2 3" xfId="12589" xr:uid="{79697009-542F-4B56-BBC0-205EC2A0025E}"/>
    <cellStyle name="40% - Accent2 3 2 5 2 4" xfId="21027" xr:uid="{26AF44C7-2C48-4508-952E-92849B60370F}"/>
    <cellStyle name="40% - Accent2 3 2 5 3" xfId="6220" xr:uid="{00000000-0005-0000-0000-0000C3040000}"/>
    <cellStyle name="40% - Accent2 3 2 5 3 2" xfId="14662" xr:uid="{04659807-5A21-49B0-B95F-9579CBA52A57}"/>
    <cellStyle name="40% - Accent2 3 2 5 3 3" xfId="23099" xr:uid="{31E4ACAE-45A6-492E-88A5-EC23386CF033}"/>
    <cellStyle name="40% - Accent2 3 2 5 4" xfId="10444" xr:uid="{28DC8319-7D5C-4C81-A460-51FF0B860E88}"/>
    <cellStyle name="40% - Accent2 3 2 5 5" xfId="18882" xr:uid="{81AFA388-38F5-4B9E-905F-4C93FF703262}"/>
    <cellStyle name="40% - Accent2 3 2 6" xfId="2326" xr:uid="{00000000-0005-0000-0000-0000C4040000}"/>
    <cellStyle name="40% - Accent2 3 2 6 2" xfId="6633" xr:uid="{00000000-0005-0000-0000-0000C5040000}"/>
    <cellStyle name="40% - Accent2 3 2 6 2 2" xfId="15075" xr:uid="{6AFC22D0-0FBC-4F43-A235-914E98AF6B91}"/>
    <cellStyle name="40% - Accent2 3 2 6 2 3" xfId="23512" xr:uid="{688ECDD9-239E-4B1C-BE0F-CFFA88AFC587}"/>
    <cellStyle name="40% - Accent2 3 2 6 3" xfId="10857" xr:uid="{5DF0586E-680D-47FE-B4C5-4412E0DF7E74}"/>
    <cellStyle name="40% - Accent2 3 2 6 4" xfId="19295" xr:uid="{D04CE277-610B-4790-9C03-378362171791}"/>
    <cellStyle name="40% - Accent2 3 2 7" xfId="4567" xr:uid="{00000000-0005-0000-0000-0000C6040000}"/>
    <cellStyle name="40% - Accent2 3 2 7 2" xfId="13009" xr:uid="{2E370A55-A479-4B3C-831A-8FE5D45C068A}"/>
    <cellStyle name="40% - Accent2 3 2 7 3" xfId="21446" xr:uid="{8AE601D6-F56A-466C-93B4-B31A9D438B1F}"/>
    <cellStyle name="40% - Accent2 3 2 8" xfId="8791" xr:uid="{7BC56C42-E825-486F-9793-73E021C8788A}"/>
    <cellStyle name="40% - Accent2 3 2 9" xfId="17229" xr:uid="{C7332CA7-D65C-49B6-B031-5C574D56134A}"/>
    <cellStyle name="40% - Accent2 3 3" xfId="631" xr:uid="{00000000-0005-0000-0000-0000C7040000}"/>
    <cellStyle name="40% - Accent2 3 3 2" xfId="2902" xr:uid="{00000000-0005-0000-0000-0000C8040000}"/>
    <cellStyle name="40% - Accent2 3 3 2 2" xfId="7125" xr:uid="{00000000-0005-0000-0000-0000C9040000}"/>
    <cellStyle name="40% - Accent2 3 3 2 2 2" xfId="15567" xr:uid="{3563B673-A12A-4A94-A530-B0C4BF659C01}"/>
    <cellStyle name="40% - Accent2 3 3 2 2 3" xfId="24004" xr:uid="{6FF7B3A2-8AE8-4E50-938E-650A3790C993}"/>
    <cellStyle name="40% - Accent2 3 3 2 3" xfId="11349" xr:uid="{FBE90E15-38D6-400C-ACAE-311CDC793E1E}"/>
    <cellStyle name="40% - Accent2 3 3 2 4" xfId="19787" xr:uid="{B6960146-B0DE-45A8-8898-50EA3E763388}"/>
    <cellStyle name="40% - Accent2 3 3 3" xfId="4980" xr:uid="{00000000-0005-0000-0000-0000CA040000}"/>
    <cellStyle name="40% - Accent2 3 3 3 2" xfId="13422" xr:uid="{3AD7AF8F-FD76-41B6-A985-B1F05935DFAC}"/>
    <cellStyle name="40% - Accent2 3 3 3 3" xfId="21859" xr:uid="{4C153766-48D0-49FD-BF70-8881B6EEF0B7}"/>
    <cellStyle name="40% - Accent2 3 3 4" xfId="9204" xr:uid="{650FA2C7-0229-44C2-97D4-0825B19F3432}"/>
    <cellStyle name="40% - Accent2 3 3 5" xfId="17642" xr:uid="{FA45DF83-E890-473C-97CA-929AE2D1DBD0}"/>
    <cellStyle name="40% - Accent2 3 4" xfId="1084" xr:uid="{00000000-0005-0000-0000-0000CB040000}"/>
    <cellStyle name="40% - Accent2 3 4 2" xfId="3315" xr:uid="{00000000-0005-0000-0000-0000CC040000}"/>
    <cellStyle name="40% - Accent2 3 4 2 2" xfId="7538" xr:uid="{00000000-0005-0000-0000-0000CD040000}"/>
    <cellStyle name="40% - Accent2 3 4 2 2 2" xfId="15980" xr:uid="{19A311D8-4CC1-4305-A8A5-7ED9A9BE5DFC}"/>
    <cellStyle name="40% - Accent2 3 4 2 2 3" xfId="24417" xr:uid="{D59E41CA-F4AA-4CA1-890C-88F9AA917597}"/>
    <cellStyle name="40% - Accent2 3 4 2 3" xfId="11762" xr:uid="{4323AA1C-7E27-467C-AC8B-A32EB9ED5531}"/>
    <cellStyle name="40% - Accent2 3 4 2 4" xfId="20200" xr:uid="{A41EC0A1-630D-4600-9B3D-2671FBD66C81}"/>
    <cellStyle name="40% - Accent2 3 4 3" xfId="5393" xr:uid="{00000000-0005-0000-0000-0000CE040000}"/>
    <cellStyle name="40% - Accent2 3 4 3 2" xfId="13835" xr:uid="{EB845872-DB07-4025-A7D0-76CF87C92FEF}"/>
    <cellStyle name="40% - Accent2 3 4 3 3" xfId="22272" xr:uid="{312D1B0C-348D-463F-9092-4E02DBB397CC}"/>
    <cellStyle name="40% - Accent2 3 4 4" xfId="9617" xr:uid="{24E96C3F-E159-4528-BF73-11EDA6998711}"/>
    <cellStyle name="40% - Accent2 3 4 5" xfId="18055" xr:uid="{AD0985BB-16BF-4193-B3B8-F2CD8961EB19}"/>
    <cellStyle name="40% - Accent2 3 5" xfId="1498" xr:uid="{00000000-0005-0000-0000-0000CF040000}"/>
    <cellStyle name="40% - Accent2 3 5 2" xfId="3728" xr:uid="{00000000-0005-0000-0000-0000D0040000}"/>
    <cellStyle name="40% - Accent2 3 5 2 2" xfId="7951" xr:uid="{00000000-0005-0000-0000-0000D1040000}"/>
    <cellStyle name="40% - Accent2 3 5 2 2 2" xfId="16393" xr:uid="{717CBC3B-E30D-4A8F-89B6-7A2383F00C19}"/>
    <cellStyle name="40% - Accent2 3 5 2 2 3" xfId="24830" xr:uid="{6EB21D8A-4CAF-466C-8D63-B3BEDA58F99A}"/>
    <cellStyle name="40% - Accent2 3 5 2 3" xfId="12175" xr:uid="{23C727E0-E8BC-4449-91E0-7A71D6D6B1CC}"/>
    <cellStyle name="40% - Accent2 3 5 2 4" xfId="20613" xr:uid="{BC8B0108-005C-429C-8BB4-21B46375916F}"/>
    <cellStyle name="40% - Accent2 3 5 3" xfId="5806" xr:uid="{00000000-0005-0000-0000-0000D2040000}"/>
    <cellStyle name="40% - Accent2 3 5 3 2" xfId="14248" xr:uid="{1F1C7450-312A-450C-A41E-24E46C5DA22C}"/>
    <cellStyle name="40% - Accent2 3 5 3 3" xfId="22685" xr:uid="{916F5728-2927-4D7E-8FCA-ECB46B3F4A6E}"/>
    <cellStyle name="40% - Accent2 3 5 4" xfId="10030" xr:uid="{F569CE79-78B7-40D1-B067-AEA4C6512873}"/>
    <cellStyle name="40% - Accent2 3 5 5" xfId="18468" xr:uid="{633D4F74-501B-4D32-B9FB-6F86E040BC57}"/>
    <cellStyle name="40% - Accent2 3 6" xfId="1912" xr:uid="{00000000-0005-0000-0000-0000D3040000}"/>
    <cellStyle name="40% - Accent2 3 6 2" xfId="4141" xr:uid="{00000000-0005-0000-0000-0000D4040000}"/>
    <cellStyle name="40% - Accent2 3 6 2 2" xfId="8364" xr:uid="{00000000-0005-0000-0000-0000D5040000}"/>
    <cellStyle name="40% - Accent2 3 6 2 2 2" xfId="16806" xr:uid="{2DB9669E-5418-42E1-B1F9-3250921E8A52}"/>
    <cellStyle name="40% - Accent2 3 6 2 2 3" xfId="25243" xr:uid="{C5342823-8D18-4377-9BC4-F02DA56B7D04}"/>
    <cellStyle name="40% - Accent2 3 6 2 3" xfId="12588" xr:uid="{B5AE8FB0-C146-4899-A71E-493C8F25A0C6}"/>
    <cellStyle name="40% - Accent2 3 6 2 4" xfId="21026" xr:uid="{D17C3708-C43F-4AD6-B870-779BF6B8C582}"/>
    <cellStyle name="40% - Accent2 3 6 3" xfId="6219" xr:uid="{00000000-0005-0000-0000-0000D6040000}"/>
    <cellStyle name="40% - Accent2 3 6 3 2" xfId="14661" xr:uid="{3F6C4561-82CD-4E5C-80F6-96653AF1FCF9}"/>
    <cellStyle name="40% - Accent2 3 6 3 3" xfId="23098" xr:uid="{B32CBF58-5404-4474-91FA-D8AD57C416AB}"/>
    <cellStyle name="40% - Accent2 3 6 4" xfId="10443" xr:uid="{6A240977-F092-45AC-9A27-E289601392F3}"/>
    <cellStyle name="40% - Accent2 3 6 5" xfId="18881" xr:uid="{6FFD028A-CF20-45CE-A873-151AD2AEBA39}"/>
    <cellStyle name="40% - Accent2 3 7" xfId="2325" xr:uid="{00000000-0005-0000-0000-0000D7040000}"/>
    <cellStyle name="40% - Accent2 3 7 2" xfId="6632" xr:uid="{00000000-0005-0000-0000-0000D8040000}"/>
    <cellStyle name="40% - Accent2 3 7 2 2" xfId="15074" xr:uid="{537440F8-D2DC-4F50-939B-47F181174C67}"/>
    <cellStyle name="40% - Accent2 3 7 2 3" xfId="23511" xr:uid="{F9A3857F-2832-4375-A33B-AD7A52D1469F}"/>
    <cellStyle name="40% - Accent2 3 7 3" xfId="10856" xr:uid="{1F4213B7-405E-4B7E-9FC7-B81490906B00}"/>
    <cellStyle name="40% - Accent2 3 7 4" xfId="19294" xr:uid="{E6A5183C-BA71-4422-A0CA-36AD75EB236E}"/>
    <cellStyle name="40% - Accent2 3 8" xfId="4566" xr:uid="{00000000-0005-0000-0000-0000D9040000}"/>
    <cellStyle name="40% - Accent2 3 8 2" xfId="13008" xr:uid="{01D1288D-9E71-45E1-866D-14D19CC7AC13}"/>
    <cellStyle name="40% - Accent2 3 8 3" xfId="21445" xr:uid="{6BB78A5D-7C78-4F3E-A075-C6CB746B550A}"/>
    <cellStyle name="40% - Accent2 3 9" xfId="8790" xr:uid="{C31729C6-2EDE-4167-9678-BE2987B46BCF}"/>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2 2 2" xfId="15569" xr:uid="{030E33BD-DB85-4033-A39F-147165402CB1}"/>
    <cellStyle name="40% - Accent2 4 2 2 2 3" xfId="24006" xr:uid="{91E2D197-9A36-4311-8A80-69C4B4936D43}"/>
    <cellStyle name="40% - Accent2 4 2 2 3" xfId="11351" xr:uid="{6A48E145-54C9-4D04-B01D-65386EFF0F5F}"/>
    <cellStyle name="40% - Accent2 4 2 2 4" xfId="19789" xr:uid="{68962879-EB54-462F-9929-8461EA5B67CA}"/>
    <cellStyle name="40% - Accent2 4 2 3" xfId="4982" xr:uid="{00000000-0005-0000-0000-0000DE040000}"/>
    <cellStyle name="40% - Accent2 4 2 3 2" xfId="13424" xr:uid="{02ECDFEF-512A-418E-A8A5-9EEA28223EAC}"/>
    <cellStyle name="40% - Accent2 4 2 3 3" xfId="21861" xr:uid="{515414B7-D22D-40EB-96C9-B3BD7E862866}"/>
    <cellStyle name="40% - Accent2 4 2 4" xfId="9206" xr:uid="{29AA5987-B444-408C-86C2-28AB08BEDF01}"/>
    <cellStyle name="40% - Accent2 4 2 5" xfId="17644" xr:uid="{FB45D864-93DF-4707-AD42-E7B266A36EDF}"/>
    <cellStyle name="40% - Accent2 4 3" xfId="1086" xr:uid="{00000000-0005-0000-0000-0000DF040000}"/>
    <cellStyle name="40% - Accent2 4 3 2" xfId="3317" xr:uid="{00000000-0005-0000-0000-0000E0040000}"/>
    <cellStyle name="40% - Accent2 4 3 2 2" xfId="7540" xr:uid="{00000000-0005-0000-0000-0000E1040000}"/>
    <cellStyle name="40% - Accent2 4 3 2 2 2" xfId="15982" xr:uid="{94D2E8F6-4F96-4440-A97F-E38EB0D97A1F}"/>
    <cellStyle name="40% - Accent2 4 3 2 2 3" xfId="24419" xr:uid="{EF9DA97F-ED20-404B-82DD-3EA756D9D3A6}"/>
    <cellStyle name="40% - Accent2 4 3 2 3" xfId="11764" xr:uid="{E1434291-EDE8-452A-B64A-94A43B85B380}"/>
    <cellStyle name="40% - Accent2 4 3 2 4" xfId="20202" xr:uid="{5E55D35C-1877-463A-8C28-24FA82315B69}"/>
    <cellStyle name="40% - Accent2 4 3 3" xfId="5395" xr:uid="{00000000-0005-0000-0000-0000E2040000}"/>
    <cellStyle name="40% - Accent2 4 3 3 2" xfId="13837" xr:uid="{F8A95D0A-17D4-45B7-A984-FAC016CA4286}"/>
    <cellStyle name="40% - Accent2 4 3 3 3" xfId="22274" xr:uid="{C91F4F1F-D687-4030-B604-E08C58BF1CA9}"/>
    <cellStyle name="40% - Accent2 4 3 4" xfId="9619" xr:uid="{C73AEC7B-5A34-4C25-8214-4D6254243392}"/>
    <cellStyle name="40% - Accent2 4 3 5" xfId="18057" xr:uid="{C0149603-5BB1-4E7A-9B28-6F74D19DE5A7}"/>
    <cellStyle name="40% - Accent2 4 4" xfId="1500" xr:uid="{00000000-0005-0000-0000-0000E3040000}"/>
    <cellStyle name="40% - Accent2 4 4 2" xfId="3730" xr:uid="{00000000-0005-0000-0000-0000E4040000}"/>
    <cellStyle name="40% - Accent2 4 4 2 2" xfId="7953" xr:uid="{00000000-0005-0000-0000-0000E5040000}"/>
    <cellStyle name="40% - Accent2 4 4 2 2 2" xfId="16395" xr:uid="{AA84A444-B433-4918-9EAD-25626CFADBEB}"/>
    <cellStyle name="40% - Accent2 4 4 2 2 3" xfId="24832" xr:uid="{60456645-E94C-4662-82E6-5D9529EBF808}"/>
    <cellStyle name="40% - Accent2 4 4 2 3" xfId="12177" xr:uid="{322F1C20-92D1-43BE-908D-A2CCC9C2D459}"/>
    <cellStyle name="40% - Accent2 4 4 2 4" xfId="20615" xr:uid="{B9FD945B-8E40-4EB0-A9EF-8D28EEFE5B54}"/>
    <cellStyle name="40% - Accent2 4 4 3" xfId="5808" xr:uid="{00000000-0005-0000-0000-0000E6040000}"/>
    <cellStyle name="40% - Accent2 4 4 3 2" xfId="14250" xr:uid="{3434C95E-F742-4D1C-9DEC-F3107BC7E082}"/>
    <cellStyle name="40% - Accent2 4 4 3 3" xfId="22687" xr:uid="{30694778-9240-4EF8-8E09-FD5162ACD870}"/>
    <cellStyle name="40% - Accent2 4 4 4" xfId="10032" xr:uid="{BF4E29D1-A787-4B47-8EBB-835956ABC231}"/>
    <cellStyle name="40% - Accent2 4 4 5" xfId="18470" xr:uid="{D4EAF8F0-C01C-4936-B2AE-F0FF0A6FA3B6}"/>
    <cellStyle name="40% - Accent2 4 5" xfId="1914" xr:uid="{00000000-0005-0000-0000-0000E7040000}"/>
    <cellStyle name="40% - Accent2 4 5 2" xfId="4143" xr:uid="{00000000-0005-0000-0000-0000E8040000}"/>
    <cellStyle name="40% - Accent2 4 5 2 2" xfId="8366" xr:uid="{00000000-0005-0000-0000-0000E9040000}"/>
    <cellStyle name="40% - Accent2 4 5 2 2 2" xfId="16808" xr:uid="{02907F72-825C-4C15-854A-B3A241BB8507}"/>
    <cellStyle name="40% - Accent2 4 5 2 2 3" xfId="25245" xr:uid="{17836768-3E22-43F5-A8CA-D494279F409B}"/>
    <cellStyle name="40% - Accent2 4 5 2 3" xfId="12590" xr:uid="{DF43024E-C649-45FA-87B2-394E4B9420D4}"/>
    <cellStyle name="40% - Accent2 4 5 2 4" xfId="21028" xr:uid="{91F96C8D-AE4E-4AF6-BE06-FD79E997EF81}"/>
    <cellStyle name="40% - Accent2 4 5 3" xfId="6221" xr:uid="{00000000-0005-0000-0000-0000EA040000}"/>
    <cellStyle name="40% - Accent2 4 5 3 2" xfId="14663" xr:uid="{E507AC01-1D19-41BA-A6CA-F17547AF0423}"/>
    <cellStyle name="40% - Accent2 4 5 3 3" xfId="23100" xr:uid="{F2A3EA1D-F681-4930-BDCD-4C084599A4F3}"/>
    <cellStyle name="40% - Accent2 4 5 4" xfId="10445" xr:uid="{028E45AE-2DC4-4BFB-9088-B1002AE7E585}"/>
    <cellStyle name="40% - Accent2 4 5 5" xfId="18883" xr:uid="{8CF8790E-CA72-4AA3-A9EB-A09BC49A85AC}"/>
    <cellStyle name="40% - Accent2 4 6" xfId="2327" xr:uid="{00000000-0005-0000-0000-0000EB040000}"/>
    <cellStyle name="40% - Accent2 4 6 2" xfId="6634" xr:uid="{00000000-0005-0000-0000-0000EC040000}"/>
    <cellStyle name="40% - Accent2 4 6 2 2" xfId="15076" xr:uid="{0BEAAD4E-3687-401C-8D52-CC2FBE48289D}"/>
    <cellStyle name="40% - Accent2 4 6 2 3" xfId="23513" xr:uid="{B932ACDE-FCE0-49E1-ABD1-43351ED8CD20}"/>
    <cellStyle name="40% - Accent2 4 6 3" xfId="10858" xr:uid="{4119056E-FFA2-4AA5-A20C-334502C0E0AD}"/>
    <cellStyle name="40% - Accent2 4 6 4" xfId="19296" xr:uid="{CC073903-4392-4AEF-8E6D-E95CEBE3AEAB}"/>
    <cellStyle name="40% - Accent2 4 7" xfId="4568" xr:uid="{00000000-0005-0000-0000-0000ED040000}"/>
    <cellStyle name="40% - Accent2 4 7 2" xfId="13010" xr:uid="{EF7D984C-FF87-47C1-A07F-8402451F7938}"/>
    <cellStyle name="40% - Accent2 4 7 3" xfId="21447" xr:uid="{9C9B5AA5-CF2D-4B14-A97D-FAB620B16EE8}"/>
    <cellStyle name="40% - Accent2 4 8" xfId="8792" xr:uid="{8CCAF42F-4DA1-4419-ACB2-39DF469D4D8F}"/>
    <cellStyle name="40% - Accent2 4 9" xfId="17230" xr:uid="{7F415A1B-EEED-4066-80FA-807A15BC13C9}"/>
    <cellStyle name="40% - Accent2 5" xfId="626" xr:uid="{00000000-0005-0000-0000-0000EE040000}"/>
    <cellStyle name="40% - Accent2 5 2" xfId="2897" xr:uid="{00000000-0005-0000-0000-0000EF040000}"/>
    <cellStyle name="40% - Accent2 5 2 2" xfId="7120" xr:uid="{00000000-0005-0000-0000-0000F0040000}"/>
    <cellStyle name="40% - Accent2 5 2 2 2" xfId="15562" xr:uid="{B49010C9-5312-43EA-940C-7D90FA254044}"/>
    <cellStyle name="40% - Accent2 5 2 2 3" xfId="23999" xr:uid="{AC4C185F-33F7-487B-ADC0-F213D0242934}"/>
    <cellStyle name="40% - Accent2 5 2 3" xfId="11344" xr:uid="{489F98EE-61BA-4AB5-B401-F2519FC8399F}"/>
    <cellStyle name="40% - Accent2 5 2 4" xfId="19782" xr:uid="{C514A77A-9DB5-4555-9FCA-2A2F7B533365}"/>
    <cellStyle name="40% - Accent2 5 3" xfId="4975" xr:uid="{00000000-0005-0000-0000-0000F1040000}"/>
    <cellStyle name="40% - Accent2 5 3 2" xfId="13417" xr:uid="{4DB3EBE1-E3F4-475C-8264-3B129B248F93}"/>
    <cellStyle name="40% - Accent2 5 3 3" xfId="21854" xr:uid="{85001B43-87AF-4067-83D0-789D9F2D38BF}"/>
    <cellStyle name="40% - Accent2 5 4" xfId="9199" xr:uid="{DB3131B6-0EA7-4C2D-A254-C3AB8C3F33A2}"/>
    <cellStyle name="40% - Accent2 5 5" xfId="17637" xr:uid="{2219B9E4-C32D-46E8-BB85-EBD7D6D44AB7}"/>
    <cellStyle name="40% - Accent2 6" xfId="1079" xr:uid="{00000000-0005-0000-0000-0000F2040000}"/>
    <cellStyle name="40% - Accent2 6 2" xfId="3310" xr:uid="{00000000-0005-0000-0000-0000F3040000}"/>
    <cellStyle name="40% - Accent2 6 2 2" xfId="7533" xr:uid="{00000000-0005-0000-0000-0000F4040000}"/>
    <cellStyle name="40% - Accent2 6 2 2 2" xfId="15975" xr:uid="{6ED5B381-D890-470B-B0E7-568A3046CD78}"/>
    <cellStyle name="40% - Accent2 6 2 2 3" xfId="24412" xr:uid="{308E1AA1-47A8-48E8-BCF9-141B15E1463C}"/>
    <cellStyle name="40% - Accent2 6 2 3" xfId="11757" xr:uid="{02D62AF0-9D37-4CF5-A763-7D5918942045}"/>
    <cellStyle name="40% - Accent2 6 2 4" xfId="20195" xr:uid="{EF1717F1-C059-4539-8676-7AEE34592D28}"/>
    <cellStyle name="40% - Accent2 6 3" xfId="5388" xr:uid="{00000000-0005-0000-0000-0000F5040000}"/>
    <cellStyle name="40% - Accent2 6 3 2" xfId="13830" xr:uid="{12BC9A77-DE79-4CE9-AEF0-79EFBD0E53EE}"/>
    <cellStyle name="40% - Accent2 6 3 3" xfId="22267" xr:uid="{397BA46C-A00A-4C31-A88A-82E71B346F6F}"/>
    <cellStyle name="40% - Accent2 6 4" xfId="9612" xr:uid="{55C3F9D9-33BF-4770-AE2A-14DB658C4269}"/>
    <cellStyle name="40% - Accent2 6 5" xfId="18050" xr:uid="{AE258CD2-F037-4F04-B746-BF304EAE1542}"/>
    <cellStyle name="40% - Accent2 7" xfId="1493" xr:uid="{00000000-0005-0000-0000-0000F6040000}"/>
    <cellStyle name="40% - Accent2 7 2" xfId="3723" xr:uid="{00000000-0005-0000-0000-0000F7040000}"/>
    <cellStyle name="40% - Accent2 7 2 2" xfId="7946" xr:uid="{00000000-0005-0000-0000-0000F8040000}"/>
    <cellStyle name="40% - Accent2 7 2 2 2" xfId="16388" xr:uid="{C89E730E-D844-499F-99AD-8D4B20EEEECD}"/>
    <cellStyle name="40% - Accent2 7 2 2 3" xfId="24825" xr:uid="{27168B84-C327-4A46-8D4B-3BB67AB875A7}"/>
    <cellStyle name="40% - Accent2 7 2 3" xfId="12170" xr:uid="{6AF9F2C6-999C-4D30-9592-7B2F289BAB3A}"/>
    <cellStyle name="40% - Accent2 7 2 4" xfId="20608" xr:uid="{109749AC-313F-4215-9CB1-8590F5B8CFA8}"/>
    <cellStyle name="40% - Accent2 7 3" xfId="5801" xr:uid="{00000000-0005-0000-0000-0000F9040000}"/>
    <cellStyle name="40% - Accent2 7 3 2" xfId="14243" xr:uid="{E505DB12-0C82-48AB-9806-E06D2C5FBFE8}"/>
    <cellStyle name="40% - Accent2 7 3 3" xfId="22680" xr:uid="{DD6D810E-314C-4420-A476-C5712B37DF2A}"/>
    <cellStyle name="40% - Accent2 7 4" xfId="10025" xr:uid="{57AD9983-E4A9-4773-924A-EE1FC5CCDDC6}"/>
    <cellStyle name="40% - Accent2 7 5" xfId="18463" xr:uid="{E518907A-0862-46D7-AA75-8783CADBC25A}"/>
    <cellStyle name="40% - Accent2 8" xfId="1907" xr:uid="{00000000-0005-0000-0000-0000FA040000}"/>
    <cellStyle name="40% - Accent2 8 2" xfId="4136" xr:uid="{00000000-0005-0000-0000-0000FB040000}"/>
    <cellStyle name="40% - Accent2 8 2 2" xfId="8359" xr:uid="{00000000-0005-0000-0000-0000FC040000}"/>
    <cellStyle name="40% - Accent2 8 2 2 2" xfId="16801" xr:uid="{7E102F72-6DC8-497C-A650-45F08A2E39E5}"/>
    <cellStyle name="40% - Accent2 8 2 2 3" xfId="25238" xr:uid="{FDAEBA66-DB83-440A-8BB6-64501010106A}"/>
    <cellStyle name="40% - Accent2 8 2 3" xfId="12583" xr:uid="{0E29C1C5-859D-4B3B-8A52-F3234975312B}"/>
    <cellStyle name="40% - Accent2 8 2 4" xfId="21021" xr:uid="{95AD4103-6FBF-405C-880B-B17CAC353D61}"/>
    <cellStyle name="40% - Accent2 8 3" xfId="6214" xr:uid="{00000000-0005-0000-0000-0000FD040000}"/>
    <cellStyle name="40% - Accent2 8 3 2" xfId="14656" xr:uid="{85110B2E-2C05-46F6-B21F-B80FA0C28159}"/>
    <cellStyle name="40% - Accent2 8 3 3" xfId="23093" xr:uid="{945459FB-C245-456A-B838-9D69271E8CD4}"/>
    <cellStyle name="40% - Accent2 8 4" xfId="10438" xr:uid="{EAD05372-73A7-47DD-AAF2-5F720EA9A5B7}"/>
    <cellStyle name="40% - Accent2 8 5" xfId="18876" xr:uid="{111B2A25-ECFD-47AB-BC42-2EDF957C0BD5}"/>
    <cellStyle name="40% - Accent2 9" xfId="2320" xr:uid="{00000000-0005-0000-0000-0000FE040000}"/>
    <cellStyle name="40% - Accent2 9 2" xfId="6627" xr:uid="{00000000-0005-0000-0000-0000FF040000}"/>
    <cellStyle name="40% - Accent2 9 2 2" xfId="15069" xr:uid="{8E0DAE7C-B529-4103-8BAA-4C90BAED4CCF}"/>
    <cellStyle name="40% - Accent2 9 2 3" xfId="23506" xr:uid="{CD8A26FA-52F0-44ED-AE10-CF01B4238129}"/>
    <cellStyle name="40% - Accent2 9 3" xfId="10851" xr:uid="{9A145DA8-44CB-4CA4-82E9-D3872A104CC8}"/>
    <cellStyle name="40% - Accent2 9 4" xfId="19289" xr:uid="{EFC72E24-BD01-4429-9649-A0900F9BCD20}"/>
    <cellStyle name="40% - Accent3" xfId="65" builtinId="39" customBuiltin="1"/>
    <cellStyle name="40% - Accent3 10" xfId="4569" xr:uid="{00000000-0005-0000-0000-000001050000}"/>
    <cellStyle name="40% - Accent3 10 2" xfId="13011" xr:uid="{3E5E9363-A9AE-4679-8D9C-D4AD73C307A4}"/>
    <cellStyle name="40% - Accent3 10 3" xfId="21448" xr:uid="{CEBA58E8-D62D-437A-8646-247B6012F4FB}"/>
    <cellStyle name="40% - Accent3 11" xfId="8793" xr:uid="{15A58773-018C-42D7-9D99-89911BC065F0}"/>
    <cellStyle name="40% - Accent3 12" xfId="17231" xr:uid="{7A550D6F-F8C9-4AD4-8E93-E54BF7F8DBEF}"/>
    <cellStyle name="40% - Accent3 2" xfId="66" xr:uid="{00000000-0005-0000-0000-000002050000}"/>
    <cellStyle name="40% - Accent3 2 10" xfId="8794" xr:uid="{177BEDEB-EFE1-465C-AF87-7116F0027221}"/>
    <cellStyle name="40% - Accent3 2 11" xfId="17232" xr:uid="{B8FAAECD-2FFA-4741-8027-194276A717E9}"/>
    <cellStyle name="40% - Accent3 2 2" xfId="67" xr:uid="{00000000-0005-0000-0000-000003050000}"/>
    <cellStyle name="40% - Accent3 2 2 10" xfId="17233" xr:uid="{2FA6D8C1-8FDE-4B4A-8379-AD878C94499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2 2 2" xfId="15573" xr:uid="{FBCD4E1D-B20C-4530-B4F5-2116B0FFCB14}"/>
    <cellStyle name="40% - Accent3 2 2 2 2 2 2 3" xfId="24010" xr:uid="{A928E6B5-8F50-4B86-9D9A-47B2E0D7CC7C}"/>
    <cellStyle name="40% - Accent3 2 2 2 2 2 3" xfId="11355" xr:uid="{98F72A9B-60A5-4800-BE72-5B554664DD07}"/>
    <cellStyle name="40% - Accent3 2 2 2 2 2 4" xfId="19793" xr:uid="{709DBA0A-555F-4957-9DE7-10BEDB13BD42}"/>
    <cellStyle name="40% - Accent3 2 2 2 2 3" xfId="4986" xr:uid="{00000000-0005-0000-0000-000008050000}"/>
    <cellStyle name="40% - Accent3 2 2 2 2 3 2" xfId="13428" xr:uid="{B8C1CBE4-A863-46B0-8943-86F7705F9BC3}"/>
    <cellStyle name="40% - Accent3 2 2 2 2 3 3" xfId="21865" xr:uid="{274063E6-6210-4E0F-8CAE-D088944793D9}"/>
    <cellStyle name="40% - Accent3 2 2 2 2 4" xfId="9210" xr:uid="{E597EE4C-B21B-42E1-8D58-9E21A7596973}"/>
    <cellStyle name="40% - Accent3 2 2 2 2 5" xfId="17648" xr:uid="{80CDA2E0-2B01-4407-B619-B56E3F30A7F1}"/>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2 2 2" xfId="15986" xr:uid="{79CB3158-7228-4DE4-95B0-66B1DB2906C5}"/>
    <cellStyle name="40% - Accent3 2 2 2 3 2 2 3" xfId="24423" xr:uid="{149592AC-BF00-4C0C-8DF3-5387A41FD234}"/>
    <cellStyle name="40% - Accent3 2 2 2 3 2 3" xfId="11768" xr:uid="{B67DD352-5588-467F-8CF2-2040B6923A1F}"/>
    <cellStyle name="40% - Accent3 2 2 2 3 2 4" xfId="20206" xr:uid="{A3D185CD-A43C-45BD-AFAE-75602CA55A8A}"/>
    <cellStyle name="40% - Accent3 2 2 2 3 3" xfId="5399" xr:uid="{00000000-0005-0000-0000-00000C050000}"/>
    <cellStyle name="40% - Accent3 2 2 2 3 3 2" xfId="13841" xr:uid="{FBA1021A-0F37-43B6-B5E7-29B0B6AA01A9}"/>
    <cellStyle name="40% - Accent3 2 2 2 3 3 3" xfId="22278" xr:uid="{54A2A319-CDEA-46E8-8502-23228CDB1FB2}"/>
    <cellStyle name="40% - Accent3 2 2 2 3 4" xfId="9623" xr:uid="{E266C19E-7F50-433F-B83C-2776D418EEE8}"/>
    <cellStyle name="40% - Accent3 2 2 2 3 5" xfId="18061" xr:uid="{FAF449B3-2CEC-47E5-90C8-A3BF9A3B97B2}"/>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2 2 2" xfId="16399" xr:uid="{7DF688EB-472D-423C-B1E7-22C7C6BB2A7D}"/>
    <cellStyle name="40% - Accent3 2 2 2 4 2 2 3" xfId="24836" xr:uid="{004097F7-423B-4FBA-8CB7-E542D5204566}"/>
    <cellStyle name="40% - Accent3 2 2 2 4 2 3" xfId="12181" xr:uid="{93F657C8-540F-4E97-8A48-136BFF981610}"/>
    <cellStyle name="40% - Accent3 2 2 2 4 2 4" xfId="20619" xr:uid="{DE6EA5AE-BC31-4207-9369-8B8718B47F39}"/>
    <cellStyle name="40% - Accent3 2 2 2 4 3" xfId="5812" xr:uid="{00000000-0005-0000-0000-000010050000}"/>
    <cellStyle name="40% - Accent3 2 2 2 4 3 2" xfId="14254" xr:uid="{98C4173C-702D-4572-8748-7C98C23E9B2D}"/>
    <cellStyle name="40% - Accent3 2 2 2 4 3 3" xfId="22691" xr:uid="{5C4CF7D6-F930-44B3-A0C0-878B3A40C5D3}"/>
    <cellStyle name="40% - Accent3 2 2 2 4 4" xfId="10036" xr:uid="{ED1FE990-572E-4816-933D-E9497B8D9BEA}"/>
    <cellStyle name="40% - Accent3 2 2 2 4 5" xfId="18474" xr:uid="{CFADF0A4-CF0F-44B3-A090-4FDEC119B81D}"/>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2 2 2" xfId="16812" xr:uid="{57713CA1-5772-4659-B6C4-60E0A87575F5}"/>
    <cellStyle name="40% - Accent3 2 2 2 5 2 2 3" xfId="25249" xr:uid="{D2F5D3C7-F3A6-4F87-823B-405928451C3B}"/>
    <cellStyle name="40% - Accent3 2 2 2 5 2 3" xfId="12594" xr:uid="{2C3D1E5E-C5BB-4912-86E0-B0AA9A2E2EB5}"/>
    <cellStyle name="40% - Accent3 2 2 2 5 2 4" xfId="21032" xr:uid="{3AF4E599-B3BD-4CAC-AC39-0FDC4EE001AF}"/>
    <cellStyle name="40% - Accent3 2 2 2 5 3" xfId="6225" xr:uid="{00000000-0005-0000-0000-000014050000}"/>
    <cellStyle name="40% - Accent3 2 2 2 5 3 2" xfId="14667" xr:uid="{FB4BBF35-FA74-493E-88E0-4ED88A00BFD1}"/>
    <cellStyle name="40% - Accent3 2 2 2 5 3 3" xfId="23104" xr:uid="{BAEFF0E9-A42D-4860-84BA-FEDF30A9EEDF}"/>
    <cellStyle name="40% - Accent3 2 2 2 5 4" xfId="10449" xr:uid="{3811CD3D-1D24-4430-815C-BB929A971273}"/>
    <cellStyle name="40% - Accent3 2 2 2 5 5" xfId="18887" xr:uid="{BC838D83-C026-4592-97B4-785BD0C0A398}"/>
    <cellStyle name="40% - Accent3 2 2 2 6" xfId="2331" xr:uid="{00000000-0005-0000-0000-000015050000}"/>
    <cellStyle name="40% - Accent3 2 2 2 6 2" xfId="6638" xr:uid="{00000000-0005-0000-0000-000016050000}"/>
    <cellStyle name="40% - Accent3 2 2 2 6 2 2" xfId="15080" xr:uid="{6B264F24-5E03-4CFE-B204-16DCF7B451E7}"/>
    <cellStyle name="40% - Accent3 2 2 2 6 2 3" xfId="23517" xr:uid="{BBBCFC48-CF84-4282-95F1-CB7DD4502CEF}"/>
    <cellStyle name="40% - Accent3 2 2 2 6 3" xfId="10862" xr:uid="{E71F3FC5-103E-48B8-85E5-4D2594C16CBE}"/>
    <cellStyle name="40% - Accent3 2 2 2 6 4" xfId="19300" xr:uid="{086FC0C9-EB72-43EE-BC24-0AEC719A6C65}"/>
    <cellStyle name="40% - Accent3 2 2 2 7" xfId="4572" xr:uid="{00000000-0005-0000-0000-000017050000}"/>
    <cellStyle name="40% - Accent3 2 2 2 7 2" xfId="13014" xr:uid="{DF75DAA7-C3A2-4DCE-9430-76CC723ABB88}"/>
    <cellStyle name="40% - Accent3 2 2 2 7 3" xfId="21451" xr:uid="{C6A257BE-C63C-4971-9B26-14C8148042E4}"/>
    <cellStyle name="40% - Accent3 2 2 2 8" xfId="8796" xr:uid="{EA8A3C93-6121-4B40-95BD-71FD4A651063}"/>
    <cellStyle name="40% - Accent3 2 2 2 9" xfId="17234" xr:uid="{DF5209BC-D22F-4B07-89EC-0BF6CD6D4D9E}"/>
    <cellStyle name="40% - Accent3 2 2 3" xfId="636" xr:uid="{00000000-0005-0000-0000-000018050000}"/>
    <cellStyle name="40% - Accent3 2 2 3 2" xfId="2907" xr:uid="{00000000-0005-0000-0000-000019050000}"/>
    <cellStyle name="40% - Accent3 2 2 3 2 2" xfId="7130" xr:uid="{00000000-0005-0000-0000-00001A050000}"/>
    <cellStyle name="40% - Accent3 2 2 3 2 2 2" xfId="15572" xr:uid="{3A134659-E827-4E2E-B3AD-9CC07E84A74A}"/>
    <cellStyle name="40% - Accent3 2 2 3 2 2 3" xfId="24009" xr:uid="{16D8903E-E11A-4382-BF43-6890B26692A5}"/>
    <cellStyle name="40% - Accent3 2 2 3 2 3" xfId="11354" xr:uid="{7B9AF79A-7148-46C2-A313-3C36C37EAF21}"/>
    <cellStyle name="40% - Accent3 2 2 3 2 4" xfId="19792" xr:uid="{74232962-513A-4085-999C-2F7AEB215F59}"/>
    <cellStyle name="40% - Accent3 2 2 3 3" xfId="4985" xr:uid="{00000000-0005-0000-0000-00001B050000}"/>
    <cellStyle name="40% - Accent3 2 2 3 3 2" xfId="13427" xr:uid="{D4427432-7BCB-46FC-9918-1FEB5BC30524}"/>
    <cellStyle name="40% - Accent3 2 2 3 3 3" xfId="21864" xr:uid="{B663B67A-602D-4074-9874-05A1BC30FCF4}"/>
    <cellStyle name="40% - Accent3 2 2 3 4" xfId="9209" xr:uid="{C0D1A9EC-69CF-4B7D-9F73-B442A458CF50}"/>
    <cellStyle name="40% - Accent3 2 2 3 5" xfId="17647" xr:uid="{017D4670-8493-4869-A1B2-A75CBDCB75EC}"/>
    <cellStyle name="40% - Accent3 2 2 4" xfId="1089" xr:uid="{00000000-0005-0000-0000-00001C050000}"/>
    <cellStyle name="40% - Accent3 2 2 4 2" xfId="3320" xr:uid="{00000000-0005-0000-0000-00001D050000}"/>
    <cellStyle name="40% - Accent3 2 2 4 2 2" xfId="7543" xr:uid="{00000000-0005-0000-0000-00001E050000}"/>
    <cellStyle name="40% - Accent3 2 2 4 2 2 2" xfId="15985" xr:uid="{8A48CBA3-1F35-4A3E-9CEE-1734705AC222}"/>
    <cellStyle name="40% - Accent3 2 2 4 2 2 3" xfId="24422" xr:uid="{225D3F46-9E6D-4EFD-A249-9C5AE60C481E}"/>
    <cellStyle name="40% - Accent3 2 2 4 2 3" xfId="11767" xr:uid="{44CB5991-7FC1-494C-BD95-1F77C7794AD0}"/>
    <cellStyle name="40% - Accent3 2 2 4 2 4" xfId="20205" xr:uid="{0978DF90-0AA7-42F5-9718-13C2A629652C}"/>
    <cellStyle name="40% - Accent3 2 2 4 3" xfId="5398" xr:uid="{00000000-0005-0000-0000-00001F050000}"/>
    <cellStyle name="40% - Accent3 2 2 4 3 2" xfId="13840" xr:uid="{2B728ED9-14B9-45D4-9335-BB35C0729815}"/>
    <cellStyle name="40% - Accent3 2 2 4 3 3" xfId="22277" xr:uid="{AADBAC00-A8A8-4AAB-ACAB-AF44CC27C65B}"/>
    <cellStyle name="40% - Accent3 2 2 4 4" xfId="9622" xr:uid="{F0CF3FE6-A28B-4A97-8277-0BDE87EFF86F}"/>
    <cellStyle name="40% - Accent3 2 2 4 5" xfId="18060" xr:uid="{2111C847-240D-4B9A-A1A9-9DF844B6446D}"/>
    <cellStyle name="40% - Accent3 2 2 5" xfId="1503" xr:uid="{00000000-0005-0000-0000-000020050000}"/>
    <cellStyle name="40% - Accent3 2 2 5 2" xfId="3733" xr:uid="{00000000-0005-0000-0000-000021050000}"/>
    <cellStyle name="40% - Accent3 2 2 5 2 2" xfId="7956" xr:uid="{00000000-0005-0000-0000-000022050000}"/>
    <cellStyle name="40% - Accent3 2 2 5 2 2 2" xfId="16398" xr:uid="{B24CA861-242F-4DE5-89E9-429E47F0544B}"/>
    <cellStyle name="40% - Accent3 2 2 5 2 2 3" xfId="24835" xr:uid="{4090DB4F-1F0E-41DC-A811-50E843688FEA}"/>
    <cellStyle name="40% - Accent3 2 2 5 2 3" xfId="12180" xr:uid="{6190483F-E172-479D-A666-2AA886675E20}"/>
    <cellStyle name="40% - Accent3 2 2 5 2 4" xfId="20618" xr:uid="{8DD70484-CA7D-46CA-93F8-DFC2C1904ED0}"/>
    <cellStyle name="40% - Accent3 2 2 5 3" xfId="5811" xr:uid="{00000000-0005-0000-0000-000023050000}"/>
    <cellStyle name="40% - Accent3 2 2 5 3 2" xfId="14253" xr:uid="{59648956-DDC5-4AB3-A597-D18DBEC31DC4}"/>
    <cellStyle name="40% - Accent3 2 2 5 3 3" xfId="22690" xr:uid="{902D963B-E172-44F8-9D2F-BC9C49AC3E09}"/>
    <cellStyle name="40% - Accent3 2 2 5 4" xfId="10035" xr:uid="{99C0B5C2-226E-4B36-A120-459F651514FB}"/>
    <cellStyle name="40% - Accent3 2 2 5 5" xfId="18473" xr:uid="{E43C5094-BBD9-4F8E-AC83-7CAE46535790}"/>
    <cellStyle name="40% - Accent3 2 2 6" xfId="1917" xr:uid="{00000000-0005-0000-0000-000024050000}"/>
    <cellStyle name="40% - Accent3 2 2 6 2" xfId="4146" xr:uid="{00000000-0005-0000-0000-000025050000}"/>
    <cellStyle name="40% - Accent3 2 2 6 2 2" xfId="8369" xr:uid="{00000000-0005-0000-0000-000026050000}"/>
    <cellStyle name="40% - Accent3 2 2 6 2 2 2" xfId="16811" xr:uid="{73177D5E-BFDB-4164-A23C-CC8E0087CD97}"/>
    <cellStyle name="40% - Accent3 2 2 6 2 2 3" xfId="25248" xr:uid="{15B866F4-A126-4DFB-8226-4268DD1EDAB4}"/>
    <cellStyle name="40% - Accent3 2 2 6 2 3" xfId="12593" xr:uid="{D5E464CD-A90E-4DDF-8F58-CD78DE52B744}"/>
    <cellStyle name="40% - Accent3 2 2 6 2 4" xfId="21031" xr:uid="{193B28C0-36AE-42C4-AA77-2F4BCE7797EA}"/>
    <cellStyle name="40% - Accent3 2 2 6 3" xfId="6224" xr:uid="{00000000-0005-0000-0000-000027050000}"/>
    <cellStyle name="40% - Accent3 2 2 6 3 2" xfId="14666" xr:uid="{713B27E3-1F1C-42CD-B482-85A1346B61A9}"/>
    <cellStyle name="40% - Accent3 2 2 6 3 3" xfId="23103" xr:uid="{F1AAC511-2D2A-4A5A-A2C1-CA828E6219EC}"/>
    <cellStyle name="40% - Accent3 2 2 6 4" xfId="10448" xr:uid="{C7D2E550-E628-421C-8E02-9C1E1E2848A9}"/>
    <cellStyle name="40% - Accent3 2 2 6 5" xfId="18886" xr:uid="{71B75BBE-8FD4-4116-B9FC-FCB6B995D834}"/>
    <cellStyle name="40% - Accent3 2 2 7" xfId="2330" xr:uid="{00000000-0005-0000-0000-000028050000}"/>
    <cellStyle name="40% - Accent3 2 2 7 2" xfId="6637" xr:uid="{00000000-0005-0000-0000-000029050000}"/>
    <cellStyle name="40% - Accent3 2 2 7 2 2" xfId="15079" xr:uid="{771CDEE9-55B8-490F-A3D8-18AAFAB248B9}"/>
    <cellStyle name="40% - Accent3 2 2 7 2 3" xfId="23516" xr:uid="{DAA96AD5-9689-4532-9F9F-12E1064D57BF}"/>
    <cellStyle name="40% - Accent3 2 2 7 3" xfId="10861" xr:uid="{83B3F3E5-DC2B-4C32-9327-D4B8E662F290}"/>
    <cellStyle name="40% - Accent3 2 2 7 4" xfId="19299" xr:uid="{300006C3-25CC-4A39-B1F3-37F9DDD85099}"/>
    <cellStyle name="40% - Accent3 2 2 8" xfId="4571" xr:uid="{00000000-0005-0000-0000-00002A050000}"/>
    <cellStyle name="40% - Accent3 2 2 8 2" xfId="13013" xr:uid="{5D40B8D3-2C72-446A-A8A7-FE0417CE00DA}"/>
    <cellStyle name="40% - Accent3 2 2 8 3" xfId="21450" xr:uid="{94D8FE22-9398-4EDD-8CC7-71ACA61BA411}"/>
    <cellStyle name="40% - Accent3 2 2 9" xfId="8795" xr:uid="{B93A7902-DE40-47B2-858D-CB3A1C4EA745}"/>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2 2 2" xfId="15574" xr:uid="{B29703FF-69F2-4D10-A561-D47A7D34290C}"/>
    <cellStyle name="40% - Accent3 2 3 2 2 2 3" xfId="24011" xr:uid="{D0494D88-2D9C-46A5-9198-6C600D98ED10}"/>
    <cellStyle name="40% - Accent3 2 3 2 2 3" xfId="11356" xr:uid="{58288FFD-1B0E-4F45-90C9-80C859EB292B}"/>
    <cellStyle name="40% - Accent3 2 3 2 2 4" xfId="19794" xr:uid="{90B709D1-9009-4A52-A962-501AE8A7CD26}"/>
    <cellStyle name="40% - Accent3 2 3 2 3" xfId="4987" xr:uid="{00000000-0005-0000-0000-00002F050000}"/>
    <cellStyle name="40% - Accent3 2 3 2 3 2" xfId="13429" xr:uid="{EB08B506-12B4-4BE6-AAC2-B996F6536BA2}"/>
    <cellStyle name="40% - Accent3 2 3 2 3 3" xfId="21866" xr:uid="{56C3F243-29FA-45DF-8E9B-D3EAB5533FDA}"/>
    <cellStyle name="40% - Accent3 2 3 2 4" xfId="9211" xr:uid="{7335FAED-3CF1-47F2-A01D-243F2ACC92E8}"/>
    <cellStyle name="40% - Accent3 2 3 2 5" xfId="17649" xr:uid="{F7DB2C5A-0F9A-445F-BFDC-158F29C7B949}"/>
    <cellStyle name="40% - Accent3 2 3 3" xfId="1091" xr:uid="{00000000-0005-0000-0000-000030050000}"/>
    <cellStyle name="40% - Accent3 2 3 3 2" xfId="3322" xr:uid="{00000000-0005-0000-0000-000031050000}"/>
    <cellStyle name="40% - Accent3 2 3 3 2 2" xfId="7545" xr:uid="{00000000-0005-0000-0000-000032050000}"/>
    <cellStyle name="40% - Accent3 2 3 3 2 2 2" xfId="15987" xr:uid="{203680F6-32F2-4355-8F5B-9D7680137077}"/>
    <cellStyle name="40% - Accent3 2 3 3 2 2 3" xfId="24424" xr:uid="{FD863B10-B817-4C56-BA3F-4C3D391AEFF1}"/>
    <cellStyle name="40% - Accent3 2 3 3 2 3" xfId="11769" xr:uid="{5BFCA326-B4A9-4A09-A2AF-BCD75EF5EC05}"/>
    <cellStyle name="40% - Accent3 2 3 3 2 4" xfId="20207" xr:uid="{6A186731-4094-4BF8-8775-8D176B75BBBC}"/>
    <cellStyle name="40% - Accent3 2 3 3 3" xfId="5400" xr:uid="{00000000-0005-0000-0000-000033050000}"/>
    <cellStyle name="40% - Accent3 2 3 3 3 2" xfId="13842" xr:uid="{70EFBC0A-820D-4071-8D10-16D15658F0EB}"/>
    <cellStyle name="40% - Accent3 2 3 3 3 3" xfId="22279" xr:uid="{D787B34B-60EA-44BC-BB4A-6F651DBE96F9}"/>
    <cellStyle name="40% - Accent3 2 3 3 4" xfId="9624" xr:uid="{F131D184-B10D-4C4E-A010-EAB7F70609A0}"/>
    <cellStyle name="40% - Accent3 2 3 3 5" xfId="18062" xr:uid="{E41AA82F-3654-43EE-AB9A-C4EA6ECD91EC}"/>
    <cellStyle name="40% - Accent3 2 3 4" xfId="1505" xr:uid="{00000000-0005-0000-0000-000034050000}"/>
    <cellStyle name="40% - Accent3 2 3 4 2" xfId="3735" xr:uid="{00000000-0005-0000-0000-000035050000}"/>
    <cellStyle name="40% - Accent3 2 3 4 2 2" xfId="7958" xr:uid="{00000000-0005-0000-0000-000036050000}"/>
    <cellStyle name="40% - Accent3 2 3 4 2 2 2" xfId="16400" xr:uid="{9D685419-3AE3-4428-8322-3A122F904008}"/>
    <cellStyle name="40% - Accent3 2 3 4 2 2 3" xfId="24837" xr:uid="{810AAE7F-7732-488A-8DD7-332F0445FE47}"/>
    <cellStyle name="40% - Accent3 2 3 4 2 3" xfId="12182" xr:uid="{90A13AAB-A8A7-4FBB-B78F-A36F387F7A54}"/>
    <cellStyle name="40% - Accent3 2 3 4 2 4" xfId="20620" xr:uid="{0D85A13C-BA9A-49FE-B36B-F15ED160478D}"/>
    <cellStyle name="40% - Accent3 2 3 4 3" xfId="5813" xr:uid="{00000000-0005-0000-0000-000037050000}"/>
    <cellStyle name="40% - Accent3 2 3 4 3 2" xfId="14255" xr:uid="{CD287F4C-57A2-441F-8FD1-2FDD26CB2A41}"/>
    <cellStyle name="40% - Accent3 2 3 4 3 3" xfId="22692" xr:uid="{164A9016-5E10-4FD5-BCB2-B2681A4C2565}"/>
    <cellStyle name="40% - Accent3 2 3 4 4" xfId="10037" xr:uid="{97B7EF7F-E53D-4AEF-BD8F-BE026D003B4D}"/>
    <cellStyle name="40% - Accent3 2 3 4 5" xfId="18475" xr:uid="{1E4D98DB-47BF-413A-9D51-44826C61433E}"/>
    <cellStyle name="40% - Accent3 2 3 5" xfId="1919" xr:uid="{00000000-0005-0000-0000-000038050000}"/>
    <cellStyle name="40% - Accent3 2 3 5 2" xfId="4148" xr:uid="{00000000-0005-0000-0000-000039050000}"/>
    <cellStyle name="40% - Accent3 2 3 5 2 2" xfId="8371" xr:uid="{00000000-0005-0000-0000-00003A050000}"/>
    <cellStyle name="40% - Accent3 2 3 5 2 2 2" xfId="16813" xr:uid="{4B772991-FE65-45EF-AB52-4DFEEACFFA33}"/>
    <cellStyle name="40% - Accent3 2 3 5 2 2 3" xfId="25250" xr:uid="{82DE237B-B388-4EA2-AC22-3920AE14983A}"/>
    <cellStyle name="40% - Accent3 2 3 5 2 3" xfId="12595" xr:uid="{81A2A1E4-7F59-4567-8AB0-233B01C38745}"/>
    <cellStyle name="40% - Accent3 2 3 5 2 4" xfId="21033" xr:uid="{EBC24C7E-FE95-42CD-8A4A-D72B7BEF48D3}"/>
    <cellStyle name="40% - Accent3 2 3 5 3" xfId="6226" xr:uid="{00000000-0005-0000-0000-00003B050000}"/>
    <cellStyle name="40% - Accent3 2 3 5 3 2" xfId="14668" xr:uid="{6F1EA801-300B-4D17-A7C0-F270FA6A3DF0}"/>
    <cellStyle name="40% - Accent3 2 3 5 3 3" xfId="23105" xr:uid="{2B9F2DAE-32D4-423C-A748-01D1FC108459}"/>
    <cellStyle name="40% - Accent3 2 3 5 4" xfId="10450" xr:uid="{9808B7BA-BFE1-4774-A77F-B99BC30EAC92}"/>
    <cellStyle name="40% - Accent3 2 3 5 5" xfId="18888" xr:uid="{75C363A2-9D13-4E36-BCFF-8469272559DD}"/>
    <cellStyle name="40% - Accent3 2 3 6" xfId="2332" xr:uid="{00000000-0005-0000-0000-00003C050000}"/>
    <cellStyle name="40% - Accent3 2 3 6 2" xfId="6639" xr:uid="{00000000-0005-0000-0000-00003D050000}"/>
    <cellStyle name="40% - Accent3 2 3 6 2 2" xfId="15081" xr:uid="{075EDA6B-9166-4B6E-8AD6-89038490D486}"/>
    <cellStyle name="40% - Accent3 2 3 6 2 3" xfId="23518" xr:uid="{8B14690A-EE00-4D71-B49A-7CBFB64541AD}"/>
    <cellStyle name="40% - Accent3 2 3 6 3" xfId="10863" xr:uid="{04559877-75FA-4E1F-B316-BC18904C4416}"/>
    <cellStyle name="40% - Accent3 2 3 6 4" xfId="19301" xr:uid="{A45BF010-739B-4AE6-99A3-DB1E614435EB}"/>
    <cellStyle name="40% - Accent3 2 3 7" xfId="4573" xr:uid="{00000000-0005-0000-0000-00003E050000}"/>
    <cellStyle name="40% - Accent3 2 3 7 2" xfId="13015" xr:uid="{D8E12193-7142-4206-A721-5759EE066DD4}"/>
    <cellStyle name="40% - Accent3 2 3 7 3" xfId="21452" xr:uid="{50B98768-C232-4D36-93B0-FC19EB3FDB32}"/>
    <cellStyle name="40% - Accent3 2 3 8" xfId="8797" xr:uid="{5B51BBD0-9B46-416B-A0A3-CEBF4DF52CDD}"/>
    <cellStyle name="40% - Accent3 2 3 9" xfId="17235" xr:uid="{4DD0A135-5BF3-46AE-B4A0-2A6C12023D45}"/>
    <cellStyle name="40% - Accent3 2 4" xfId="635" xr:uid="{00000000-0005-0000-0000-00003F050000}"/>
    <cellStyle name="40% - Accent3 2 4 2" xfId="2906" xr:uid="{00000000-0005-0000-0000-000040050000}"/>
    <cellStyle name="40% - Accent3 2 4 2 2" xfId="7129" xr:uid="{00000000-0005-0000-0000-000041050000}"/>
    <cellStyle name="40% - Accent3 2 4 2 2 2" xfId="15571" xr:uid="{4AC46BE6-191F-4C8C-8894-C12196C3AE02}"/>
    <cellStyle name="40% - Accent3 2 4 2 2 3" xfId="24008" xr:uid="{5A3CFD0D-261B-4BCD-BFA4-4C8254A1BD5D}"/>
    <cellStyle name="40% - Accent3 2 4 2 3" xfId="11353" xr:uid="{672F74A6-9B39-40CE-8690-95E3929A04E7}"/>
    <cellStyle name="40% - Accent3 2 4 2 4" xfId="19791" xr:uid="{9D638C6C-7F26-402A-86C6-90E7EFE3CCB0}"/>
    <cellStyle name="40% - Accent3 2 4 3" xfId="4984" xr:uid="{00000000-0005-0000-0000-000042050000}"/>
    <cellStyle name="40% - Accent3 2 4 3 2" xfId="13426" xr:uid="{16FA998E-8E72-468E-A107-6DB0FDE30A51}"/>
    <cellStyle name="40% - Accent3 2 4 3 3" xfId="21863" xr:uid="{75484186-FE6A-4377-B07B-0259ABD7CF6C}"/>
    <cellStyle name="40% - Accent3 2 4 4" xfId="9208" xr:uid="{767CE066-8BF5-470B-A222-49E379E3BF8C}"/>
    <cellStyle name="40% - Accent3 2 4 5" xfId="17646" xr:uid="{41233287-0133-4E81-BAA0-5E882B90904E}"/>
    <cellStyle name="40% - Accent3 2 5" xfId="1088" xr:uid="{00000000-0005-0000-0000-000043050000}"/>
    <cellStyle name="40% - Accent3 2 5 2" xfId="3319" xr:uid="{00000000-0005-0000-0000-000044050000}"/>
    <cellStyle name="40% - Accent3 2 5 2 2" xfId="7542" xr:uid="{00000000-0005-0000-0000-000045050000}"/>
    <cellStyle name="40% - Accent3 2 5 2 2 2" xfId="15984" xr:uid="{39B43CFD-1A0D-49F8-A455-7166965874B9}"/>
    <cellStyle name="40% - Accent3 2 5 2 2 3" xfId="24421" xr:uid="{A1E82027-B40B-4AAE-815E-34AE6CFA60B8}"/>
    <cellStyle name="40% - Accent3 2 5 2 3" xfId="11766" xr:uid="{FCB32146-AFCD-40CE-A49E-38B1B9436CC1}"/>
    <cellStyle name="40% - Accent3 2 5 2 4" xfId="20204" xr:uid="{A3009BEE-83E4-4DB4-8A9C-32C4A849FA0F}"/>
    <cellStyle name="40% - Accent3 2 5 3" xfId="5397" xr:uid="{00000000-0005-0000-0000-000046050000}"/>
    <cellStyle name="40% - Accent3 2 5 3 2" xfId="13839" xr:uid="{D4A53841-015F-4DE3-9885-E09B19CE4AAA}"/>
    <cellStyle name="40% - Accent3 2 5 3 3" xfId="22276" xr:uid="{2DEA1AF8-CF61-4DBA-9091-A51C21C129F4}"/>
    <cellStyle name="40% - Accent3 2 5 4" xfId="9621" xr:uid="{AD739DA0-D33A-4A6B-9143-F6B7E5D843AE}"/>
    <cellStyle name="40% - Accent3 2 5 5" xfId="18059" xr:uid="{9D3A1063-0F95-462B-9A02-560A4B7F700C}"/>
    <cellStyle name="40% - Accent3 2 6" xfId="1502" xr:uid="{00000000-0005-0000-0000-000047050000}"/>
    <cellStyle name="40% - Accent3 2 6 2" xfId="3732" xr:uid="{00000000-0005-0000-0000-000048050000}"/>
    <cellStyle name="40% - Accent3 2 6 2 2" xfId="7955" xr:uid="{00000000-0005-0000-0000-000049050000}"/>
    <cellStyle name="40% - Accent3 2 6 2 2 2" xfId="16397" xr:uid="{D41CD459-730D-4560-9782-59285C5E772E}"/>
    <cellStyle name="40% - Accent3 2 6 2 2 3" xfId="24834" xr:uid="{C766CB75-4E0D-4C19-BF44-FE868D496920}"/>
    <cellStyle name="40% - Accent3 2 6 2 3" xfId="12179" xr:uid="{E0938919-5342-4822-BE59-F8E819056220}"/>
    <cellStyle name="40% - Accent3 2 6 2 4" xfId="20617" xr:uid="{EF08870D-DD0A-4BBB-BA05-21B1429C2EA4}"/>
    <cellStyle name="40% - Accent3 2 6 3" xfId="5810" xr:uid="{00000000-0005-0000-0000-00004A050000}"/>
    <cellStyle name="40% - Accent3 2 6 3 2" xfId="14252" xr:uid="{27EB5F63-8266-40D2-BD07-2812FBF67D1A}"/>
    <cellStyle name="40% - Accent3 2 6 3 3" xfId="22689" xr:uid="{26B3FB01-C503-4A27-BB84-941425CB0486}"/>
    <cellStyle name="40% - Accent3 2 6 4" xfId="10034" xr:uid="{B73B2CC4-D44E-4F26-8D3D-AAF7A7824929}"/>
    <cellStyle name="40% - Accent3 2 6 5" xfId="18472" xr:uid="{FD51E684-48E8-4781-B094-6485CCE5C665}"/>
    <cellStyle name="40% - Accent3 2 7" xfId="1916" xr:uid="{00000000-0005-0000-0000-00004B050000}"/>
    <cellStyle name="40% - Accent3 2 7 2" xfId="4145" xr:uid="{00000000-0005-0000-0000-00004C050000}"/>
    <cellStyle name="40% - Accent3 2 7 2 2" xfId="8368" xr:uid="{00000000-0005-0000-0000-00004D050000}"/>
    <cellStyle name="40% - Accent3 2 7 2 2 2" xfId="16810" xr:uid="{82658867-8F02-4B5E-80C9-157A666B8859}"/>
    <cellStyle name="40% - Accent3 2 7 2 2 3" xfId="25247" xr:uid="{AF643EE4-EE3F-4378-BA7C-3064956999EA}"/>
    <cellStyle name="40% - Accent3 2 7 2 3" xfId="12592" xr:uid="{F6A2AD7A-A4B5-421D-B902-1E173CC69AD8}"/>
    <cellStyle name="40% - Accent3 2 7 2 4" xfId="21030" xr:uid="{BFCB32BD-AF3B-4B11-8C2A-77E48A0ADBF4}"/>
    <cellStyle name="40% - Accent3 2 7 3" xfId="6223" xr:uid="{00000000-0005-0000-0000-00004E050000}"/>
    <cellStyle name="40% - Accent3 2 7 3 2" xfId="14665" xr:uid="{5D04B8B0-9046-44AB-A1C8-919DE74A087C}"/>
    <cellStyle name="40% - Accent3 2 7 3 3" xfId="23102" xr:uid="{50F2EF07-E0D7-4D55-8FA2-5646523283E6}"/>
    <cellStyle name="40% - Accent3 2 7 4" xfId="10447" xr:uid="{B6932494-0EA9-42B0-AF86-BCBA5860EF69}"/>
    <cellStyle name="40% - Accent3 2 7 5" xfId="18885" xr:uid="{28B12AC5-A591-4CA9-9711-83A4CAD83067}"/>
    <cellStyle name="40% - Accent3 2 8" xfId="2329" xr:uid="{00000000-0005-0000-0000-00004F050000}"/>
    <cellStyle name="40% - Accent3 2 8 2" xfId="6636" xr:uid="{00000000-0005-0000-0000-000050050000}"/>
    <cellStyle name="40% - Accent3 2 8 2 2" xfId="15078" xr:uid="{6B8C7B16-979C-48D5-8348-10B4BAF5E86D}"/>
    <cellStyle name="40% - Accent3 2 8 2 3" xfId="23515" xr:uid="{A2065743-4677-466F-A84A-6541EDA852B8}"/>
    <cellStyle name="40% - Accent3 2 8 3" xfId="10860" xr:uid="{DFF5A3C9-DE0E-4F20-9E19-4411D1D5DC89}"/>
    <cellStyle name="40% - Accent3 2 8 4" xfId="19298" xr:uid="{28E5B437-C785-434C-827E-19795F9E276F}"/>
    <cellStyle name="40% - Accent3 2 9" xfId="4570" xr:uid="{00000000-0005-0000-0000-000051050000}"/>
    <cellStyle name="40% - Accent3 2 9 2" xfId="13012" xr:uid="{D1DB4E19-FFFA-4B66-867B-2ECB39F80331}"/>
    <cellStyle name="40% - Accent3 2 9 3" xfId="21449" xr:uid="{62036677-1984-4442-8973-53F1B4152A5B}"/>
    <cellStyle name="40% - Accent3 3" xfId="70" xr:uid="{00000000-0005-0000-0000-000052050000}"/>
    <cellStyle name="40% - Accent3 3 10" xfId="17236" xr:uid="{D9CAFE6B-517C-408E-BC27-FADB1D9C4016}"/>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2 2 2" xfId="15576" xr:uid="{4D7F6563-CC8F-484D-8AFC-7C2FD1E30453}"/>
    <cellStyle name="40% - Accent3 3 2 2 2 2 3" xfId="24013" xr:uid="{5BBD854F-5ADF-400B-B781-098F313B178A}"/>
    <cellStyle name="40% - Accent3 3 2 2 2 3" xfId="11358" xr:uid="{EF222F8A-CC14-41BB-80C9-7B5D8709538E}"/>
    <cellStyle name="40% - Accent3 3 2 2 2 4" xfId="19796" xr:uid="{0D065F7B-D5A1-413E-86DD-B54D1BEA69A4}"/>
    <cellStyle name="40% - Accent3 3 2 2 3" xfId="4989" xr:uid="{00000000-0005-0000-0000-000057050000}"/>
    <cellStyle name="40% - Accent3 3 2 2 3 2" xfId="13431" xr:uid="{8023BD86-1BB8-4EDF-84AF-873422A33C32}"/>
    <cellStyle name="40% - Accent3 3 2 2 3 3" xfId="21868" xr:uid="{AE57FE26-FE70-4B5F-BA22-8A0F23E261A3}"/>
    <cellStyle name="40% - Accent3 3 2 2 4" xfId="9213" xr:uid="{6FA1D7CD-DBE2-46E5-BE70-FDE707BD1D29}"/>
    <cellStyle name="40% - Accent3 3 2 2 5" xfId="17651" xr:uid="{DB69395C-E2FD-4853-AE9C-ECA06D2858D1}"/>
    <cellStyle name="40% - Accent3 3 2 3" xfId="1093" xr:uid="{00000000-0005-0000-0000-000058050000}"/>
    <cellStyle name="40% - Accent3 3 2 3 2" xfId="3324" xr:uid="{00000000-0005-0000-0000-000059050000}"/>
    <cellStyle name="40% - Accent3 3 2 3 2 2" xfId="7547" xr:uid="{00000000-0005-0000-0000-00005A050000}"/>
    <cellStyle name="40% - Accent3 3 2 3 2 2 2" xfId="15989" xr:uid="{D833E964-FC85-41C4-B284-112BD561F686}"/>
    <cellStyle name="40% - Accent3 3 2 3 2 2 3" xfId="24426" xr:uid="{45E32F6C-0EA1-48A1-A13D-C894FC7BAE9A}"/>
    <cellStyle name="40% - Accent3 3 2 3 2 3" xfId="11771" xr:uid="{A8FB14B2-3BCE-4C4C-94D2-A7AC481D424F}"/>
    <cellStyle name="40% - Accent3 3 2 3 2 4" xfId="20209" xr:uid="{8259C4FF-A7CB-499E-A8D4-57B89B8B1684}"/>
    <cellStyle name="40% - Accent3 3 2 3 3" xfId="5402" xr:uid="{00000000-0005-0000-0000-00005B050000}"/>
    <cellStyle name="40% - Accent3 3 2 3 3 2" xfId="13844" xr:uid="{678CE332-C138-4FF9-AE39-ADBE3988A5C6}"/>
    <cellStyle name="40% - Accent3 3 2 3 3 3" xfId="22281" xr:uid="{132C79E5-5A3E-4D8C-9629-688445837422}"/>
    <cellStyle name="40% - Accent3 3 2 3 4" xfId="9626" xr:uid="{BF39B0E1-2DDD-4A43-BB98-B2E5D86FE42B}"/>
    <cellStyle name="40% - Accent3 3 2 3 5" xfId="18064" xr:uid="{6F54D4C8-5C9F-45F8-B430-2EA7B0F0A350}"/>
    <cellStyle name="40% - Accent3 3 2 4" xfId="1507" xr:uid="{00000000-0005-0000-0000-00005C050000}"/>
    <cellStyle name="40% - Accent3 3 2 4 2" xfId="3737" xr:uid="{00000000-0005-0000-0000-00005D050000}"/>
    <cellStyle name="40% - Accent3 3 2 4 2 2" xfId="7960" xr:uid="{00000000-0005-0000-0000-00005E050000}"/>
    <cellStyle name="40% - Accent3 3 2 4 2 2 2" xfId="16402" xr:uid="{A4E6B32E-B470-48EB-9B23-D766100935C6}"/>
    <cellStyle name="40% - Accent3 3 2 4 2 2 3" xfId="24839" xr:uid="{EE798FA3-2E21-408C-9FE3-E73880C024CA}"/>
    <cellStyle name="40% - Accent3 3 2 4 2 3" xfId="12184" xr:uid="{7C5F3E10-D108-4EB0-99A4-2FB902C3C6BE}"/>
    <cellStyle name="40% - Accent3 3 2 4 2 4" xfId="20622" xr:uid="{2A7A7338-CA40-4813-9B07-0BD35D079781}"/>
    <cellStyle name="40% - Accent3 3 2 4 3" xfId="5815" xr:uid="{00000000-0005-0000-0000-00005F050000}"/>
    <cellStyle name="40% - Accent3 3 2 4 3 2" xfId="14257" xr:uid="{4817A77C-C6FC-4906-9F7B-1DB9B260FCF1}"/>
    <cellStyle name="40% - Accent3 3 2 4 3 3" xfId="22694" xr:uid="{A2DAF66E-36A1-4BEA-A256-3033767E9B45}"/>
    <cellStyle name="40% - Accent3 3 2 4 4" xfId="10039" xr:uid="{22FD34EF-17F7-4474-B9BB-5D4588A61E6A}"/>
    <cellStyle name="40% - Accent3 3 2 4 5" xfId="18477" xr:uid="{279109C6-1E53-4915-8580-EF1E303D961D}"/>
    <cellStyle name="40% - Accent3 3 2 5" xfId="1921" xr:uid="{00000000-0005-0000-0000-000060050000}"/>
    <cellStyle name="40% - Accent3 3 2 5 2" xfId="4150" xr:uid="{00000000-0005-0000-0000-000061050000}"/>
    <cellStyle name="40% - Accent3 3 2 5 2 2" xfId="8373" xr:uid="{00000000-0005-0000-0000-000062050000}"/>
    <cellStyle name="40% - Accent3 3 2 5 2 2 2" xfId="16815" xr:uid="{E7E6BC8E-B478-4BB6-B9D8-4575D39B9797}"/>
    <cellStyle name="40% - Accent3 3 2 5 2 2 3" xfId="25252" xr:uid="{608CE6A3-C7BA-46E3-94B9-FAA191834438}"/>
    <cellStyle name="40% - Accent3 3 2 5 2 3" xfId="12597" xr:uid="{82DDE06C-22B3-4413-83D1-4E22C5AA3151}"/>
    <cellStyle name="40% - Accent3 3 2 5 2 4" xfId="21035" xr:uid="{30DBF5C5-4D39-4BA4-910E-5BD264D63F8D}"/>
    <cellStyle name="40% - Accent3 3 2 5 3" xfId="6228" xr:uid="{00000000-0005-0000-0000-000063050000}"/>
    <cellStyle name="40% - Accent3 3 2 5 3 2" xfId="14670" xr:uid="{5732FDBD-0646-4915-8BFA-A9A08EE42408}"/>
    <cellStyle name="40% - Accent3 3 2 5 3 3" xfId="23107" xr:uid="{2328B759-BCAB-4710-8725-BD842378BCFC}"/>
    <cellStyle name="40% - Accent3 3 2 5 4" xfId="10452" xr:uid="{F87E760C-BFAA-4560-9873-97E427FEFD73}"/>
    <cellStyle name="40% - Accent3 3 2 5 5" xfId="18890" xr:uid="{3C475404-54C3-4A6C-A732-15EADD6DA71A}"/>
    <cellStyle name="40% - Accent3 3 2 6" xfId="2334" xr:uid="{00000000-0005-0000-0000-000064050000}"/>
    <cellStyle name="40% - Accent3 3 2 6 2" xfId="6641" xr:uid="{00000000-0005-0000-0000-000065050000}"/>
    <cellStyle name="40% - Accent3 3 2 6 2 2" xfId="15083" xr:uid="{63D7BFC1-B029-4926-8DC1-CC4634C4F259}"/>
    <cellStyle name="40% - Accent3 3 2 6 2 3" xfId="23520" xr:uid="{47851644-D475-4DFD-94EC-AF0A06F12185}"/>
    <cellStyle name="40% - Accent3 3 2 6 3" xfId="10865" xr:uid="{DE063ACF-E60A-4829-AA83-DD7FD70C67F0}"/>
    <cellStyle name="40% - Accent3 3 2 6 4" xfId="19303" xr:uid="{03098A17-0FAE-4700-82DF-0E7F94C781D7}"/>
    <cellStyle name="40% - Accent3 3 2 7" xfId="4575" xr:uid="{00000000-0005-0000-0000-000066050000}"/>
    <cellStyle name="40% - Accent3 3 2 7 2" xfId="13017" xr:uid="{D99E5884-FD1A-4EC7-8BDA-48D2B02C89D6}"/>
    <cellStyle name="40% - Accent3 3 2 7 3" xfId="21454" xr:uid="{5D9C2F8B-2A37-4B4E-AAB7-2A6F73565E15}"/>
    <cellStyle name="40% - Accent3 3 2 8" xfId="8799" xr:uid="{BB3BF204-6020-4BA2-946A-2A36EB0AF507}"/>
    <cellStyle name="40% - Accent3 3 2 9" xfId="17237" xr:uid="{8D911707-666E-4B8D-BA02-7E4FDAEF2539}"/>
    <cellStyle name="40% - Accent3 3 3" xfId="639" xr:uid="{00000000-0005-0000-0000-000067050000}"/>
    <cellStyle name="40% - Accent3 3 3 2" xfId="2910" xr:uid="{00000000-0005-0000-0000-000068050000}"/>
    <cellStyle name="40% - Accent3 3 3 2 2" xfId="7133" xr:uid="{00000000-0005-0000-0000-000069050000}"/>
    <cellStyle name="40% - Accent3 3 3 2 2 2" xfId="15575" xr:uid="{ADFE0C75-7660-45D2-BDFC-E7B3C31EC52E}"/>
    <cellStyle name="40% - Accent3 3 3 2 2 3" xfId="24012" xr:uid="{33D01AFB-2C0D-4CFA-A7EE-34D8D4C61132}"/>
    <cellStyle name="40% - Accent3 3 3 2 3" xfId="11357" xr:uid="{449E8B9D-78C7-4A4C-9B67-134AB50B5A3B}"/>
    <cellStyle name="40% - Accent3 3 3 2 4" xfId="19795" xr:uid="{6848AAC4-EF8F-4EAD-BEB7-ECB6084034DA}"/>
    <cellStyle name="40% - Accent3 3 3 3" xfId="4988" xr:uid="{00000000-0005-0000-0000-00006A050000}"/>
    <cellStyle name="40% - Accent3 3 3 3 2" xfId="13430" xr:uid="{56A9A180-AB99-4F2F-9592-444DFBA3C7A7}"/>
    <cellStyle name="40% - Accent3 3 3 3 3" xfId="21867" xr:uid="{DD610DFE-C7AC-4813-A127-8AFA19E52447}"/>
    <cellStyle name="40% - Accent3 3 3 4" xfId="9212" xr:uid="{695B01B9-E9CE-43F3-A316-047BC949E051}"/>
    <cellStyle name="40% - Accent3 3 3 5" xfId="17650" xr:uid="{24E69FB5-B00B-48F8-80E9-5171854538F7}"/>
    <cellStyle name="40% - Accent3 3 4" xfId="1092" xr:uid="{00000000-0005-0000-0000-00006B050000}"/>
    <cellStyle name="40% - Accent3 3 4 2" xfId="3323" xr:uid="{00000000-0005-0000-0000-00006C050000}"/>
    <cellStyle name="40% - Accent3 3 4 2 2" xfId="7546" xr:uid="{00000000-0005-0000-0000-00006D050000}"/>
    <cellStyle name="40% - Accent3 3 4 2 2 2" xfId="15988" xr:uid="{316B1CA7-9BA7-4AFE-99D9-C6AF112C41DE}"/>
    <cellStyle name="40% - Accent3 3 4 2 2 3" xfId="24425" xr:uid="{0C586214-DA5A-4B81-9FD6-DA93A93F289D}"/>
    <cellStyle name="40% - Accent3 3 4 2 3" xfId="11770" xr:uid="{3CF9C949-35A4-49F3-8E05-9EB873EB6812}"/>
    <cellStyle name="40% - Accent3 3 4 2 4" xfId="20208" xr:uid="{91BB54CE-BCEB-4AE1-AEB6-A1386368EACE}"/>
    <cellStyle name="40% - Accent3 3 4 3" xfId="5401" xr:uid="{00000000-0005-0000-0000-00006E050000}"/>
    <cellStyle name="40% - Accent3 3 4 3 2" xfId="13843" xr:uid="{FB7A8473-4B7E-4E56-89A7-A6F533BF9986}"/>
    <cellStyle name="40% - Accent3 3 4 3 3" xfId="22280" xr:uid="{C46B2F20-C389-4A97-9535-53D7FF8AC449}"/>
    <cellStyle name="40% - Accent3 3 4 4" xfId="9625" xr:uid="{82621189-4FFE-4A56-863A-2C1643A7B684}"/>
    <cellStyle name="40% - Accent3 3 4 5" xfId="18063" xr:uid="{8EAA2826-47BE-4F05-8D35-4C5D9B0E9293}"/>
    <cellStyle name="40% - Accent3 3 5" xfId="1506" xr:uid="{00000000-0005-0000-0000-00006F050000}"/>
    <cellStyle name="40% - Accent3 3 5 2" xfId="3736" xr:uid="{00000000-0005-0000-0000-000070050000}"/>
    <cellStyle name="40% - Accent3 3 5 2 2" xfId="7959" xr:uid="{00000000-0005-0000-0000-000071050000}"/>
    <cellStyle name="40% - Accent3 3 5 2 2 2" xfId="16401" xr:uid="{5E6B7266-5431-41BC-A6F6-71888D270CEA}"/>
    <cellStyle name="40% - Accent3 3 5 2 2 3" xfId="24838" xr:uid="{B5C9D4A1-DB4B-4CFE-B345-E68EA55C317E}"/>
    <cellStyle name="40% - Accent3 3 5 2 3" xfId="12183" xr:uid="{1418AB29-8637-4458-9C3E-29C7C3EAA315}"/>
    <cellStyle name="40% - Accent3 3 5 2 4" xfId="20621" xr:uid="{1C4BD1C2-467D-4F7F-99BF-5ED5862E3CCC}"/>
    <cellStyle name="40% - Accent3 3 5 3" xfId="5814" xr:uid="{00000000-0005-0000-0000-000072050000}"/>
    <cellStyle name="40% - Accent3 3 5 3 2" xfId="14256" xr:uid="{760D9038-50A0-493A-A181-4DDD81B0F48B}"/>
    <cellStyle name="40% - Accent3 3 5 3 3" xfId="22693" xr:uid="{C11D1450-CC87-44F3-A817-2E7B0072B287}"/>
    <cellStyle name="40% - Accent3 3 5 4" xfId="10038" xr:uid="{51782197-6D30-44A4-B5C8-C439FBF8C51B}"/>
    <cellStyle name="40% - Accent3 3 5 5" xfId="18476" xr:uid="{5AD7D716-4EB0-4C7E-BEED-9F620410DB79}"/>
    <cellStyle name="40% - Accent3 3 6" xfId="1920" xr:uid="{00000000-0005-0000-0000-000073050000}"/>
    <cellStyle name="40% - Accent3 3 6 2" xfId="4149" xr:uid="{00000000-0005-0000-0000-000074050000}"/>
    <cellStyle name="40% - Accent3 3 6 2 2" xfId="8372" xr:uid="{00000000-0005-0000-0000-000075050000}"/>
    <cellStyle name="40% - Accent3 3 6 2 2 2" xfId="16814" xr:uid="{9C87338E-1FE4-47F7-9382-E4FC28D881FD}"/>
    <cellStyle name="40% - Accent3 3 6 2 2 3" xfId="25251" xr:uid="{CA054C6D-8820-4BC4-B454-AFD6D7DD4511}"/>
    <cellStyle name="40% - Accent3 3 6 2 3" xfId="12596" xr:uid="{42F1632D-2315-4BF5-9EA4-704A4F0AB3FD}"/>
    <cellStyle name="40% - Accent3 3 6 2 4" xfId="21034" xr:uid="{ACD2C7EC-E0BD-40EF-9B66-765603FFE5F4}"/>
    <cellStyle name="40% - Accent3 3 6 3" xfId="6227" xr:uid="{00000000-0005-0000-0000-000076050000}"/>
    <cellStyle name="40% - Accent3 3 6 3 2" xfId="14669" xr:uid="{2694030B-C817-44DE-99DE-4FF8B3D1A7C4}"/>
    <cellStyle name="40% - Accent3 3 6 3 3" xfId="23106" xr:uid="{7E61F48F-524F-4B26-A2E2-3C178E58B6F0}"/>
    <cellStyle name="40% - Accent3 3 6 4" xfId="10451" xr:uid="{8B2BA2F7-7757-495D-81A2-AEF11C6DD829}"/>
    <cellStyle name="40% - Accent3 3 6 5" xfId="18889" xr:uid="{DC57736A-414A-45A2-93D2-1BF5285C3312}"/>
    <cellStyle name="40% - Accent3 3 7" xfId="2333" xr:uid="{00000000-0005-0000-0000-000077050000}"/>
    <cellStyle name="40% - Accent3 3 7 2" xfId="6640" xr:uid="{00000000-0005-0000-0000-000078050000}"/>
    <cellStyle name="40% - Accent3 3 7 2 2" xfId="15082" xr:uid="{A231379A-B4E9-49ED-8CAC-AAA772BC6819}"/>
    <cellStyle name="40% - Accent3 3 7 2 3" xfId="23519" xr:uid="{F579D2C5-5FEF-426B-BA19-7414DAD929C4}"/>
    <cellStyle name="40% - Accent3 3 7 3" xfId="10864" xr:uid="{4928DF11-3EB5-4CF6-A674-49189FDEEB61}"/>
    <cellStyle name="40% - Accent3 3 7 4" xfId="19302" xr:uid="{C32755DD-2F62-4922-AEEA-C2538867A93C}"/>
    <cellStyle name="40% - Accent3 3 8" xfId="4574" xr:uid="{00000000-0005-0000-0000-000079050000}"/>
    <cellStyle name="40% - Accent3 3 8 2" xfId="13016" xr:uid="{E4C97E0E-A672-4BB0-B7D8-20EA32292833}"/>
    <cellStyle name="40% - Accent3 3 8 3" xfId="21453" xr:uid="{8442F493-4939-4C16-9D2D-CF386BBDF7C7}"/>
    <cellStyle name="40% - Accent3 3 9" xfId="8798" xr:uid="{151B8ADD-888F-423B-96FD-700BB0128537}"/>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2 2 2" xfId="15577" xr:uid="{1D73D277-987D-4101-8FF9-9E2D9DBCA718}"/>
    <cellStyle name="40% - Accent3 4 2 2 2 3" xfId="24014" xr:uid="{067F2FB6-708C-41A4-B1AC-02365F02ED81}"/>
    <cellStyle name="40% - Accent3 4 2 2 3" xfId="11359" xr:uid="{8EF6DB4C-0B4B-4896-9266-A77BA7DF0623}"/>
    <cellStyle name="40% - Accent3 4 2 2 4" xfId="19797" xr:uid="{5CDFC24D-C7B3-431F-817D-592CEF841EC8}"/>
    <cellStyle name="40% - Accent3 4 2 3" xfId="4990" xr:uid="{00000000-0005-0000-0000-00007E050000}"/>
    <cellStyle name="40% - Accent3 4 2 3 2" xfId="13432" xr:uid="{50C33270-5817-4A09-82BB-492E9BFFC9F2}"/>
    <cellStyle name="40% - Accent3 4 2 3 3" xfId="21869" xr:uid="{7461E7A8-F273-416B-92B6-D1BA5A9726D4}"/>
    <cellStyle name="40% - Accent3 4 2 4" xfId="9214" xr:uid="{3C4CA58E-9419-4D0A-817D-E1E57EA18E3D}"/>
    <cellStyle name="40% - Accent3 4 2 5" xfId="17652" xr:uid="{87AA6E48-3B8B-4CD3-AED5-826F98BC2EDD}"/>
    <cellStyle name="40% - Accent3 4 3" xfId="1094" xr:uid="{00000000-0005-0000-0000-00007F050000}"/>
    <cellStyle name="40% - Accent3 4 3 2" xfId="3325" xr:uid="{00000000-0005-0000-0000-000080050000}"/>
    <cellStyle name="40% - Accent3 4 3 2 2" xfId="7548" xr:uid="{00000000-0005-0000-0000-000081050000}"/>
    <cellStyle name="40% - Accent3 4 3 2 2 2" xfId="15990" xr:uid="{67FE6A7B-5924-4D9E-B8D2-C4DE351DDCF0}"/>
    <cellStyle name="40% - Accent3 4 3 2 2 3" xfId="24427" xr:uid="{64535A9C-5821-4D61-9C5C-F1D4FF64BFFB}"/>
    <cellStyle name="40% - Accent3 4 3 2 3" xfId="11772" xr:uid="{0D20CD0E-5343-4E61-9FA0-965760661658}"/>
    <cellStyle name="40% - Accent3 4 3 2 4" xfId="20210" xr:uid="{DDD510C9-97ED-4869-A15B-AB09BA6C12AF}"/>
    <cellStyle name="40% - Accent3 4 3 3" xfId="5403" xr:uid="{00000000-0005-0000-0000-000082050000}"/>
    <cellStyle name="40% - Accent3 4 3 3 2" xfId="13845" xr:uid="{1BFDBD00-FDE5-49F6-BC20-0896B608DC9E}"/>
    <cellStyle name="40% - Accent3 4 3 3 3" xfId="22282" xr:uid="{C9E4B75A-16A6-4C76-A0F3-8160F7A5C271}"/>
    <cellStyle name="40% - Accent3 4 3 4" xfId="9627" xr:uid="{8B7E58EA-2EEF-49BB-8C07-577B49D6BE00}"/>
    <cellStyle name="40% - Accent3 4 3 5" xfId="18065" xr:uid="{20688F29-4424-4264-B381-6FA051878848}"/>
    <cellStyle name="40% - Accent3 4 4" xfId="1508" xr:uid="{00000000-0005-0000-0000-000083050000}"/>
    <cellStyle name="40% - Accent3 4 4 2" xfId="3738" xr:uid="{00000000-0005-0000-0000-000084050000}"/>
    <cellStyle name="40% - Accent3 4 4 2 2" xfId="7961" xr:uid="{00000000-0005-0000-0000-000085050000}"/>
    <cellStyle name="40% - Accent3 4 4 2 2 2" xfId="16403" xr:uid="{AA453E28-7588-4F76-9A5F-EC7B50FC1117}"/>
    <cellStyle name="40% - Accent3 4 4 2 2 3" xfId="24840" xr:uid="{E7C24D9E-2C83-44C9-9C90-2F7FF78B6237}"/>
    <cellStyle name="40% - Accent3 4 4 2 3" xfId="12185" xr:uid="{869299E2-E726-40AA-B90B-A97DC3D0AD65}"/>
    <cellStyle name="40% - Accent3 4 4 2 4" xfId="20623" xr:uid="{803B2ACA-EA65-498B-BB48-67C1A9276B23}"/>
    <cellStyle name="40% - Accent3 4 4 3" xfId="5816" xr:uid="{00000000-0005-0000-0000-000086050000}"/>
    <cellStyle name="40% - Accent3 4 4 3 2" xfId="14258" xr:uid="{04F54005-600D-4681-8454-380C834E6567}"/>
    <cellStyle name="40% - Accent3 4 4 3 3" xfId="22695" xr:uid="{97B302A2-1E58-4D07-B978-CE36B8999D52}"/>
    <cellStyle name="40% - Accent3 4 4 4" xfId="10040" xr:uid="{0EE145A0-DCBB-4672-977C-DBFBC7B0653E}"/>
    <cellStyle name="40% - Accent3 4 4 5" xfId="18478" xr:uid="{33486EE6-EE5D-4BF3-B187-3245A14E66C8}"/>
    <cellStyle name="40% - Accent3 4 5" xfId="1922" xr:uid="{00000000-0005-0000-0000-000087050000}"/>
    <cellStyle name="40% - Accent3 4 5 2" xfId="4151" xr:uid="{00000000-0005-0000-0000-000088050000}"/>
    <cellStyle name="40% - Accent3 4 5 2 2" xfId="8374" xr:uid="{00000000-0005-0000-0000-000089050000}"/>
    <cellStyle name="40% - Accent3 4 5 2 2 2" xfId="16816" xr:uid="{7031FE89-D118-42A7-8B8A-9AB6199D949B}"/>
    <cellStyle name="40% - Accent3 4 5 2 2 3" xfId="25253" xr:uid="{7A9CD471-DD70-41AE-94AF-BAB90E48FC4A}"/>
    <cellStyle name="40% - Accent3 4 5 2 3" xfId="12598" xr:uid="{060AC61E-E884-4219-844A-70B935E7820D}"/>
    <cellStyle name="40% - Accent3 4 5 2 4" xfId="21036" xr:uid="{03D58634-4436-41E3-9B8F-79FD2AC8B783}"/>
    <cellStyle name="40% - Accent3 4 5 3" xfId="6229" xr:uid="{00000000-0005-0000-0000-00008A050000}"/>
    <cellStyle name="40% - Accent3 4 5 3 2" xfId="14671" xr:uid="{999E8599-121A-4AF4-B123-E9E60A626E93}"/>
    <cellStyle name="40% - Accent3 4 5 3 3" xfId="23108" xr:uid="{5508180E-B1D3-443C-AE30-6C7068D2692A}"/>
    <cellStyle name="40% - Accent3 4 5 4" xfId="10453" xr:uid="{C1C11EB8-43B3-4D3A-B6CD-E9DC2F683697}"/>
    <cellStyle name="40% - Accent3 4 5 5" xfId="18891" xr:uid="{791224F0-7CEB-434E-BB63-59F196A02F4B}"/>
    <cellStyle name="40% - Accent3 4 6" xfId="2335" xr:uid="{00000000-0005-0000-0000-00008B050000}"/>
    <cellStyle name="40% - Accent3 4 6 2" xfId="6642" xr:uid="{00000000-0005-0000-0000-00008C050000}"/>
    <cellStyle name="40% - Accent3 4 6 2 2" xfId="15084" xr:uid="{EFE654EE-6775-4AF2-B389-17DCF907DCF2}"/>
    <cellStyle name="40% - Accent3 4 6 2 3" xfId="23521" xr:uid="{5C1B8574-BF41-4C3E-8951-3D2CF74BBB9E}"/>
    <cellStyle name="40% - Accent3 4 6 3" xfId="10866" xr:uid="{09C613F1-8FCE-4E1C-B716-CE3503A14572}"/>
    <cellStyle name="40% - Accent3 4 6 4" xfId="19304" xr:uid="{333B1997-3196-4285-8FC8-5F8C0E56357B}"/>
    <cellStyle name="40% - Accent3 4 7" xfId="4576" xr:uid="{00000000-0005-0000-0000-00008D050000}"/>
    <cellStyle name="40% - Accent3 4 7 2" xfId="13018" xr:uid="{CF1FD99B-D0A4-4767-9C72-E8F955165B37}"/>
    <cellStyle name="40% - Accent3 4 7 3" xfId="21455" xr:uid="{CD60AF8A-5212-4919-BE61-AD20106F25E2}"/>
    <cellStyle name="40% - Accent3 4 8" xfId="8800" xr:uid="{34789EB9-DAFD-47C9-9B86-9B1A04302868}"/>
    <cellStyle name="40% - Accent3 4 9" xfId="17238" xr:uid="{981FDF86-9EAC-4D1B-A88B-1111B1973685}"/>
    <cellStyle name="40% - Accent3 5" xfId="634" xr:uid="{00000000-0005-0000-0000-00008E050000}"/>
    <cellStyle name="40% - Accent3 5 2" xfId="2905" xr:uid="{00000000-0005-0000-0000-00008F050000}"/>
    <cellStyle name="40% - Accent3 5 2 2" xfId="7128" xr:uid="{00000000-0005-0000-0000-000090050000}"/>
    <cellStyle name="40% - Accent3 5 2 2 2" xfId="15570" xr:uid="{BE637DE0-A504-4416-B586-2962FA9C8712}"/>
    <cellStyle name="40% - Accent3 5 2 2 3" xfId="24007" xr:uid="{97FEC742-5597-4ED6-A74D-6D0A3BFB97B1}"/>
    <cellStyle name="40% - Accent3 5 2 3" xfId="11352" xr:uid="{23440662-3A3E-4DAC-8026-E09089A505CA}"/>
    <cellStyle name="40% - Accent3 5 2 4" xfId="19790" xr:uid="{2617DE55-2C2B-4EDE-85EC-0089D84E5661}"/>
    <cellStyle name="40% - Accent3 5 3" xfId="4983" xr:uid="{00000000-0005-0000-0000-000091050000}"/>
    <cellStyle name="40% - Accent3 5 3 2" xfId="13425" xr:uid="{F8A09F3C-46D2-46BD-BCF4-CABC954A4EFB}"/>
    <cellStyle name="40% - Accent3 5 3 3" xfId="21862" xr:uid="{2FEABEFA-0C3B-44BC-9A42-D9E33040D705}"/>
    <cellStyle name="40% - Accent3 5 4" xfId="9207" xr:uid="{63B4AD77-91A0-4E86-A4F0-E4EA5DED56AC}"/>
    <cellStyle name="40% - Accent3 5 5" xfId="17645" xr:uid="{8C36A17D-8F02-44B7-B443-83C476E2C516}"/>
    <cellStyle name="40% - Accent3 6" xfId="1087" xr:uid="{00000000-0005-0000-0000-000092050000}"/>
    <cellStyle name="40% - Accent3 6 2" xfId="3318" xr:uid="{00000000-0005-0000-0000-000093050000}"/>
    <cellStyle name="40% - Accent3 6 2 2" xfId="7541" xr:uid="{00000000-0005-0000-0000-000094050000}"/>
    <cellStyle name="40% - Accent3 6 2 2 2" xfId="15983" xr:uid="{EC2212A8-5E6E-42DD-8B81-2A8D3302E72C}"/>
    <cellStyle name="40% - Accent3 6 2 2 3" xfId="24420" xr:uid="{3861C10F-96DB-48ED-934D-40D8020BCF77}"/>
    <cellStyle name="40% - Accent3 6 2 3" xfId="11765" xr:uid="{A7756BB1-DE6C-47F4-9604-0C255B2ED869}"/>
    <cellStyle name="40% - Accent3 6 2 4" xfId="20203" xr:uid="{DDB22470-0EBD-4ABC-AECE-3A922FF41F79}"/>
    <cellStyle name="40% - Accent3 6 3" xfId="5396" xr:uid="{00000000-0005-0000-0000-000095050000}"/>
    <cellStyle name="40% - Accent3 6 3 2" xfId="13838" xr:uid="{33EAA7D7-BFE2-4F0A-9C57-BECE0A18C3FE}"/>
    <cellStyle name="40% - Accent3 6 3 3" xfId="22275" xr:uid="{60E0A38D-965E-4A17-8849-9C4D1BDA35F5}"/>
    <cellStyle name="40% - Accent3 6 4" xfId="9620" xr:uid="{D0A60831-4B67-4405-9C17-913974B03EA6}"/>
    <cellStyle name="40% - Accent3 6 5" xfId="18058" xr:uid="{51CE2D10-4A94-4965-9AC3-CA50FA6A374B}"/>
    <cellStyle name="40% - Accent3 7" xfId="1501" xr:uid="{00000000-0005-0000-0000-000096050000}"/>
    <cellStyle name="40% - Accent3 7 2" xfId="3731" xr:uid="{00000000-0005-0000-0000-000097050000}"/>
    <cellStyle name="40% - Accent3 7 2 2" xfId="7954" xr:uid="{00000000-0005-0000-0000-000098050000}"/>
    <cellStyle name="40% - Accent3 7 2 2 2" xfId="16396" xr:uid="{D25EAF0F-20E7-4E36-89B1-01942BFD83DB}"/>
    <cellStyle name="40% - Accent3 7 2 2 3" xfId="24833" xr:uid="{BC14358E-43B1-4743-80BA-BD106BEAC2DE}"/>
    <cellStyle name="40% - Accent3 7 2 3" xfId="12178" xr:uid="{AAD0DBC0-092B-40A1-9692-107362B15218}"/>
    <cellStyle name="40% - Accent3 7 2 4" xfId="20616" xr:uid="{D63832FD-23DB-4F69-BDC8-BA6FF7AE22EB}"/>
    <cellStyle name="40% - Accent3 7 3" xfId="5809" xr:uid="{00000000-0005-0000-0000-000099050000}"/>
    <cellStyle name="40% - Accent3 7 3 2" xfId="14251" xr:uid="{F3DF6025-5B6B-4E97-8A07-E00F683080F4}"/>
    <cellStyle name="40% - Accent3 7 3 3" xfId="22688" xr:uid="{84B701F8-03C2-4D41-86FB-A8958B616CB8}"/>
    <cellStyle name="40% - Accent3 7 4" xfId="10033" xr:uid="{3B6D399A-BA7F-42E1-933D-9E8D099B1989}"/>
    <cellStyle name="40% - Accent3 7 5" xfId="18471" xr:uid="{C51B0989-44C8-4781-A085-6F78D9C9AC79}"/>
    <cellStyle name="40% - Accent3 8" xfId="1915" xr:uid="{00000000-0005-0000-0000-00009A050000}"/>
    <cellStyle name="40% - Accent3 8 2" xfId="4144" xr:uid="{00000000-0005-0000-0000-00009B050000}"/>
    <cellStyle name="40% - Accent3 8 2 2" xfId="8367" xr:uid="{00000000-0005-0000-0000-00009C050000}"/>
    <cellStyle name="40% - Accent3 8 2 2 2" xfId="16809" xr:uid="{27DF2245-BEB7-43D3-8953-C3D19DE43F17}"/>
    <cellStyle name="40% - Accent3 8 2 2 3" xfId="25246" xr:uid="{422ED348-77E3-4EA7-B2BC-64CF530D3D27}"/>
    <cellStyle name="40% - Accent3 8 2 3" xfId="12591" xr:uid="{3C287981-63C1-42B5-B8D8-8DC31DDF81DC}"/>
    <cellStyle name="40% - Accent3 8 2 4" xfId="21029" xr:uid="{2A7A2974-487B-4365-9384-840A7233089E}"/>
    <cellStyle name="40% - Accent3 8 3" xfId="6222" xr:uid="{00000000-0005-0000-0000-00009D050000}"/>
    <cellStyle name="40% - Accent3 8 3 2" xfId="14664" xr:uid="{302851C8-F4C2-417B-9024-360FCEAC4B92}"/>
    <cellStyle name="40% - Accent3 8 3 3" xfId="23101" xr:uid="{F3CC357F-4CB6-430B-BDC9-2A6F6C5BB1F4}"/>
    <cellStyle name="40% - Accent3 8 4" xfId="10446" xr:uid="{34F08490-858A-4EEA-A2BC-A4F99C48DD03}"/>
    <cellStyle name="40% - Accent3 8 5" xfId="18884" xr:uid="{945A7F43-E7D4-4AE0-8A3F-26CE2F1CF269}"/>
    <cellStyle name="40% - Accent3 9" xfId="2328" xr:uid="{00000000-0005-0000-0000-00009E050000}"/>
    <cellStyle name="40% - Accent3 9 2" xfId="6635" xr:uid="{00000000-0005-0000-0000-00009F050000}"/>
    <cellStyle name="40% - Accent3 9 2 2" xfId="15077" xr:uid="{01CED521-2B5D-466F-9538-DA0DFD5ABA21}"/>
    <cellStyle name="40% - Accent3 9 2 3" xfId="23514" xr:uid="{E5126896-2EF0-4A3E-BA8D-A142AF079392}"/>
    <cellStyle name="40% - Accent3 9 3" xfId="10859" xr:uid="{71E45697-5EF8-41BD-9C86-058A7A45C14F}"/>
    <cellStyle name="40% - Accent3 9 4" xfId="19297" xr:uid="{0DDB1AD0-048B-4F8D-BE11-89D587BFB560}"/>
    <cellStyle name="40% - Accent4" xfId="73" builtinId="43" customBuiltin="1"/>
    <cellStyle name="40% - Accent4 10" xfId="4577" xr:uid="{00000000-0005-0000-0000-0000A1050000}"/>
    <cellStyle name="40% - Accent4 10 2" xfId="13019" xr:uid="{770584D9-26F5-4260-ABB6-0B73C5678EAD}"/>
    <cellStyle name="40% - Accent4 10 3" xfId="21456" xr:uid="{377B52F8-36CC-4EB2-874A-D14473FF025B}"/>
    <cellStyle name="40% - Accent4 11" xfId="8801" xr:uid="{56517FFF-A112-4838-83DA-465A4D582A8D}"/>
    <cellStyle name="40% - Accent4 12" xfId="17239" xr:uid="{37E9F28B-BEC5-48BB-B7BB-A1A6C9425C27}"/>
    <cellStyle name="40% - Accent4 2" xfId="74" xr:uid="{00000000-0005-0000-0000-0000A2050000}"/>
    <cellStyle name="40% - Accent4 2 10" xfId="8802" xr:uid="{D384C82D-26CF-4F71-ADBE-31C8DE158DC9}"/>
    <cellStyle name="40% - Accent4 2 11" xfId="17240" xr:uid="{3BCB2B9D-85AE-4F32-BACE-4E9F699D5FF6}"/>
    <cellStyle name="40% - Accent4 2 2" xfId="75" xr:uid="{00000000-0005-0000-0000-0000A3050000}"/>
    <cellStyle name="40% - Accent4 2 2 10" xfId="17241" xr:uid="{67600C06-ADBD-40A6-89FB-886EA26CD98B}"/>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2 2 2" xfId="15581" xr:uid="{E0BD1EDE-B101-4F40-9CE1-060622EB6204}"/>
    <cellStyle name="40% - Accent4 2 2 2 2 2 2 3" xfId="24018" xr:uid="{F8173365-CB1D-426D-8D74-C6B768614AD7}"/>
    <cellStyle name="40% - Accent4 2 2 2 2 2 3" xfId="11363" xr:uid="{13E9CFEC-A0A7-4D6C-A143-12FF430098AD}"/>
    <cellStyle name="40% - Accent4 2 2 2 2 2 4" xfId="19801" xr:uid="{92D1A443-7DCA-4BA3-BE70-06454E8B0762}"/>
    <cellStyle name="40% - Accent4 2 2 2 2 3" xfId="4994" xr:uid="{00000000-0005-0000-0000-0000A8050000}"/>
    <cellStyle name="40% - Accent4 2 2 2 2 3 2" xfId="13436" xr:uid="{290D6F03-D09F-4FD2-AD5F-2B445449B9DC}"/>
    <cellStyle name="40% - Accent4 2 2 2 2 3 3" xfId="21873" xr:uid="{AEE25E79-9E30-4BB1-828E-F978B908BBFA}"/>
    <cellStyle name="40% - Accent4 2 2 2 2 4" xfId="9218" xr:uid="{41B7468E-4962-4558-A85D-B27109F4B017}"/>
    <cellStyle name="40% - Accent4 2 2 2 2 5" xfId="17656" xr:uid="{02E06D08-CC0D-4CB2-9175-B35C021F4485}"/>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2 2 2" xfId="15994" xr:uid="{204A8DBA-7BD8-48A1-96D2-B50BF63FF589}"/>
    <cellStyle name="40% - Accent4 2 2 2 3 2 2 3" xfId="24431" xr:uid="{27DD3F47-F800-4049-B749-FA3A5078E143}"/>
    <cellStyle name="40% - Accent4 2 2 2 3 2 3" xfId="11776" xr:uid="{2BAF9995-D4B5-4B19-A285-B48ECDE26695}"/>
    <cellStyle name="40% - Accent4 2 2 2 3 2 4" xfId="20214" xr:uid="{DA8F3467-849B-4BF7-80FA-A2F0F09980DB}"/>
    <cellStyle name="40% - Accent4 2 2 2 3 3" xfId="5407" xr:uid="{00000000-0005-0000-0000-0000AC050000}"/>
    <cellStyle name="40% - Accent4 2 2 2 3 3 2" xfId="13849" xr:uid="{1A2EDC12-2DA2-4D2D-BA9D-357238D18B6B}"/>
    <cellStyle name="40% - Accent4 2 2 2 3 3 3" xfId="22286" xr:uid="{D3530696-4025-47D5-B2D4-DD1458E6DC40}"/>
    <cellStyle name="40% - Accent4 2 2 2 3 4" xfId="9631" xr:uid="{071D1F2C-E796-4252-9825-D4F288BA2587}"/>
    <cellStyle name="40% - Accent4 2 2 2 3 5" xfId="18069" xr:uid="{3980161B-3FBB-4509-930F-360A90F44C36}"/>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2 2 2" xfId="16407" xr:uid="{60DEBF37-F61B-4902-A9E3-F7C692FCF94A}"/>
    <cellStyle name="40% - Accent4 2 2 2 4 2 2 3" xfId="24844" xr:uid="{B3323C8F-A5F1-465E-8177-FBCEFD149399}"/>
    <cellStyle name="40% - Accent4 2 2 2 4 2 3" xfId="12189" xr:uid="{2D55708A-75AB-47D4-9EA6-5B6F71ACF955}"/>
    <cellStyle name="40% - Accent4 2 2 2 4 2 4" xfId="20627" xr:uid="{BD443B05-A139-4F74-9941-7AB12609341A}"/>
    <cellStyle name="40% - Accent4 2 2 2 4 3" xfId="5820" xr:uid="{00000000-0005-0000-0000-0000B0050000}"/>
    <cellStyle name="40% - Accent4 2 2 2 4 3 2" xfId="14262" xr:uid="{2E16E7C3-9BD3-41D2-BAA4-219F2B785286}"/>
    <cellStyle name="40% - Accent4 2 2 2 4 3 3" xfId="22699" xr:uid="{92D9E503-22A4-4A08-9F3E-D7F9C0C7E887}"/>
    <cellStyle name="40% - Accent4 2 2 2 4 4" xfId="10044" xr:uid="{00703007-E53D-4BEF-8B56-EA1BE5C0CF6C}"/>
    <cellStyle name="40% - Accent4 2 2 2 4 5" xfId="18482" xr:uid="{9D11480C-A905-48FA-ACB2-FBBF7516991D}"/>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2 2 2" xfId="16820" xr:uid="{6D339404-9846-467F-A43B-8099891FC0D6}"/>
    <cellStyle name="40% - Accent4 2 2 2 5 2 2 3" xfId="25257" xr:uid="{5CBCA58E-F566-4542-B147-E23F7CE08054}"/>
    <cellStyle name="40% - Accent4 2 2 2 5 2 3" xfId="12602" xr:uid="{6721182C-74E2-4618-9202-53578B6BA98F}"/>
    <cellStyle name="40% - Accent4 2 2 2 5 2 4" xfId="21040" xr:uid="{D5AB62F4-ADE6-4DBC-8910-6D0DAAE792F9}"/>
    <cellStyle name="40% - Accent4 2 2 2 5 3" xfId="6233" xr:uid="{00000000-0005-0000-0000-0000B4050000}"/>
    <cellStyle name="40% - Accent4 2 2 2 5 3 2" xfId="14675" xr:uid="{0FB95D7A-1A3E-4BEE-A1A7-19E514213BB3}"/>
    <cellStyle name="40% - Accent4 2 2 2 5 3 3" xfId="23112" xr:uid="{9ED0C475-620D-420B-AD32-C1553FAAB26E}"/>
    <cellStyle name="40% - Accent4 2 2 2 5 4" xfId="10457" xr:uid="{B5928B8A-B9A8-451E-9E3C-E5ADEB267499}"/>
    <cellStyle name="40% - Accent4 2 2 2 5 5" xfId="18895" xr:uid="{F45BA41E-D215-4342-B13B-34C49B3BC410}"/>
    <cellStyle name="40% - Accent4 2 2 2 6" xfId="2339" xr:uid="{00000000-0005-0000-0000-0000B5050000}"/>
    <cellStyle name="40% - Accent4 2 2 2 6 2" xfId="6646" xr:uid="{00000000-0005-0000-0000-0000B6050000}"/>
    <cellStyle name="40% - Accent4 2 2 2 6 2 2" xfId="15088" xr:uid="{4C69BD85-445B-41B2-8DF0-686A70635B46}"/>
    <cellStyle name="40% - Accent4 2 2 2 6 2 3" xfId="23525" xr:uid="{2F996B07-B195-4321-933C-F1B8F1408E94}"/>
    <cellStyle name="40% - Accent4 2 2 2 6 3" xfId="10870" xr:uid="{D43C9730-E573-46CF-A0A5-387859D62EAA}"/>
    <cellStyle name="40% - Accent4 2 2 2 6 4" xfId="19308" xr:uid="{FCB6C9D1-A975-49E8-B680-9B6E4963E426}"/>
    <cellStyle name="40% - Accent4 2 2 2 7" xfId="4580" xr:uid="{00000000-0005-0000-0000-0000B7050000}"/>
    <cellStyle name="40% - Accent4 2 2 2 7 2" xfId="13022" xr:uid="{49D83EC4-2C3C-4002-81AB-983AFB461EEB}"/>
    <cellStyle name="40% - Accent4 2 2 2 7 3" xfId="21459" xr:uid="{E7C5898D-8FAC-4F45-B22A-AA091A3598CF}"/>
    <cellStyle name="40% - Accent4 2 2 2 8" xfId="8804" xr:uid="{DB6ED2AB-B03B-4D66-886D-CB0C6DADEC1B}"/>
    <cellStyle name="40% - Accent4 2 2 2 9" xfId="17242" xr:uid="{A0DDA43D-4F5B-45E7-AE06-B018A3741AF1}"/>
    <cellStyle name="40% - Accent4 2 2 3" xfId="644" xr:uid="{00000000-0005-0000-0000-0000B8050000}"/>
    <cellStyle name="40% - Accent4 2 2 3 2" xfId="2915" xr:uid="{00000000-0005-0000-0000-0000B9050000}"/>
    <cellStyle name="40% - Accent4 2 2 3 2 2" xfId="7138" xr:uid="{00000000-0005-0000-0000-0000BA050000}"/>
    <cellStyle name="40% - Accent4 2 2 3 2 2 2" xfId="15580" xr:uid="{A4EF6E62-97B5-4057-A50B-62BA46B8394A}"/>
    <cellStyle name="40% - Accent4 2 2 3 2 2 3" xfId="24017" xr:uid="{A6441276-6AFE-4292-B422-99EC28C8BD5F}"/>
    <cellStyle name="40% - Accent4 2 2 3 2 3" xfId="11362" xr:uid="{FB1717E3-713B-417A-97F4-25F4960DEA97}"/>
    <cellStyle name="40% - Accent4 2 2 3 2 4" xfId="19800" xr:uid="{666FC63F-54F5-49AE-9A22-A6324961A413}"/>
    <cellStyle name="40% - Accent4 2 2 3 3" xfId="4993" xr:uid="{00000000-0005-0000-0000-0000BB050000}"/>
    <cellStyle name="40% - Accent4 2 2 3 3 2" xfId="13435" xr:uid="{FB557848-AD72-4E0B-B084-746FB2346949}"/>
    <cellStyle name="40% - Accent4 2 2 3 3 3" xfId="21872" xr:uid="{2EA5167E-82D1-4B90-9E80-8529BB891111}"/>
    <cellStyle name="40% - Accent4 2 2 3 4" xfId="9217" xr:uid="{DA63D79C-92B7-4DC3-B473-23C2CA4D1546}"/>
    <cellStyle name="40% - Accent4 2 2 3 5" xfId="17655" xr:uid="{C46296A8-5955-4B3C-B8AC-FC3E38F25B5E}"/>
    <cellStyle name="40% - Accent4 2 2 4" xfId="1097" xr:uid="{00000000-0005-0000-0000-0000BC050000}"/>
    <cellStyle name="40% - Accent4 2 2 4 2" xfId="3328" xr:uid="{00000000-0005-0000-0000-0000BD050000}"/>
    <cellStyle name="40% - Accent4 2 2 4 2 2" xfId="7551" xr:uid="{00000000-0005-0000-0000-0000BE050000}"/>
    <cellStyle name="40% - Accent4 2 2 4 2 2 2" xfId="15993" xr:uid="{9BAA36E3-457F-45FC-B40E-3A21998A195B}"/>
    <cellStyle name="40% - Accent4 2 2 4 2 2 3" xfId="24430" xr:uid="{904254F4-8F8D-436A-ABAB-1B01695F366B}"/>
    <cellStyle name="40% - Accent4 2 2 4 2 3" xfId="11775" xr:uid="{36846F82-AEA4-41EC-99DD-F21B6196C3DA}"/>
    <cellStyle name="40% - Accent4 2 2 4 2 4" xfId="20213" xr:uid="{549C482C-6CDF-4916-A82B-91FC649C92F4}"/>
    <cellStyle name="40% - Accent4 2 2 4 3" xfId="5406" xr:uid="{00000000-0005-0000-0000-0000BF050000}"/>
    <cellStyle name="40% - Accent4 2 2 4 3 2" xfId="13848" xr:uid="{1966CDF0-BF09-4510-9650-6B5F54C46D77}"/>
    <cellStyle name="40% - Accent4 2 2 4 3 3" xfId="22285" xr:uid="{444D5D10-7612-4E38-AA5D-4B36869ED0B7}"/>
    <cellStyle name="40% - Accent4 2 2 4 4" xfId="9630" xr:uid="{C1CC62B0-CF1D-4374-95B2-C110F82026D2}"/>
    <cellStyle name="40% - Accent4 2 2 4 5" xfId="18068" xr:uid="{4EA78C9B-0E25-45F0-908A-BC55670E823C}"/>
    <cellStyle name="40% - Accent4 2 2 5" xfId="1511" xr:uid="{00000000-0005-0000-0000-0000C0050000}"/>
    <cellStyle name="40% - Accent4 2 2 5 2" xfId="3741" xr:uid="{00000000-0005-0000-0000-0000C1050000}"/>
    <cellStyle name="40% - Accent4 2 2 5 2 2" xfId="7964" xr:uid="{00000000-0005-0000-0000-0000C2050000}"/>
    <cellStyle name="40% - Accent4 2 2 5 2 2 2" xfId="16406" xr:uid="{2BAFA0AC-387C-4305-858D-4CE1ABFDB0DF}"/>
    <cellStyle name="40% - Accent4 2 2 5 2 2 3" xfId="24843" xr:uid="{C989C690-14EE-46B8-84CE-C371B2239B7C}"/>
    <cellStyle name="40% - Accent4 2 2 5 2 3" xfId="12188" xr:uid="{2422A68B-368A-40E1-9FA4-E274E3C87267}"/>
    <cellStyle name="40% - Accent4 2 2 5 2 4" xfId="20626" xr:uid="{C0A80E2C-CBAE-4EB2-8B8A-4366FA62257F}"/>
    <cellStyle name="40% - Accent4 2 2 5 3" xfId="5819" xr:uid="{00000000-0005-0000-0000-0000C3050000}"/>
    <cellStyle name="40% - Accent4 2 2 5 3 2" xfId="14261" xr:uid="{12A828A4-8F4C-491C-8E89-8861F28A333E}"/>
    <cellStyle name="40% - Accent4 2 2 5 3 3" xfId="22698" xr:uid="{DEC94D08-DB2F-4CAD-84B1-04D2EE44EBE0}"/>
    <cellStyle name="40% - Accent4 2 2 5 4" xfId="10043" xr:uid="{32EC580B-FDE2-4025-8190-C2011020497B}"/>
    <cellStyle name="40% - Accent4 2 2 5 5" xfId="18481" xr:uid="{08F26CE7-BCDA-4C3D-BC79-EA517620F9A4}"/>
    <cellStyle name="40% - Accent4 2 2 6" xfId="1925" xr:uid="{00000000-0005-0000-0000-0000C4050000}"/>
    <cellStyle name="40% - Accent4 2 2 6 2" xfId="4154" xr:uid="{00000000-0005-0000-0000-0000C5050000}"/>
    <cellStyle name="40% - Accent4 2 2 6 2 2" xfId="8377" xr:uid="{00000000-0005-0000-0000-0000C6050000}"/>
    <cellStyle name="40% - Accent4 2 2 6 2 2 2" xfId="16819" xr:uid="{5A980543-19BE-4788-B233-2B2B8161CF34}"/>
    <cellStyle name="40% - Accent4 2 2 6 2 2 3" xfId="25256" xr:uid="{01AABB7A-6726-4C6D-B71C-70693DAC3BC9}"/>
    <cellStyle name="40% - Accent4 2 2 6 2 3" xfId="12601" xr:uid="{D9F538B5-AAB4-4188-8297-5668A2909D24}"/>
    <cellStyle name="40% - Accent4 2 2 6 2 4" xfId="21039" xr:uid="{DD28EF40-BCBE-47AE-9EDF-5822AB9F41AD}"/>
    <cellStyle name="40% - Accent4 2 2 6 3" xfId="6232" xr:uid="{00000000-0005-0000-0000-0000C7050000}"/>
    <cellStyle name="40% - Accent4 2 2 6 3 2" xfId="14674" xr:uid="{B7258B04-3FEB-4192-85C8-43E3DB7286F0}"/>
    <cellStyle name="40% - Accent4 2 2 6 3 3" xfId="23111" xr:uid="{88BCA62E-94B8-4636-8AF7-3E2154F23E90}"/>
    <cellStyle name="40% - Accent4 2 2 6 4" xfId="10456" xr:uid="{519FD854-18E8-4FF3-BD0F-9EDD7613A586}"/>
    <cellStyle name="40% - Accent4 2 2 6 5" xfId="18894" xr:uid="{882C896B-E647-4624-BE98-3C7FD92C00F7}"/>
    <cellStyle name="40% - Accent4 2 2 7" xfId="2338" xr:uid="{00000000-0005-0000-0000-0000C8050000}"/>
    <cellStyle name="40% - Accent4 2 2 7 2" xfId="6645" xr:uid="{00000000-0005-0000-0000-0000C9050000}"/>
    <cellStyle name="40% - Accent4 2 2 7 2 2" xfId="15087" xr:uid="{9EF2F48D-B4C5-44EC-B1A4-2BD25C0BBAC8}"/>
    <cellStyle name="40% - Accent4 2 2 7 2 3" xfId="23524" xr:uid="{CAAF9C5B-C37F-4AAB-89B3-0679BECB6B6B}"/>
    <cellStyle name="40% - Accent4 2 2 7 3" xfId="10869" xr:uid="{4B9E50D1-6F00-4DB5-BEF4-E597F587F53D}"/>
    <cellStyle name="40% - Accent4 2 2 7 4" xfId="19307" xr:uid="{ED98B69A-A9F7-41C6-88D0-D608B9248FE1}"/>
    <cellStyle name="40% - Accent4 2 2 8" xfId="4579" xr:uid="{00000000-0005-0000-0000-0000CA050000}"/>
    <cellStyle name="40% - Accent4 2 2 8 2" xfId="13021" xr:uid="{69310493-AEAE-4039-9436-80DC92CCD110}"/>
    <cellStyle name="40% - Accent4 2 2 8 3" xfId="21458" xr:uid="{CD4D795C-B9A9-4D4F-8380-E1A5ECC282AD}"/>
    <cellStyle name="40% - Accent4 2 2 9" xfId="8803" xr:uid="{03262DCB-F5D5-46EF-BB76-7E3BA6FE1E5E}"/>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2 2 2" xfId="15582" xr:uid="{159C545B-13F6-419B-8D99-199AC138D215}"/>
    <cellStyle name="40% - Accent4 2 3 2 2 2 3" xfId="24019" xr:uid="{E557FB3A-BCEA-4559-9D0E-EBF10C03F565}"/>
    <cellStyle name="40% - Accent4 2 3 2 2 3" xfId="11364" xr:uid="{EA70DE4A-20E1-4B49-B6CC-78072FF9EBA0}"/>
    <cellStyle name="40% - Accent4 2 3 2 2 4" xfId="19802" xr:uid="{B7F8116F-3CC2-4C7F-A4AD-26B8A83A5CBF}"/>
    <cellStyle name="40% - Accent4 2 3 2 3" xfId="4995" xr:uid="{00000000-0005-0000-0000-0000CF050000}"/>
    <cellStyle name="40% - Accent4 2 3 2 3 2" xfId="13437" xr:uid="{F7681367-C540-4235-9167-8DF402D5479E}"/>
    <cellStyle name="40% - Accent4 2 3 2 3 3" xfId="21874" xr:uid="{0BAC2005-02B9-4B93-9F6C-49A6FDB93061}"/>
    <cellStyle name="40% - Accent4 2 3 2 4" xfId="9219" xr:uid="{2C00D92A-8126-4C37-A56C-3D1605996FEB}"/>
    <cellStyle name="40% - Accent4 2 3 2 5" xfId="17657" xr:uid="{A68B8AC1-766C-4161-9AEA-F4DBF19E7711}"/>
    <cellStyle name="40% - Accent4 2 3 3" xfId="1099" xr:uid="{00000000-0005-0000-0000-0000D0050000}"/>
    <cellStyle name="40% - Accent4 2 3 3 2" xfId="3330" xr:uid="{00000000-0005-0000-0000-0000D1050000}"/>
    <cellStyle name="40% - Accent4 2 3 3 2 2" xfId="7553" xr:uid="{00000000-0005-0000-0000-0000D2050000}"/>
    <cellStyle name="40% - Accent4 2 3 3 2 2 2" xfId="15995" xr:uid="{53860152-0C42-40A1-AD6F-8C668A5BB4D7}"/>
    <cellStyle name="40% - Accent4 2 3 3 2 2 3" xfId="24432" xr:uid="{E8186219-7521-463C-BB52-CF1D0992D116}"/>
    <cellStyle name="40% - Accent4 2 3 3 2 3" xfId="11777" xr:uid="{A92303AE-68C1-4F9E-9592-7226B5A14F21}"/>
    <cellStyle name="40% - Accent4 2 3 3 2 4" xfId="20215" xr:uid="{D817F03A-A2DC-4A54-8B45-1BD170BC1CE8}"/>
    <cellStyle name="40% - Accent4 2 3 3 3" xfId="5408" xr:uid="{00000000-0005-0000-0000-0000D3050000}"/>
    <cellStyle name="40% - Accent4 2 3 3 3 2" xfId="13850" xr:uid="{D0569EEC-E406-4A4F-AE9A-60F93D7601EF}"/>
    <cellStyle name="40% - Accent4 2 3 3 3 3" xfId="22287" xr:uid="{2C976D0B-A38F-4D64-9D7F-8C8CB11B5CFD}"/>
    <cellStyle name="40% - Accent4 2 3 3 4" xfId="9632" xr:uid="{E9A43800-2D47-4E1B-870F-EB5E56EFEC39}"/>
    <cellStyle name="40% - Accent4 2 3 3 5" xfId="18070" xr:uid="{60F38561-5A91-4DAE-ACE1-C277B8155B8B}"/>
    <cellStyle name="40% - Accent4 2 3 4" xfId="1513" xr:uid="{00000000-0005-0000-0000-0000D4050000}"/>
    <cellStyle name="40% - Accent4 2 3 4 2" xfId="3743" xr:uid="{00000000-0005-0000-0000-0000D5050000}"/>
    <cellStyle name="40% - Accent4 2 3 4 2 2" xfId="7966" xr:uid="{00000000-0005-0000-0000-0000D6050000}"/>
    <cellStyle name="40% - Accent4 2 3 4 2 2 2" xfId="16408" xr:uid="{23F8D639-FDD2-4671-9296-F930B4291FA6}"/>
    <cellStyle name="40% - Accent4 2 3 4 2 2 3" xfId="24845" xr:uid="{B8119FBA-048A-4228-9344-4E470CEC1304}"/>
    <cellStyle name="40% - Accent4 2 3 4 2 3" xfId="12190" xr:uid="{8D52FF82-ECAF-4748-9AE3-F175F29DF8E4}"/>
    <cellStyle name="40% - Accent4 2 3 4 2 4" xfId="20628" xr:uid="{AB2485D8-D203-41B6-8C9F-2364BB063BDB}"/>
    <cellStyle name="40% - Accent4 2 3 4 3" xfId="5821" xr:uid="{00000000-0005-0000-0000-0000D7050000}"/>
    <cellStyle name="40% - Accent4 2 3 4 3 2" xfId="14263" xr:uid="{72FB109A-E50A-43A4-83CB-FDCC7010037B}"/>
    <cellStyle name="40% - Accent4 2 3 4 3 3" xfId="22700" xr:uid="{016C6D81-DBB6-4DFA-B99B-825B133232CB}"/>
    <cellStyle name="40% - Accent4 2 3 4 4" xfId="10045" xr:uid="{B49B2B57-33E4-40F4-9F3D-9CCE444A8330}"/>
    <cellStyle name="40% - Accent4 2 3 4 5" xfId="18483" xr:uid="{0E985863-EC48-4DB1-A46B-3D26DCBB8804}"/>
    <cellStyle name="40% - Accent4 2 3 5" xfId="1927" xr:uid="{00000000-0005-0000-0000-0000D8050000}"/>
    <cellStyle name="40% - Accent4 2 3 5 2" xfId="4156" xr:uid="{00000000-0005-0000-0000-0000D9050000}"/>
    <cellStyle name="40% - Accent4 2 3 5 2 2" xfId="8379" xr:uid="{00000000-0005-0000-0000-0000DA050000}"/>
    <cellStyle name="40% - Accent4 2 3 5 2 2 2" xfId="16821" xr:uid="{4FB3AF66-8C60-444C-BD7D-C1AE89B92661}"/>
    <cellStyle name="40% - Accent4 2 3 5 2 2 3" xfId="25258" xr:uid="{B6451D4C-3418-40C7-B7ED-A175CA6AB46E}"/>
    <cellStyle name="40% - Accent4 2 3 5 2 3" xfId="12603" xr:uid="{399A744E-07B2-4D11-BFA2-00A7E496649A}"/>
    <cellStyle name="40% - Accent4 2 3 5 2 4" xfId="21041" xr:uid="{418180A4-8AE9-47F5-860C-4C77A5511C33}"/>
    <cellStyle name="40% - Accent4 2 3 5 3" xfId="6234" xr:uid="{00000000-0005-0000-0000-0000DB050000}"/>
    <cellStyle name="40% - Accent4 2 3 5 3 2" xfId="14676" xr:uid="{6F1BAD8C-E490-433B-ADBE-DDABB415AB44}"/>
    <cellStyle name="40% - Accent4 2 3 5 3 3" xfId="23113" xr:uid="{23AA2FEB-62AC-4625-8E14-CE536EF72056}"/>
    <cellStyle name="40% - Accent4 2 3 5 4" xfId="10458" xr:uid="{3F485CA1-C7C7-40A3-92DE-9D9D63D3D2C7}"/>
    <cellStyle name="40% - Accent4 2 3 5 5" xfId="18896" xr:uid="{B0E7467F-4981-4EAE-A0B7-CA6C3EEE21A8}"/>
    <cellStyle name="40% - Accent4 2 3 6" xfId="2340" xr:uid="{00000000-0005-0000-0000-0000DC050000}"/>
    <cellStyle name="40% - Accent4 2 3 6 2" xfId="6647" xr:uid="{00000000-0005-0000-0000-0000DD050000}"/>
    <cellStyle name="40% - Accent4 2 3 6 2 2" xfId="15089" xr:uid="{884D7453-BEF3-44E2-9E74-8F114DBAD38F}"/>
    <cellStyle name="40% - Accent4 2 3 6 2 3" xfId="23526" xr:uid="{92968DFC-4CDB-4035-85D9-342A6DC00310}"/>
    <cellStyle name="40% - Accent4 2 3 6 3" xfId="10871" xr:uid="{812AEB8C-0ED9-4E25-95DF-7E4F6D2F7424}"/>
    <cellStyle name="40% - Accent4 2 3 6 4" xfId="19309" xr:uid="{10665CB8-BFF1-427B-AC56-1DD721B91B19}"/>
    <cellStyle name="40% - Accent4 2 3 7" xfId="4581" xr:uid="{00000000-0005-0000-0000-0000DE050000}"/>
    <cellStyle name="40% - Accent4 2 3 7 2" xfId="13023" xr:uid="{C2593F7E-FCA1-487E-9E09-DD0C7683C3C9}"/>
    <cellStyle name="40% - Accent4 2 3 7 3" xfId="21460" xr:uid="{EDCD08FF-A87B-4147-B28C-3D1B130404FD}"/>
    <cellStyle name="40% - Accent4 2 3 8" xfId="8805" xr:uid="{59E3B941-25A7-43EA-9386-A48D54BF1033}"/>
    <cellStyle name="40% - Accent4 2 3 9" xfId="17243" xr:uid="{14530BA7-6AE0-410E-9660-D56BA6307786}"/>
    <cellStyle name="40% - Accent4 2 4" xfId="643" xr:uid="{00000000-0005-0000-0000-0000DF050000}"/>
    <cellStyle name="40% - Accent4 2 4 2" xfId="2914" xr:uid="{00000000-0005-0000-0000-0000E0050000}"/>
    <cellStyle name="40% - Accent4 2 4 2 2" xfId="7137" xr:uid="{00000000-0005-0000-0000-0000E1050000}"/>
    <cellStyle name="40% - Accent4 2 4 2 2 2" xfId="15579" xr:uid="{15B1D32C-EBF9-4022-970D-486BD60B6DDE}"/>
    <cellStyle name="40% - Accent4 2 4 2 2 3" xfId="24016" xr:uid="{C0F6B404-5378-4A5D-B4C1-5B819BD8E202}"/>
    <cellStyle name="40% - Accent4 2 4 2 3" xfId="11361" xr:uid="{CD5E664B-084C-4945-8B6B-E1BC69CCB154}"/>
    <cellStyle name="40% - Accent4 2 4 2 4" xfId="19799" xr:uid="{20D1BF5D-60A4-4619-B87D-7A73BE651CAE}"/>
    <cellStyle name="40% - Accent4 2 4 3" xfId="4992" xr:uid="{00000000-0005-0000-0000-0000E2050000}"/>
    <cellStyle name="40% - Accent4 2 4 3 2" xfId="13434" xr:uid="{7574226A-8263-4B2A-9BDF-AB317D91EDEC}"/>
    <cellStyle name="40% - Accent4 2 4 3 3" xfId="21871" xr:uid="{E18E5E84-91C9-4757-93EF-389DB91DA557}"/>
    <cellStyle name="40% - Accent4 2 4 4" xfId="9216" xr:uid="{F3E74547-06C5-4780-87A4-E5256CA2D295}"/>
    <cellStyle name="40% - Accent4 2 4 5" xfId="17654" xr:uid="{DBA985EF-6B25-4C1B-9D36-9AE992CA43B8}"/>
    <cellStyle name="40% - Accent4 2 5" xfId="1096" xr:uid="{00000000-0005-0000-0000-0000E3050000}"/>
    <cellStyle name="40% - Accent4 2 5 2" xfId="3327" xr:uid="{00000000-0005-0000-0000-0000E4050000}"/>
    <cellStyle name="40% - Accent4 2 5 2 2" xfId="7550" xr:uid="{00000000-0005-0000-0000-0000E5050000}"/>
    <cellStyle name="40% - Accent4 2 5 2 2 2" xfId="15992" xr:uid="{7A90E65C-6306-4C8C-9985-262B9C811BE5}"/>
    <cellStyle name="40% - Accent4 2 5 2 2 3" xfId="24429" xr:uid="{060CBB3F-3F93-4ED4-9077-CF7A9252D4C1}"/>
    <cellStyle name="40% - Accent4 2 5 2 3" xfId="11774" xr:uid="{040D90BD-2E2D-433A-BA38-2D7C468713F8}"/>
    <cellStyle name="40% - Accent4 2 5 2 4" xfId="20212" xr:uid="{D6AD749F-0107-4DF6-8D11-AEC39FDE69B3}"/>
    <cellStyle name="40% - Accent4 2 5 3" xfId="5405" xr:uid="{00000000-0005-0000-0000-0000E6050000}"/>
    <cellStyle name="40% - Accent4 2 5 3 2" xfId="13847" xr:uid="{5990044C-F92E-4B4E-A107-F3E67823BC18}"/>
    <cellStyle name="40% - Accent4 2 5 3 3" xfId="22284" xr:uid="{5569ED98-9A5C-4366-8847-CFC7A64BB6E9}"/>
    <cellStyle name="40% - Accent4 2 5 4" xfId="9629" xr:uid="{797711F8-C917-41D7-B7EE-20DF00654AA8}"/>
    <cellStyle name="40% - Accent4 2 5 5" xfId="18067" xr:uid="{CCCBD387-17F1-44DD-824F-9DB4CAAC5C48}"/>
    <cellStyle name="40% - Accent4 2 6" xfId="1510" xr:uid="{00000000-0005-0000-0000-0000E7050000}"/>
    <cellStyle name="40% - Accent4 2 6 2" xfId="3740" xr:uid="{00000000-0005-0000-0000-0000E8050000}"/>
    <cellStyle name="40% - Accent4 2 6 2 2" xfId="7963" xr:uid="{00000000-0005-0000-0000-0000E9050000}"/>
    <cellStyle name="40% - Accent4 2 6 2 2 2" xfId="16405" xr:uid="{638B2EA5-FF36-4EED-8E19-591DC438342F}"/>
    <cellStyle name="40% - Accent4 2 6 2 2 3" xfId="24842" xr:uid="{AC2D7484-CFEB-4EF4-BEF2-E0A0AC110A87}"/>
    <cellStyle name="40% - Accent4 2 6 2 3" xfId="12187" xr:uid="{B6C74156-BE5E-48D9-B84A-1943BC59149D}"/>
    <cellStyle name="40% - Accent4 2 6 2 4" xfId="20625" xr:uid="{63B4A9D7-B70E-48BA-BD84-69D6877CC8D1}"/>
    <cellStyle name="40% - Accent4 2 6 3" xfId="5818" xr:uid="{00000000-0005-0000-0000-0000EA050000}"/>
    <cellStyle name="40% - Accent4 2 6 3 2" xfId="14260" xr:uid="{47A3B8A9-8A47-4772-8624-B71B58910FB0}"/>
    <cellStyle name="40% - Accent4 2 6 3 3" xfId="22697" xr:uid="{F49C3DD2-7C86-4DFA-884B-83C391123A1D}"/>
    <cellStyle name="40% - Accent4 2 6 4" xfId="10042" xr:uid="{73A7350A-B42D-4785-951F-7F075DE0C930}"/>
    <cellStyle name="40% - Accent4 2 6 5" xfId="18480" xr:uid="{5E00A51F-ABC1-459F-A68C-FF24EABB48C9}"/>
    <cellStyle name="40% - Accent4 2 7" xfId="1924" xr:uid="{00000000-0005-0000-0000-0000EB050000}"/>
    <cellStyle name="40% - Accent4 2 7 2" xfId="4153" xr:uid="{00000000-0005-0000-0000-0000EC050000}"/>
    <cellStyle name="40% - Accent4 2 7 2 2" xfId="8376" xr:uid="{00000000-0005-0000-0000-0000ED050000}"/>
    <cellStyle name="40% - Accent4 2 7 2 2 2" xfId="16818" xr:uid="{191EC381-5232-4B28-960F-A777CAD574E6}"/>
    <cellStyle name="40% - Accent4 2 7 2 2 3" xfId="25255" xr:uid="{B8D708D8-BF54-4BAA-A27D-CF3EBD768380}"/>
    <cellStyle name="40% - Accent4 2 7 2 3" xfId="12600" xr:uid="{577C7DEB-D3F1-47EA-8B56-021A3318C58B}"/>
    <cellStyle name="40% - Accent4 2 7 2 4" xfId="21038" xr:uid="{39A5C821-7FB0-4165-A777-2C5A8F6E974C}"/>
    <cellStyle name="40% - Accent4 2 7 3" xfId="6231" xr:uid="{00000000-0005-0000-0000-0000EE050000}"/>
    <cellStyle name="40% - Accent4 2 7 3 2" xfId="14673" xr:uid="{CE33A87B-EB27-4082-9C6D-7A3EF68AF786}"/>
    <cellStyle name="40% - Accent4 2 7 3 3" xfId="23110" xr:uid="{D64218BA-D88F-494A-ACB3-913757024503}"/>
    <cellStyle name="40% - Accent4 2 7 4" xfId="10455" xr:uid="{6300FE35-1B5C-4DB1-97BB-1A3F78654A78}"/>
    <cellStyle name="40% - Accent4 2 7 5" xfId="18893" xr:uid="{C3ED07A6-0D8E-4412-9D49-BFF5E935E2FA}"/>
    <cellStyle name="40% - Accent4 2 8" xfId="2337" xr:uid="{00000000-0005-0000-0000-0000EF050000}"/>
    <cellStyle name="40% - Accent4 2 8 2" xfId="6644" xr:uid="{00000000-0005-0000-0000-0000F0050000}"/>
    <cellStyle name="40% - Accent4 2 8 2 2" xfId="15086" xr:uid="{D0C4538B-94B5-4D88-9BC1-F6E81FED8E3D}"/>
    <cellStyle name="40% - Accent4 2 8 2 3" xfId="23523" xr:uid="{07ED1A0B-5CE9-4BF1-BD2C-5E8D3B0BFCEF}"/>
    <cellStyle name="40% - Accent4 2 8 3" xfId="10868" xr:uid="{B0D332CE-7B29-41DF-8AFA-FFE389E0F2FD}"/>
    <cellStyle name="40% - Accent4 2 8 4" xfId="19306" xr:uid="{6D023117-977F-4605-B8E3-DA955CE5EA02}"/>
    <cellStyle name="40% - Accent4 2 9" xfId="4578" xr:uid="{00000000-0005-0000-0000-0000F1050000}"/>
    <cellStyle name="40% - Accent4 2 9 2" xfId="13020" xr:uid="{C06DDEEF-1067-4BD2-AE03-626575F03634}"/>
    <cellStyle name="40% - Accent4 2 9 3" xfId="21457" xr:uid="{04F2418F-BAF7-4CB3-A977-2C2622C42B6B}"/>
    <cellStyle name="40% - Accent4 3" xfId="78" xr:uid="{00000000-0005-0000-0000-0000F2050000}"/>
    <cellStyle name="40% - Accent4 3 10" xfId="17244" xr:uid="{3DBE5D07-424B-459D-BB06-F0051B490F88}"/>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2 2 2" xfId="15584" xr:uid="{BB692F55-7EF2-4E0A-8921-9FE47B1BAD4B}"/>
    <cellStyle name="40% - Accent4 3 2 2 2 2 3" xfId="24021" xr:uid="{00BD6719-11E2-405E-B0FB-C33191BCA23C}"/>
    <cellStyle name="40% - Accent4 3 2 2 2 3" xfId="11366" xr:uid="{794110A8-E7DA-43E9-9C6E-D6DA2669C7D7}"/>
    <cellStyle name="40% - Accent4 3 2 2 2 4" xfId="19804" xr:uid="{33B540F2-5C72-469C-86AA-44AFCB624511}"/>
    <cellStyle name="40% - Accent4 3 2 2 3" xfId="4997" xr:uid="{00000000-0005-0000-0000-0000F7050000}"/>
    <cellStyle name="40% - Accent4 3 2 2 3 2" xfId="13439" xr:uid="{FD5F4259-851B-49E1-AF1B-711846FA9D9F}"/>
    <cellStyle name="40% - Accent4 3 2 2 3 3" xfId="21876" xr:uid="{C4BBBC43-CAE1-4D74-9D3B-7F3D59F44D09}"/>
    <cellStyle name="40% - Accent4 3 2 2 4" xfId="9221" xr:uid="{BC8FE9A0-1A94-4B91-93B4-3F8A1D0825E8}"/>
    <cellStyle name="40% - Accent4 3 2 2 5" xfId="17659" xr:uid="{E00378C4-7A90-46CE-A2A9-2FC9853527FB}"/>
    <cellStyle name="40% - Accent4 3 2 3" xfId="1101" xr:uid="{00000000-0005-0000-0000-0000F8050000}"/>
    <cellStyle name="40% - Accent4 3 2 3 2" xfId="3332" xr:uid="{00000000-0005-0000-0000-0000F9050000}"/>
    <cellStyle name="40% - Accent4 3 2 3 2 2" xfId="7555" xr:uid="{00000000-0005-0000-0000-0000FA050000}"/>
    <cellStyle name="40% - Accent4 3 2 3 2 2 2" xfId="15997" xr:uid="{253884B4-7B7D-4995-96A2-1F325B0C9CBC}"/>
    <cellStyle name="40% - Accent4 3 2 3 2 2 3" xfId="24434" xr:uid="{EF3A736E-327D-4BE7-A97B-81D6685DCB65}"/>
    <cellStyle name="40% - Accent4 3 2 3 2 3" xfId="11779" xr:uid="{D73DAE4C-CE37-475A-B41E-683081C8CAE5}"/>
    <cellStyle name="40% - Accent4 3 2 3 2 4" xfId="20217" xr:uid="{AD0F6715-DEFF-431F-919E-A5FCFD95EBB9}"/>
    <cellStyle name="40% - Accent4 3 2 3 3" xfId="5410" xr:uid="{00000000-0005-0000-0000-0000FB050000}"/>
    <cellStyle name="40% - Accent4 3 2 3 3 2" xfId="13852" xr:uid="{570677D9-0438-43E2-A898-9302F50640C1}"/>
    <cellStyle name="40% - Accent4 3 2 3 3 3" xfId="22289" xr:uid="{005FBF6A-4A00-4416-92AB-EA8E17A23597}"/>
    <cellStyle name="40% - Accent4 3 2 3 4" xfId="9634" xr:uid="{4DF05191-F493-4410-A535-9EF2827C6795}"/>
    <cellStyle name="40% - Accent4 3 2 3 5" xfId="18072" xr:uid="{759C833D-A5CA-4D86-9687-063A16FA2792}"/>
    <cellStyle name="40% - Accent4 3 2 4" xfId="1515" xr:uid="{00000000-0005-0000-0000-0000FC050000}"/>
    <cellStyle name="40% - Accent4 3 2 4 2" xfId="3745" xr:uid="{00000000-0005-0000-0000-0000FD050000}"/>
    <cellStyle name="40% - Accent4 3 2 4 2 2" xfId="7968" xr:uid="{00000000-0005-0000-0000-0000FE050000}"/>
    <cellStyle name="40% - Accent4 3 2 4 2 2 2" xfId="16410" xr:uid="{BBF2FFC5-52C3-4F4A-9B97-FF49DBD8BD88}"/>
    <cellStyle name="40% - Accent4 3 2 4 2 2 3" xfId="24847" xr:uid="{FCC9D484-31B4-441C-A216-BF27AB776AFF}"/>
    <cellStyle name="40% - Accent4 3 2 4 2 3" xfId="12192" xr:uid="{A47833D9-48CA-43B3-8712-23B534593CAD}"/>
    <cellStyle name="40% - Accent4 3 2 4 2 4" xfId="20630" xr:uid="{00406E39-D637-4DC9-996B-69F8E155C8F4}"/>
    <cellStyle name="40% - Accent4 3 2 4 3" xfId="5823" xr:uid="{00000000-0005-0000-0000-0000FF050000}"/>
    <cellStyle name="40% - Accent4 3 2 4 3 2" xfId="14265" xr:uid="{0D5773CA-482C-4E0D-8534-78396793C066}"/>
    <cellStyle name="40% - Accent4 3 2 4 3 3" xfId="22702" xr:uid="{C3E8DBF6-93C2-4DB5-AC48-80BF76875A23}"/>
    <cellStyle name="40% - Accent4 3 2 4 4" xfId="10047" xr:uid="{9C6E0DAF-24C8-4C3E-837F-8C8D89CEF1C7}"/>
    <cellStyle name="40% - Accent4 3 2 4 5" xfId="18485" xr:uid="{9FEAB17A-2C75-4161-A8F6-27A7EA6F9E50}"/>
    <cellStyle name="40% - Accent4 3 2 5" xfId="1929" xr:uid="{00000000-0005-0000-0000-000000060000}"/>
    <cellStyle name="40% - Accent4 3 2 5 2" xfId="4158" xr:uid="{00000000-0005-0000-0000-000001060000}"/>
    <cellStyle name="40% - Accent4 3 2 5 2 2" xfId="8381" xr:uid="{00000000-0005-0000-0000-000002060000}"/>
    <cellStyle name="40% - Accent4 3 2 5 2 2 2" xfId="16823" xr:uid="{62C9C342-7655-457A-9580-90C2DEF48645}"/>
    <cellStyle name="40% - Accent4 3 2 5 2 2 3" xfId="25260" xr:uid="{641063C8-5D65-4F88-8A86-4AB2C1D2A944}"/>
    <cellStyle name="40% - Accent4 3 2 5 2 3" xfId="12605" xr:uid="{48E27D60-A571-407C-A36F-1D48C422F921}"/>
    <cellStyle name="40% - Accent4 3 2 5 2 4" xfId="21043" xr:uid="{6F6B23DE-31B4-4E85-92AF-83389E533CEA}"/>
    <cellStyle name="40% - Accent4 3 2 5 3" xfId="6236" xr:uid="{00000000-0005-0000-0000-000003060000}"/>
    <cellStyle name="40% - Accent4 3 2 5 3 2" xfId="14678" xr:uid="{761DF345-84DF-4708-ABF7-4D3930689A1F}"/>
    <cellStyle name="40% - Accent4 3 2 5 3 3" xfId="23115" xr:uid="{ECBAEB50-02B5-41E9-967B-36D7C91D6F7B}"/>
    <cellStyle name="40% - Accent4 3 2 5 4" xfId="10460" xr:uid="{DB5AF9E7-17DD-4EF9-B696-4CAB5CCE1C17}"/>
    <cellStyle name="40% - Accent4 3 2 5 5" xfId="18898" xr:uid="{37596BA0-2132-4D05-A07A-682C36A883C7}"/>
    <cellStyle name="40% - Accent4 3 2 6" xfId="2342" xr:uid="{00000000-0005-0000-0000-000004060000}"/>
    <cellStyle name="40% - Accent4 3 2 6 2" xfId="6649" xr:uid="{00000000-0005-0000-0000-000005060000}"/>
    <cellStyle name="40% - Accent4 3 2 6 2 2" xfId="15091" xr:uid="{8E7C986C-342E-4D59-AB70-90B9265CB8E6}"/>
    <cellStyle name="40% - Accent4 3 2 6 2 3" xfId="23528" xr:uid="{5EB9B3AA-089A-4F94-B9EA-86BE4CEBC6BC}"/>
    <cellStyle name="40% - Accent4 3 2 6 3" xfId="10873" xr:uid="{A0B27B3F-2407-4636-9E2F-A448A775641C}"/>
    <cellStyle name="40% - Accent4 3 2 6 4" xfId="19311" xr:uid="{F7EB88D2-4AEA-4821-8B3F-DBE1B55CB7A1}"/>
    <cellStyle name="40% - Accent4 3 2 7" xfId="4583" xr:uid="{00000000-0005-0000-0000-000006060000}"/>
    <cellStyle name="40% - Accent4 3 2 7 2" xfId="13025" xr:uid="{46E49D25-465A-4F85-9025-8FE9B874135F}"/>
    <cellStyle name="40% - Accent4 3 2 7 3" xfId="21462" xr:uid="{184E3C34-070B-4624-80D0-AC0464F8DB75}"/>
    <cellStyle name="40% - Accent4 3 2 8" xfId="8807" xr:uid="{5B6D3EFA-58A4-46F0-BB4B-75DAF03706A4}"/>
    <cellStyle name="40% - Accent4 3 2 9" xfId="17245" xr:uid="{D853742D-E87F-4A59-9918-85B7AB309474}"/>
    <cellStyle name="40% - Accent4 3 3" xfId="647" xr:uid="{00000000-0005-0000-0000-000007060000}"/>
    <cellStyle name="40% - Accent4 3 3 2" xfId="2918" xr:uid="{00000000-0005-0000-0000-000008060000}"/>
    <cellStyle name="40% - Accent4 3 3 2 2" xfId="7141" xr:uid="{00000000-0005-0000-0000-000009060000}"/>
    <cellStyle name="40% - Accent4 3 3 2 2 2" xfId="15583" xr:uid="{41A5483F-8C2A-4E1B-B64C-59E22D3FE526}"/>
    <cellStyle name="40% - Accent4 3 3 2 2 3" xfId="24020" xr:uid="{329E4F2B-4ABA-4C3F-9A70-72F297202171}"/>
    <cellStyle name="40% - Accent4 3 3 2 3" xfId="11365" xr:uid="{BEE5558C-79FB-4824-8C1B-F0A808CBE6C8}"/>
    <cellStyle name="40% - Accent4 3 3 2 4" xfId="19803" xr:uid="{264D3358-43D4-4B46-8009-F703F34151FE}"/>
    <cellStyle name="40% - Accent4 3 3 3" xfId="4996" xr:uid="{00000000-0005-0000-0000-00000A060000}"/>
    <cellStyle name="40% - Accent4 3 3 3 2" xfId="13438" xr:uid="{3498A259-FCC0-47B0-9894-55E07D9B9D49}"/>
    <cellStyle name="40% - Accent4 3 3 3 3" xfId="21875" xr:uid="{FB27B3A5-329C-4336-82AB-6F4BEB871BF9}"/>
    <cellStyle name="40% - Accent4 3 3 4" xfId="9220" xr:uid="{8F103F41-E3BC-43D0-93A5-AED056A62FCB}"/>
    <cellStyle name="40% - Accent4 3 3 5" xfId="17658" xr:uid="{83E1B6B8-80E3-4504-AAF3-9918F83A002D}"/>
    <cellStyle name="40% - Accent4 3 4" xfId="1100" xr:uid="{00000000-0005-0000-0000-00000B060000}"/>
    <cellStyle name="40% - Accent4 3 4 2" xfId="3331" xr:uid="{00000000-0005-0000-0000-00000C060000}"/>
    <cellStyle name="40% - Accent4 3 4 2 2" xfId="7554" xr:uid="{00000000-0005-0000-0000-00000D060000}"/>
    <cellStyle name="40% - Accent4 3 4 2 2 2" xfId="15996" xr:uid="{615EA934-5F06-40C8-8DF1-04B58DCBB010}"/>
    <cellStyle name="40% - Accent4 3 4 2 2 3" xfId="24433" xr:uid="{9D77020A-0579-4AAC-B44F-9140AA1CA0E3}"/>
    <cellStyle name="40% - Accent4 3 4 2 3" xfId="11778" xr:uid="{C3F676D7-7164-4ED3-AEF7-83A96067D96B}"/>
    <cellStyle name="40% - Accent4 3 4 2 4" xfId="20216" xr:uid="{A9EC1D2D-B457-4350-B140-6A787FDE29BD}"/>
    <cellStyle name="40% - Accent4 3 4 3" xfId="5409" xr:uid="{00000000-0005-0000-0000-00000E060000}"/>
    <cellStyle name="40% - Accent4 3 4 3 2" xfId="13851" xr:uid="{6F49CB74-A90B-4E24-9B27-CF345A05DACF}"/>
    <cellStyle name="40% - Accent4 3 4 3 3" xfId="22288" xr:uid="{BF382593-891C-43E7-B3EA-4102AE4D3C9D}"/>
    <cellStyle name="40% - Accent4 3 4 4" xfId="9633" xr:uid="{380592D4-EF7C-452F-AB9B-57938BCD003C}"/>
    <cellStyle name="40% - Accent4 3 4 5" xfId="18071" xr:uid="{0D6AE24B-BA00-48CE-90AA-D54CD756EA68}"/>
    <cellStyle name="40% - Accent4 3 5" xfId="1514" xr:uid="{00000000-0005-0000-0000-00000F060000}"/>
    <cellStyle name="40% - Accent4 3 5 2" xfId="3744" xr:uid="{00000000-0005-0000-0000-000010060000}"/>
    <cellStyle name="40% - Accent4 3 5 2 2" xfId="7967" xr:uid="{00000000-0005-0000-0000-000011060000}"/>
    <cellStyle name="40% - Accent4 3 5 2 2 2" xfId="16409" xr:uid="{6B8AE93B-39D6-4444-9B49-B9A374B9E6D0}"/>
    <cellStyle name="40% - Accent4 3 5 2 2 3" xfId="24846" xr:uid="{7746E097-F33A-44A6-8A53-AC73A416DCCD}"/>
    <cellStyle name="40% - Accent4 3 5 2 3" xfId="12191" xr:uid="{D5EEF19B-B0B3-417C-ACEB-114A88AF756B}"/>
    <cellStyle name="40% - Accent4 3 5 2 4" xfId="20629" xr:uid="{11D0EFA7-1571-49DC-B1A5-D63CF5BA7E0E}"/>
    <cellStyle name="40% - Accent4 3 5 3" xfId="5822" xr:uid="{00000000-0005-0000-0000-000012060000}"/>
    <cellStyle name="40% - Accent4 3 5 3 2" xfId="14264" xr:uid="{0034B88E-F20D-4392-B47F-696ACA1F1436}"/>
    <cellStyle name="40% - Accent4 3 5 3 3" xfId="22701" xr:uid="{CBA85B62-F501-493D-ADFC-00AA8C621784}"/>
    <cellStyle name="40% - Accent4 3 5 4" xfId="10046" xr:uid="{33C2E829-E72D-4DB3-A1A3-A234446C7ABD}"/>
    <cellStyle name="40% - Accent4 3 5 5" xfId="18484" xr:uid="{E997D391-0180-49F9-9BA5-1F2B1E2DA44A}"/>
    <cellStyle name="40% - Accent4 3 6" xfId="1928" xr:uid="{00000000-0005-0000-0000-000013060000}"/>
    <cellStyle name="40% - Accent4 3 6 2" xfId="4157" xr:uid="{00000000-0005-0000-0000-000014060000}"/>
    <cellStyle name="40% - Accent4 3 6 2 2" xfId="8380" xr:uid="{00000000-0005-0000-0000-000015060000}"/>
    <cellStyle name="40% - Accent4 3 6 2 2 2" xfId="16822" xr:uid="{868BC3AA-21FB-4E05-B5B9-3F1DB5CD45DF}"/>
    <cellStyle name="40% - Accent4 3 6 2 2 3" xfId="25259" xr:uid="{B67FCEB2-CBEC-4E83-8C90-1B643C4C2D1E}"/>
    <cellStyle name="40% - Accent4 3 6 2 3" xfId="12604" xr:uid="{65DB6017-C580-48A4-A1B9-0A8764814907}"/>
    <cellStyle name="40% - Accent4 3 6 2 4" xfId="21042" xr:uid="{D7E2929C-ED0F-40CF-A37B-970FB978A421}"/>
    <cellStyle name="40% - Accent4 3 6 3" xfId="6235" xr:uid="{00000000-0005-0000-0000-000016060000}"/>
    <cellStyle name="40% - Accent4 3 6 3 2" xfId="14677" xr:uid="{A7341F09-C2CD-44EB-AD15-F53BC6742DF2}"/>
    <cellStyle name="40% - Accent4 3 6 3 3" xfId="23114" xr:uid="{EE9E8209-6225-4279-90C9-25C323F6EED3}"/>
    <cellStyle name="40% - Accent4 3 6 4" xfId="10459" xr:uid="{D6AA6DCB-B33B-443F-9009-D7D9EE28C44B}"/>
    <cellStyle name="40% - Accent4 3 6 5" xfId="18897" xr:uid="{EA9ED834-014C-4A81-820F-2EF9FC6D157D}"/>
    <cellStyle name="40% - Accent4 3 7" xfId="2341" xr:uid="{00000000-0005-0000-0000-000017060000}"/>
    <cellStyle name="40% - Accent4 3 7 2" xfId="6648" xr:uid="{00000000-0005-0000-0000-000018060000}"/>
    <cellStyle name="40% - Accent4 3 7 2 2" xfId="15090" xr:uid="{73187F2C-9BE0-4B5C-9ED2-EE42B520F0EF}"/>
    <cellStyle name="40% - Accent4 3 7 2 3" xfId="23527" xr:uid="{9A98D447-DC4B-4A98-A136-EB2A8D85D6D7}"/>
    <cellStyle name="40% - Accent4 3 7 3" xfId="10872" xr:uid="{4C333D09-2DA4-47B7-B9C6-27D981898DAC}"/>
    <cellStyle name="40% - Accent4 3 7 4" xfId="19310" xr:uid="{7C320EEF-9740-4054-890C-36384BAA6AB7}"/>
    <cellStyle name="40% - Accent4 3 8" xfId="4582" xr:uid="{00000000-0005-0000-0000-000019060000}"/>
    <cellStyle name="40% - Accent4 3 8 2" xfId="13024" xr:uid="{3E0EFA93-7970-41B2-85A2-B47B38B46B04}"/>
    <cellStyle name="40% - Accent4 3 8 3" xfId="21461" xr:uid="{48023FD7-41AD-421A-A604-859C7E2FD099}"/>
    <cellStyle name="40% - Accent4 3 9" xfId="8806" xr:uid="{B33E4E9F-4FB6-4C18-9389-A855B33E9951}"/>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2 2 2" xfId="15585" xr:uid="{8F5ECEBF-AE8D-49F2-8A4C-E7526F82D56A}"/>
    <cellStyle name="40% - Accent4 4 2 2 2 3" xfId="24022" xr:uid="{DCC6834E-7F97-4E80-A3B6-BFFDA20B5F39}"/>
    <cellStyle name="40% - Accent4 4 2 2 3" xfId="11367" xr:uid="{C0EA824A-66F1-4F2A-BDEB-39A0BB0753FF}"/>
    <cellStyle name="40% - Accent4 4 2 2 4" xfId="19805" xr:uid="{95FD1D84-9DC2-448A-ACD3-04B8B3D15632}"/>
    <cellStyle name="40% - Accent4 4 2 3" xfId="4998" xr:uid="{00000000-0005-0000-0000-00001E060000}"/>
    <cellStyle name="40% - Accent4 4 2 3 2" xfId="13440" xr:uid="{03ADD054-1999-498C-A439-E37F0EBE0FD4}"/>
    <cellStyle name="40% - Accent4 4 2 3 3" xfId="21877" xr:uid="{0025EE65-580A-4E56-A2F3-7A0769F8A8DC}"/>
    <cellStyle name="40% - Accent4 4 2 4" xfId="9222" xr:uid="{057AF488-660E-4954-87F1-8E1DF2330C83}"/>
    <cellStyle name="40% - Accent4 4 2 5" xfId="17660" xr:uid="{50B3DE5F-BB6D-4192-A532-375302C19EC8}"/>
    <cellStyle name="40% - Accent4 4 3" xfId="1102" xr:uid="{00000000-0005-0000-0000-00001F060000}"/>
    <cellStyle name="40% - Accent4 4 3 2" xfId="3333" xr:uid="{00000000-0005-0000-0000-000020060000}"/>
    <cellStyle name="40% - Accent4 4 3 2 2" xfId="7556" xr:uid="{00000000-0005-0000-0000-000021060000}"/>
    <cellStyle name="40% - Accent4 4 3 2 2 2" xfId="15998" xr:uid="{486DEC6D-DB8D-4C22-A053-74D12EDB383F}"/>
    <cellStyle name="40% - Accent4 4 3 2 2 3" xfId="24435" xr:uid="{BB84F628-301D-4FB2-ACC5-F78C0F4D4ADB}"/>
    <cellStyle name="40% - Accent4 4 3 2 3" xfId="11780" xr:uid="{EFF2E355-E5D9-461E-A565-2E1180B775BF}"/>
    <cellStyle name="40% - Accent4 4 3 2 4" xfId="20218" xr:uid="{95E42551-174C-4822-B97F-9200EB8B1788}"/>
    <cellStyle name="40% - Accent4 4 3 3" xfId="5411" xr:uid="{00000000-0005-0000-0000-000022060000}"/>
    <cellStyle name="40% - Accent4 4 3 3 2" xfId="13853" xr:uid="{737D7C0F-5B0E-46E0-8E12-31F02B1326D6}"/>
    <cellStyle name="40% - Accent4 4 3 3 3" xfId="22290" xr:uid="{3C1E8904-8657-43A3-B96B-752AE095A73F}"/>
    <cellStyle name="40% - Accent4 4 3 4" xfId="9635" xr:uid="{85B4A8A7-F595-44F1-9457-401B56377BE4}"/>
    <cellStyle name="40% - Accent4 4 3 5" xfId="18073" xr:uid="{1F88F257-BCC4-4612-8035-29A8C6067023}"/>
    <cellStyle name="40% - Accent4 4 4" xfId="1516" xr:uid="{00000000-0005-0000-0000-000023060000}"/>
    <cellStyle name="40% - Accent4 4 4 2" xfId="3746" xr:uid="{00000000-0005-0000-0000-000024060000}"/>
    <cellStyle name="40% - Accent4 4 4 2 2" xfId="7969" xr:uid="{00000000-0005-0000-0000-000025060000}"/>
    <cellStyle name="40% - Accent4 4 4 2 2 2" xfId="16411" xr:uid="{FE79DEBF-C9A2-4AB0-AC00-051F582EE04B}"/>
    <cellStyle name="40% - Accent4 4 4 2 2 3" xfId="24848" xr:uid="{C47DDA2F-85DF-4A6B-9958-AD9003BF59DD}"/>
    <cellStyle name="40% - Accent4 4 4 2 3" xfId="12193" xr:uid="{520FF03E-6A36-4BD2-B9FA-8526DCAFB9C0}"/>
    <cellStyle name="40% - Accent4 4 4 2 4" xfId="20631" xr:uid="{1FA32CAA-FC2F-4EBA-A169-E6DA1FD0540C}"/>
    <cellStyle name="40% - Accent4 4 4 3" xfId="5824" xr:uid="{00000000-0005-0000-0000-000026060000}"/>
    <cellStyle name="40% - Accent4 4 4 3 2" xfId="14266" xr:uid="{43107711-1ABA-4820-87E0-A51860C5357E}"/>
    <cellStyle name="40% - Accent4 4 4 3 3" xfId="22703" xr:uid="{3D104006-50BC-4208-BDC5-C2311706F96A}"/>
    <cellStyle name="40% - Accent4 4 4 4" xfId="10048" xr:uid="{7D7E6E58-6DB6-47EC-8C02-7BE34AE02A71}"/>
    <cellStyle name="40% - Accent4 4 4 5" xfId="18486" xr:uid="{4A9735E0-BB24-4A18-BA6C-21937A89CAA5}"/>
    <cellStyle name="40% - Accent4 4 5" xfId="1930" xr:uid="{00000000-0005-0000-0000-000027060000}"/>
    <cellStyle name="40% - Accent4 4 5 2" xfId="4159" xr:uid="{00000000-0005-0000-0000-000028060000}"/>
    <cellStyle name="40% - Accent4 4 5 2 2" xfId="8382" xr:uid="{00000000-0005-0000-0000-000029060000}"/>
    <cellStyle name="40% - Accent4 4 5 2 2 2" xfId="16824" xr:uid="{10D39833-CFBA-4E8B-B7E6-431F670AE69F}"/>
    <cellStyle name="40% - Accent4 4 5 2 2 3" xfId="25261" xr:uid="{E47AB0AD-5B83-4DA5-BAD2-EBA9DB83763A}"/>
    <cellStyle name="40% - Accent4 4 5 2 3" xfId="12606" xr:uid="{C6356722-6307-423A-8956-84CA28C1AD73}"/>
    <cellStyle name="40% - Accent4 4 5 2 4" xfId="21044" xr:uid="{56444415-AAC1-483C-A2B6-370250149AD7}"/>
    <cellStyle name="40% - Accent4 4 5 3" xfId="6237" xr:uid="{00000000-0005-0000-0000-00002A060000}"/>
    <cellStyle name="40% - Accent4 4 5 3 2" xfId="14679" xr:uid="{624C3270-A3B9-4AE7-8BBB-76A27FE5D2CF}"/>
    <cellStyle name="40% - Accent4 4 5 3 3" xfId="23116" xr:uid="{FFFF2FDB-80AE-43A3-B352-F1AD006910A2}"/>
    <cellStyle name="40% - Accent4 4 5 4" xfId="10461" xr:uid="{B5322BDA-398D-4C73-AEEF-E25C4D6307CB}"/>
    <cellStyle name="40% - Accent4 4 5 5" xfId="18899" xr:uid="{9FE5A896-FF4F-4430-962E-731DE974BF44}"/>
    <cellStyle name="40% - Accent4 4 6" xfId="2343" xr:uid="{00000000-0005-0000-0000-00002B060000}"/>
    <cellStyle name="40% - Accent4 4 6 2" xfId="6650" xr:uid="{00000000-0005-0000-0000-00002C060000}"/>
    <cellStyle name="40% - Accent4 4 6 2 2" xfId="15092" xr:uid="{12D2E59F-2759-4603-9D64-D1021F7BF99D}"/>
    <cellStyle name="40% - Accent4 4 6 2 3" xfId="23529" xr:uid="{38FCB283-6FEB-48B5-9BC2-7A84164A9330}"/>
    <cellStyle name="40% - Accent4 4 6 3" xfId="10874" xr:uid="{772E4DCE-560F-43E4-A895-13F75669EE0F}"/>
    <cellStyle name="40% - Accent4 4 6 4" xfId="19312" xr:uid="{4109C54B-2F6E-4F90-8E44-BCF2AB29D734}"/>
    <cellStyle name="40% - Accent4 4 7" xfId="4584" xr:uid="{00000000-0005-0000-0000-00002D060000}"/>
    <cellStyle name="40% - Accent4 4 7 2" xfId="13026" xr:uid="{F52A215D-5BDA-4C47-B771-B606CF70D81B}"/>
    <cellStyle name="40% - Accent4 4 7 3" xfId="21463" xr:uid="{B9A6C8DA-BB31-440B-8705-F06A39F8C7DE}"/>
    <cellStyle name="40% - Accent4 4 8" xfId="8808" xr:uid="{513A6664-0811-4EE1-8BCA-A33698AB21CC}"/>
    <cellStyle name="40% - Accent4 4 9" xfId="17246" xr:uid="{214FDADA-E76D-4EE9-8FB1-5063A90120A9}"/>
    <cellStyle name="40% - Accent4 5" xfId="642" xr:uid="{00000000-0005-0000-0000-00002E060000}"/>
    <cellStyle name="40% - Accent4 5 2" xfId="2913" xr:uid="{00000000-0005-0000-0000-00002F060000}"/>
    <cellStyle name="40% - Accent4 5 2 2" xfId="7136" xr:uid="{00000000-0005-0000-0000-000030060000}"/>
    <cellStyle name="40% - Accent4 5 2 2 2" xfId="15578" xr:uid="{FF15624F-ECD9-43EF-81DF-2105BF8859E6}"/>
    <cellStyle name="40% - Accent4 5 2 2 3" xfId="24015" xr:uid="{336D6F4D-0637-4D36-8591-A3FABD8FB806}"/>
    <cellStyle name="40% - Accent4 5 2 3" xfId="11360" xr:uid="{4149520E-4A47-4F13-9A97-E9F481376335}"/>
    <cellStyle name="40% - Accent4 5 2 4" xfId="19798" xr:uid="{BF064FAB-8ED4-4C4B-9598-DBA227B2C75F}"/>
    <cellStyle name="40% - Accent4 5 3" xfId="4991" xr:uid="{00000000-0005-0000-0000-000031060000}"/>
    <cellStyle name="40% - Accent4 5 3 2" xfId="13433" xr:uid="{0D331C5F-4E85-4150-BF0D-3F79BE6BB8D4}"/>
    <cellStyle name="40% - Accent4 5 3 3" xfId="21870" xr:uid="{1D320191-CAE8-41BF-ABDA-88BE18C7FAAC}"/>
    <cellStyle name="40% - Accent4 5 4" xfId="9215" xr:uid="{DA3B4E83-7694-4D2A-9C3E-A4041689A66B}"/>
    <cellStyle name="40% - Accent4 5 5" xfId="17653" xr:uid="{7084EDBD-EB98-43BA-AF49-BC47B370B05C}"/>
    <cellStyle name="40% - Accent4 6" xfId="1095" xr:uid="{00000000-0005-0000-0000-000032060000}"/>
    <cellStyle name="40% - Accent4 6 2" xfId="3326" xr:uid="{00000000-0005-0000-0000-000033060000}"/>
    <cellStyle name="40% - Accent4 6 2 2" xfId="7549" xr:uid="{00000000-0005-0000-0000-000034060000}"/>
    <cellStyle name="40% - Accent4 6 2 2 2" xfId="15991" xr:uid="{2FEC2287-C2DC-4F06-BB12-CAC7D9FD0BA7}"/>
    <cellStyle name="40% - Accent4 6 2 2 3" xfId="24428" xr:uid="{661FAE9C-44CB-48F9-9FF7-04B97F5E0559}"/>
    <cellStyle name="40% - Accent4 6 2 3" xfId="11773" xr:uid="{DF5EF86E-FBCA-49F5-946C-D18A08A0652D}"/>
    <cellStyle name="40% - Accent4 6 2 4" xfId="20211" xr:uid="{97D6F01A-80F9-4843-9780-1D33C76AA63D}"/>
    <cellStyle name="40% - Accent4 6 3" xfId="5404" xr:uid="{00000000-0005-0000-0000-000035060000}"/>
    <cellStyle name="40% - Accent4 6 3 2" xfId="13846" xr:uid="{B2123E85-38F6-4733-8D41-18E17EF77403}"/>
    <cellStyle name="40% - Accent4 6 3 3" xfId="22283" xr:uid="{339D644A-F537-483A-A8F0-1D96D5F2AB2A}"/>
    <cellStyle name="40% - Accent4 6 4" xfId="9628" xr:uid="{1EAFC170-E826-4C91-B6DB-646E83E9A008}"/>
    <cellStyle name="40% - Accent4 6 5" xfId="18066" xr:uid="{68B254C3-5ECF-4F9D-B2E8-A035B3356BB3}"/>
    <cellStyle name="40% - Accent4 7" xfId="1509" xr:uid="{00000000-0005-0000-0000-000036060000}"/>
    <cellStyle name="40% - Accent4 7 2" xfId="3739" xr:uid="{00000000-0005-0000-0000-000037060000}"/>
    <cellStyle name="40% - Accent4 7 2 2" xfId="7962" xr:uid="{00000000-0005-0000-0000-000038060000}"/>
    <cellStyle name="40% - Accent4 7 2 2 2" xfId="16404" xr:uid="{6A2CF603-FC0A-4C47-A5F4-C0D98815CD79}"/>
    <cellStyle name="40% - Accent4 7 2 2 3" xfId="24841" xr:uid="{2FCB53D8-A76F-437C-BA86-E2FD56DD051A}"/>
    <cellStyle name="40% - Accent4 7 2 3" xfId="12186" xr:uid="{B240717A-6A27-44E2-81B9-85E1C953D4E7}"/>
    <cellStyle name="40% - Accent4 7 2 4" xfId="20624" xr:uid="{80661031-F0FB-4CA4-85A8-F005ABCB7308}"/>
    <cellStyle name="40% - Accent4 7 3" xfId="5817" xr:uid="{00000000-0005-0000-0000-000039060000}"/>
    <cellStyle name="40% - Accent4 7 3 2" xfId="14259" xr:uid="{9B7BAA2A-4DC6-443C-855C-677C25FED9B0}"/>
    <cellStyle name="40% - Accent4 7 3 3" xfId="22696" xr:uid="{5E7A9064-9F24-487E-B105-41C3954A1427}"/>
    <cellStyle name="40% - Accent4 7 4" xfId="10041" xr:uid="{401CDF2A-8D6B-4F51-B783-93056158FC39}"/>
    <cellStyle name="40% - Accent4 7 5" xfId="18479" xr:uid="{5DA0E776-5C12-42FD-8729-88F94BAB30EB}"/>
    <cellStyle name="40% - Accent4 8" xfId="1923" xr:uid="{00000000-0005-0000-0000-00003A060000}"/>
    <cellStyle name="40% - Accent4 8 2" xfId="4152" xr:uid="{00000000-0005-0000-0000-00003B060000}"/>
    <cellStyle name="40% - Accent4 8 2 2" xfId="8375" xr:uid="{00000000-0005-0000-0000-00003C060000}"/>
    <cellStyle name="40% - Accent4 8 2 2 2" xfId="16817" xr:uid="{948BE754-C36C-4005-BB18-2A5D945D189A}"/>
    <cellStyle name="40% - Accent4 8 2 2 3" xfId="25254" xr:uid="{E8D34866-1B3C-4A43-AA7C-1B825758CD98}"/>
    <cellStyle name="40% - Accent4 8 2 3" xfId="12599" xr:uid="{57E151FA-6B69-4D0B-8B8F-2DE1B90A3170}"/>
    <cellStyle name="40% - Accent4 8 2 4" xfId="21037" xr:uid="{52BE7DB0-E44E-45C3-8194-C1B19A8CBBDE}"/>
    <cellStyle name="40% - Accent4 8 3" xfId="6230" xr:uid="{00000000-0005-0000-0000-00003D060000}"/>
    <cellStyle name="40% - Accent4 8 3 2" xfId="14672" xr:uid="{4F7EEFB0-A56C-431D-8DBC-9AFB1082A993}"/>
    <cellStyle name="40% - Accent4 8 3 3" xfId="23109" xr:uid="{AAA3F61F-F155-41F7-97F5-E7033C26E6CD}"/>
    <cellStyle name="40% - Accent4 8 4" xfId="10454" xr:uid="{E09E72ED-7D05-4930-8753-E7A240F76BDD}"/>
    <cellStyle name="40% - Accent4 8 5" xfId="18892" xr:uid="{8071ECEA-EAA6-4F73-9A8B-723D390DC693}"/>
    <cellStyle name="40% - Accent4 9" xfId="2336" xr:uid="{00000000-0005-0000-0000-00003E060000}"/>
    <cellStyle name="40% - Accent4 9 2" xfId="6643" xr:uid="{00000000-0005-0000-0000-00003F060000}"/>
    <cellStyle name="40% - Accent4 9 2 2" xfId="15085" xr:uid="{524CFCCE-8C60-439E-A123-0F3E5D0D5034}"/>
    <cellStyle name="40% - Accent4 9 2 3" xfId="23522" xr:uid="{E70D7D33-0508-4942-A8FC-F4EA650E1E86}"/>
    <cellStyle name="40% - Accent4 9 3" xfId="10867" xr:uid="{3D089E9D-FF1B-4D4F-967A-CBCD258FEAB4}"/>
    <cellStyle name="40% - Accent4 9 4" xfId="19305" xr:uid="{DB90E579-BB92-4FFE-90DA-8ED84678BF45}"/>
    <cellStyle name="40% - Accent5" xfId="81" builtinId="47" customBuiltin="1"/>
    <cellStyle name="40% - Accent5 10" xfId="4585" xr:uid="{00000000-0005-0000-0000-000041060000}"/>
    <cellStyle name="40% - Accent5 10 2" xfId="13027" xr:uid="{CFD40F13-C8D5-4430-A5AD-FAF78947F821}"/>
    <cellStyle name="40% - Accent5 10 3" xfId="21464" xr:uid="{A5DA6E4F-8A6E-4644-83AB-7B0929424E5F}"/>
    <cellStyle name="40% - Accent5 11" xfId="8809" xr:uid="{E0F5680A-666A-4DB5-8B97-2726D59929EA}"/>
    <cellStyle name="40% - Accent5 12" xfId="17247" xr:uid="{0D7145BA-1A58-4291-AA2F-D48759A51470}"/>
    <cellStyle name="40% - Accent5 2" xfId="82" xr:uid="{00000000-0005-0000-0000-000042060000}"/>
    <cellStyle name="40% - Accent5 2 10" xfId="8810" xr:uid="{C6C1D162-4C95-49B0-8034-F353EF3C6713}"/>
    <cellStyle name="40% - Accent5 2 11" xfId="17248" xr:uid="{08818CE7-C048-48A4-86B9-22EB57D024BC}"/>
    <cellStyle name="40% - Accent5 2 2" xfId="83" xr:uid="{00000000-0005-0000-0000-000043060000}"/>
    <cellStyle name="40% - Accent5 2 2 10" xfId="17249" xr:uid="{5C8915C2-FD4C-4037-9645-C0687DEF0C8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2 2 2" xfId="15589" xr:uid="{D1F79FFA-C268-4D14-BA80-5EB8C0E7110A}"/>
    <cellStyle name="40% - Accent5 2 2 2 2 2 2 3" xfId="24026" xr:uid="{B1C2EE69-027E-41A4-AFCA-7CFB64875E2C}"/>
    <cellStyle name="40% - Accent5 2 2 2 2 2 3" xfId="11371" xr:uid="{E332FF5A-75F2-4EF6-908F-9AF8C390AD6C}"/>
    <cellStyle name="40% - Accent5 2 2 2 2 2 4" xfId="19809" xr:uid="{5FF83348-AD94-44CA-A7B8-483FE5BE9374}"/>
    <cellStyle name="40% - Accent5 2 2 2 2 3" xfId="5002" xr:uid="{00000000-0005-0000-0000-000048060000}"/>
    <cellStyle name="40% - Accent5 2 2 2 2 3 2" xfId="13444" xr:uid="{72E107DC-E416-486C-B22F-63514881DB80}"/>
    <cellStyle name="40% - Accent5 2 2 2 2 3 3" xfId="21881" xr:uid="{B186409F-6A46-4BE0-BA8C-C2456DC8D705}"/>
    <cellStyle name="40% - Accent5 2 2 2 2 4" xfId="9226" xr:uid="{A0BA89A9-BB46-4F70-ACD9-4F4B4F68CC72}"/>
    <cellStyle name="40% - Accent5 2 2 2 2 5" xfId="17664" xr:uid="{4307B1A1-0E10-495B-A6FA-F2A0CF9BC6C2}"/>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2 2 2" xfId="16002" xr:uid="{32740C05-DC4A-4841-BB6D-B44319290C61}"/>
    <cellStyle name="40% - Accent5 2 2 2 3 2 2 3" xfId="24439" xr:uid="{03841DEF-EFFF-41A1-93D7-27D2DBE9644E}"/>
    <cellStyle name="40% - Accent5 2 2 2 3 2 3" xfId="11784" xr:uid="{162B7702-28BE-4575-BC5B-4B1225E4965A}"/>
    <cellStyle name="40% - Accent5 2 2 2 3 2 4" xfId="20222" xr:uid="{A241BB04-A1F1-4D01-A027-24E018387401}"/>
    <cellStyle name="40% - Accent5 2 2 2 3 3" xfId="5415" xr:uid="{00000000-0005-0000-0000-00004C060000}"/>
    <cellStyle name="40% - Accent5 2 2 2 3 3 2" xfId="13857" xr:uid="{2601A015-DB05-4E4A-A963-52A2DE945E3E}"/>
    <cellStyle name="40% - Accent5 2 2 2 3 3 3" xfId="22294" xr:uid="{DF3594E3-735C-472D-8F2E-5B7E2849DFB0}"/>
    <cellStyle name="40% - Accent5 2 2 2 3 4" xfId="9639" xr:uid="{64D2B124-41D1-4E14-AC8D-920866243FEE}"/>
    <cellStyle name="40% - Accent5 2 2 2 3 5" xfId="18077" xr:uid="{1462EF91-1301-4B46-B818-AF3F6C0635DB}"/>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2 2 2" xfId="16415" xr:uid="{20597491-8A9C-4462-85E1-38EFE0B7153E}"/>
    <cellStyle name="40% - Accent5 2 2 2 4 2 2 3" xfId="24852" xr:uid="{F162650C-F704-47F8-8079-FE90D0753226}"/>
    <cellStyle name="40% - Accent5 2 2 2 4 2 3" xfId="12197" xr:uid="{38151E1A-0363-4AFE-AB39-B8EA82C20674}"/>
    <cellStyle name="40% - Accent5 2 2 2 4 2 4" xfId="20635" xr:uid="{B6D87A0A-22C5-48BB-977B-3FFBBCDB693A}"/>
    <cellStyle name="40% - Accent5 2 2 2 4 3" xfId="5828" xr:uid="{00000000-0005-0000-0000-000050060000}"/>
    <cellStyle name="40% - Accent5 2 2 2 4 3 2" xfId="14270" xr:uid="{5404EC56-FB9E-4F12-8E2B-D302246CCBAA}"/>
    <cellStyle name="40% - Accent5 2 2 2 4 3 3" xfId="22707" xr:uid="{3B9C6C7E-6537-41D5-AC5E-477F01FA7573}"/>
    <cellStyle name="40% - Accent5 2 2 2 4 4" xfId="10052" xr:uid="{AC9760B8-4259-4B40-94C8-507392FE97F3}"/>
    <cellStyle name="40% - Accent5 2 2 2 4 5" xfId="18490" xr:uid="{28C4FA8D-727D-44BF-A7DA-7374AD67CF59}"/>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2 2 2" xfId="16828" xr:uid="{F75F6CE9-F768-42CA-B8A0-E5533D8319B0}"/>
    <cellStyle name="40% - Accent5 2 2 2 5 2 2 3" xfId="25265" xr:uid="{10E9FAC6-6829-4D00-81E9-BD7313D7DA6F}"/>
    <cellStyle name="40% - Accent5 2 2 2 5 2 3" xfId="12610" xr:uid="{6AB3579E-AA5B-4CBE-A742-90EA559CA42C}"/>
    <cellStyle name="40% - Accent5 2 2 2 5 2 4" xfId="21048" xr:uid="{C97C59E0-3023-47B0-A5C5-5237CD215721}"/>
    <cellStyle name="40% - Accent5 2 2 2 5 3" xfId="6241" xr:uid="{00000000-0005-0000-0000-000054060000}"/>
    <cellStyle name="40% - Accent5 2 2 2 5 3 2" xfId="14683" xr:uid="{A4649A5C-15F1-49E0-92D4-8DCEA024047E}"/>
    <cellStyle name="40% - Accent5 2 2 2 5 3 3" xfId="23120" xr:uid="{DF614AA3-717C-46E9-A0FB-CEEF608FDE4E}"/>
    <cellStyle name="40% - Accent5 2 2 2 5 4" xfId="10465" xr:uid="{10CD0A57-E992-4F80-9E72-2A88AC60C648}"/>
    <cellStyle name="40% - Accent5 2 2 2 5 5" xfId="18903" xr:uid="{D122C63A-5C9B-4912-8532-346B0CF4E309}"/>
    <cellStyle name="40% - Accent5 2 2 2 6" xfId="2347" xr:uid="{00000000-0005-0000-0000-000055060000}"/>
    <cellStyle name="40% - Accent5 2 2 2 6 2" xfId="6654" xr:uid="{00000000-0005-0000-0000-000056060000}"/>
    <cellStyle name="40% - Accent5 2 2 2 6 2 2" xfId="15096" xr:uid="{0E117956-CAEE-455F-9396-8B3920CC94D8}"/>
    <cellStyle name="40% - Accent5 2 2 2 6 2 3" xfId="23533" xr:uid="{D61A7526-7620-4D25-B044-9EDB4F5C621E}"/>
    <cellStyle name="40% - Accent5 2 2 2 6 3" xfId="10878" xr:uid="{3410D0ED-0F6D-4A1D-A000-AFAE30B78348}"/>
    <cellStyle name="40% - Accent5 2 2 2 6 4" xfId="19316" xr:uid="{61E7E57B-AA92-4415-894B-C2955603E8CE}"/>
    <cellStyle name="40% - Accent5 2 2 2 7" xfId="4588" xr:uid="{00000000-0005-0000-0000-000057060000}"/>
    <cellStyle name="40% - Accent5 2 2 2 7 2" xfId="13030" xr:uid="{45F659EA-257F-4FF3-9E85-32006A1A3526}"/>
    <cellStyle name="40% - Accent5 2 2 2 7 3" xfId="21467" xr:uid="{90FCC8F0-4813-4E5B-B735-6677FCD2CA17}"/>
    <cellStyle name="40% - Accent5 2 2 2 8" xfId="8812" xr:uid="{2938405A-8071-4149-BB19-B7E852486A71}"/>
    <cellStyle name="40% - Accent5 2 2 2 9" xfId="17250" xr:uid="{0958F21D-0634-48F7-A9A5-EC0B7178EA35}"/>
    <cellStyle name="40% - Accent5 2 2 3" xfId="652" xr:uid="{00000000-0005-0000-0000-000058060000}"/>
    <cellStyle name="40% - Accent5 2 2 3 2" xfId="2923" xr:uid="{00000000-0005-0000-0000-000059060000}"/>
    <cellStyle name="40% - Accent5 2 2 3 2 2" xfId="7146" xr:uid="{00000000-0005-0000-0000-00005A060000}"/>
    <cellStyle name="40% - Accent5 2 2 3 2 2 2" xfId="15588" xr:uid="{B4144D15-0E4B-4F0F-BC0A-6AA261C194A9}"/>
    <cellStyle name="40% - Accent5 2 2 3 2 2 3" xfId="24025" xr:uid="{28381BB7-0F86-43B0-BD7A-12DEEF2A248B}"/>
    <cellStyle name="40% - Accent5 2 2 3 2 3" xfId="11370" xr:uid="{FCA11122-B397-4BC4-BAC0-F88F5BEE3193}"/>
    <cellStyle name="40% - Accent5 2 2 3 2 4" xfId="19808" xr:uid="{D36479BB-FE25-4410-B1D4-2BA0ECF07F88}"/>
    <cellStyle name="40% - Accent5 2 2 3 3" xfId="5001" xr:uid="{00000000-0005-0000-0000-00005B060000}"/>
    <cellStyle name="40% - Accent5 2 2 3 3 2" xfId="13443" xr:uid="{8FAB7A4E-921F-4A44-AB34-FB398B1D55CC}"/>
    <cellStyle name="40% - Accent5 2 2 3 3 3" xfId="21880" xr:uid="{8AA83C6E-AE8D-4DA0-83BE-34EC29A5193D}"/>
    <cellStyle name="40% - Accent5 2 2 3 4" xfId="9225" xr:uid="{734CFE76-35E9-4323-81EC-20A509AC753F}"/>
    <cellStyle name="40% - Accent5 2 2 3 5" xfId="17663" xr:uid="{05BA7974-3CF8-4EAC-AC6C-2C803A8E015F}"/>
    <cellStyle name="40% - Accent5 2 2 4" xfId="1105" xr:uid="{00000000-0005-0000-0000-00005C060000}"/>
    <cellStyle name="40% - Accent5 2 2 4 2" xfId="3336" xr:uid="{00000000-0005-0000-0000-00005D060000}"/>
    <cellStyle name="40% - Accent5 2 2 4 2 2" xfId="7559" xr:uid="{00000000-0005-0000-0000-00005E060000}"/>
    <cellStyle name="40% - Accent5 2 2 4 2 2 2" xfId="16001" xr:uid="{C36D6D6B-676E-4EDA-B09C-BD75629244A5}"/>
    <cellStyle name="40% - Accent5 2 2 4 2 2 3" xfId="24438" xr:uid="{774F7A5A-4814-4BF0-8C88-738E89257510}"/>
    <cellStyle name="40% - Accent5 2 2 4 2 3" xfId="11783" xr:uid="{EF94DBCF-7BCF-4C4B-91AC-A22974E04571}"/>
    <cellStyle name="40% - Accent5 2 2 4 2 4" xfId="20221" xr:uid="{5B88A973-3FFA-4ECD-A505-6BD2D05F44E9}"/>
    <cellStyle name="40% - Accent5 2 2 4 3" xfId="5414" xr:uid="{00000000-0005-0000-0000-00005F060000}"/>
    <cellStyle name="40% - Accent5 2 2 4 3 2" xfId="13856" xr:uid="{D87CB4D0-32A2-45CC-BEA7-84D96139EECC}"/>
    <cellStyle name="40% - Accent5 2 2 4 3 3" xfId="22293" xr:uid="{1C4660B3-9A13-48CE-81C9-660185FAFAEC}"/>
    <cellStyle name="40% - Accent5 2 2 4 4" xfId="9638" xr:uid="{82C09BA4-9CCB-4437-BBED-93A897427282}"/>
    <cellStyle name="40% - Accent5 2 2 4 5" xfId="18076" xr:uid="{2580FED1-50D3-417E-B13C-5B0C1C692A6E}"/>
    <cellStyle name="40% - Accent5 2 2 5" xfId="1519" xr:uid="{00000000-0005-0000-0000-000060060000}"/>
    <cellStyle name="40% - Accent5 2 2 5 2" xfId="3749" xr:uid="{00000000-0005-0000-0000-000061060000}"/>
    <cellStyle name="40% - Accent5 2 2 5 2 2" xfId="7972" xr:uid="{00000000-0005-0000-0000-000062060000}"/>
    <cellStyle name="40% - Accent5 2 2 5 2 2 2" xfId="16414" xr:uid="{DBF475AC-C768-4B92-A61E-578D8EF9DAFF}"/>
    <cellStyle name="40% - Accent5 2 2 5 2 2 3" xfId="24851" xr:uid="{5876F05E-1CFD-4C3A-A983-DC7A5FAABD9E}"/>
    <cellStyle name="40% - Accent5 2 2 5 2 3" xfId="12196" xr:uid="{0EF0FFDC-E97B-4D67-A189-5982260B19E3}"/>
    <cellStyle name="40% - Accent5 2 2 5 2 4" xfId="20634" xr:uid="{8B183CDC-29E8-4F9D-943A-19A8DE9A40AE}"/>
    <cellStyle name="40% - Accent5 2 2 5 3" xfId="5827" xr:uid="{00000000-0005-0000-0000-000063060000}"/>
    <cellStyle name="40% - Accent5 2 2 5 3 2" xfId="14269" xr:uid="{2A7F0FF2-CC28-405C-A4D6-E95475FC08A1}"/>
    <cellStyle name="40% - Accent5 2 2 5 3 3" xfId="22706" xr:uid="{F5567C41-C850-4B79-8A69-9AD04E2CF73B}"/>
    <cellStyle name="40% - Accent5 2 2 5 4" xfId="10051" xr:uid="{52D37398-B86C-4100-A2EB-F2BF27304C9F}"/>
    <cellStyle name="40% - Accent5 2 2 5 5" xfId="18489" xr:uid="{602C3838-54B0-459E-8818-2722A1BD324E}"/>
    <cellStyle name="40% - Accent5 2 2 6" xfId="1933" xr:uid="{00000000-0005-0000-0000-000064060000}"/>
    <cellStyle name="40% - Accent5 2 2 6 2" xfId="4162" xr:uid="{00000000-0005-0000-0000-000065060000}"/>
    <cellStyle name="40% - Accent5 2 2 6 2 2" xfId="8385" xr:uid="{00000000-0005-0000-0000-000066060000}"/>
    <cellStyle name="40% - Accent5 2 2 6 2 2 2" xfId="16827" xr:uid="{3D7DF65C-0D61-4529-941B-BB0CA4719ED2}"/>
    <cellStyle name="40% - Accent5 2 2 6 2 2 3" xfId="25264" xr:uid="{4A5FE847-6A29-4D8E-B087-B5EDEFFB7716}"/>
    <cellStyle name="40% - Accent5 2 2 6 2 3" xfId="12609" xr:uid="{6C23C862-AF67-476F-BD6D-B97AE8A8B225}"/>
    <cellStyle name="40% - Accent5 2 2 6 2 4" xfId="21047" xr:uid="{B38B53B5-1DC8-4A6B-9E17-D042A4F556AD}"/>
    <cellStyle name="40% - Accent5 2 2 6 3" xfId="6240" xr:uid="{00000000-0005-0000-0000-000067060000}"/>
    <cellStyle name="40% - Accent5 2 2 6 3 2" xfId="14682" xr:uid="{78B29DFC-CA4C-45CA-A727-91DDD125E263}"/>
    <cellStyle name="40% - Accent5 2 2 6 3 3" xfId="23119" xr:uid="{3686DF3D-3A34-4543-AA9E-07BE8F9CB7CD}"/>
    <cellStyle name="40% - Accent5 2 2 6 4" xfId="10464" xr:uid="{8EC93790-EE98-4A98-B927-ACA3CEBCE483}"/>
    <cellStyle name="40% - Accent5 2 2 6 5" xfId="18902" xr:uid="{2A5A9DF6-B80D-4314-974B-164E517AEF8D}"/>
    <cellStyle name="40% - Accent5 2 2 7" xfId="2346" xr:uid="{00000000-0005-0000-0000-000068060000}"/>
    <cellStyle name="40% - Accent5 2 2 7 2" xfId="6653" xr:uid="{00000000-0005-0000-0000-000069060000}"/>
    <cellStyle name="40% - Accent5 2 2 7 2 2" xfId="15095" xr:uid="{FAF8E4B7-2632-4DD2-8B53-1BEFAEF998C4}"/>
    <cellStyle name="40% - Accent5 2 2 7 2 3" xfId="23532" xr:uid="{4A4E70C4-7889-4201-A5EF-B1021971C805}"/>
    <cellStyle name="40% - Accent5 2 2 7 3" xfId="10877" xr:uid="{A80B503B-8B22-454E-B3B0-C1C69AEBE4D8}"/>
    <cellStyle name="40% - Accent5 2 2 7 4" xfId="19315" xr:uid="{179DC1C4-5BB8-4EA9-927E-781C9ADAB99C}"/>
    <cellStyle name="40% - Accent5 2 2 8" xfId="4587" xr:uid="{00000000-0005-0000-0000-00006A060000}"/>
    <cellStyle name="40% - Accent5 2 2 8 2" xfId="13029" xr:uid="{0D953EA0-5B62-4B60-838E-BE11D45A21D5}"/>
    <cellStyle name="40% - Accent5 2 2 8 3" xfId="21466" xr:uid="{7B87FCBB-B76D-495D-91B7-88FBE2BA25B2}"/>
    <cellStyle name="40% - Accent5 2 2 9" xfId="8811" xr:uid="{2DF6ECD2-7E9B-4CBC-86E0-32D318C2400D}"/>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2 2 2" xfId="15590" xr:uid="{D4A8A4AE-AF58-4A90-AC9C-97A3706D870D}"/>
    <cellStyle name="40% - Accent5 2 3 2 2 2 3" xfId="24027" xr:uid="{AD9D1652-5FBF-4226-9AA5-19A732FF9253}"/>
    <cellStyle name="40% - Accent5 2 3 2 2 3" xfId="11372" xr:uid="{7AFA7EAE-D226-47CB-B975-CB45BE58FB17}"/>
    <cellStyle name="40% - Accent5 2 3 2 2 4" xfId="19810" xr:uid="{B69CB6F0-FEAD-4516-B180-4B947B4929FF}"/>
    <cellStyle name="40% - Accent5 2 3 2 3" xfId="5003" xr:uid="{00000000-0005-0000-0000-00006F060000}"/>
    <cellStyle name="40% - Accent5 2 3 2 3 2" xfId="13445" xr:uid="{5D3CE997-CF89-447D-89F0-B81E81056237}"/>
    <cellStyle name="40% - Accent5 2 3 2 3 3" xfId="21882" xr:uid="{77E0A3C4-F5C9-4016-9518-83A64F17D7EC}"/>
    <cellStyle name="40% - Accent5 2 3 2 4" xfId="9227" xr:uid="{787ADA45-9255-4E24-8885-5029EB339828}"/>
    <cellStyle name="40% - Accent5 2 3 2 5" xfId="17665" xr:uid="{61EF50F5-D4F7-446C-B3CA-AD405FFF9ED5}"/>
    <cellStyle name="40% - Accent5 2 3 3" xfId="1107" xr:uid="{00000000-0005-0000-0000-000070060000}"/>
    <cellStyle name="40% - Accent5 2 3 3 2" xfId="3338" xr:uid="{00000000-0005-0000-0000-000071060000}"/>
    <cellStyle name="40% - Accent5 2 3 3 2 2" xfId="7561" xr:uid="{00000000-0005-0000-0000-000072060000}"/>
    <cellStyle name="40% - Accent5 2 3 3 2 2 2" xfId="16003" xr:uid="{69A49AFE-63F7-4C95-ABEC-7DCA30B1EA3D}"/>
    <cellStyle name="40% - Accent5 2 3 3 2 2 3" xfId="24440" xr:uid="{B2FF5BB6-F16F-45D6-AF7B-C75F5A3D491B}"/>
    <cellStyle name="40% - Accent5 2 3 3 2 3" xfId="11785" xr:uid="{C3929411-D86C-412F-B2E3-389C83EEB11D}"/>
    <cellStyle name="40% - Accent5 2 3 3 2 4" xfId="20223" xr:uid="{3BEF5392-5626-4EB8-9400-ED14C10E08BB}"/>
    <cellStyle name="40% - Accent5 2 3 3 3" xfId="5416" xr:uid="{00000000-0005-0000-0000-000073060000}"/>
    <cellStyle name="40% - Accent5 2 3 3 3 2" xfId="13858" xr:uid="{11D99977-F137-4109-ADD4-53F6766487E1}"/>
    <cellStyle name="40% - Accent5 2 3 3 3 3" xfId="22295" xr:uid="{2F4948BB-FB63-43A6-8DFB-16747E292E93}"/>
    <cellStyle name="40% - Accent5 2 3 3 4" xfId="9640" xr:uid="{45248A6A-383A-4F10-B67D-C5B5A4267A83}"/>
    <cellStyle name="40% - Accent5 2 3 3 5" xfId="18078" xr:uid="{B60A0973-CDCB-48CA-947F-B31F1C9ADD41}"/>
    <cellStyle name="40% - Accent5 2 3 4" xfId="1521" xr:uid="{00000000-0005-0000-0000-000074060000}"/>
    <cellStyle name="40% - Accent5 2 3 4 2" xfId="3751" xr:uid="{00000000-0005-0000-0000-000075060000}"/>
    <cellStyle name="40% - Accent5 2 3 4 2 2" xfId="7974" xr:uid="{00000000-0005-0000-0000-000076060000}"/>
    <cellStyle name="40% - Accent5 2 3 4 2 2 2" xfId="16416" xr:uid="{C85E047C-7447-4853-9BBE-AF072B6B4F0D}"/>
    <cellStyle name="40% - Accent5 2 3 4 2 2 3" xfId="24853" xr:uid="{2B382BB8-8321-49FD-98E6-CDA75186C5D8}"/>
    <cellStyle name="40% - Accent5 2 3 4 2 3" xfId="12198" xr:uid="{05990194-0896-4BF1-B2B7-3610082D8EAB}"/>
    <cellStyle name="40% - Accent5 2 3 4 2 4" xfId="20636" xr:uid="{8A46B2A5-A705-47FF-B061-6A8EC6A1A524}"/>
    <cellStyle name="40% - Accent5 2 3 4 3" xfId="5829" xr:uid="{00000000-0005-0000-0000-000077060000}"/>
    <cellStyle name="40% - Accent5 2 3 4 3 2" xfId="14271" xr:uid="{09A47C22-337E-4122-A8BC-FA906306120A}"/>
    <cellStyle name="40% - Accent5 2 3 4 3 3" xfId="22708" xr:uid="{522D5DEF-7DCF-4698-9577-66F467604FA4}"/>
    <cellStyle name="40% - Accent5 2 3 4 4" xfId="10053" xr:uid="{933B0315-2250-484B-BC1E-8E876C4A520A}"/>
    <cellStyle name="40% - Accent5 2 3 4 5" xfId="18491" xr:uid="{4147B4C1-F2F3-4C3B-8C13-687290B2EB00}"/>
    <cellStyle name="40% - Accent5 2 3 5" xfId="1935" xr:uid="{00000000-0005-0000-0000-000078060000}"/>
    <cellStyle name="40% - Accent5 2 3 5 2" xfId="4164" xr:uid="{00000000-0005-0000-0000-000079060000}"/>
    <cellStyle name="40% - Accent5 2 3 5 2 2" xfId="8387" xr:uid="{00000000-0005-0000-0000-00007A060000}"/>
    <cellStyle name="40% - Accent5 2 3 5 2 2 2" xfId="16829" xr:uid="{75ED7FEA-29FC-43B1-A1E9-77F31DACC6AD}"/>
    <cellStyle name="40% - Accent5 2 3 5 2 2 3" xfId="25266" xr:uid="{15DEDAD7-AD65-4A4A-BDA7-83C099A4DA31}"/>
    <cellStyle name="40% - Accent5 2 3 5 2 3" xfId="12611" xr:uid="{D701B548-AB92-4882-9CE9-9998478630A2}"/>
    <cellStyle name="40% - Accent5 2 3 5 2 4" xfId="21049" xr:uid="{7659DD71-4DC6-4AC2-A708-B5AF2CA4BBA2}"/>
    <cellStyle name="40% - Accent5 2 3 5 3" xfId="6242" xr:uid="{00000000-0005-0000-0000-00007B060000}"/>
    <cellStyle name="40% - Accent5 2 3 5 3 2" xfId="14684" xr:uid="{A94DF3D6-678D-46E3-9076-0E75ADBAAF46}"/>
    <cellStyle name="40% - Accent5 2 3 5 3 3" xfId="23121" xr:uid="{E082B1DB-2FBC-4FAE-A211-2225DCBED72F}"/>
    <cellStyle name="40% - Accent5 2 3 5 4" xfId="10466" xr:uid="{49FC6837-B5C5-4338-9B9C-BC282AB4CF6E}"/>
    <cellStyle name="40% - Accent5 2 3 5 5" xfId="18904" xr:uid="{F0CC5AB5-B5F7-4F17-B675-BABC4D5730A4}"/>
    <cellStyle name="40% - Accent5 2 3 6" xfId="2348" xr:uid="{00000000-0005-0000-0000-00007C060000}"/>
    <cellStyle name="40% - Accent5 2 3 6 2" xfId="6655" xr:uid="{00000000-0005-0000-0000-00007D060000}"/>
    <cellStyle name="40% - Accent5 2 3 6 2 2" xfId="15097" xr:uid="{2A8C3FC2-18D9-4555-8082-C321B7C31A4A}"/>
    <cellStyle name="40% - Accent5 2 3 6 2 3" xfId="23534" xr:uid="{78618D9F-8B73-4DB4-9A7C-DABF66D4EFE7}"/>
    <cellStyle name="40% - Accent5 2 3 6 3" xfId="10879" xr:uid="{843DA71D-5696-4EFA-9414-19E02C36F506}"/>
    <cellStyle name="40% - Accent5 2 3 6 4" xfId="19317" xr:uid="{889B8D1B-A37A-4B67-99B4-80E91C124A97}"/>
    <cellStyle name="40% - Accent5 2 3 7" xfId="4589" xr:uid="{00000000-0005-0000-0000-00007E060000}"/>
    <cellStyle name="40% - Accent5 2 3 7 2" xfId="13031" xr:uid="{7AF52FE3-70A4-43A1-AA03-A2A95888E8E8}"/>
    <cellStyle name="40% - Accent5 2 3 7 3" xfId="21468" xr:uid="{754D5EAE-11CF-43B8-A060-62A0A8C94917}"/>
    <cellStyle name="40% - Accent5 2 3 8" xfId="8813" xr:uid="{5DAD1460-07E5-4509-8FEC-81297A9CB528}"/>
    <cellStyle name="40% - Accent5 2 3 9" xfId="17251" xr:uid="{28EFDFA2-E6EB-4349-9033-554F940F14DE}"/>
    <cellStyle name="40% - Accent5 2 4" xfId="651" xr:uid="{00000000-0005-0000-0000-00007F060000}"/>
    <cellStyle name="40% - Accent5 2 4 2" xfId="2922" xr:uid="{00000000-0005-0000-0000-000080060000}"/>
    <cellStyle name="40% - Accent5 2 4 2 2" xfId="7145" xr:uid="{00000000-0005-0000-0000-000081060000}"/>
    <cellStyle name="40% - Accent5 2 4 2 2 2" xfId="15587" xr:uid="{D7ACDFEA-A20E-41D6-9398-643238480E1B}"/>
    <cellStyle name="40% - Accent5 2 4 2 2 3" xfId="24024" xr:uid="{1D402300-9AAF-442B-8214-69204E7C1445}"/>
    <cellStyle name="40% - Accent5 2 4 2 3" xfId="11369" xr:uid="{1AF45E63-287A-46BD-ADF9-300949B8A706}"/>
    <cellStyle name="40% - Accent5 2 4 2 4" xfId="19807" xr:uid="{CDB0656A-51BC-4E8F-965B-FFB86A57204F}"/>
    <cellStyle name="40% - Accent5 2 4 3" xfId="5000" xr:uid="{00000000-0005-0000-0000-000082060000}"/>
    <cellStyle name="40% - Accent5 2 4 3 2" xfId="13442" xr:uid="{1B687837-5603-4070-A690-658838D6D94F}"/>
    <cellStyle name="40% - Accent5 2 4 3 3" xfId="21879" xr:uid="{C70B65C3-5AC2-4299-BCEB-C4389791B633}"/>
    <cellStyle name="40% - Accent5 2 4 4" xfId="9224" xr:uid="{6903AEEB-E0F1-4DCE-BE2D-2C0D0C3ACB44}"/>
    <cellStyle name="40% - Accent5 2 4 5" xfId="17662" xr:uid="{E64EDAE0-86DC-4FAF-9210-5E04DE743BF7}"/>
    <cellStyle name="40% - Accent5 2 5" xfId="1104" xr:uid="{00000000-0005-0000-0000-000083060000}"/>
    <cellStyle name="40% - Accent5 2 5 2" xfId="3335" xr:uid="{00000000-0005-0000-0000-000084060000}"/>
    <cellStyle name="40% - Accent5 2 5 2 2" xfId="7558" xr:uid="{00000000-0005-0000-0000-000085060000}"/>
    <cellStyle name="40% - Accent5 2 5 2 2 2" xfId="16000" xr:uid="{9766E952-523F-4052-9450-4DA641A62AFE}"/>
    <cellStyle name="40% - Accent5 2 5 2 2 3" xfId="24437" xr:uid="{43E116B2-1087-4769-8F42-88D3971CF9CB}"/>
    <cellStyle name="40% - Accent5 2 5 2 3" xfId="11782" xr:uid="{43997DEA-8D4E-4306-A172-0EE2F2BB003C}"/>
    <cellStyle name="40% - Accent5 2 5 2 4" xfId="20220" xr:uid="{8D085079-9107-497E-A5E2-C685F4C99986}"/>
    <cellStyle name="40% - Accent5 2 5 3" xfId="5413" xr:uid="{00000000-0005-0000-0000-000086060000}"/>
    <cellStyle name="40% - Accent5 2 5 3 2" xfId="13855" xr:uid="{13CD13A2-C1B9-4E50-826C-3AC1F6C454C6}"/>
    <cellStyle name="40% - Accent5 2 5 3 3" xfId="22292" xr:uid="{813AEE36-D792-48BE-80DB-831BAC3D042D}"/>
    <cellStyle name="40% - Accent5 2 5 4" xfId="9637" xr:uid="{B35154D4-DF06-4099-803A-4E300780CCB0}"/>
    <cellStyle name="40% - Accent5 2 5 5" xfId="18075" xr:uid="{287F2680-4C4C-4BD7-873C-0A763FCD523C}"/>
    <cellStyle name="40% - Accent5 2 6" xfId="1518" xr:uid="{00000000-0005-0000-0000-000087060000}"/>
    <cellStyle name="40% - Accent5 2 6 2" xfId="3748" xr:uid="{00000000-0005-0000-0000-000088060000}"/>
    <cellStyle name="40% - Accent5 2 6 2 2" xfId="7971" xr:uid="{00000000-0005-0000-0000-000089060000}"/>
    <cellStyle name="40% - Accent5 2 6 2 2 2" xfId="16413" xr:uid="{B3B28449-5A18-4B59-BC9F-A3A1351F8E23}"/>
    <cellStyle name="40% - Accent5 2 6 2 2 3" xfId="24850" xr:uid="{E367E279-6801-4189-8314-D52DDD89B680}"/>
    <cellStyle name="40% - Accent5 2 6 2 3" xfId="12195" xr:uid="{901FB726-10B4-469F-AF26-7C49A3FE91CB}"/>
    <cellStyle name="40% - Accent5 2 6 2 4" xfId="20633" xr:uid="{218ED7A6-DEA8-41BA-9A1D-FA76909E6FCE}"/>
    <cellStyle name="40% - Accent5 2 6 3" xfId="5826" xr:uid="{00000000-0005-0000-0000-00008A060000}"/>
    <cellStyle name="40% - Accent5 2 6 3 2" xfId="14268" xr:uid="{050D7101-4AE7-472D-8BC2-26489632558F}"/>
    <cellStyle name="40% - Accent5 2 6 3 3" xfId="22705" xr:uid="{E28D654E-E869-4B51-90E9-D3BDCBA7693F}"/>
    <cellStyle name="40% - Accent5 2 6 4" xfId="10050" xr:uid="{8B5D0A43-94A7-49E8-BDD4-A87A45926B39}"/>
    <cellStyle name="40% - Accent5 2 6 5" xfId="18488" xr:uid="{F11D782C-08EC-465B-BC2A-653A1F64DE88}"/>
    <cellStyle name="40% - Accent5 2 7" xfId="1932" xr:uid="{00000000-0005-0000-0000-00008B060000}"/>
    <cellStyle name="40% - Accent5 2 7 2" xfId="4161" xr:uid="{00000000-0005-0000-0000-00008C060000}"/>
    <cellStyle name="40% - Accent5 2 7 2 2" xfId="8384" xr:uid="{00000000-0005-0000-0000-00008D060000}"/>
    <cellStyle name="40% - Accent5 2 7 2 2 2" xfId="16826" xr:uid="{0F4D61E3-503D-481A-993D-E86313AE62F1}"/>
    <cellStyle name="40% - Accent5 2 7 2 2 3" xfId="25263" xr:uid="{91336C74-EA2C-4D8D-BFB9-84F9163809B3}"/>
    <cellStyle name="40% - Accent5 2 7 2 3" xfId="12608" xr:uid="{F7D9FBEB-FDB6-4086-B3BA-E844A629296D}"/>
    <cellStyle name="40% - Accent5 2 7 2 4" xfId="21046" xr:uid="{D717A6AC-A260-4192-B3BC-87EEE2C35E80}"/>
    <cellStyle name="40% - Accent5 2 7 3" xfId="6239" xr:uid="{00000000-0005-0000-0000-00008E060000}"/>
    <cellStyle name="40% - Accent5 2 7 3 2" xfId="14681" xr:uid="{E4621853-D471-4B00-8DFE-90DAB831A37A}"/>
    <cellStyle name="40% - Accent5 2 7 3 3" xfId="23118" xr:uid="{164E098B-8336-4060-B367-74CDE8D05273}"/>
    <cellStyle name="40% - Accent5 2 7 4" xfId="10463" xr:uid="{B087E920-6104-44EB-B172-75874C4DDE7A}"/>
    <cellStyle name="40% - Accent5 2 7 5" xfId="18901" xr:uid="{BC2A9CE8-8B9C-4290-9F03-898959CEBBA0}"/>
    <cellStyle name="40% - Accent5 2 8" xfId="2345" xr:uid="{00000000-0005-0000-0000-00008F060000}"/>
    <cellStyle name="40% - Accent5 2 8 2" xfId="6652" xr:uid="{00000000-0005-0000-0000-000090060000}"/>
    <cellStyle name="40% - Accent5 2 8 2 2" xfId="15094" xr:uid="{8FA92418-9CD6-4B49-A719-30CB5A433D04}"/>
    <cellStyle name="40% - Accent5 2 8 2 3" xfId="23531" xr:uid="{35FDEB2F-09D6-4A5F-A982-2F1467914147}"/>
    <cellStyle name="40% - Accent5 2 8 3" xfId="10876" xr:uid="{65A62578-68C3-4E9B-AEC3-1331C54FC45E}"/>
    <cellStyle name="40% - Accent5 2 8 4" xfId="19314" xr:uid="{5B473FD1-6B33-4AB0-93B0-902AC770BFB4}"/>
    <cellStyle name="40% - Accent5 2 9" xfId="4586" xr:uid="{00000000-0005-0000-0000-000091060000}"/>
    <cellStyle name="40% - Accent5 2 9 2" xfId="13028" xr:uid="{25C4CF7D-73E5-425A-BE4F-F5759F19D7B8}"/>
    <cellStyle name="40% - Accent5 2 9 3" xfId="21465" xr:uid="{61CC1988-9273-42E8-8E3F-DDBC9780C90B}"/>
    <cellStyle name="40% - Accent5 3" xfId="86" xr:uid="{00000000-0005-0000-0000-000092060000}"/>
    <cellStyle name="40% - Accent5 3 10" xfId="17252" xr:uid="{FAD44F53-8835-46B1-A060-64CDF8C4AC15}"/>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2 2 2" xfId="15592" xr:uid="{12B01E13-D678-4024-A12D-A0D466016CCE}"/>
    <cellStyle name="40% - Accent5 3 2 2 2 2 3" xfId="24029" xr:uid="{D55FA279-571C-4CAA-BC77-E42EB9F57D78}"/>
    <cellStyle name="40% - Accent5 3 2 2 2 3" xfId="11374" xr:uid="{0D479F53-8715-4A37-BEEF-B3607FF80FC3}"/>
    <cellStyle name="40% - Accent5 3 2 2 2 4" xfId="19812" xr:uid="{BC8D85A6-A0A8-4802-87FE-561B9BC8C591}"/>
    <cellStyle name="40% - Accent5 3 2 2 3" xfId="5005" xr:uid="{00000000-0005-0000-0000-000097060000}"/>
    <cellStyle name="40% - Accent5 3 2 2 3 2" xfId="13447" xr:uid="{33FEBA03-55D6-48E2-80B7-AD67CDDC14A1}"/>
    <cellStyle name="40% - Accent5 3 2 2 3 3" xfId="21884" xr:uid="{614FAC97-F1B2-46CA-89AB-A2937392E7D1}"/>
    <cellStyle name="40% - Accent5 3 2 2 4" xfId="9229" xr:uid="{E60AA062-2EA0-4FF6-8F77-71F68A0538FB}"/>
    <cellStyle name="40% - Accent5 3 2 2 5" xfId="17667" xr:uid="{1A3A6939-EF91-4ACD-9CC6-7AFD932071D2}"/>
    <cellStyle name="40% - Accent5 3 2 3" xfId="1109" xr:uid="{00000000-0005-0000-0000-000098060000}"/>
    <cellStyle name="40% - Accent5 3 2 3 2" xfId="3340" xr:uid="{00000000-0005-0000-0000-000099060000}"/>
    <cellStyle name="40% - Accent5 3 2 3 2 2" xfId="7563" xr:uid="{00000000-0005-0000-0000-00009A060000}"/>
    <cellStyle name="40% - Accent5 3 2 3 2 2 2" xfId="16005" xr:uid="{131874EF-03F3-418D-8F90-753BB7550274}"/>
    <cellStyle name="40% - Accent5 3 2 3 2 2 3" xfId="24442" xr:uid="{9CE046E9-C85B-47A3-8A97-6F1762E4E520}"/>
    <cellStyle name="40% - Accent5 3 2 3 2 3" xfId="11787" xr:uid="{DB10B6D6-912C-4B4F-99E8-A3BE628D8EFF}"/>
    <cellStyle name="40% - Accent5 3 2 3 2 4" xfId="20225" xr:uid="{2FB444C8-87BB-4327-91A4-6DE52C23F6CB}"/>
    <cellStyle name="40% - Accent5 3 2 3 3" xfId="5418" xr:uid="{00000000-0005-0000-0000-00009B060000}"/>
    <cellStyle name="40% - Accent5 3 2 3 3 2" xfId="13860" xr:uid="{106188C0-FF54-4FCE-AA16-5462E8F0E2B9}"/>
    <cellStyle name="40% - Accent5 3 2 3 3 3" xfId="22297" xr:uid="{092304AD-3A9F-4F07-A287-FABB2269DE95}"/>
    <cellStyle name="40% - Accent5 3 2 3 4" xfId="9642" xr:uid="{D0BD0B36-3B6C-47DF-A7F7-B585B7B35E19}"/>
    <cellStyle name="40% - Accent5 3 2 3 5" xfId="18080" xr:uid="{327E7284-17DF-4CFF-966B-DF0CF2F62E90}"/>
    <cellStyle name="40% - Accent5 3 2 4" xfId="1523" xr:uid="{00000000-0005-0000-0000-00009C060000}"/>
    <cellStyle name="40% - Accent5 3 2 4 2" xfId="3753" xr:uid="{00000000-0005-0000-0000-00009D060000}"/>
    <cellStyle name="40% - Accent5 3 2 4 2 2" xfId="7976" xr:uid="{00000000-0005-0000-0000-00009E060000}"/>
    <cellStyle name="40% - Accent5 3 2 4 2 2 2" xfId="16418" xr:uid="{D4A81964-0ACC-4F89-A065-6E40737BF126}"/>
    <cellStyle name="40% - Accent5 3 2 4 2 2 3" xfId="24855" xr:uid="{64D04F5F-5A2E-498E-9DF3-5E2F2FFA4EC1}"/>
    <cellStyle name="40% - Accent5 3 2 4 2 3" xfId="12200" xr:uid="{D3CBFEDC-BA1E-41DC-831F-951F2A3C2C1B}"/>
    <cellStyle name="40% - Accent5 3 2 4 2 4" xfId="20638" xr:uid="{1846E23C-9F32-4691-AF52-04231BC35848}"/>
    <cellStyle name="40% - Accent5 3 2 4 3" xfId="5831" xr:uid="{00000000-0005-0000-0000-00009F060000}"/>
    <cellStyle name="40% - Accent5 3 2 4 3 2" xfId="14273" xr:uid="{F28589FF-5B11-4082-A680-658E1E95CA41}"/>
    <cellStyle name="40% - Accent5 3 2 4 3 3" xfId="22710" xr:uid="{AEAD4167-1AEB-4794-9F18-4888DD2ADE2F}"/>
    <cellStyle name="40% - Accent5 3 2 4 4" xfId="10055" xr:uid="{B41CF789-9788-444D-9402-CB38C5EB58DD}"/>
    <cellStyle name="40% - Accent5 3 2 4 5" xfId="18493" xr:uid="{AA9A4872-87D5-4B9B-BAB1-C70BCF0AA952}"/>
    <cellStyle name="40% - Accent5 3 2 5" xfId="1937" xr:uid="{00000000-0005-0000-0000-0000A0060000}"/>
    <cellStyle name="40% - Accent5 3 2 5 2" xfId="4166" xr:uid="{00000000-0005-0000-0000-0000A1060000}"/>
    <cellStyle name="40% - Accent5 3 2 5 2 2" xfId="8389" xr:uid="{00000000-0005-0000-0000-0000A2060000}"/>
    <cellStyle name="40% - Accent5 3 2 5 2 2 2" xfId="16831" xr:uid="{439C6191-D666-4C50-9115-F5FF5E3C402A}"/>
    <cellStyle name="40% - Accent5 3 2 5 2 2 3" xfId="25268" xr:uid="{EC55C22E-5F45-431F-B53A-833D12FB56BD}"/>
    <cellStyle name="40% - Accent5 3 2 5 2 3" xfId="12613" xr:uid="{93106D39-CF3B-49FE-85AA-57E3C8DDD504}"/>
    <cellStyle name="40% - Accent5 3 2 5 2 4" xfId="21051" xr:uid="{4BF8B708-F5DC-46AD-8E9D-05F8F28307AB}"/>
    <cellStyle name="40% - Accent5 3 2 5 3" xfId="6244" xr:uid="{00000000-0005-0000-0000-0000A3060000}"/>
    <cellStyle name="40% - Accent5 3 2 5 3 2" xfId="14686" xr:uid="{FACB3817-DB0B-45DC-AD8F-ED49671B901A}"/>
    <cellStyle name="40% - Accent5 3 2 5 3 3" xfId="23123" xr:uid="{A294E40A-3E6B-4980-BFD8-2608AA735588}"/>
    <cellStyle name="40% - Accent5 3 2 5 4" xfId="10468" xr:uid="{80F2D4EC-A81B-41A1-919C-75A94CEFADC0}"/>
    <cellStyle name="40% - Accent5 3 2 5 5" xfId="18906" xr:uid="{6ADEECAC-519A-48DA-B136-AEA0F2FA71EB}"/>
    <cellStyle name="40% - Accent5 3 2 6" xfId="2350" xr:uid="{00000000-0005-0000-0000-0000A4060000}"/>
    <cellStyle name="40% - Accent5 3 2 6 2" xfId="6657" xr:uid="{00000000-0005-0000-0000-0000A5060000}"/>
    <cellStyle name="40% - Accent5 3 2 6 2 2" xfId="15099" xr:uid="{6EA63FA8-2AE8-4A87-98B6-1DEFF03BA771}"/>
    <cellStyle name="40% - Accent5 3 2 6 2 3" xfId="23536" xr:uid="{08FCB3D9-A571-4CA8-98E0-585FDEAD2262}"/>
    <cellStyle name="40% - Accent5 3 2 6 3" xfId="10881" xr:uid="{1ABE533B-8205-4FEE-A177-3D619633F5FA}"/>
    <cellStyle name="40% - Accent5 3 2 6 4" xfId="19319" xr:uid="{8F08A0A1-3E19-450E-BB5E-C56A4A083A50}"/>
    <cellStyle name="40% - Accent5 3 2 7" xfId="4591" xr:uid="{00000000-0005-0000-0000-0000A6060000}"/>
    <cellStyle name="40% - Accent5 3 2 7 2" xfId="13033" xr:uid="{ABB3D736-272B-4457-A2C1-F584679CDB86}"/>
    <cellStyle name="40% - Accent5 3 2 7 3" xfId="21470" xr:uid="{E31C9C21-FFB9-402C-A3CC-255CED95A2C7}"/>
    <cellStyle name="40% - Accent5 3 2 8" xfId="8815" xr:uid="{F345D317-FCFE-438F-A3E3-92A55CB8950B}"/>
    <cellStyle name="40% - Accent5 3 2 9" xfId="17253" xr:uid="{0B7D4666-4F03-436D-9D64-48CA98AAEA83}"/>
    <cellStyle name="40% - Accent5 3 3" xfId="655" xr:uid="{00000000-0005-0000-0000-0000A7060000}"/>
    <cellStyle name="40% - Accent5 3 3 2" xfId="2926" xr:uid="{00000000-0005-0000-0000-0000A8060000}"/>
    <cellStyle name="40% - Accent5 3 3 2 2" xfId="7149" xr:uid="{00000000-0005-0000-0000-0000A9060000}"/>
    <cellStyle name="40% - Accent5 3 3 2 2 2" xfId="15591" xr:uid="{9184078D-C86F-4410-B1D4-90C2C81D14A3}"/>
    <cellStyle name="40% - Accent5 3 3 2 2 3" xfId="24028" xr:uid="{551A1CF3-2F86-4FB1-90DE-76CF858C5D1E}"/>
    <cellStyle name="40% - Accent5 3 3 2 3" xfId="11373" xr:uid="{BB41A414-750F-4ED1-A059-C43ED3C0EFE6}"/>
    <cellStyle name="40% - Accent5 3 3 2 4" xfId="19811" xr:uid="{3345D962-04BB-486F-95C7-1FAC68D02987}"/>
    <cellStyle name="40% - Accent5 3 3 3" xfId="5004" xr:uid="{00000000-0005-0000-0000-0000AA060000}"/>
    <cellStyle name="40% - Accent5 3 3 3 2" xfId="13446" xr:uid="{ECCC917F-9A1F-4B8A-ADCC-2E6A7F3340E4}"/>
    <cellStyle name="40% - Accent5 3 3 3 3" xfId="21883" xr:uid="{9DBDB0D6-6286-4316-8467-25FBA6656EE6}"/>
    <cellStyle name="40% - Accent5 3 3 4" xfId="9228" xr:uid="{754EFE2A-8ED7-4640-9058-40A54F3E2704}"/>
    <cellStyle name="40% - Accent5 3 3 5" xfId="17666" xr:uid="{4CF106DA-D210-417D-BF74-9F37788EC9B8}"/>
    <cellStyle name="40% - Accent5 3 4" xfId="1108" xr:uid="{00000000-0005-0000-0000-0000AB060000}"/>
    <cellStyle name="40% - Accent5 3 4 2" xfId="3339" xr:uid="{00000000-0005-0000-0000-0000AC060000}"/>
    <cellStyle name="40% - Accent5 3 4 2 2" xfId="7562" xr:uid="{00000000-0005-0000-0000-0000AD060000}"/>
    <cellStyle name="40% - Accent5 3 4 2 2 2" xfId="16004" xr:uid="{53DF9E70-6FCA-4A62-8BA1-D1522ECC45FB}"/>
    <cellStyle name="40% - Accent5 3 4 2 2 3" xfId="24441" xr:uid="{0A38539A-E9B4-46E2-8CF8-228AE967A750}"/>
    <cellStyle name="40% - Accent5 3 4 2 3" xfId="11786" xr:uid="{0BFA7ABF-9315-4210-8C2A-B4EBB1E3DED1}"/>
    <cellStyle name="40% - Accent5 3 4 2 4" xfId="20224" xr:uid="{AF508871-0D8C-423F-BD3A-B947979C20D6}"/>
    <cellStyle name="40% - Accent5 3 4 3" xfId="5417" xr:uid="{00000000-0005-0000-0000-0000AE060000}"/>
    <cellStyle name="40% - Accent5 3 4 3 2" xfId="13859" xr:uid="{B7798970-8797-46FF-9ED8-3C913F92D412}"/>
    <cellStyle name="40% - Accent5 3 4 3 3" xfId="22296" xr:uid="{7DC6DDF7-BF17-4062-8A74-75F168CB8D5D}"/>
    <cellStyle name="40% - Accent5 3 4 4" xfId="9641" xr:uid="{8A977221-41A2-4F26-9468-F8628308E0EC}"/>
    <cellStyle name="40% - Accent5 3 4 5" xfId="18079" xr:uid="{4ED176A1-BFF4-491B-9FE3-D794B2243626}"/>
    <cellStyle name="40% - Accent5 3 5" xfId="1522" xr:uid="{00000000-0005-0000-0000-0000AF060000}"/>
    <cellStyle name="40% - Accent5 3 5 2" xfId="3752" xr:uid="{00000000-0005-0000-0000-0000B0060000}"/>
    <cellStyle name="40% - Accent5 3 5 2 2" xfId="7975" xr:uid="{00000000-0005-0000-0000-0000B1060000}"/>
    <cellStyle name="40% - Accent5 3 5 2 2 2" xfId="16417" xr:uid="{86C3AD07-17D7-4D09-9717-A9D53257D15E}"/>
    <cellStyle name="40% - Accent5 3 5 2 2 3" xfId="24854" xr:uid="{304AE76B-4250-4C39-B3AD-BA99C235D960}"/>
    <cellStyle name="40% - Accent5 3 5 2 3" xfId="12199" xr:uid="{C71B09F8-9B55-4602-8A18-DF02C5FC3577}"/>
    <cellStyle name="40% - Accent5 3 5 2 4" xfId="20637" xr:uid="{E5C713B6-A73F-4B34-BFDF-6E35731953E0}"/>
    <cellStyle name="40% - Accent5 3 5 3" xfId="5830" xr:uid="{00000000-0005-0000-0000-0000B2060000}"/>
    <cellStyle name="40% - Accent5 3 5 3 2" xfId="14272" xr:uid="{697457DE-1153-4B68-89C0-B1A7C36E9F2B}"/>
    <cellStyle name="40% - Accent5 3 5 3 3" xfId="22709" xr:uid="{44962431-81D3-4006-9AE2-09A004C0FF92}"/>
    <cellStyle name="40% - Accent5 3 5 4" xfId="10054" xr:uid="{4A0D4464-8D2A-49D4-959F-4F23DD87AC72}"/>
    <cellStyle name="40% - Accent5 3 5 5" xfId="18492" xr:uid="{48CC644A-DB56-44E4-B2E6-8DE30A4B95FC}"/>
    <cellStyle name="40% - Accent5 3 6" xfId="1936" xr:uid="{00000000-0005-0000-0000-0000B3060000}"/>
    <cellStyle name="40% - Accent5 3 6 2" xfId="4165" xr:uid="{00000000-0005-0000-0000-0000B4060000}"/>
    <cellStyle name="40% - Accent5 3 6 2 2" xfId="8388" xr:uid="{00000000-0005-0000-0000-0000B5060000}"/>
    <cellStyle name="40% - Accent5 3 6 2 2 2" xfId="16830" xr:uid="{AD7F3977-005D-4629-901E-60DD487C5508}"/>
    <cellStyle name="40% - Accent5 3 6 2 2 3" xfId="25267" xr:uid="{D0A5318D-6253-4EB4-B349-7A4A1C7849AF}"/>
    <cellStyle name="40% - Accent5 3 6 2 3" xfId="12612" xr:uid="{7E31F421-6511-4E04-B8CB-AF181C54C714}"/>
    <cellStyle name="40% - Accent5 3 6 2 4" xfId="21050" xr:uid="{238DF846-6050-4C18-AF34-34E42C7428C2}"/>
    <cellStyle name="40% - Accent5 3 6 3" xfId="6243" xr:uid="{00000000-0005-0000-0000-0000B6060000}"/>
    <cellStyle name="40% - Accent5 3 6 3 2" xfId="14685" xr:uid="{C0561284-425E-418C-AAF0-60D96FDC15FD}"/>
    <cellStyle name="40% - Accent5 3 6 3 3" xfId="23122" xr:uid="{A7444463-DBFB-4D38-9F31-54FE896D9DB7}"/>
    <cellStyle name="40% - Accent5 3 6 4" xfId="10467" xr:uid="{0D4138E1-96D0-4B1C-9922-3E9A977327BD}"/>
    <cellStyle name="40% - Accent5 3 6 5" xfId="18905" xr:uid="{FCE9BFFD-F868-4C04-9B24-C23E5233AA54}"/>
    <cellStyle name="40% - Accent5 3 7" xfId="2349" xr:uid="{00000000-0005-0000-0000-0000B7060000}"/>
    <cellStyle name="40% - Accent5 3 7 2" xfId="6656" xr:uid="{00000000-0005-0000-0000-0000B8060000}"/>
    <cellStyle name="40% - Accent5 3 7 2 2" xfId="15098" xr:uid="{CE24142B-8823-4ADF-B71A-9CB8E5025F0D}"/>
    <cellStyle name="40% - Accent5 3 7 2 3" xfId="23535" xr:uid="{EA085517-8CFD-46C2-805E-ACAED9D70DB9}"/>
    <cellStyle name="40% - Accent5 3 7 3" xfId="10880" xr:uid="{B54D9E9B-DB67-44B2-BD30-0125E86F0089}"/>
    <cellStyle name="40% - Accent5 3 7 4" xfId="19318" xr:uid="{4FA3AA27-9385-4704-88EC-0F996CCF6157}"/>
    <cellStyle name="40% - Accent5 3 8" xfId="4590" xr:uid="{00000000-0005-0000-0000-0000B9060000}"/>
    <cellStyle name="40% - Accent5 3 8 2" xfId="13032" xr:uid="{95F409AB-6124-4DEC-A444-5C78AF262F32}"/>
    <cellStyle name="40% - Accent5 3 8 3" xfId="21469" xr:uid="{342C0A03-FEFB-4C90-BA88-09A7B8ED9DB8}"/>
    <cellStyle name="40% - Accent5 3 9" xfId="8814" xr:uid="{422B4ED0-89FA-4BAF-8E48-DF8D24524A0B}"/>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2 2 2" xfId="15593" xr:uid="{6DEB8333-6325-4BC2-B666-AD5DEFD6E496}"/>
    <cellStyle name="40% - Accent5 4 2 2 2 3" xfId="24030" xr:uid="{5519C4FC-8158-47AD-ADC7-231762815FED}"/>
    <cellStyle name="40% - Accent5 4 2 2 3" xfId="11375" xr:uid="{F5A21CB1-B87B-4BC7-8F84-B809C2D9768A}"/>
    <cellStyle name="40% - Accent5 4 2 2 4" xfId="19813" xr:uid="{572BD1C7-8678-4529-8DDF-9E8DCD08C154}"/>
    <cellStyle name="40% - Accent5 4 2 3" xfId="5006" xr:uid="{00000000-0005-0000-0000-0000BE060000}"/>
    <cellStyle name="40% - Accent5 4 2 3 2" xfId="13448" xr:uid="{C8932371-D1A7-4E34-AECF-C35F100F144C}"/>
    <cellStyle name="40% - Accent5 4 2 3 3" xfId="21885" xr:uid="{F1EC41E3-DC20-44EC-86E9-BF76209B53F8}"/>
    <cellStyle name="40% - Accent5 4 2 4" xfId="9230" xr:uid="{6F853E73-693D-4F99-98DE-7696CA772C76}"/>
    <cellStyle name="40% - Accent5 4 2 5" xfId="17668" xr:uid="{34D622F6-BACF-4C30-A67F-C303E4A1BCCB}"/>
    <cellStyle name="40% - Accent5 4 3" xfId="1110" xr:uid="{00000000-0005-0000-0000-0000BF060000}"/>
    <cellStyle name="40% - Accent5 4 3 2" xfId="3341" xr:uid="{00000000-0005-0000-0000-0000C0060000}"/>
    <cellStyle name="40% - Accent5 4 3 2 2" xfId="7564" xr:uid="{00000000-0005-0000-0000-0000C1060000}"/>
    <cellStyle name="40% - Accent5 4 3 2 2 2" xfId="16006" xr:uid="{C1FF7838-205C-4FF6-8590-FBB68987AA91}"/>
    <cellStyle name="40% - Accent5 4 3 2 2 3" xfId="24443" xr:uid="{1D6EDCEA-D222-483F-9F47-D0B5A373FDAC}"/>
    <cellStyle name="40% - Accent5 4 3 2 3" xfId="11788" xr:uid="{D826A65B-748B-4528-8625-FD703EE4EDF3}"/>
    <cellStyle name="40% - Accent5 4 3 2 4" xfId="20226" xr:uid="{F1282DD4-4FF8-4CEE-B3A7-46907DED7E95}"/>
    <cellStyle name="40% - Accent5 4 3 3" xfId="5419" xr:uid="{00000000-0005-0000-0000-0000C2060000}"/>
    <cellStyle name="40% - Accent5 4 3 3 2" xfId="13861" xr:uid="{2DCD6E50-2C6E-46DB-A727-AE899AFDA1D9}"/>
    <cellStyle name="40% - Accent5 4 3 3 3" xfId="22298" xr:uid="{07C95890-F504-4362-9112-60911A2CCEC2}"/>
    <cellStyle name="40% - Accent5 4 3 4" xfId="9643" xr:uid="{F9A0ED2D-03DF-4DCA-B2F4-E4356F3FE589}"/>
    <cellStyle name="40% - Accent5 4 3 5" xfId="18081" xr:uid="{94F996DF-84D5-45AA-8F7E-E4BFA019AF03}"/>
    <cellStyle name="40% - Accent5 4 4" xfId="1524" xr:uid="{00000000-0005-0000-0000-0000C3060000}"/>
    <cellStyle name="40% - Accent5 4 4 2" xfId="3754" xr:uid="{00000000-0005-0000-0000-0000C4060000}"/>
    <cellStyle name="40% - Accent5 4 4 2 2" xfId="7977" xr:uid="{00000000-0005-0000-0000-0000C5060000}"/>
    <cellStyle name="40% - Accent5 4 4 2 2 2" xfId="16419" xr:uid="{31C3EFBC-55AE-4B96-B384-51AF9CDD9DBE}"/>
    <cellStyle name="40% - Accent5 4 4 2 2 3" xfId="24856" xr:uid="{15D741AF-1229-4988-A278-7039CAB0A1EB}"/>
    <cellStyle name="40% - Accent5 4 4 2 3" xfId="12201" xr:uid="{E12EA40A-9DF1-457E-BB28-E87ECD4F424E}"/>
    <cellStyle name="40% - Accent5 4 4 2 4" xfId="20639" xr:uid="{83EF9512-C2C4-43B1-BBBA-2C33FAFA9606}"/>
    <cellStyle name="40% - Accent5 4 4 3" xfId="5832" xr:uid="{00000000-0005-0000-0000-0000C6060000}"/>
    <cellStyle name="40% - Accent5 4 4 3 2" xfId="14274" xr:uid="{8E969A6E-2D61-4075-A207-BB7773727D65}"/>
    <cellStyle name="40% - Accent5 4 4 3 3" xfId="22711" xr:uid="{CB434463-BC19-431F-B99E-E00A55D0E3BE}"/>
    <cellStyle name="40% - Accent5 4 4 4" xfId="10056" xr:uid="{B3675113-B19A-49A8-BCF9-9245A93F4E34}"/>
    <cellStyle name="40% - Accent5 4 4 5" xfId="18494" xr:uid="{BC1FF6CC-6B5D-4250-8139-9CA42EA566C0}"/>
    <cellStyle name="40% - Accent5 4 5" xfId="1938" xr:uid="{00000000-0005-0000-0000-0000C7060000}"/>
    <cellStyle name="40% - Accent5 4 5 2" xfId="4167" xr:uid="{00000000-0005-0000-0000-0000C8060000}"/>
    <cellStyle name="40% - Accent5 4 5 2 2" xfId="8390" xr:uid="{00000000-0005-0000-0000-0000C9060000}"/>
    <cellStyle name="40% - Accent5 4 5 2 2 2" xfId="16832" xr:uid="{E041BA11-8D0B-4299-9647-BADAC27EF509}"/>
    <cellStyle name="40% - Accent5 4 5 2 2 3" xfId="25269" xr:uid="{A98A7313-F3C4-4BCF-9CFA-A96BA64DBE95}"/>
    <cellStyle name="40% - Accent5 4 5 2 3" xfId="12614" xr:uid="{7C456122-E39B-4E2C-AF92-BAA9DF933B68}"/>
    <cellStyle name="40% - Accent5 4 5 2 4" xfId="21052" xr:uid="{37EF5555-BFA3-45E6-8CD6-3AA405C2990B}"/>
    <cellStyle name="40% - Accent5 4 5 3" xfId="6245" xr:uid="{00000000-0005-0000-0000-0000CA060000}"/>
    <cellStyle name="40% - Accent5 4 5 3 2" xfId="14687" xr:uid="{E74F0DCA-9154-4EBE-ACB1-990272A0D5BB}"/>
    <cellStyle name="40% - Accent5 4 5 3 3" xfId="23124" xr:uid="{519FBA94-C607-4977-94CB-A973D75A680D}"/>
    <cellStyle name="40% - Accent5 4 5 4" xfId="10469" xr:uid="{230DB172-E6B2-4C6F-839E-C054FD6C51B7}"/>
    <cellStyle name="40% - Accent5 4 5 5" xfId="18907" xr:uid="{E2101DDB-7F61-4E01-BEEE-137E3F024340}"/>
    <cellStyle name="40% - Accent5 4 6" xfId="2351" xr:uid="{00000000-0005-0000-0000-0000CB060000}"/>
    <cellStyle name="40% - Accent5 4 6 2" xfId="6658" xr:uid="{00000000-0005-0000-0000-0000CC060000}"/>
    <cellStyle name="40% - Accent5 4 6 2 2" xfId="15100" xr:uid="{DA509F93-7C8E-448F-AA18-A437C910A070}"/>
    <cellStyle name="40% - Accent5 4 6 2 3" xfId="23537" xr:uid="{F51ADCE8-589A-4524-BBCF-E7182F23B7E5}"/>
    <cellStyle name="40% - Accent5 4 6 3" xfId="10882" xr:uid="{E5E52B6F-C2E2-43A2-B771-01FF4E27D01C}"/>
    <cellStyle name="40% - Accent5 4 6 4" xfId="19320" xr:uid="{BDD06528-3BFE-4205-B925-C861E82D496B}"/>
    <cellStyle name="40% - Accent5 4 7" xfId="4592" xr:uid="{00000000-0005-0000-0000-0000CD060000}"/>
    <cellStyle name="40% - Accent5 4 7 2" xfId="13034" xr:uid="{8EC9AE9B-393C-49C8-8B60-3C30AF674A53}"/>
    <cellStyle name="40% - Accent5 4 7 3" xfId="21471" xr:uid="{33BE0B8D-1D0D-4D55-92A4-3AE836254C50}"/>
    <cellStyle name="40% - Accent5 4 8" xfId="8816" xr:uid="{BA6B0E09-6E3D-42FE-8932-CFF1A8AB5D44}"/>
    <cellStyle name="40% - Accent5 4 9" xfId="17254" xr:uid="{71A0648B-D7AD-4716-8B7C-FF8C79B56272}"/>
    <cellStyle name="40% - Accent5 5" xfId="650" xr:uid="{00000000-0005-0000-0000-0000CE060000}"/>
    <cellStyle name="40% - Accent5 5 2" xfId="2921" xr:uid="{00000000-0005-0000-0000-0000CF060000}"/>
    <cellStyle name="40% - Accent5 5 2 2" xfId="7144" xr:uid="{00000000-0005-0000-0000-0000D0060000}"/>
    <cellStyle name="40% - Accent5 5 2 2 2" xfId="15586" xr:uid="{B53CE1D5-20F1-4E1C-865B-2CC09A86259F}"/>
    <cellStyle name="40% - Accent5 5 2 2 3" xfId="24023" xr:uid="{A48AB24B-CB19-459D-96D4-E4040E9243F8}"/>
    <cellStyle name="40% - Accent5 5 2 3" xfId="11368" xr:uid="{1A9F8ED7-D227-4726-8B1C-611E6F1E02A7}"/>
    <cellStyle name="40% - Accent5 5 2 4" xfId="19806" xr:uid="{AEA02D05-A26C-4732-972A-CCD32BF83677}"/>
    <cellStyle name="40% - Accent5 5 3" xfId="4999" xr:uid="{00000000-0005-0000-0000-0000D1060000}"/>
    <cellStyle name="40% - Accent5 5 3 2" xfId="13441" xr:uid="{E3D42012-B337-4048-93AD-DCEC8E95FFFC}"/>
    <cellStyle name="40% - Accent5 5 3 3" xfId="21878" xr:uid="{20A31D7B-4CC5-4162-A1BB-59C0B479120B}"/>
    <cellStyle name="40% - Accent5 5 4" xfId="9223" xr:uid="{5EB57DD7-6B48-4933-9710-42B5EE9A5299}"/>
    <cellStyle name="40% - Accent5 5 5" xfId="17661" xr:uid="{E18E0174-AE07-4548-AD6A-EEFAFC7FAD55}"/>
    <cellStyle name="40% - Accent5 6" xfId="1103" xr:uid="{00000000-0005-0000-0000-0000D2060000}"/>
    <cellStyle name="40% - Accent5 6 2" xfId="3334" xr:uid="{00000000-0005-0000-0000-0000D3060000}"/>
    <cellStyle name="40% - Accent5 6 2 2" xfId="7557" xr:uid="{00000000-0005-0000-0000-0000D4060000}"/>
    <cellStyle name="40% - Accent5 6 2 2 2" xfId="15999" xr:uid="{46FE7BE9-5398-4CD9-815B-0646D53F5223}"/>
    <cellStyle name="40% - Accent5 6 2 2 3" xfId="24436" xr:uid="{DB0A6C06-DE1A-46AF-B17A-C2AA62E0C639}"/>
    <cellStyle name="40% - Accent5 6 2 3" xfId="11781" xr:uid="{6916D4D6-939F-4576-A10B-0C1173752D34}"/>
    <cellStyle name="40% - Accent5 6 2 4" xfId="20219" xr:uid="{BF1BD5EE-75B9-4330-A489-BF18564A5137}"/>
    <cellStyle name="40% - Accent5 6 3" xfId="5412" xr:uid="{00000000-0005-0000-0000-0000D5060000}"/>
    <cellStyle name="40% - Accent5 6 3 2" xfId="13854" xr:uid="{1C985B95-CB64-4F1A-98C8-3EABB58AC24E}"/>
    <cellStyle name="40% - Accent5 6 3 3" xfId="22291" xr:uid="{4B3A204B-3593-4E7B-B549-931E6134737D}"/>
    <cellStyle name="40% - Accent5 6 4" xfId="9636" xr:uid="{99652E7B-B150-4A2D-B24A-222F8DD10499}"/>
    <cellStyle name="40% - Accent5 6 5" xfId="18074" xr:uid="{E17B79CD-6C9E-4498-9D4C-12DD869EDD64}"/>
    <cellStyle name="40% - Accent5 7" xfId="1517" xr:uid="{00000000-0005-0000-0000-0000D6060000}"/>
    <cellStyle name="40% - Accent5 7 2" xfId="3747" xr:uid="{00000000-0005-0000-0000-0000D7060000}"/>
    <cellStyle name="40% - Accent5 7 2 2" xfId="7970" xr:uid="{00000000-0005-0000-0000-0000D8060000}"/>
    <cellStyle name="40% - Accent5 7 2 2 2" xfId="16412" xr:uid="{3B779EE1-17ED-4248-80E5-7A4E780AD7C3}"/>
    <cellStyle name="40% - Accent5 7 2 2 3" xfId="24849" xr:uid="{9A05FDAA-4E32-4A01-B2B2-7297A903B7C5}"/>
    <cellStyle name="40% - Accent5 7 2 3" xfId="12194" xr:uid="{EE1F9110-0189-4F83-8287-F4BBF19DDD0C}"/>
    <cellStyle name="40% - Accent5 7 2 4" xfId="20632" xr:uid="{B0006DB0-55A0-4ACA-8EDA-AB63C23279C8}"/>
    <cellStyle name="40% - Accent5 7 3" xfId="5825" xr:uid="{00000000-0005-0000-0000-0000D9060000}"/>
    <cellStyle name="40% - Accent5 7 3 2" xfId="14267" xr:uid="{526BF48C-E9B7-43D5-9DBF-BDCA67FD4462}"/>
    <cellStyle name="40% - Accent5 7 3 3" xfId="22704" xr:uid="{9A647AF3-D084-4DC7-80F3-5F03A0C2C7BF}"/>
    <cellStyle name="40% - Accent5 7 4" xfId="10049" xr:uid="{8BA62BA8-28F2-4DFF-8FA2-4DC805C85CD9}"/>
    <cellStyle name="40% - Accent5 7 5" xfId="18487" xr:uid="{C4454AC7-BB67-4E5D-BFD3-F462CD5D60F2}"/>
    <cellStyle name="40% - Accent5 8" xfId="1931" xr:uid="{00000000-0005-0000-0000-0000DA060000}"/>
    <cellStyle name="40% - Accent5 8 2" xfId="4160" xr:uid="{00000000-0005-0000-0000-0000DB060000}"/>
    <cellStyle name="40% - Accent5 8 2 2" xfId="8383" xr:uid="{00000000-0005-0000-0000-0000DC060000}"/>
    <cellStyle name="40% - Accent5 8 2 2 2" xfId="16825" xr:uid="{25B530BE-CF27-4554-9F2A-BA5AA15978B3}"/>
    <cellStyle name="40% - Accent5 8 2 2 3" xfId="25262" xr:uid="{0167B980-327F-4994-8A2B-B49733584CF0}"/>
    <cellStyle name="40% - Accent5 8 2 3" xfId="12607" xr:uid="{EFE25E56-E5EE-4425-B83E-8116406560B1}"/>
    <cellStyle name="40% - Accent5 8 2 4" xfId="21045" xr:uid="{D8AE10F1-0D52-4B8E-9422-C8C142719096}"/>
    <cellStyle name="40% - Accent5 8 3" xfId="6238" xr:uid="{00000000-0005-0000-0000-0000DD060000}"/>
    <cellStyle name="40% - Accent5 8 3 2" xfId="14680" xr:uid="{CE93D79C-4EC3-4E3A-A7B1-00C16D9BB1CD}"/>
    <cellStyle name="40% - Accent5 8 3 3" xfId="23117" xr:uid="{4F16C4DB-317C-4B88-A604-C9FA93E81EF9}"/>
    <cellStyle name="40% - Accent5 8 4" xfId="10462" xr:uid="{67C21063-19AE-4187-AB1C-0EC59076FB93}"/>
    <cellStyle name="40% - Accent5 8 5" xfId="18900" xr:uid="{18D1618A-9DCD-44A5-8072-B98361F8518C}"/>
    <cellStyle name="40% - Accent5 9" xfId="2344" xr:uid="{00000000-0005-0000-0000-0000DE060000}"/>
    <cellStyle name="40% - Accent5 9 2" xfId="6651" xr:uid="{00000000-0005-0000-0000-0000DF060000}"/>
    <cellStyle name="40% - Accent5 9 2 2" xfId="15093" xr:uid="{8C140B2B-F495-4A4A-9085-871A3A0706DA}"/>
    <cellStyle name="40% - Accent5 9 2 3" xfId="23530" xr:uid="{EFE70613-3E04-4C00-A17C-50C81EEFA9D1}"/>
    <cellStyle name="40% - Accent5 9 3" xfId="10875" xr:uid="{A5CB3554-461B-4141-8CA0-D29AD35F0B9F}"/>
    <cellStyle name="40% - Accent5 9 4" xfId="19313" xr:uid="{244BD9DE-1408-498F-941C-4602A63D765C}"/>
    <cellStyle name="40% - Accent6" xfId="89" builtinId="51" customBuiltin="1"/>
    <cellStyle name="40% - Accent6 10" xfId="4593" xr:uid="{00000000-0005-0000-0000-0000E1060000}"/>
    <cellStyle name="40% - Accent6 10 2" xfId="13035" xr:uid="{4A69386A-CC4C-4528-8D23-BDAF42FCE851}"/>
    <cellStyle name="40% - Accent6 10 3" xfId="21472" xr:uid="{551645A6-A9D7-403C-9A09-2773F2829312}"/>
    <cellStyle name="40% - Accent6 11" xfId="8817" xr:uid="{6B00885A-3BE9-4597-AFD1-3A57EE95E511}"/>
    <cellStyle name="40% - Accent6 12" xfId="17255" xr:uid="{8FBF8EDA-A546-4081-AF41-27507AD07762}"/>
    <cellStyle name="40% - Accent6 2" xfId="90" xr:uid="{00000000-0005-0000-0000-0000E2060000}"/>
    <cellStyle name="40% - Accent6 2 10" xfId="8818" xr:uid="{456F96E6-294B-494F-B4C4-30CA0B1F3BBE}"/>
    <cellStyle name="40% - Accent6 2 11" xfId="17256" xr:uid="{CDC60E8D-E4AC-4DE2-AA89-EB0A684582FF}"/>
    <cellStyle name="40% - Accent6 2 2" xfId="91" xr:uid="{00000000-0005-0000-0000-0000E3060000}"/>
    <cellStyle name="40% - Accent6 2 2 10" xfId="17257" xr:uid="{4993936F-7E0D-43B8-88F9-9361299402D8}"/>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2 2 2" xfId="15597" xr:uid="{DDFE9BFA-BAB5-4C80-B094-95F793CA4133}"/>
    <cellStyle name="40% - Accent6 2 2 2 2 2 2 3" xfId="24034" xr:uid="{B21901E3-08D1-49A2-80AF-FC6D525002CC}"/>
    <cellStyle name="40% - Accent6 2 2 2 2 2 3" xfId="11379" xr:uid="{D1C13569-29AB-4AB6-98F3-B35AB3E15038}"/>
    <cellStyle name="40% - Accent6 2 2 2 2 2 4" xfId="19817" xr:uid="{891549C2-0CFB-4D08-B1A3-9BA94D6B0F3D}"/>
    <cellStyle name="40% - Accent6 2 2 2 2 3" xfId="5010" xr:uid="{00000000-0005-0000-0000-0000E8060000}"/>
    <cellStyle name="40% - Accent6 2 2 2 2 3 2" xfId="13452" xr:uid="{1D2F94FD-26C0-4F6B-9C1B-2C2F9DEC46F7}"/>
    <cellStyle name="40% - Accent6 2 2 2 2 3 3" xfId="21889" xr:uid="{FCF803B8-2DF6-4BD8-8CD4-57B93B3DE922}"/>
    <cellStyle name="40% - Accent6 2 2 2 2 4" xfId="9234" xr:uid="{8923702D-D399-42E1-A65E-D9CAD36AA9E6}"/>
    <cellStyle name="40% - Accent6 2 2 2 2 5" xfId="17672" xr:uid="{34594BD8-E6EB-4880-A927-981155CE0BEC}"/>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2 2 2" xfId="16010" xr:uid="{A6C1E644-160B-4A02-A2A6-7E5A6832DC29}"/>
    <cellStyle name="40% - Accent6 2 2 2 3 2 2 3" xfId="24447" xr:uid="{9CDFCABB-73B8-4C3B-8543-B9D467A1CF6E}"/>
    <cellStyle name="40% - Accent6 2 2 2 3 2 3" xfId="11792" xr:uid="{0DA7B1DA-7DA5-4EC1-BD5B-C489E119C0C2}"/>
    <cellStyle name="40% - Accent6 2 2 2 3 2 4" xfId="20230" xr:uid="{3CC0EA16-EBD7-4BDA-8239-6E982C7611DD}"/>
    <cellStyle name="40% - Accent6 2 2 2 3 3" xfId="5423" xr:uid="{00000000-0005-0000-0000-0000EC060000}"/>
    <cellStyle name="40% - Accent6 2 2 2 3 3 2" xfId="13865" xr:uid="{457FD9E5-FC56-41F4-B920-9DFBCBED371C}"/>
    <cellStyle name="40% - Accent6 2 2 2 3 3 3" xfId="22302" xr:uid="{18D9D7F9-92E2-4C21-889F-EE35D60D6F70}"/>
    <cellStyle name="40% - Accent6 2 2 2 3 4" xfId="9647" xr:uid="{22CE6D4D-131D-4741-B555-45C7CA6149F0}"/>
    <cellStyle name="40% - Accent6 2 2 2 3 5" xfId="18085" xr:uid="{BED7F3EE-2303-47E9-9E9C-AE2FEE00952C}"/>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2 2 2" xfId="16423" xr:uid="{6C6548CF-6481-48FE-8ABB-5AEA77E31633}"/>
    <cellStyle name="40% - Accent6 2 2 2 4 2 2 3" xfId="24860" xr:uid="{8ACC194E-A8EE-4653-BD41-77B8BDFB94EB}"/>
    <cellStyle name="40% - Accent6 2 2 2 4 2 3" xfId="12205" xr:uid="{7286FDFD-09A6-4F0C-A531-9AC91A362F0B}"/>
    <cellStyle name="40% - Accent6 2 2 2 4 2 4" xfId="20643" xr:uid="{03C5C89F-AFFA-4B59-9259-7BEAEECDAC03}"/>
    <cellStyle name="40% - Accent6 2 2 2 4 3" xfId="5836" xr:uid="{00000000-0005-0000-0000-0000F0060000}"/>
    <cellStyle name="40% - Accent6 2 2 2 4 3 2" xfId="14278" xr:uid="{E2EF990F-73CE-4D98-A519-33027E488719}"/>
    <cellStyle name="40% - Accent6 2 2 2 4 3 3" xfId="22715" xr:uid="{521BB13B-0CEC-4EFC-AEB0-6F03C55940DE}"/>
    <cellStyle name="40% - Accent6 2 2 2 4 4" xfId="10060" xr:uid="{6C0093BB-574F-49F2-BD76-4AA2BF4A61C4}"/>
    <cellStyle name="40% - Accent6 2 2 2 4 5" xfId="18498" xr:uid="{49C57759-1360-4AC1-8BD4-475CC75C202A}"/>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2 2 2" xfId="16836" xr:uid="{7F47A3C4-37B3-45A3-8DD9-233E4DBCA823}"/>
    <cellStyle name="40% - Accent6 2 2 2 5 2 2 3" xfId="25273" xr:uid="{F59689EC-C010-4F63-A4C6-C248E4BFF339}"/>
    <cellStyle name="40% - Accent6 2 2 2 5 2 3" xfId="12618" xr:uid="{6F551F0B-F1DC-4A44-9092-397EC6AA9D10}"/>
    <cellStyle name="40% - Accent6 2 2 2 5 2 4" xfId="21056" xr:uid="{1D6355D6-8F2D-45F6-868F-6B20E69AFD43}"/>
    <cellStyle name="40% - Accent6 2 2 2 5 3" xfId="6249" xr:uid="{00000000-0005-0000-0000-0000F4060000}"/>
    <cellStyle name="40% - Accent6 2 2 2 5 3 2" xfId="14691" xr:uid="{21BD09CE-BDFC-43ED-9AB5-4D06D3180446}"/>
    <cellStyle name="40% - Accent6 2 2 2 5 3 3" xfId="23128" xr:uid="{58C11804-2B8B-4830-ACCD-3F4E2A9EFF99}"/>
    <cellStyle name="40% - Accent6 2 2 2 5 4" xfId="10473" xr:uid="{E972D5E8-A69A-4E8D-B16E-6CA53D5339DF}"/>
    <cellStyle name="40% - Accent6 2 2 2 5 5" xfId="18911" xr:uid="{C50019DF-D45A-4128-BCC1-5EADF854E735}"/>
    <cellStyle name="40% - Accent6 2 2 2 6" xfId="2355" xr:uid="{00000000-0005-0000-0000-0000F5060000}"/>
    <cellStyle name="40% - Accent6 2 2 2 6 2" xfId="6662" xr:uid="{00000000-0005-0000-0000-0000F6060000}"/>
    <cellStyle name="40% - Accent6 2 2 2 6 2 2" xfId="15104" xr:uid="{666D98CB-D54A-452F-9723-FC277F09978F}"/>
    <cellStyle name="40% - Accent6 2 2 2 6 2 3" xfId="23541" xr:uid="{5352E859-03D0-4FD3-80D9-DD675EBBCCEB}"/>
    <cellStyle name="40% - Accent6 2 2 2 6 3" xfId="10886" xr:uid="{58E24867-7E57-4AAB-9D82-2AD39E35A318}"/>
    <cellStyle name="40% - Accent6 2 2 2 6 4" xfId="19324" xr:uid="{33FA3D97-45C3-46E1-A9A5-2E6A895564EF}"/>
    <cellStyle name="40% - Accent6 2 2 2 7" xfId="4596" xr:uid="{00000000-0005-0000-0000-0000F7060000}"/>
    <cellStyle name="40% - Accent6 2 2 2 7 2" xfId="13038" xr:uid="{F1D3CB21-3D87-4DC1-92C5-BCF70A8EDD46}"/>
    <cellStyle name="40% - Accent6 2 2 2 7 3" xfId="21475" xr:uid="{9B0DFE5C-A8EE-417E-B0B1-0351557ECB00}"/>
    <cellStyle name="40% - Accent6 2 2 2 8" xfId="8820" xr:uid="{A4CCB9FD-2AFC-40EF-B4E5-B1A954CC6150}"/>
    <cellStyle name="40% - Accent6 2 2 2 9" xfId="17258" xr:uid="{2F194B7F-EAB3-45FC-B263-7AF44058DEC8}"/>
    <cellStyle name="40% - Accent6 2 2 3" xfId="660" xr:uid="{00000000-0005-0000-0000-0000F8060000}"/>
    <cellStyle name="40% - Accent6 2 2 3 2" xfId="2931" xr:uid="{00000000-0005-0000-0000-0000F9060000}"/>
    <cellStyle name="40% - Accent6 2 2 3 2 2" xfId="7154" xr:uid="{00000000-0005-0000-0000-0000FA060000}"/>
    <cellStyle name="40% - Accent6 2 2 3 2 2 2" xfId="15596" xr:uid="{A0F10B0D-516B-47DD-8FC9-0BA3C8301B27}"/>
    <cellStyle name="40% - Accent6 2 2 3 2 2 3" xfId="24033" xr:uid="{BB1F2997-104D-457F-9745-91B8061991F1}"/>
    <cellStyle name="40% - Accent6 2 2 3 2 3" xfId="11378" xr:uid="{3B756718-E0A2-4526-A450-D994EE9E7093}"/>
    <cellStyle name="40% - Accent6 2 2 3 2 4" xfId="19816" xr:uid="{B9F21DD8-5F1D-4894-AB32-C5550A4B1993}"/>
    <cellStyle name="40% - Accent6 2 2 3 3" xfId="5009" xr:uid="{00000000-0005-0000-0000-0000FB060000}"/>
    <cellStyle name="40% - Accent6 2 2 3 3 2" xfId="13451" xr:uid="{D0100DFF-B55C-4C8E-8ED2-F1AE18DD71D8}"/>
    <cellStyle name="40% - Accent6 2 2 3 3 3" xfId="21888" xr:uid="{211E4ECB-BCE7-491F-8BC5-4B023E6597B4}"/>
    <cellStyle name="40% - Accent6 2 2 3 4" xfId="9233" xr:uid="{A5F34B01-A3F9-49C8-BC9D-6A9E44408038}"/>
    <cellStyle name="40% - Accent6 2 2 3 5" xfId="17671" xr:uid="{78B6E4C8-D834-4B31-A199-1E772C781412}"/>
    <cellStyle name="40% - Accent6 2 2 4" xfId="1113" xr:uid="{00000000-0005-0000-0000-0000FC060000}"/>
    <cellStyle name="40% - Accent6 2 2 4 2" xfId="3344" xr:uid="{00000000-0005-0000-0000-0000FD060000}"/>
    <cellStyle name="40% - Accent6 2 2 4 2 2" xfId="7567" xr:uid="{00000000-0005-0000-0000-0000FE060000}"/>
    <cellStyle name="40% - Accent6 2 2 4 2 2 2" xfId="16009" xr:uid="{FFA1ED80-09EA-4F23-A496-4F122184A3D4}"/>
    <cellStyle name="40% - Accent6 2 2 4 2 2 3" xfId="24446" xr:uid="{929FEAEF-F411-499F-9428-D2BC881C1374}"/>
    <cellStyle name="40% - Accent6 2 2 4 2 3" xfId="11791" xr:uid="{FF3363B8-3641-42D2-841F-38A23D997CCD}"/>
    <cellStyle name="40% - Accent6 2 2 4 2 4" xfId="20229" xr:uid="{55CAF523-DFD7-4285-BE6D-5B153EC22731}"/>
    <cellStyle name="40% - Accent6 2 2 4 3" xfId="5422" xr:uid="{00000000-0005-0000-0000-0000FF060000}"/>
    <cellStyle name="40% - Accent6 2 2 4 3 2" xfId="13864" xr:uid="{9BED89D4-5FD1-4CF5-9A0E-B9B0769A7222}"/>
    <cellStyle name="40% - Accent6 2 2 4 3 3" xfId="22301" xr:uid="{5D3975DA-61A8-4D50-9918-E467846DFA04}"/>
    <cellStyle name="40% - Accent6 2 2 4 4" xfId="9646" xr:uid="{B030D4F6-E563-4979-9A69-CB539F47905A}"/>
    <cellStyle name="40% - Accent6 2 2 4 5" xfId="18084" xr:uid="{A5B4F822-BD29-47A5-95DA-6CC284A4ED76}"/>
    <cellStyle name="40% - Accent6 2 2 5" xfId="1527" xr:uid="{00000000-0005-0000-0000-000000070000}"/>
    <cellStyle name="40% - Accent6 2 2 5 2" xfId="3757" xr:uid="{00000000-0005-0000-0000-000001070000}"/>
    <cellStyle name="40% - Accent6 2 2 5 2 2" xfId="7980" xr:uid="{00000000-0005-0000-0000-000002070000}"/>
    <cellStyle name="40% - Accent6 2 2 5 2 2 2" xfId="16422" xr:uid="{89BA08F7-93B6-47CC-B913-3E5158964F46}"/>
    <cellStyle name="40% - Accent6 2 2 5 2 2 3" xfId="24859" xr:uid="{F1DD5F6C-CD26-491A-8722-7CCC0B2D9C66}"/>
    <cellStyle name="40% - Accent6 2 2 5 2 3" xfId="12204" xr:uid="{2E24AB0F-BB0F-43A6-BAA6-8BD0853EEC16}"/>
    <cellStyle name="40% - Accent6 2 2 5 2 4" xfId="20642" xr:uid="{8AD7EFA6-E668-45A9-B603-A136BE11F363}"/>
    <cellStyle name="40% - Accent6 2 2 5 3" xfId="5835" xr:uid="{00000000-0005-0000-0000-000003070000}"/>
    <cellStyle name="40% - Accent6 2 2 5 3 2" xfId="14277" xr:uid="{756FA7FD-8392-44A4-BAAB-D9A314E38600}"/>
    <cellStyle name="40% - Accent6 2 2 5 3 3" xfId="22714" xr:uid="{B3BB3877-CBB1-409F-8955-8D37ACF9BF9A}"/>
    <cellStyle name="40% - Accent6 2 2 5 4" xfId="10059" xr:uid="{FEF3F748-CF0F-444E-AA7A-F216EF093C1C}"/>
    <cellStyle name="40% - Accent6 2 2 5 5" xfId="18497" xr:uid="{C972E10F-5FA0-4075-91C3-5451E7E00483}"/>
    <cellStyle name="40% - Accent6 2 2 6" xfId="1941" xr:uid="{00000000-0005-0000-0000-000004070000}"/>
    <cellStyle name="40% - Accent6 2 2 6 2" xfId="4170" xr:uid="{00000000-0005-0000-0000-000005070000}"/>
    <cellStyle name="40% - Accent6 2 2 6 2 2" xfId="8393" xr:uid="{00000000-0005-0000-0000-000006070000}"/>
    <cellStyle name="40% - Accent6 2 2 6 2 2 2" xfId="16835" xr:uid="{7F73CB11-0138-4E44-A801-C020547E9A65}"/>
    <cellStyle name="40% - Accent6 2 2 6 2 2 3" xfId="25272" xr:uid="{E2A3F08C-EFC4-435B-BFF3-DCFD9EEC7B1A}"/>
    <cellStyle name="40% - Accent6 2 2 6 2 3" xfId="12617" xr:uid="{DBA413D2-5709-42E2-89FC-6571615693A1}"/>
    <cellStyle name="40% - Accent6 2 2 6 2 4" xfId="21055" xr:uid="{9B8FE74D-2ADD-4220-BA00-E4D3B8A7FD09}"/>
    <cellStyle name="40% - Accent6 2 2 6 3" xfId="6248" xr:uid="{00000000-0005-0000-0000-000007070000}"/>
    <cellStyle name="40% - Accent6 2 2 6 3 2" xfId="14690" xr:uid="{6B4D0034-D7FC-476F-AEF5-A5CF2EBF2325}"/>
    <cellStyle name="40% - Accent6 2 2 6 3 3" xfId="23127" xr:uid="{522F3EF6-63C9-4A4B-B407-9A333CE341A0}"/>
    <cellStyle name="40% - Accent6 2 2 6 4" xfId="10472" xr:uid="{442F472C-72BC-4AC6-A4A4-8192389860F9}"/>
    <cellStyle name="40% - Accent6 2 2 6 5" xfId="18910" xr:uid="{FA0CD4A5-96D9-469A-AD95-57E6B3EED735}"/>
    <cellStyle name="40% - Accent6 2 2 7" xfId="2354" xr:uid="{00000000-0005-0000-0000-000008070000}"/>
    <cellStyle name="40% - Accent6 2 2 7 2" xfId="6661" xr:uid="{00000000-0005-0000-0000-000009070000}"/>
    <cellStyle name="40% - Accent6 2 2 7 2 2" xfId="15103" xr:uid="{2469C0D7-050D-4F91-AB1D-AD01C92913B1}"/>
    <cellStyle name="40% - Accent6 2 2 7 2 3" xfId="23540" xr:uid="{13CD1836-2964-4846-A2FD-8F1E8AC20BAB}"/>
    <cellStyle name="40% - Accent6 2 2 7 3" xfId="10885" xr:uid="{FBB23880-465D-4E15-8C43-5B6A6E4707F1}"/>
    <cellStyle name="40% - Accent6 2 2 7 4" xfId="19323" xr:uid="{CA2B026B-77D6-4BD7-9659-3AC98A0672F6}"/>
    <cellStyle name="40% - Accent6 2 2 8" xfId="4595" xr:uid="{00000000-0005-0000-0000-00000A070000}"/>
    <cellStyle name="40% - Accent6 2 2 8 2" xfId="13037" xr:uid="{D1E10634-10DC-43DD-9994-EDE11E518B7C}"/>
    <cellStyle name="40% - Accent6 2 2 8 3" xfId="21474" xr:uid="{9DD7FE8E-0CB2-4CC5-8C04-C9752BDA57E4}"/>
    <cellStyle name="40% - Accent6 2 2 9" xfId="8819" xr:uid="{2A4A9FEA-EC5B-4AC2-95F0-9EC83B24845F}"/>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2 2 2" xfId="15598" xr:uid="{C97B00B3-43A5-4139-8CD1-08A6829C770D}"/>
    <cellStyle name="40% - Accent6 2 3 2 2 2 3" xfId="24035" xr:uid="{187A46FE-0D59-4CEC-9B7F-421733C40A49}"/>
    <cellStyle name="40% - Accent6 2 3 2 2 3" xfId="11380" xr:uid="{15FCC2DB-0904-482F-B26E-ED03381F78BC}"/>
    <cellStyle name="40% - Accent6 2 3 2 2 4" xfId="19818" xr:uid="{141FC360-FF1D-490D-B34F-DA4C929A6CC1}"/>
    <cellStyle name="40% - Accent6 2 3 2 3" xfId="5011" xr:uid="{00000000-0005-0000-0000-00000F070000}"/>
    <cellStyle name="40% - Accent6 2 3 2 3 2" xfId="13453" xr:uid="{11EE5280-8197-448C-9439-DB975EE15EBD}"/>
    <cellStyle name="40% - Accent6 2 3 2 3 3" xfId="21890" xr:uid="{3509394A-9510-4040-A63D-6D9379626C73}"/>
    <cellStyle name="40% - Accent6 2 3 2 4" xfId="9235" xr:uid="{D94C606A-D951-4C70-A2FE-DD3A56A845C4}"/>
    <cellStyle name="40% - Accent6 2 3 2 5" xfId="17673" xr:uid="{FCDB4885-1BF1-440C-8CA3-8F317E6B0BD9}"/>
    <cellStyle name="40% - Accent6 2 3 3" xfId="1115" xr:uid="{00000000-0005-0000-0000-000010070000}"/>
    <cellStyle name="40% - Accent6 2 3 3 2" xfId="3346" xr:uid="{00000000-0005-0000-0000-000011070000}"/>
    <cellStyle name="40% - Accent6 2 3 3 2 2" xfId="7569" xr:uid="{00000000-0005-0000-0000-000012070000}"/>
    <cellStyle name="40% - Accent6 2 3 3 2 2 2" xfId="16011" xr:uid="{542D47DD-7B5A-4A2D-8A67-1C2DFA4FFE53}"/>
    <cellStyle name="40% - Accent6 2 3 3 2 2 3" xfId="24448" xr:uid="{CD19D308-7FA8-40EF-9060-7B28A8FA92CF}"/>
    <cellStyle name="40% - Accent6 2 3 3 2 3" xfId="11793" xr:uid="{581573A7-3974-44C1-8F38-744D1E37A47E}"/>
    <cellStyle name="40% - Accent6 2 3 3 2 4" xfId="20231" xr:uid="{B27E2686-F87F-41DA-951A-7E3471F94493}"/>
    <cellStyle name="40% - Accent6 2 3 3 3" xfId="5424" xr:uid="{00000000-0005-0000-0000-000013070000}"/>
    <cellStyle name="40% - Accent6 2 3 3 3 2" xfId="13866" xr:uid="{4841132C-F1FB-44FD-98C1-6C32F2C78482}"/>
    <cellStyle name="40% - Accent6 2 3 3 3 3" xfId="22303" xr:uid="{1DE55018-EE9F-4D70-982D-0E5001C98402}"/>
    <cellStyle name="40% - Accent6 2 3 3 4" xfId="9648" xr:uid="{3A442AB5-1840-44CD-B17D-C6E2CAFB26E1}"/>
    <cellStyle name="40% - Accent6 2 3 3 5" xfId="18086" xr:uid="{75C21F98-D840-48B8-A2DB-45CD2E727120}"/>
    <cellStyle name="40% - Accent6 2 3 4" xfId="1529" xr:uid="{00000000-0005-0000-0000-000014070000}"/>
    <cellStyle name="40% - Accent6 2 3 4 2" xfId="3759" xr:uid="{00000000-0005-0000-0000-000015070000}"/>
    <cellStyle name="40% - Accent6 2 3 4 2 2" xfId="7982" xr:uid="{00000000-0005-0000-0000-000016070000}"/>
    <cellStyle name="40% - Accent6 2 3 4 2 2 2" xfId="16424" xr:uid="{EECA6538-2472-40BC-A962-E6C8CA67A631}"/>
    <cellStyle name="40% - Accent6 2 3 4 2 2 3" xfId="24861" xr:uid="{832D5050-B511-43A2-978A-3A1CED218555}"/>
    <cellStyle name="40% - Accent6 2 3 4 2 3" xfId="12206" xr:uid="{36128A0F-C4F3-4933-8E6F-EDD421EB8FCF}"/>
    <cellStyle name="40% - Accent6 2 3 4 2 4" xfId="20644" xr:uid="{D3EBE331-7493-467B-B956-9C345A86BB46}"/>
    <cellStyle name="40% - Accent6 2 3 4 3" xfId="5837" xr:uid="{00000000-0005-0000-0000-000017070000}"/>
    <cellStyle name="40% - Accent6 2 3 4 3 2" xfId="14279" xr:uid="{A190C26F-43F6-4E09-80B7-D0EFB59E50E5}"/>
    <cellStyle name="40% - Accent6 2 3 4 3 3" xfId="22716" xr:uid="{6B942678-4691-48E6-85AA-3DE20F8489AD}"/>
    <cellStyle name="40% - Accent6 2 3 4 4" xfId="10061" xr:uid="{05F1CB5A-F7E5-4128-BABA-53120C7989B4}"/>
    <cellStyle name="40% - Accent6 2 3 4 5" xfId="18499" xr:uid="{AA9DF368-321F-4E1F-A40C-65FCEFECD5D9}"/>
    <cellStyle name="40% - Accent6 2 3 5" xfId="1943" xr:uid="{00000000-0005-0000-0000-000018070000}"/>
    <cellStyle name="40% - Accent6 2 3 5 2" xfId="4172" xr:uid="{00000000-0005-0000-0000-000019070000}"/>
    <cellStyle name="40% - Accent6 2 3 5 2 2" xfId="8395" xr:uid="{00000000-0005-0000-0000-00001A070000}"/>
    <cellStyle name="40% - Accent6 2 3 5 2 2 2" xfId="16837" xr:uid="{EC4C0869-0375-4AB1-AA3E-5FACD7034A00}"/>
    <cellStyle name="40% - Accent6 2 3 5 2 2 3" xfId="25274" xr:uid="{1A6FA7AD-9C28-426F-A8F6-B42BBD8E4B2A}"/>
    <cellStyle name="40% - Accent6 2 3 5 2 3" xfId="12619" xr:uid="{837B1500-569A-4028-85CB-2D306E965C9C}"/>
    <cellStyle name="40% - Accent6 2 3 5 2 4" xfId="21057" xr:uid="{14EE3D11-B940-461A-B38C-6016755D6D16}"/>
    <cellStyle name="40% - Accent6 2 3 5 3" xfId="6250" xr:uid="{00000000-0005-0000-0000-00001B070000}"/>
    <cellStyle name="40% - Accent6 2 3 5 3 2" xfId="14692" xr:uid="{95833610-BD72-4058-8266-97B9C4E520EC}"/>
    <cellStyle name="40% - Accent6 2 3 5 3 3" xfId="23129" xr:uid="{D11F698B-756F-4AD5-AD87-1C8BDE258164}"/>
    <cellStyle name="40% - Accent6 2 3 5 4" xfId="10474" xr:uid="{E88ACE00-7442-4BBD-AC2A-A399FF951D80}"/>
    <cellStyle name="40% - Accent6 2 3 5 5" xfId="18912" xr:uid="{1E041EFD-C46E-4347-BA49-C0AACE341701}"/>
    <cellStyle name="40% - Accent6 2 3 6" xfId="2356" xr:uid="{00000000-0005-0000-0000-00001C070000}"/>
    <cellStyle name="40% - Accent6 2 3 6 2" xfId="6663" xr:uid="{00000000-0005-0000-0000-00001D070000}"/>
    <cellStyle name="40% - Accent6 2 3 6 2 2" xfId="15105" xr:uid="{513AD329-D251-430A-9732-2B999E4070F7}"/>
    <cellStyle name="40% - Accent6 2 3 6 2 3" xfId="23542" xr:uid="{4DE4BC49-FC10-4519-BBE1-ECDFC5EA7320}"/>
    <cellStyle name="40% - Accent6 2 3 6 3" xfId="10887" xr:uid="{748843B9-A685-43B7-A7D5-045E12F9AB9A}"/>
    <cellStyle name="40% - Accent6 2 3 6 4" xfId="19325" xr:uid="{0907597D-B719-4DFC-89F0-EF7ADA15440C}"/>
    <cellStyle name="40% - Accent6 2 3 7" xfId="4597" xr:uid="{00000000-0005-0000-0000-00001E070000}"/>
    <cellStyle name="40% - Accent6 2 3 7 2" xfId="13039" xr:uid="{5D480315-750D-41C0-BE98-36E9667ED8D5}"/>
    <cellStyle name="40% - Accent6 2 3 7 3" xfId="21476" xr:uid="{6D88632D-CE03-4959-8BBB-44AFA4AC72E2}"/>
    <cellStyle name="40% - Accent6 2 3 8" xfId="8821" xr:uid="{BD736EBE-C27B-4FA9-BD79-70646B707E19}"/>
    <cellStyle name="40% - Accent6 2 3 9" xfId="17259" xr:uid="{AE148064-AA69-4896-BCFB-058EE4B50523}"/>
    <cellStyle name="40% - Accent6 2 4" xfId="659" xr:uid="{00000000-0005-0000-0000-00001F070000}"/>
    <cellStyle name="40% - Accent6 2 4 2" xfId="2930" xr:uid="{00000000-0005-0000-0000-000020070000}"/>
    <cellStyle name="40% - Accent6 2 4 2 2" xfId="7153" xr:uid="{00000000-0005-0000-0000-000021070000}"/>
    <cellStyle name="40% - Accent6 2 4 2 2 2" xfId="15595" xr:uid="{3574F012-76A6-482C-8513-C400D27F1694}"/>
    <cellStyle name="40% - Accent6 2 4 2 2 3" xfId="24032" xr:uid="{94850466-0E2D-4C1A-8F10-344790475E26}"/>
    <cellStyle name="40% - Accent6 2 4 2 3" xfId="11377" xr:uid="{2329A7C8-E029-48F2-BBF8-370D1CA5FD72}"/>
    <cellStyle name="40% - Accent6 2 4 2 4" xfId="19815" xr:uid="{57E1B344-CBC6-4296-A6F6-502F63A788CE}"/>
    <cellStyle name="40% - Accent6 2 4 3" xfId="5008" xr:uid="{00000000-0005-0000-0000-000022070000}"/>
    <cellStyle name="40% - Accent6 2 4 3 2" xfId="13450" xr:uid="{A850D73A-FCF0-4A28-B16D-BE8FD5AF16BE}"/>
    <cellStyle name="40% - Accent6 2 4 3 3" xfId="21887" xr:uid="{C872D2C3-D876-40A1-BFF3-46FA9F0420C9}"/>
    <cellStyle name="40% - Accent6 2 4 4" xfId="9232" xr:uid="{F7AD314D-6700-4768-88F9-DDBA3F521D7D}"/>
    <cellStyle name="40% - Accent6 2 4 5" xfId="17670" xr:uid="{FAEDDCDD-A648-4199-8585-E81A0FEE9349}"/>
    <cellStyle name="40% - Accent6 2 5" xfId="1112" xr:uid="{00000000-0005-0000-0000-000023070000}"/>
    <cellStyle name="40% - Accent6 2 5 2" xfId="3343" xr:uid="{00000000-0005-0000-0000-000024070000}"/>
    <cellStyle name="40% - Accent6 2 5 2 2" xfId="7566" xr:uid="{00000000-0005-0000-0000-000025070000}"/>
    <cellStyle name="40% - Accent6 2 5 2 2 2" xfId="16008" xr:uid="{46CBDD7D-C6B2-4C50-9AA5-6B5A8BB4A989}"/>
    <cellStyle name="40% - Accent6 2 5 2 2 3" xfId="24445" xr:uid="{1633E2DC-8138-43A5-96AE-21B34AC500AD}"/>
    <cellStyle name="40% - Accent6 2 5 2 3" xfId="11790" xr:uid="{282025F1-5FDB-4026-B0BE-F47607B28B92}"/>
    <cellStyle name="40% - Accent6 2 5 2 4" xfId="20228" xr:uid="{EE37DFC0-AFB7-49A6-A868-BD7F2F5FB7E7}"/>
    <cellStyle name="40% - Accent6 2 5 3" xfId="5421" xr:uid="{00000000-0005-0000-0000-000026070000}"/>
    <cellStyle name="40% - Accent6 2 5 3 2" xfId="13863" xr:uid="{12BF6A71-1D8E-4A46-9DEB-3F83F71C94B5}"/>
    <cellStyle name="40% - Accent6 2 5 3 3" xfId="22300" xr:uid="{A492AEFB-9D63-4974-B2F1-AFC8A63757C3}"/>
    <cellStyle name="40% - Accent6 2 5 4" xfId="9645" xr:uid="{E10F9ABB-595F-4DA6-B2DE-ED8B9C1C3F6C}"/>
    <cellStyle name="40% - Accent6 2 5 5" xfId="18083" xr:uid="{20AFF8E2-089E-4F8F-AF47-71ECB320BF31}"/>
    <cellStyle name="40% - Accent6 2 6" xfId="1526" xr:uid="{00000000-0005-0000-0000-000027070000}"/>
    <cellStyle name="40% - Accent6 2 6 2" xfId="3756" xr:uid="{00000000-0005-0000-0000-000028070000}"/>
    <cellStyle name="40% - Accent6 2 6 2 2" xfId="7979" xr:uid="{00000000-0005-0000-0000-000029070000}"/>
    <cellStyle name="40% - Accent6 2 6 2 2 2" xfId="16421" xr:uid="{C8D5E7F5-CA3E-4022-B139-653289A7BAC0}"/>
    <cellStyle name="40% - Accent6 2 6 2 2 3" xfId="24858" xr:uid="{F2DE7195-FEC2-41E3-B8D2-5D8049648F37}"/>
    <cellStyle name="40% - Accent6 2 6 2 3" xfId="12203" xr:uid="{196E6D23-4A9B-4DCF-B725-68F1F2FB6C38}"/>
    <cellStyle name="40% - Accent6 2 6 2 4" xfId="20641" xr:uid="{5A63CAEC-F353-473F-AEB0-FD1C496B808C}"/>
    <cellStyle name="40% - Accent6 2 6 3" xfId="5834" xr:uid="{00000000-0005-0000-0000-00002A070000}"/>
    <cellStyle name="40% - Accent6 2 6 3 2" xfId="14276" xr:uid="{21049419-283A-4538-8C5F-30D17295BBF1}"/>
    <cellStyle name="40% - Accent6 2 6 3 3" xfId="22713" xr:uid="{69AA9159-BF20-42D7-AFCB-AAF38ACD7908}"/>
    <cellStyle name="40% - Accent6 2 6 4" xfId="10058" xr:uid="{CC1F7CD0-115D-4AA7-B461-FF723A0BAFAC}"/>
    <cellStyle name="40% - Accent6 2 6 5" xfId="18496" xr:uid="{84EC5426-146C-4F0C-8569-C66FB5DEBCE6}"/>
    <cellStyle name="40% - Accent6 2 7" xfId="1940" xr:uid="{00000000-0005-0000-0000-00002B070000}"/>
    <cellStyle name="40% - Accent6 2 7 2" xfId="4169" xr:uid="{00000000-0005-0000-0000-00002C070000}"/>
    <cellStyle name="40% - Accent6 2 7 2 2" xfId="8392" xr:uid="{00000000-0005-0000-0000-00002D070000}"/>
    <cellStyle name="40% - Accent6 2 7 2 2 2" xfId="16834" xr:uid="{E263F471-342C-4912-8E3C-F772DC66D088}"/>
    <cellStyle name="40% - Accent6 2 7 2 2 3" xfId="25271" xr:uid="{E93DE805-24E6-45A5-934F-26371E059B40}"/>
    <cellStyle name="40% - Accent6 2 7 2 3" xfId="12616" xr:uid="{062B0356-454F-4E8D-8EE8-78F7368FA37E}"/>
    <cellStyle name="40% - Accent6 2 7 2 4" xfId="21054" xr:uid="{C7D28E2B-B99D-4656-B866-50B8D54669DA}"/>
    <cellStyle name="40% - Accent6 2 7 3" xfId="6247" xr:uid="{00000000-0005-0000-0000-00002E070000}"/>
    <cellStyle name="40% - Accent6 2 7 3 2" xfId="14689" xr:uid="{86A39610-7217-4F30-836E-A2EC5F290015}"/>
    <cellStyle name="40% - Accent6 2 7 3 3" xfId="23126" xr:uid="{B92A01DB-1167-4ADC-93E8-3FDDCADB410F}"/>
    <cellStyle name="40% - Accent6 2 7 4" xfId="10471" xr:uid="{A9321330-0D62-4E5F-92EB-4E6735520A9B}"/>
    <cellStyle name="40% - Accent6 2 7 5" xfId="18909" xr:uid="{1978DA92-6CAD-4A3B-9750-D1153060B5A5}"/>
    <cellStyle name="40% - Accent6 2 8" xfId="2353" xr:uid="{00000000-0005-0000-0000-00002F070000}"/>
    <cellStyle name="40% - Accent6 2 8 2" xfId="6660" xr:uid="{00000000-0005-0000-0000-000030070000}"/>
    <cellStyle name="40% - Accent6 2 8 2 2" xfId="15102" xr:uid="{B4580121-B2C5-4172-8C89-CF034224DB79}"/>
    <cellStyle name="40% - Accent6 2 8 2 3" xfId="23539" xr:uid="{D8F80AF4-4CD9-46B6-BD46-E123FB0B729C}"/>
    <cellStyle name="40% - Accent6 2 8 3" xfId="10884" xr:uid="{DC8D5BAF-B6D0-4D8E-9824-68A84A5D5F13}"/>
    <cellStyle name="40% - Accent6 2 8 4" xfId="19322" xr:uid="{98144ECF-3A51-4E51-9E8E-47A4F0157A8B}"/>
    <cellStyle name="40% - Accent6 2 9" xfId="4594" xr:uid="{00000000-0005-0000-0000-000031070000}"/>
    <cellStyle name="40% - Accent6 2 9 2" xfId="13036" xr:uid="{5922B1C2-3A5E-49DB-9191-C39F8069F785}"/>
    <cellStyle name="40% - Accent6 2 9 3" xfId="21473" xr:uid="{82A5B7C5-8A46-466D-9BFF-3C354D62321C}"/>
    <cellStyle name="40% - Accent6 3" xfId="94" xr:uid="{00000000-0005-0000-0000-000032070000}"/>
    <cellStyle name="40% - Accent6 3 10" xfId="17260" xr:uid="{83861BB2-D000-4E68-AD15-7625D1A7AB3C}"/>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2 2 2" xfId="15600" xr:uid="{2491633E-4A68-4985-AAEE-CF2B00E7B188}"/>
    <cellStyle name="40% - Accent6 3 2 2 2 2 3" xfId="24037" xr:uid="{EFBD5236-DF00-4304-9973-1C25675D366D}"/>
    <cellStyle name="40% - Accent6 3 2 2 2 3" xfId="11382" xr:uid="{89699DD2-7CCA-49D6-8336-135374C2C792}"/>
    <cellStyle name="40% - Accent6 3 2 2 2 4" xfId="19820" xr:uid="{106517C8-D322-4421-A654-491A5A9C6842}"/>
    <cellStyle name="40% - Accent6 3 2 2 3" xfId="5013" xr:uid="{00000000-0005-0000-0000-000037070000}"/>
    <cellStyle name="40% - Accent6 3 2 2 3 2" xfId="13455" xr:uid="{E10A98E7-4F06-4D71-BF0C-0D6CE29102AE}"/>
    <cellStyle name="40% - Accent6 3 2 2 3 3" xfId="21892" xr:uid="{FEC6A1EA-1904-489E-9787-A510F15A50F7}"/>
    <cellStyle name="40% - Accent6 3 2 2 4" xfId="9237" xr:uid="{176814FB-BDB4-49ED-99EB-480ADD363D06}"/>
    <cellStyle name="40% - Accent6 3 2 2 5" xfId="17675" xr:uid="{33FCE81F-A1C4-4891-9F33-1D1FFAB2D31B}"/>
    <cellStyle name="40% - Accent6 3 2 3" xfId="1117" xr:uid="{00000000-0005-0000-0000-000038070000}"/>
    <cellStyle name="40% - Accent6 3 2 3 2" xfId="3348" xr:uid="{00000000-0005-0000-0000-000039070000}"/>
    <cellStyle name="40% - Accent6 3 2 3 2 2" xfId="7571" xr:uid="{00000000-0005-0000-0000-00003A070000}"/>
    <cellStyle name="40% - Accent6 3 2 3 2 2 2" xfId="16013" xr:uid="{EFABD7D2-968E-4668-9D6B-DFA0C7264F9D}"/>
    <cellStyle name="40% - Accent6 3 2 3 2 2 3" xfId="24450" xr:uid="{BF53767C-6939-4C13-B5DE-28C8B11F40D7}"/>
    <cellStyle name="40% - Accent6 3 2 3 2 3" xfId="11795" xr:uid="{F23A15C5-110B-44B6-9426-1C0CFC157949}"/>
    <cellStyle name="40% - Accent6 3 2 3 2 4" xfId="20233" xr:uid="{7423B750-43D1-4748-BF37-342AD15F6CC8}"/>
    <cellStyle name="40% - Accent6 3 2 3 3" xfId="5426" xr:uid="{00000000-0005-0000-0000-00003B070000}"/>
    <cellStyle name="40% - Accent6 3 2 3 3 2" xfId="13868" xr:uid="{E4D89496-90EE-4C69-A179-2A06FABD470C}"/>
    <cellStyle name="40% - Accent6 3 2 3 3 3" xfId="22305" xr:uid="{73E5DBCE-3ACC-4F8E-9BC6-FFC43D161318}"/>
    <cellStyle name="40% - Accent6 3 2 3 4" xfId="9650" xr:uid="{5F7AC134-16C6-414F-9D73-1D6453E7BAD6}"/>
    <cellStyle name="40% - Accent6 3 2 3 5" xfId="18088" xr:uid="{6831C8F5-DA20-410E-ACFC-5AC39E48F02E}"/>
    <cellStyle name="40% - Accent6 3 2 4" xfId="1531" xr:uid="{00000000-0005-0000-0000-00003C070000}"/>
    <cellStyle name="40% - Accent6 3 2 4 2" xfId="3761" xr:uid="{00000000-0005-0000-0000-00003D070000}"/>
    <cellStyle name="40% - Accent6 3 2 4 2 2" xfId="7984" xr:uid="{00000000-0005-0000-0000-00003E070000}"/>
    <cellStyle name="40% - Accent6 3 2 4 2 2 2" xfId="16426" xr:uid="{2E05B0A6-C16F-4FB8-9101-53819FD9D5C6}"/>
    <cellStyle name="40% - Accent6 3 2 4 2 2 3" xfId="24863" xr:uid="{9BB4818F-0E25-44A1-8D05-6505E27E2773}"/>
    <cellStyle name="40% - Accent6 3 2 4 2 3" xfId="12208" xr:uid="{CAAD10AE-6BB6-47FC-A13B-4946363CADE7}"/>
    <cellStyle name="40% - Accent6 3 2 4 2 4" xfId="20646" xr:uid="{7AB8C9D8-A98E-4E19-A4B5-B1F4D7F17D76}"/>
    <cellStyle name="40% - Accent6 3 2 4 3" xfId="5839" xr:uid="{00000000-0005-0000-0000-00003F070000}"/>
    <cellStyle name="40% - Accent6 3 2 4 3 2" xfId="14281" xr:uid="{8F1CD0A2-F5D8-4612-B4BE-F26A600E8521}"/>
    <cellStyle name="40% - Accent6 3 2 4 3 3" xfId="22718" xr:uid="{912D5D10-9D62-49E8-B5DF-C0B9E2589826}"/>
    <cellStyle name="40% - Accent6 3 2 4 4" xfId="10063" xr:uid="{E24BAEC5-46A2-4503-9726-2921838C27AF}"/>
    <cellStyle name="40% - Accent6 3 2 4 5" xfId="18501" xr:uid="{E39DBAEF-486B-400E-B4F8-7298A6EADAF3}"/>
    <cellStyle name="40% - Accent6 3 2 5" xfId="1945" xr:uid="{00000000-0005-0000-0000-000040070000}"/>
    <cellStyle name="40% - Accent6 3 2 5 2" xfId="4174" xr:uid="{00000000-0005-0000-0000-000041070000}"/>
    <cellStyle name="40% - Accent6 3 2 5 2 2" xfId="8397" xr:uid="{00000000-0005-0000-0000-000042070000}"/>
    <cellStyle name="40% - Accent6 3 2 5 2 2 2" xfId="16839" xr:uid="{CCADF622-0CCA-4E75-B450-1FAF5037EEBA}"/>
    <cellStyle name="40% - Accent6 3 2 5 2 2 3" xfId="25276" xr:uid="{8EDD6117-DA50-4FFA-B2B2-C24B34183948}"/>
    <cellStyle name="40% - Accent6 3 2 5 2 3" xfId="12621" xr:uid="{A15D8B63-7721-45D8-81E3-6EA2F42228D4}"/>
    <cellStyle name="40% - Accent6 3 2 5 2 4" xfId="21059" xr:uid="{BCCBA7BA-CE3D-4E26-9B90-A9653E577F88}"/>
    <cellStyle name="40% - Accent6 3 2 5 3" xfId="6252" xr:uid="{00000000-0005-0000-0000-000043070000}"/>
    <cellStyle name="40% - Accent6 3 2 5 3 2" xfId="14694" xr:uid="{D489AF2C-7415-4085-8F11-C1456E309E79}"/>
    <cellStyle name="40% - Accent6 3 2 5 3 3" xfId="23131" xr:uid="{C8A1AD93-8F8C-4724-8D08-DCDD6FFA5647}"/>
    <cellStyle name="40% - Accent6 3 2 5 4" xfId="10476" xr:uid="{15E6FD35-6063-44E3-BABE-C47CB80C6E69}"/>
    <cellStyle name="40% - Accent6 3 2 5 5" xfId="18914" xr:uid="{208658BD-1D81-4DC3-8057-E76DD2F12AB4}"/>
    <cellStyle name="40% - Accent6 3 2 6" xfId="2358" xr:uid="{00000000-0005-0000-0000-000044070000}"/>
    <cellStyle name="40% - Accent6 3 2 6 2" xfId="6665" xr:uid="{00000000-0005-0000-0000-000045070000}"/>
    <cellStyle name="40% - Accent6 3 2 6 2 2" xfId="15107" xr:uid="{7E832DE1-4EEF-4CA4-8DC1-73DA0DA77679}"/>
    <cellStyle name="40% - Accent6 3 2 6 2 3" xfId="23544" xr:uid="{FBF186F3-50E7-4D68-AD08-4BB5BD48695A}"/>
    <cellStyle name="40% - Accent6 3 2 6 3" xfId="10889" xr:uid="{6BD8832D-164F-4958-A77B-8E153E3D8FFA}"/>
    <cellStyle name="40% - Accent6 3 2 6 4" xfId="19327" xr:uid="{F6BFB261-F703-4141-A2E5-19F108D50AA9}"/>
    <cellStyle name="40% - Accent6 3 2 7" xfId="4599" xr:uid="{00000000-0005-0000-0000-000046070000}"/>
    <cellStyle name="40% - Accent6 3 2 7 2" xfId="13041" xr:uid="{782AD023-9DE7-435C-B0CB-687053E19C00}"/>
    <cellStyle name="40% - Accent6 3 2 7 3" xfId="21478" xr:uid="{35411B59-A417-486B-A015-AA9719E0BFD4}"/>
    <cellStyle name="40% - Accent6 3 2 8" xfId="8823" xr:uid="{936E9049-FEE9-4DB0-9CAD-79983F984698}"/>
    <cellStyle name="40% - Accent6 3 2 9" xfId="17261" xr:uid="{68F4C4C7-B876-421D-AD65-71B831D52EB7}"/>
    <cellStyle name="40% - Accent6 3 3" xfId="663" xr:uid="{00000000-0005-0000-0000-000047070000}"/>
    <cellStyle name="40% - Accent6 3 3 2" xfId="2934" xr:uid="{00000000-0005-0000-0000-000048070000}"/>
    <cellStyle name="40% - Accent6 3 3 2 2" xfId="7157" xr:uid="{00000000-0005-0000-0000-000049070000}"/>
    <cellStyle name="40% - Accent6 3 3 2 2 2" xfId="15599" xr:uid="{D9DB07DC-1F1A-467F-B79E-DEBB82A83D31}"/>
    <cellStyle name="40% - Accent6 3 3 2 2 3" xfId="24036" xr:uid="{37B12033-8201-4757-8AAF-A61AC0BE4A77}"/>
    <cellStyle name="40% - Accent6 3 3 2 3" xfId="11381" xr:uid="{AAFA22C3-88A1-4897-B902-C36A1B432914}"/>
    <cellStyle name="40% - Accent6 3 3 2 4" xfId="19819" xr:uid="{5041F01F-B458-4989-9EBB-951A285AE155}"/>
    <cellStyle name="40% - Accent6 3 3 3" xfId="5012" xr:uid="{00000000-0005-0000-0000-00004A070000}"/>
    <cellStyle name="40% - Accent6 3 3 3 2" xfId="13454" xr:uid="{A5AA0A0F-6730-43A6-ACA6-CF6D72366123}"/>
    <cellStyle name="40% - Accent6 3 3 3 3" xfId="21891" xr:uid="{E5046C5B-1131-4166-AA1D-BF0068582280}"/>
    <cellStyle name="40% - Accent6 3 3 4" xfId="9236" xr:uid="{40EBD5FD-03A4-46ED-B5D8-D6E00B2FC7D9}"/>
    <cellStyle name="40% - Accent6 3 3 5" xfId="17674" xr:uid="{67F938DB-807E-4D4D-B33A-90001287DFB5}"/>
    <cellStyle name="40% - Accent6 3 4" xfId="1116" xr:uid="{00000000-0005-0000-0000-00004B070000}"/>
    <cellStyle name="40% - Accent6 3 4 2" xfId="3347" xr:uid="{00000000-0005-0000-0000-00004C070000}"/>
    <cellStyle name="40% - Accent6 3 4 2 2" xfId="7570" xr:uid="{00000000-0005-0000-0000-00004D070000}"/>
    <cellStyle name="40% - Accent6 3 4 2 2 2" xfId="16012" xr:uid="{4C525DC8-100B-47F4-B0B2-C1F157EA43F8}"/>
    <cellStyle name="40% - Accent6 3 4 2 2 3" xfId="24449" xr:uid="{92B3B090-EB15-4D8F-BBFE-98B639CF9A2C}"/>
    <cellStyle name="40% - Accent6 3 4 2 3" xfId="11794" xr:uid="{F7E36A37-D88B-405B-A2F8-C2CA6B92EBA3}"/>
    <cellStyle name="40% - Accent6 3 4 2 4" xfId="20232" xr:uid="{BE208F4D-B61E-45EA-91DB-148F14FE5650}"/>
    <cellStyle name="40% - Accent6 3 4 3" xfId="5425" xr:uid="{00000000-0005-0000-0000-00004E070000}"/>
    <cellStyle name="40% - Accent6 3 4 3 2" xfId="13867" xr:uid="{8C22E90A-DD1A-4919-9EB8-83213C6F2E49}"/>
    <cellStyle name="40% - Accent6 3 4 3 3" xfId="22304" xr:uid="{8C6658AE-807C-44F8-AB92-152D2AF94CDB}"/>
    <cellStyle name="40% - Accent6 3 4 4" xfId="9649" xr:uid="{8793177E-6675-4D1D-9639-679465208A68}"/>
    <cellStyle name="40% - Accent6 3 4 5" xfId="18087" xr:uid="{60FD0A0F-E23E-473F-9520-47B8D95CEC74}"/>
    <cellStyle name="40% - Accent6 3 5" xfId="1530" xr:uid="{00000000-0005-0000-0000-00004F070000}"/>
    <cellStyle name="40% - Accent6 3 5 2" xfId="3760" xr:uid="{00000000-0005-0000-0000-000050070000}"/>
    <cellStyle name="40% - Accent6 3 5 2 2" xfId="7983" xr:uid="{00000000-0005-0000-0000-000051070000}"/>
    <cellStyle name="40% - Accent6 3 5 2 2 2" xfId="16425" xr:uid="{5A0F2EE4-06A5-4B0A-8E99-F570454178E0}"/>
    <cellStyle name="40% - Accent6 3 5 2 2 3" xfId="24862" xr:uid="{D54701C7-BD9A-4B4D-9F80-492A6FF814A3}"/>
    <cellStyle name="40% - Accent6 3 5 2 3" xfId="12207" xr:uid="{135880EB-776D-4E27-9C3D-C71EA55DA52E}"/>
    <cellStyle name="40% - Accent6 3 5 2 4" xfId="20645" xr:uid="{94D246C0-DC07-454C-AE27-428CDF953CFA}"/>
    <cellStyle name="40% - Accent6 3 5 3" xfId="5838" xr:uid="{00000000-0005-0000-0000-000052070000}"/>
    <cellStyle name="40% - Accent6 3 5 3 2" xfId="14280" xr:uid="{263079FB-3384-4DB4-8540-7CECFAF2269F}"/>
    <cellStyle name="40% - Accent6 3 5 3 3" xfId="22717" xr:uid="{2CDC1A79-8DFC-4D44-9B3A-2348681A8DD0}"/>
    <cellStyle name="40% - Accent6 3 5 4" xfId="10062" xr:uid="{A02D661A-8235-4A46-A176-C27EB2AFF4C7}"/>
    <cellStyle name="40% - Accent6 3 5 5" xfId="18500" xr:uid="{83479814-595B-4074-89B2-6DC2F6497ECC}"/>
    <cellStyle name="40% - Accent6 3 6" xfId="1944" xr:uid="{00000000-0005-0000-0000-000053070000}"/>
    <cellStyle name="40% - Accent6 3 6 2" xfId="4173" xr:uid="{00000000-0005-0000-0000-000054070000}"/>
    <cellStyle name="40% - Accent6 3 6 2 2" xfId="8396" xr:uid="{00000000-0005-0000-0000-000055070000}"/>
    <cellStyle name="40% - Accent6 3 6 2 2 2" xfId="16838" xr:uid="{0CBEAAEF-173C-4636-9B02-72C97F02C8CA}"/>
    <cellStyle name="40% - Accent6 3 6 2 2 3" xfId="25275" xr:uid="{FB8321C4-96DF-44DA-9599-BEA274A00134}"/>
    <cellStyle name="40% - Accent6 3 6 2 3" xfId="12620" xr:uid="{4A924800-BB1D-4861-9293-363582E2E54B}"/>
    <cellStyle name="40% - Accent6 3 6 2 4" xfId="21058" xr:uid="{2EA5B97A-611C-4C37-8348-50A381133A04}"/>
    <cellStyle name="40% - Accent6 3 6 3" xfId="6251" xr:uid="{00000000-0005-0000-0000-000056070000}"/>
    <cellStyle name="40% - Accent6 3 6 3 2" xfId="14693" xr:uid="{FFAEEF18-B1A6-4903-97E0-481AD9D3A650}"/>
    <cellStyle name="40% - Accent6 3 6 3 3" xfId="23130" xr:uid="{82B807C4-0BAC-4DA5-9C30-E67441A8E08F}"/>
    <cellStyle name="40% - Accent6 3 6 4" xfId="10475" xr:uid="{EC3F29E6-C5A5-49B2-B6AB-3496581D9385}"/>
    <cellStyle name="40% - Accent6 3 6 5" xfId="18913" xr:uid="{0660898E-4612-4501-94C8-2838EE49EC36}"/>
    <cellStyle name="40% - Accent6 3 7" xfId="2357" xr:uid="{00000000-0005-0000-0000-000057070000}"/>
    <cellStyle name="40% - Accent6 3 7 2" xfId="6664" xr:uid="{00000000-0005-0000-0000-000058070000}"/>
    <cellStyle name="40% - Accent6 3 7 2 2" xfId="15106" xr:uid="{C8197F89-8368-470A-BA61-6B65D840D2A6}"/>
    <cellStyle name="40% - Accent6 3 7 2 3" xfId="23543" xr:uid="{3F97E172-44F2-4F35-8F7B-B6C6BE11C519}"/>
    <cellStyle name="40% - Accent6 3 7 3" xfId="10888" xr:uid="{C3867C40-2777-4290-9FC6-7548E1004EB8}"/>
    <cellStyle name="40% - Accent6 3 7 4" xfId="19326" xr:uid="{771C1630-FC47-4563-9335-7897D3104E21}"/>
    <cellStyle name="40% - Accent6 3 8" xfId="4598" xr:uid="{00000000-0005-0000-0000-000059070000}"/>
    <cellStyle name="40% - Accent6 3 8 2" xfId="13040" xr:uid="{7A1D0577-0F60-44BA-A5C3-342EDEC1B293}"/>
    <cellStyle name="40% - Accent6 3 8 3" xfId="21477" xr:uid="{565DB705-65FC-4ACE-A982-626D7B014BFB}"/>
    <cellStyle name="40% - Accent6 3 9" xfId="8822" xr:uid="{89635CE7-F826-43F3-902D-AE19A2E5EAF2}"/>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2 2 2" xfId="15601" xr:uid="{4B918E4D-7A74-44D8-B27C-0BB35AFB9183}"/>
    <cellStyle name="40% - Accent6 4 2 2 2 3" xfId="24038" xr:uid="{D63117ED-737B-48DD-8646-8E230C8E8E60}"/>
    <cellStyle name="40% - Accent6 4 2 2 3" xfId="11383" xr:uid="{8967193E-D3E7-42E2-AF0D-261485D24D20}"/>
    <cellStyle name="40% - Accent6 4 2 2 4" xfId="19821" xr:uid="{045AA378-A941-4780-8982-DAA6DBA1BD8B}"/>
    <cellStyle name="40% - Accent6 4 2 3" xfId="5014" xr:uid="{00000000-0005-0000-0000-00005E070000}"/>
    <cellStyle name="40% - Accent6 4 2 3 2" xfId="13456" xr:uid="{B02E80F4-19A8-44F5-BD6A-D230FC935947}"/>
    <cellStyle name="40% - Accent6 4 2 3 3" xfId="21893" xr:uid="{D6F1EE9F-84EF-460D-96F8-285F29CA4F8B}"/>
    <cellStyle name="40% - Accent6 4 2 4" xfId="9238" xr:uid="{E4D76CB4-B0BD-44BB-948E-98BBF6F95DEB}"/>
    <cellStyle name="40% - Accent6 4 2 5" xfId="17676" xr:uid="{E32DCEED-8811-45A1-9773-EF0064E0BAFF}"/>
    <cellStyle name="40% - Accent6 4 3" xfId="1118" xr:uid="{00000000-0005-0000-0000-00005F070000}"/>
    <cellStyle name="40% - Accent6 4 3 2" xfId="3349" xr:uid="{00000000-0005-0000-0000-000060070000}"/>
    <cellStyle name="40% - Accent6 4 3 2 2" xfId="7572" xr:uid="{00000000-0005-0000-0000-000061070000}"/>
    <cellStyle name="40% - Accent6 4 3 2 2 2" xfId="16014" xr:uid="{66E77A08-8323-44CD-8AC9-9FEA14423585}"/>
    <cellStyle name="40% - Accent6 4 3 2 2 3" xfId="24451" xr:uid="{717ED86E-F8E0-4781-B36C-13785DADC95B}"/>
    <cellStyle name="40% - Accent6 4 3 2 3" xfId="11796" xr:uid="{E032DEC1-A388-47AD-BFF5-48D33267252D}"/>
    <cellStyle name="40% - Accent6 4 3 2 4" xfId="20234" xr:uid="{D9913602-A875-443F-924D-A294824D0F87}"/>
    <cellStyle name="40% - Accent6 4 3 3" xfId="5427" xr:uid="{00000000-0005-0000-0000-000062070000}"/>
    <cellStyle name="40% - Accent6 4 3 3 2" xfId="13869" xr:uid="{A349FF9C-FEF4-4A0C-9D63-8932D7A6AFE0}"/>
    <cellStyle name="40% - Accent6 4 3 3 3" xfId="22306" xr:uid="{4979698C-3241-489A-9696-5DF45399D306}"/>
    <cellStyle name="40% - Accent6 4 3 4" xfId="9651" xr:uid="{CFDA3D34-EFFD-4160-A6DB-5E2A9F2C8E06}"/>
    <cellStyle name="40% - Accent6 4 3 5" xfId="18089" xr:uid="{54EDD842-6F6E-41A7-9374-283EE0D3F21F}"/>
    <cellStyle name="40% - Accent6 4 4" xfId="1532" xr:uid="{00000000-0005-0000-0000-000063070000}"/>
    <cellStyle name="40% - Accent6 4 4 2" xfId="3762" xr:uid="{00000000-0005-0000-0000-000064070000}"/>
    <cellStyle name="40% - Accent6 4 4 2 2" xfId="7985" xr:uid="{00000000-0005-0000-0000-000065070000}"/>
    <cellStyle name="40% - Accent6 4 4 2 2 2" xfId="16427" xr:uid="{5D5EA59F-4F8C-488B-A69D-67B2D24BFB74}"/>
    <cellStyle name="40% - Accent6 4 4 2 2 3" xfId="24864" xr:uid="{D8A658B0-9722-460C-949B-0A6FC02EAFE1}"/>
    <cellStyle name="40% - Accent6 4 4 2 3" xfId="12209" xr:uid="{9FCF3633-14F1-4268-BC18-53695815A0E0}"/>
    <cellStyle name="40% - Accent6 4 4 2 4" xfId="20647" xr:uid="{C6A4E081-1E1B-4342-B7A9-1AFDD7470E50}"/>
    <cellStyle name="40% - Accent6 4 4 3" xfId="5840" xr:uid="{00000000-0005-0000-0000-000066070000}"/>
    <cellStyle name="40% - Accent6 4 4 3 2" xfId="14282" xr:uid="{EB157009-AD10-40FD-8D46-55E16503E51F}"/>
    <cellStyle name="40% - Accent6 4 4 3 3" xfId="22719" xr:uid="{29956C4C-501E-48AC-9D27-340EF16602C9}"/>
    <cellStyle name="40% - Accent6 4 4 4" xfId="10064" xr:uid="{5BECEFFC-5D65-475A-AA40-F08BB99E6201}"/>
    <cellStyle name="40% - Accent6 4 4 5" xfId="18502" xr:uid="{3D1B85BC-3008-4D46-957C-A912A9CF8146}"/>
    <cellStyle name="40% - Accent6 4 5" xfId="1946" xr:uid="{00000000-0005-0000-0000-000067070000}"/>
    <cellStyle name="40% - Accent6 4 5 2" xfId="4175" xr:uid="{00000000-0005-0000-0000-000068070000}"/>
    <cellStyle name="40% - Accent6 4 5 2 2" xfId="8398" xr:uid="{00000000-0005-0000-0000-000069070000}"/>
    <cellStyle name="40% - Accent6 4 5 2 2 2" xfId="16840" xr:uid="{56964491-1A09-42D3-AA20-DB10E3B762F2}"/>
    <cellStyle name="40% - Accent6 4 5 2 2 3" xfId="25277" xr:uid="{5A223186-C2BC-4418-AD19-E2A55A3BA6F4}"/>
    <cellStyle name="40% - Accent6 4 5 2 3" xfId="12622" xr:uid="{EA232520-8545-48DE-B2F5-D186DB3C9DEC}"/>
    <cellStyle name="40% - Accent6 4 5 2 4" xfId="21060" xr:uid="{56FCBDFF-63EE-4F6B-BB23-51D6F38CECBE}"/>
    <cellStyle name="40% - Accent6 4 5 3" xfId="6253" xr:uid="{00000000-0005-0000-0000-00006A070000}"/>
    <cellStyle name="40% - Accent6 4 5 3 2" xfId="14695" xr:uid="{A448E594-3344-4044-AE40-CC5074BDA16B}"/>
    <cellStyle name="40% - Accent6 4 5 3 3" xfId="23132" xr:uid="{87A08A2A-4FFF-449A-91A6-18E477D22A7B}"/>
    <cellStyle name="40% - Accent6 4 5 4" xfId="10477" xr:uid="{87A826BF-D3AC-4367-A9D5-1815599B8ED6}"/>
    <cellStyle name="40% - Accent6 4 5 5" xfId="18915" xr:uid="{6BED1E0A-851C-4EB5-827C-AD69294E5505}"/>
    <cellStyle name="40% - Accent6 4 6" xfId="2359" xr:uid="{00000000-0005-0000-0000-00006B070000}"/>
    <cellStyle name="40% - Accent6 4 6 2" xfId="6666" xr:uid="{00000000-0005-0000-0000-00006C070000}"/>
    <cellStyle name="40% - Accent6 4 6 2 2" xfId="15108" xr:uid="{3CEEC465-3479-44B4-815C-ED3953F0EB19}"/>
    <cellStyle name="40% - Accent6 4 6 2 3" xfId="23545" xr:uid="{2B46206B-3923-48E4-A47C-7FC1BB78D759}"/>
    <cellStyle name="40% - Accent6 4 6 3" xfId="10890" xr:uid="{DA8931C9-7697-422C-BA75-ECE79385B4C3}"/>
    <cellStyle name="40% - Accent6 4 6 4" xfId="19328" xr:uid="{07BEDC9A-90E0-4CBC-8B8A-E6EA866120C2}"/>
    <cellStyle name="40% - Accent6 4 7" xfId="4600" xr:uid="{00000000-0005-0000-0000-00006D070000}"/>
    <cellStyle name="40% - Accent6 4 7 2" xfId="13042" xr:uid="{BD7D64AD-19ED-4CCA-A2F1-3F502C5E7DF3}"/>
    <cellStyle name="40% - Accent6 4 7 3" xfId="21479" xr:uid="{67238527-9FD0-409C-AF64-03730B185E44}"/>
    <cellStyle name="40% - Accent6 4 8" xfId="8824" xr:uid="{40150FB3-0893-4A17-8D95-4D96DE322255}"/>
    <cellStyle name="40% - Accent6 4 9" xfId="17262" xr:uid="{F33BDFB3-E56F-4938-B646-15D70F730798}"/>
    <cellStyle name="40% - Accent6 5" xfId="658" xr:uid="{00000000-0005-0000-0000-00006E070000}"/>
    <cellStyle name="40% - Accent6 5 2" xfId="2929" xr:uid="{00000000-0005-0000-0000-00006F070000}"/>
    <cellStyle name="40% - Accent6 5 2 2" xfId="7152" xr:uid="{00000000-0005-0000-0000-000070070000}"/>
    <cellStyle name="40% - Accent6 5 2 2 2" xfId="15594" xr:uid="{20A932DD-B0A3-4624-AC60-9D23FB10E490}"/>
    <cellStyle name="40% - Accent6 5 2 2 3" xfId="24031" xr:uid="{9E733768-3D52-440D-90D5-456634229D0B}"/>
    <cellStyle name="40% - Accent6 5 2 3" xfId="11376" xr:uid="{D8CAE7CC-7090-4BE1-9372-A78F313B0991}"/>
    <cellStyle name="40% - Accent6 5 2 4" xfId="19814" xr:uid="{1AF7E15C-275D-4C3A-9F87-46E4FCCC8C70}"/>
    <cellStyle name="40% - Accent6 5 3" xfId="5007" xr:uid="{00000000-0005-0000-0000-000071070000}"/>
    <cellStyle name="40% - Accent6 5 3 2" xfId="13449" xr:uid="{F94F649E-6DB6-407A-8294-97A4E605C1B5}"/>
    <cellStyle name="40% - Accent6 5 3 3" xfId="21886" xr:uid="{ADA753BC-6497-40F6-9187-993E11A8914A}"/>
    <cellStyle name="40% - Accent6 5 4" xfId="9231" xr:uid="{7FC26283-93C0-455C-B439-47DC165EB2C8}"/>
    <cellStyle name="40% - Accent6 5 5" xfId="17669" xr:uid="{540D95BB-584E-4F5D-BA99-E9DB0E764206}"/>
    <cellStyle name="40% - Accent6 6" xfId="1111" xr:uid="{00000000-0005-0000-0000-000072070000}"/>
    <cellStyle name="40% - Accent6 6 2" xfId="3342" xr:uid="{00000000-0005-0000-0000-000073070000}"/>
    <cellStyle name="40% - Accent6 6 2 2" xfId="7565" xr:uid="{00000000-0005-0000-0000-000074070000}"/>
    <cellStyle name="40% - Accent6 6 2 2 2" xfId="16007" xr:uid="{41D24A9D-A0E2-48B9-8689-70761779AC4B}"/>
    <cellStyle name="40% - Accent6 6 2 2 3" xfId="24444" xr:uid="{1DF90834-2327-40CE-8C21-4160BAB3D0FC}"/>
    <cellStyle name="40% - Accent6 6 2 3" xfId="11789" xr:uid="{C31AF5B4-55A3-43DD-B603-975AD7AFD779}"/>
    <cellStyle name="40% - Accent6 6 2 4" xfId="20227" xr:uid="{9F498F6B-290F-4385-A76E-A374FE680F09}"/>
    <cellStyle name="40% - Accent6 6 3" xfId="5420" xr:uid="{00000000-0005-0000-0000-000075070000}"/>
    <cellStyle name="40% - Accent6 6 3 2" xfId="13862" xr:uid="{3975C5EE-29F2-4A1B-B224-CC5FD439509C}"/>
    <cellStyle name="40% - Accent6 6 3 3" xfId="22299" xr:uid="{16BBCC11-9EB2-492E-8ECF-5A4605659BE5}"/>
    <cellStyle name="40% - Accent6 6 4" xfId="9644" xr:uid="{1C44A716-A946-4E70-898F-796B935D4169}"/>
    <cellStyle name="40% - Accent6 6 5" xfId="18082" xr:uid="{A64A4414-639B-4962-B5E1-592135E7A750}"/>
    <cellStyle name="40% - Accent6 7" xfId="1525" xr:uid="{00000000-0005-0000-0000-000076070000}"/>
    <cellStyle name="40% - Accent6 7 2" xfId="3755" xr:uid="{00000000-0005-0000-0000-000077070000}"/>
    <cellStyle name="40% - Accent6 7 2 2" xfId="7978" xr:uid="{00000000-0005-0000-0000-000078070000}"/>
    <cellStyle name="40% - Accent6 7 2 2 2" xfId="16420" xr:uid="{407A319C-3EDD-4D6C-8698-23ADF1F03332}"/>
    <cellStyle name="40% - Accent6 7 2 2 3" xfId="24857" xr:uid="{D8165EF5-9E8C-4007-80E9-72B9D1FD067C}"/>
    <cellStyle name="40% - Accent6 7 2 3" xfId="12202" xr:uid="{A33CE000-FEB7-4B19-80B9-2203484980C5}"/>
    <cellStyle name="40% - Accent6 7 2 4" xfId="20640" xr:uid="{D673AF4D-99B0-4D31-BB23-69113596F680}"/>
    <cellStyle name="40% - Accent6 7 3" xfId="5833" xr:uid="{00000000-0005-0000-0000-000079070000}"/>
    <cellStyle name="40% - Accent6 7 3 2" xfId="14275" xr:uid="{A5CAB00A-C188-45BA-8B6A-5CFB59B956C8}"/>
    <cellStyle name="40% - Accent6 7 3 3" xfId="22712" xr:uid="{71F05066-CD7B-41F9-B063-63AC19C237AE}"/>
    <cellStyle name="40% - Accent6 7 4" xfId="10057" xr:uid="{4561360F-CC54-4B08-8E9B-BA51C690EB1B}"/>
    <cellStyle name="40% - Accent6 7 5" xfId="18495" xr:uid="{11D666AA-7AD5-4A5E-AE53-C79CFB235ABF}"/>
    <cellStyle name="40% - Accent6 8" xfId="1939" xr:uid="{00000000-0005-0000-0000-00007A070000}"/>
    <cellStyle name="40% - Accent6 8 2" xfId="4168" xr:uid="{00000000-0005-0000-0000-00007B070000}"/>
    <cellStyle name="40% - Accent6 8 2 2" xfId="8391" xr:uid="{00000000-0005-0000-0000-00007C070000}"/>
    <cellStyle name="40% - Accent6 8 2 2 2" xfId="16833" xr:uid="{30912DAF-C194-457F-A62C-85A448D671DA}"/>
    <cellStyle name="40% - Accent6 8 2 2 3" xfId="25270" xr:uid="{2527A173-0B0E-454F-BD62-6BF3F26F4155}"/>
    <cellStyle name="40% - Accent6 8 2 3" xfId="12615" xr:uid="{B96AE2BA-B819-4111-95AC-9CCCEFF6D47D}"/>
    <cellStyle name="40% - Accent6 8 2 4" xfId="21053" xr:uid="{1273E077-778A-4811-A66A-1695AA70F114}"/>
    <cellStyle name="40% - Accent6 8 3" xfId="6246" xr:uid="{00000000-0005-0000-0000-00007D070000}"/>
    <cellStyle name="40% - Accent6 8 3 2" xfId="14688" xr:uid="{86D8668F-F4F9-4F5C-81C9-ACE277FA5699}"/>
    <cellStyle name="40% - Accent6 8 3 3" xfId="23125" xr:uid="{7CC75A2C-5E1A-44DD-9E9B-59F8E6CBEAE6}"/>
    <cellStyle name="40% - Accent6 8 4" xfId="10470" xr:uid="{531773D8-A7C1-4227-B0EC-258491F552E1}"/>
    <cellStyle name="40% - Accent6 8 5" xfId="18908" xr:uid="{D9F643EC-D40C-4468-8009-603F942D3C19}"/>
    <cellStyle name="40% - Accent6 9" xfId="2352" xr:uid="{00000000-0005-0000-0000-00007E070000}"/>
    <cellStyle name="40% - Accent6 9 2" xfId="6659" xr:uid="{00000000-0005-0000-0000-00007F070000}"/>
    <cellStyle name="40% - Accent6 9 2 2" xfId="15101" xr:uid="{6D553194-2FBC-4887-B02A-33D6CDD3FD23}"/>
    <cellStyle name="40% - Accent6 9 2 3" xfId="23538" xr:uid="{FEB6A720-5B46-463B-9D43-F7FC55399620}"/>
    <cellStyle name="40% - Accent6 9 3" xfId="10883" xr:uid="{CF650925-285A-4720-8666-A89F0BE8379E}"/>
    <cellStyle name="40% - Accent6 9 4" xfId="19321" xr:uid="{2262D1B9-8203-4904-BB92-B79B26D9E68B}"/>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0 2 2" xfId="15426" xr:uid="{290F8981-964F-4916-A136-39DA0CA4E4B6}"/>
    <cellStyle name="Comma 4 2 2 2 10 2 3" xfId="23863" xr:uid="{EEA24D84-5DED-40F3-8360-787784F98E68}"/>
    <cellStyle name="Comma 4 2 2 2 10 3" xfId="11208" xr:uid="{58B40304-971E-4285-8E32-C2B82CAFB42B}"/>
    <cellStyle name="Comma 4 2 2 2 10 4" xfId="19646" xr:uid="{F780F787-1AEE-4398-8A10-50622F8270A3}"/>
    <cellStyle name="Comma 4 2 2 2 11" xfId="4601" xr:uid="{00000000-0005-0000-0000-0000A3070000}"/>
    <cellStyle name="Comma 4 2 2 2 11 2" xfId="13043" xr:uid="{1465AEEB-451A-4A98-B84A-C3E7FC165C4B}"/>
    <cellStyle name="Comma 4 2 2 2 11 3" xfId="21480" xr:uid="{2FD27F08-D363-4FD5-AB80-D9BE10C1D32B}"/>
    <cellStyle name="Comma 4 2 2 2 12" xfId="8825" xr:uid="{EA8520AA-8E12-4ADA-8632-DC9AF28ED4D3}"/>
    <cellStyle name="Comma 4 2 2 2 13" xfId="17263" xr:uid="{EB83831A-CC64-42FF-BB10-9CE43C4F2BEB}"/>
    <cellStyle name="Comma 4 2 2 2 2" xfId="129" xr:uid="{00000000-0005-0000-0000-0000A4070000}"/>
    <cellStyle name="Comma 4 2 2 2 2 10" xfId="4602" xr:uid="{00000000-0005-0000-0000-0000A5070000}"/>
    <cellStyle name="Comma 4 2 2 2 2 10 2" xfId="13044" xr:uid="{D9B722DB-7545-41BE-A3EB-44E0B6FF6CD2}"/>
    <cellStyle name="Comma 4 2 2 2 2 10 3" xfId="21481" xr:uid="{0C7964BF-3E3C-4575-AC13-060D4CEAB206}"/>
    <cellStyle name="Comma 4 2 2 2 2 11" xfId="8826" xr:uid="{3064FAD6-B096-44D8-B25C-1B9965BD2857}"/>
    <cellStyle name="Comma 4 2 2 2 2 12" xfId="17264" xr:uid="{8A1616A7-9E96-4538-9D16-B1F9AF3514E7}"/>
    <cellStyle name="Comma 4 2 2 2 2 2" xfId="130" xr:uid="{00000000-0005-0000-0000-0000A6070000}"/>
    <cellStyle name="Comma 4 2 2 2 2 2 10" xfId="8827" xr:uid="{3202E6EF-2473-4895-A7EC-C32FE035A81F}"/>
    <cellStyle name="Comma 4 2 2 2 2 2 11" xfId="17265" xr:uid="{11D51585-12A6-40C9-B892-932B8C379AE5}"/>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2 2 2" xfId="15604" xr:uid="{AAD37680-392F-4DA8-8AB4-A919D354C6B6}"/>
    <cellStyle name="Comma 4 2 2 2 2 2 2 2 2 3" xfId="24041" xr:uid="{52323246-A730-4DC4-A260-5D166BF09FE7}"/>
    <cellStyle name="Comma 4 2 2 2 2 2 2 2 3" xfId="11386" xr:uid="{32949592-E6EB-47D5-B565-1AEA7F0CFAF6}"/>
    <cellStyle name="Comma 4 2 2 2 2 2 2 2 4" xfId="19824" xr:uid="{4EACB565-1648-4CF9-AF44-7462604E1ACD}"/>
    <cellStyle name="Comma 4 2 2 2 2 2 2 3" xfId="5017" xr:uid="{00000000-0005-0000-0000-0000AA070000}"/>
    <cellStyle name="Comma 4 2 2 2 2 2 2 3 2" xfId="13459" xr:uid="{6FEE797E-A2EF-43A1-8DC4-AC1AE9203308}"/>
    <cellStyle name="Comma 4 2 2 2 2 2 2 3 3" xfId="21896" xr:uid="{AFBAEF7F-AD19-4AB0-9122-0016E2E2D49F}"/>
    <cellStyle name="Comma 4 2 2 2 2 2 2 4" xfId="9241" xr:uid="{3200959F-CE75-45CC-887C-D494E4A03839}"/>
    <cellStyle name="Comma 4 2 2 2 2 2 2 5" xfId="17679" xr:uid="{1A7DFA44-1A7B-46D6-BBDD-A73BC1F08C47}"/>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2 2 2" xfId="16017" xr:uid="{D6954C87-2870-4937-90F5-035F24035670}"/>
    <cellStyle name="Comma 4 2 2 2 2 2 3 2 2 3" xfId="24454" xr:uid="{0DBD2D36-D25E-41C4-9D68-B76680367A28}"/>
    <cellStyle name="Comma 4 2 2 2 2 2 3 2 3" xfId="11799" xr:uid="{7AD1FE24-2444-4D00-8B71-AE11DBE48BA0}"/>
    <cellStyle name="Comma 4 2 2 2 2 2 3 2 4" xfId="20237" xr:uid="{F6B022E4-F9F5-44C7-804B-940B47E741DE}"/>
    <cellStyle name="Comma 4 2 2 2 2 2 3 3" xfId="5430" xr:uid="{00000000-0005-0000-0000-0000AE070000}"/>
    <cellStyle name="Comma 4 2 2 2 2 2 3 3 2" xfId="13872" xr:uid="{1BDEC7FD-1E9A-4382-9480-48C7E1F671E8}"/>
    <cellStyle name="Comma 4 2 2 2 2 2 3 3 3" xfId="22309" xr:uid="{1E9E3853-4930-4E66-90D5-2B133A319C18}"/>
    <cellStyle name="Comma 4 2 2 2 2 2 3 4" xfId="9654" xr:uid="{76BB9D8C-AF6E-4FA8-87C9-4ABF10906EEA}"/>
    <cellStyle name="Comma 4 2 2 2 2 2 3 5" xfId="18092" xr:uid="{E533BB5E-1FE1-480C-B4F9-2E1A28D812CC}"/>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2 2 2" xfId="16430" xr:uid="{0F5EC82F-EEC3-406A-9AA8-0D96927C188F}"/>
    <cellStyle name="Comma 4 2 2 2 2 2 4 2 2 3" xfId="24867" xr:uid="{45F416A2-3901-4CC9-A8E3-B646CCAABCCB}"/>
    <cellStyle name="Comma 4 2 2 2 2 2 4 2 3" xfId="12212" xr:uid="{5D400A02-6197-427D-BDDC-52DA699F3D75}"/>
    <cellStyle name="Comma 4 2 2 2 2 2 4 2 4" xfId="20650" xr:uid="{4A06CA64-D2B8-4E79-A39D-C4A00A48DADE}"/>
    <cellStyle name="Comma 4 2 2 2 2 2 4 3" xfId="5843" xr:uid="{00000000-0005-0000-0000-0000B2070000}"/>
    <cellStyle name="Comma 4 2 2 2 2 2 4 3 2" xfId="14285" xr:uid="{91C042A4-6423-488D-8BC5-AE0444A48A6A}"/>
    <cellStyle name="Comma 4 2 2 2 2 2 4 3 3" xfId="22722" xr:uid="{B0116113-C317-4768-A10D-1F646D51BA4B}"/>
    <cellStyle name="Comma 4 2 2 2 2 2 4 4" xfId="10067" xr:uid="{210A3181-344B-4ECF-A0E3-42BDEEF6E4B7}"/>
    <cellStyle name="Comma 4 2 2 2 2 2 4 5" xfId="18505" xr:uid="{C479E75B-42BF-4FDA-9948-319F4514B602}"/>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2 2 2" xfId="16843" xr:uid="{E3FF6B44-AAEA-4F42-8274-FBFB711F217F}"/>
    <cellStyle name="Comma 4 2 2 2 2 2 5 2 2 3" xfId="25280" xr:uid="{8A76B800-6664-4AD1-8C86-096440B6BCDD}"/>
    <cellStyle name="Comma 4 2 2 2 2 2 5 2 3" xfId="12625" xr:uid="{347876CF-6960-4FCF-A879-7E216E05462D}"/>
    <cellStyle name="Comma 4 2 2 2 2 2 5 2 4" xfId="21063" xr:uid="{74883F38-96ED-4F26-81AA-59C5413F5ECB}"/>
    <cellStyle name="Comma 4 2 2 2 2 2 5 3" xfId="6256" xr:uid="{00000000-0005-0000-0000-0000B6070000}"/>
    <cellStyle name="Comma 4 2 2 2 2 2 5 3 2" xfId="14698" xr:uid="{B4FE14F9-4B5A-4220-95FA-3E854FAE30FE}"/>
    <cellStyle name="Comma 4 2 2 2 2 2 5 3 3" xfId="23135" xr:uid="{CEF9A238-E860-45A5-A66D-52754995BE39}"/>
    <cellStyle name="Comma 4 2 2 2 2 2 5 4" xfId="10480" xr:uid="{3BF9BCD6-4A8E-4622-8229-C7BF74039994}"/>
    <cellStyle name="Comma 4 2 2 2 2 2 5 5" xfId="18918" xr:uid="{5C627E23-2F17-4D21-9288-77B4567E74AB}"/>
    <cellStyle name="Comma 4 2 2 2 2 2 6" xfId="2384" xr:uid="{00000000-0005-0000-0000-0000B7070000}"/>
    <cellStyle name="Comma 4 2 2 2 2 2 6 2" xfId="6669" xr:uid="{00000000-0005-0000-0000-0000B8070000}"/>
    <cellStyle name="Comma 4 2 2 2 2 2 6 2 2" xfId="15111" xr:uid="{15709520-EFB6-45E3-B868-B7FC946A0329}"/>
    <cellStyle name="Comma 4 2 2 2 2 2 6 2 3" xfId="23548" xr:uid="{8A9F1757-2337-4F96-BE6B-66DE6BBBC0A9}"/>
    <cellStyle name="Comma 4 2 2 2 2 2 6 3" xfId="10893" xr:uid="{565023B0-8686-4C3E-B418-24E86AD9D9FA}"/>
    <cellStyle name="Comma 4 2 2 2 2 2 6 4" xfId="19331" xr:uid="{D50DF45D-98BC-4C87-A411-64C8A93D6A52}"/>
    <cellStyle name="Comma 4 2 2 2 2 2 7" xfId="2379" xr:uid="{00000000-0005-0000-0000-0000B9070000}"/>
    <cellStyle name="Comma 4 2 2 2 2 2 8" xfId="2762" xr:uid="{00000000-0005-0000-0000-0000BA070000}"/>
    <cellStyle name="Comma 4 2 2 2 2 2 8 2" xfId="6986" xr:uid="{00000000-0005-0000-0000-0000BB070000}"/>
    <cellStyle name="Comma 4 2 2 2 2 2 8 2 2" xfId="15428" xr:uid="{CCA143D5-AD45-4043-8636-CF6F211AA3BF}"/>
    <cellStyle name="Comma 4 2 2 2 2 2 8 2 3" xfId="23865" xr:uid="{CF6D5C7D-4D03-47AD-8D14-F8811DD743E2}"/>
    <cellStyle name="Comma 4 2 2 2 2 2 8 3" xfId="11210" xr:uid="{341F5BFB-E6BD-4255-A3CA-8392A06B1FFB}"/>
    <cellStyle name="Comma 4 2 2 2 2 2 8 4" xfId="19648" xr:uid="{8CD241B1-7785-4E37-B0CB-9B67D4DD1272}"/>
    <cellStyle name="Comma 4 2 2 2 2 2 9" xfId="4603" xr:uid="{00000000-0005-0000-0000-0000BC070000}"/>
    <cellStyle name="Comma 4 2 2 2 2 2 9 2" xfId="13045" xr:uid="{677FE478-71C9-4730-A25E-3B956888C365}"/>
    <cellStyle name="Comma 4 2 2 2 2 2 9 3" xfId="21482" xr:uid="{B78CD9A7-B408-4367-AB98-78FEDE3C5445}"/>
    <cellStyle name="Comma 4 2 2 2 2 3" xfId="667" xr:uid="{00000000-0005-0000-0000-0000BD070000}"/>
    <cellStyle name="Comma 4 2 2 2 2 3 2" xfId="2938" xr:uid="{00000000-0005-0000-0000-0000BE070000}"/>
    <cellStyle name="Comma 4 2 2 2 2 3 2 2" xfId="7161" xr:uid="{00000000-0005-0000-0000-0000BF070000}"/>
    <cellStyle name="Comma 4 2 2 2 2 3 2 2 2" xfId="15603" xr:uid="{1327B58A-0691-4236-86FA-7A87E1E04AA6}"/>
    <cellStyle name="Comma 4 2 2 2 2 3 2 2 3" xfId="24040" xr:uid="{DD1338EE-24C2-4DCE-A2DD-15D87589CB63}"/>
    <cellStyle name="Comma 4 2 2 2 2 3 2 3" xfId="11385" xr:uid="{DAA076DD-8873-4E9A-920E-C8F584E853A2}"/>
    <cellStyle name="Comma 4 2 2 2 2 3 2 4" xfId="19823" xr:uid="{7DBE1DB8-C1F6-4598-99D9-2024155C89AA}"/>
    <cellStyle name="Comma 4 2 2 2 2 3 3" xfId="5016" xr:uid="{00000000-0005-0000-0000-0000C0070000}"/>
    <cellStyle name="Comma 4 2 2 2 2 3 3 2" xfId="13458" xr:uid="{A9C12D1D-05AB-4514-B256-87BBB35487A7}"/>
    <cellStyle name="Comma 4 2 2 2 2 3 3 3" xfId="21895" xr:uid="{F1ACD24C-EAEB-4304-B28E-3DFE9A05D270}"/>
    <cellStyle name="Comma 4 2 2 2 2 3 4" xfId="9240" xr:uid="{586FFDE6-BEF4-4A40-917A-1C6F99F11098}"/>
    <cellStyle name="Comma 4 2 2 2 2 3 5" xfId="17678" xr:uid="{BE71E2CB-FE60-45FF-ADBC-200CAE74EA06}"/>
    <cellStyle name="Comma 4 2 2 2 2 4" xfId="1120" xr:uid="{00000000-0005-0000-0000-0000C1070000}"/>
    <cellStyle name="Comma 4 2 2 2 2 4 2" xfId="3351" xr:uid="{00000000-0005-0000-0000-0000C2070000}"/>
    <cellStyle name="Comma 4 2 2 2 2 4 2 2" xfId="7574" xr:uid="{00000000-0005-0000-0000-0000C3070000}"/>
    <cellStyle name="Comma 4 2 2 2 2 4 2 2 2" xfId="16016" xr:uid="{5FA8FD33-358C-4B27-BA00-57E47D447867}"/>
    <cellStyle name="Comma 4 2 2 2 2 4 2 2 3" xfId="24453" xr:uid="{6530BC33-2240-4379-BFFA-AEC5F2AB12DF}"/>
    <cellStyle name="Comma 4 2 2 2 2 4 2 3" xfId="11798" xr:uid="{12B1D360-41A9-423C-8DF8-FF60FBD49365}"/>
    <cellStyle name="Comma 4 2 2 2 2 4 2 4" xfId="20236" xr:uid="{E4BC6C19-8298-4358-8785-CB60761D713D}"/>
    <cellStyle name="Comma 4 2 2 2 2 4 3" xfId="5429" xr:uid="{00000000-0005-0000-0000-0000C4070000}"/>
    <cellStyle name="Comma 4 2 2 2 2 4 3 2" xfId="13871" xr:uid="{F1A10C74-1E03-45F8-AE8E-3F72908AAD3B}"/>
    <cellStyle name="Comma 4 2 2 2 2 4 3 3" xfId="22308" xr:uid="{8E05E824-463B-4C0C-B973-3F7F4EB05A22}"/>
    <cellStyle name="Comma 4 2 2 2 2 4 4" xfId="9653" xr:uid="{19EF7653-3B82-4811-9FC6-779CDEFF9F0A}"/>
    <cellStyle name="Comma 4 2 2 2 2 4 5" xfId="18091" xr:uid="{6BA168B6-E549-44D2-B8EC-572E3A3E4B76}"/>
    <cellStyle name="Comma 4 2 2 2 2 5" xfId="1534" xr:uid="{00000000-0005-0000-0000-0000C5070000}"/>
    <cellStyle name="Comma 4 2 2 2 2 5 2" xfId="3764" xr:uid="{00000000-0005-0000-0000-0000C6070000}"/>
    <cellStyle name="Comma 4 2 2 2 2 5 2 2" xfId="7987" xr:uid="{00000000-0005-0000-0000-0000C7070000}"/>
    <cellStyle name="Comma 4 2 2 2 2 5 2 2 2" xfId="16429" xr:uid="{BF94FCCE-1003-4818-AE00-7AC60CBC1AB8}"/>
    <cellStyle name="Comma 4 2 2 2 2 5 2 2 3" xfId="24866" xr:uid="{401783BB-6B88-49FF-8246-DB6F02460551}"/>
    <cellStyle name="Comma 4 2 2 2 2 5 2 3" xfId="12211" xr:uid="{D42FA444-9768-4BCD-AC9E-A523C7325E11}"/>
    <cellStyle name="Comma 4 2 2 2 2 5 2 4" xfId="20649" xr:uid="{4FB20FBF-6B33-45F4-AFF6-BCDF22BD64A2}"/>
    <cellStyle name="Comma 4 2 2 2 2 5 3" xfId="5842" xr:uid="{00000000-0005-0000-0000-0000C8070000}"/>
    <cellStyle name="Comma 4 2 2 2 2 5 3 2" xfId="14284" xr:uid="{72BAF5C5-CC7A-4B0D-B6F4-80BE178BC72F}"/>
    <cellStyle name="Comma 4 2 2 2 2 5 3 3" xfId="22721" xr:uid="{999BF6CC-E811-4347-8E83-AF84DCC7B98B}"/>
    <cellStyle name="Comma 4 2 2 2 2 5 4" xfId="10066" xr:uid="{730D86FF-1587-4C75-A01D-CB2E364A0322}"/>
    <cellStyle name="Comma 4 2 2 2 2 5 5" xfId="18504" xr:uid="{084F8C9E-A54D-44A0-865C-16061D2BF621}"/>
    <cellStyle name="Comma 4 2 2 2 2 6" xfId="1948" xr:uid="{00000000-0005-0000-0000-0000C9070000}"/>
    <cellStyle name="Comma 4 2 2 2 2 6 2" xfId="4177" xr:uid="{00000000-0005-0000-0000-0000CA070000}"/>
    <cellStyle name="Comma 4 2 2 2 2 6 2 2" xfId="8400" xr:uid="{00000000-0005-0000-0000-0000CB070000}"/>
    <cellStyle name="Comma 4 2 2 2 2 6 2 2 2" xfId="16842" xr:uid="{7B3ADAF5-BF1E-4647-BCA5-C1F1723D0855}"/>
    <cellStyle name="Comma 4 2 2 2 2 6 2 2 3" xfId="25279" xr:uid="{7A381946-0BF0-433A-B9D6-35608C9A24E3}"/>
    <cellStyle name="Comma 4 2 2 2 2 6 2 3" xfId="12624" xr:uid="{E39451EA-DE32-43FE-870A-67810CCA7BD2}"/>
    <cellStyle name="Comma 4 2 2 2 2 6 2 4" xfId="21062" xr:uid="{A4777A49-AF89-4D78-B953-32D2452C37E3}"/>
    <cellStyle name="Comma 4 2 2 2 2 6 3" xfId="6255" xr:uid="{00000000-0005-0000-0000-0000CC070000}"/>
    <cellStyle name="Comma 4 2 2 2 2 6 3 2" xfId="14697" xr:uid="{F69EECD1-A7CB-4182-A44A-CD6C894CF1AB}"/>
    <cellStyle name="Comma 4 2 2 2 2 6 3 3" xfId="23134" xr:uid="{5C49D24A-8EAB-4362-AD29-BBA064D535F7}"/>
    <cellStyle name="Comma 4 2 2 2 2 6 4" xfId="10479" xr:uid="{CF653B84-8AB7-49C3-A1D6-B2FEF0A60A3E}"/>
    <cellStyle name="Comma 4 2 2 2 2 6 5" xfId="18917" xr:uid="{E169ADEE-4734-4A1A-A379-42035E9B1C50}"/>
    <cellStyle name="Comma 4 2 2 2 2 7" xfId="2383" xr:uid="{00000000-0005-0000-0000-0000CD070000}"/>
    <cellStyle name="Comma 4 2 2 2 2 7 2" xfId="6668" xr:uid="{00000000-0005-0000-0000-0000CE070000}"/>
    <cellStyle name="Comma 4 2 2 2 2 7 2 2" xfId="15110" xr:uid="{28756376-2128-4B76-9533-9531FB7BE5C1}"/>
    <cellStyle name="Comma 4 2 2 2 2 7 2 3" xfId="23547" xr:uid="{A16AE7C4-2DAC-47DE-B8D6-7B2A8FA802C7}"/>
    <cellStyle name="Comma 4 2 2 2 2 7 3" xfId="10892" xr:uid="{6DEAA617-A66E-46F0-95E8-5C86C0195F36}"/>
    <cellStyle name="Comma 4 2 2 2 2 7 4" xfId="19330" xr:uid="{A7938762-1759-489B-A3C4-A82F5DA6B2BB}"/>
    <cellStyle name="Comma 4 2 2 2 2 8" xfId="2380" xr:uid="{00000000-0005-0000-0000-0000CF070000}"/>
    <cellStyle name="Comma 4 2 2 2 2 9" xfId="2761" xr:uid="{00000000-0005-0000-0000-0000D0070000}"/>
    <cellStyle name="Comma 4 2 2 2 2 9 2" xfId="6985" xr:uid="{00000000-0005-0000-0000-0000D1070000}"/>
    <cellStyle name="Comma 4 2 2 2 2 9 2 2" xfId="15427" xr:uid="{F11904A9-DA2B-4617-B58D-05096A2CC153}"/>
    <cellStyle name="Comma 4 2 2 2 2 9 2 3" xfId="23864" xr:uid="{8EE62DD4-123D-429C-A861-F08149E3B878}"/>
    <cellStyle name="Comma 4 2 2 2 2 9 3" xfId="11209" xr:uid="{C41C9EE9-0054-4EC2-9B77-2031AB14C4CC}"/>
    <cellStyle name="Comma 4 2 2 2 2 9 4" xfId="19647" xr:uid="{D1B4B77B-6C87-4F10-99F2-3BE4317A84B4}"/>
    <cellStyle name="Comma 4 2 2 2 3" xfId="131" xr:uid="{00000000-0005-0000-0000-0000D2070000}"/>
    <cellStyle name="Comma 4 2 2 2 3 10" xfId="8828" xr:uid="{EEF59E0D-45C6-4E46-933D-1AD08247201A}"/>
    <cellStyle name="Comma 4 2 2 2 3 11" xfId="17266" xr:uid="{BEA6FD02-A648-4BC9-B15E-707C405C03FA}"/>
    <cellStyle name="Comma 4 2 2 2 3 2" xfId="669" xr:uid="{00000000-0005-0000-0000-0000D3070000}"/>
    <cellStyle name="Comma 4 2 2 2 3 2 2" xfId="2940" xr:uid="{00000000-0005-0000-0000-0000D4070000}"/>
    <cellStyle name="Comma 4 2 2 2 3 2 2 2" xfId="7163" xr:uid="{00000000-0005-0000-0000-0000D5070000}"/>
    <cellStyle name="Comma 4 2 2 2 3 2 2 2 2" xfId="15605" xr:uid="{FA0F3E2A-69A0-4911-B107-59D66322C3A0}"/>
    <cellStyle name="Comma 4 2 2 2 3 2 2 2 3" xfId="24042" xr:uid="{BC64CA30-35EF-4F7E-8EE5-18C80AB04788}"/>
    <cellStyle name="Comma 4 2 2 2 3 2 2 3" xfId="11387" xr:uid="{25A3B912-1C3B-4ADD-A4EC-1C14BE6FE193}"/>
    <cellStyle name="Comma 4 2 2 2 3 2 2 4" xfId="19825" xr:uid="{03D973EB-A903-4133-B0C3-B884EB2258B8}"/>
    <cellStyle name="Comma 4 2 2 2 3 2 3" xfId="5018" xr:uid="{00000000-0005-0000-0000-0000D6070000}"/>
    <cellStyle name="Comma 4 2 2 2 3 2 3 2" xfId="13460" xr:uid="{168FC561-B23F-4FDC-BCC4-73C06D8ABBCE}"/>
    <cellStyle name="Comma 4 2 2 2 3 2 3 3" xfId="21897" xr:uid="{A391BCE2-5453-46C2-AD0F-40D1C8C0F953}"/>
    <cellStyle name="Comma 4 2 2 2 3 2 4" xfId="9242" xr:uid="{536E79CC-D775-4228-9EEF-FE27E15C4365}"/>
    <cellStyle name="Comma 4 2 2 2 3 2 5" xfId="17680" xr:uid="{F862892F-219F-4ECD-BC2A-8FCB10792031}"/>
    <cellStyle name="Comma 4 2 2 2 3 3" xfId="1122" xr:uid="{00000000-0005-0000-0000-0000D7070000}"/>
    <cellStyle name="Comma 4 2 2 2 3 3 2" xfId="3353" xr:uid="{00000000-0005-0000-0000-0000D8070000}"/>
    <cellStyle name="Comma 4 2 2 2 3 3 2 2" xfId="7576" xr:uid="{00000000-0005-0000-0000-0000D9070000}"/>
    <cellStyle name="Comma 4 2 2 2 3 3 2 2 2" xfId="16018" xr:uid="{7485798D-C4C1-44F5-B958-9851CDE0752A}"/>
    <cellStyle name="Comma 4 2 2 2 3 3 2 2 3" xfId="24455" xr:uid="{5AB7323F-8B79-4655-9DCB-42AAA8F9BD40}"/>
    <cellStyle name="Comma 4 2 2 2 3 3 2 3" xfId="11800" xr:uid="{F048226E-3898-4864-8693-0C807CD8F538}"/>
    <cellStyle name="Comma 4 2 2 2 3 3 2 4" xfId="20238" xr:uid="{2355D08A-43AA-46F5-A2E5-843B57830DBD}"/>
    <cellStyle name="Comma 4 2 2 2 3 3 3" xfId="5431" xr:uid="{00000000-0005-0000-0000-0000DA070000}"/>
    <cellStyle name="Comma 4 2 2 2 3 3 3 2" xfId="13873" xr:uid="{22F71AD6-69F3-4664-8503-8FC7BAC531BB}"/>
    <cellStyle name="Comma 4 2 2 2 3 3 3 3" xfId="22310" xr:uid="{7DD5BA77-D787-49FB-83AC-BC447A12DBD0}"/>
    <cellStyle name="Comma 4 2 2 2 3 3 4" xfId="9655" xr:uid="{BCB525A6-3C08-4351-A292-0CAB23209E21}"/>
    <cellStyle name="Comma 4 2 2 2 3 3 5" xfId="18093" xr:uid="{C77886B9-D9D5-4624-BD2E-06A6F44A805E}"/>
    <cellStyle name="Comma 4 2 2 2 3 4" xfId="1536" xr:uid="{00000000-0005-0000-0000-0000DB070000}"/>
    <cellStyle name="Comma 4 2 2 2 3 4 2" xfId="3766" xr:uid="{00000000-0005-0000-0000-0000DC070000}"/>
    <cellStyle name="Comma 4 2 2 2 3 4 2 2" xfId="7989" xr:uid="{00000000-0005-0000-0000-0000DD070000}"/>
    <cellStyle name="Comma 4 2 2 2 3 4 2 2 2" xfId="16431" xr:uid="{C5A4C221-F67F-437C-A28B-765E919F0039}"/>
    <cellStyle name="Comma 4 2 2 2 3 4 2 2 3" xfId="24868" xr:uid="{4CE71955-18C0-459D-8C57-C97989923515}"/>
    <cellStyle name="Comma 4 2 2 2 3 4 2 3" xfId="12213" xr:uid="{66CCD0C8-AC2C-45B7-80DF-18E4E31DB976}"/>
    <cellStyle name="Comma 4 2 2 2 3 4 2 4" xfId="20651" xr:uid="{EEA284FF-231A-4295-828A-FB5A9E059C02}"/>
    <cellStyle name="Comma 4 2 2 2 3 4 3" xfId="5844" xr:uid="{00000000-0005-0000-0000-0000DE070000}"/>
    <cellStyle name="Comma 4 2 2 2 3 4 3 2" xfId="14286" xr:uid="{ED28B652-5457-4A6A-ADC4-CCF6A66B4F7F}"/>
    <cellStyle name="Comma 4 2 2 2 3 4 3 3" xfId="22723" xr:uid="{55B9F2A6-9D81-497E-BAB2-43068CBDD479}"/>
    <cellStyle name="Comma 4 2 2 2 3 4 4" xfId="10068" xr:uid="{5F305B77-741A-47B6-ABC6-23D78162C53F}"/>
    <cellStyle name="Comma 4 2 2 2 3 4 5" xfId="18506" xr:uid="{1B92CD52-05EF-4541-8699-73DD090F38C0}"/>
    <cellStyle name="Comma 4 2 2 2 3 5" xfId="1950" xr:uid="{00000000-0005-0000-0000-0000DF070000}"/>
    <cellStyle name="Comma 4 2 2 2 3 5 2" xfId="4179" xr:uid="{00000000-0005-0000-0000-0000E0070000}"/>
    <cellStyle name="Comma 4 2 2 2 3 5 2 2" xfId="8402" xr:uid="{00000000-0005-0000-0000-0000E1070000}"/>
    <cellStyle name="Comma 4 2 2 2 3 5 2 2 2" xfId="16844" xr:uid="{2188B2A2-65C7-43DD-9FF2-1D809D6D733A}"/>
    <cellStyle name="Comma 4 2 2 2 3 5 2 2 3" xfId="25281" xr:uid="{F9BDB7AC-F6D0-47E4-BE58-ECB62910C39D}"/>
    <cellStyle name="Comma 4 2 2 2 3 5 2 3" xfId="12626" xr:uid="{40D99D72-3817-4E00-85BC-F90C84477A1C}"/>
    <cellStyle name="Comma 4 2 2 2 3 5 2 4" xfId="21064" xr:uid="{1A205D78-9686-4ACB-99B7-8C271C32F58C}"/>
    <cellStyle name="Comma 4 2 2 2 3 5 3" xfId="6257" xr:uid="{00000000-0005-0000-0000-0000E2070000}"/>
    <cellStyle name="Comma 4 2 2 2 3 5 3 2" xfId="14699" xr:uid="{36ABFC7F-B060-42F6-A6B8-DD3A73A35732}"/>
    <cellStyle name="Comma 4 2 2 2 3 5 3 3" xfId="23136" xr:uid="{0277B0DC-F0C4-4AFF-9DB0-0815A0F014B9}"/>
    <cellStyle name="Comma 4 2 2 2 3 5 4" xfId="10481" xr:uid="{728FC3AF-262C-4BB2-81A2-5DDB38498FD9}"/>
    <cellStyle name="Comma 4 2 2 2 3 5 5" xfId="18919" xr:uid="{33689DD2-2753-4E9D-A291-2A72F433C997}"/>
    <cellStyle name="Comma 4 2 2 2 3 6" xfId="2385" xr:uid="{00000000-0005-0000-0000-0000E3070000}"/>
    <cellStyle name="Comma 4 2 2 2 3 6 2" xfId="6670" xr:uid="{00000000-0005-0000-0000-0000E4070000}"/>
    <cellStyle name="Comma 4 2 2 2 3 6 2 2" xfId="15112" xr:uid="{99878768-D485-4675-AA9B-7EB602AB9C9F}"/>
    <cellStyle name="Comma 4 2 2 2 3 6 2 3" xfId="23549" xr:uid="{03CA3AE2-DD97-4E2C-80FC-84F4A6D1745A}"/>
    <cellStyle name="Comma 4 2 2 2 3 6 3" xfId="10894" xr:uid="{AE4F54D2-4C8E-4D42-B09E-A4E312FB3AED}"/>
    <cellStyle name="Comma 4 2 2 2 3 6 4" xfId="19332" xr:uid="{F4024742-3343-44CD-94C9-33ABA0339BBA}"/>
    <cellStyle name="Comma 4 2 2 2 3 7" xfId="2378" xr:uid="{00000000-0005-0000-0000-0000E5070000}"/>
    <cellStyle name="Comma 4 2 2 2 3 8" xfId="2763" xr:uid="{00000000-0005-0000-0000-0000E6070000}"/>
    <cellStyle name="Comma 4 2 2 2 3 8 2" xfId="6987" xr:uid="{00000000-0005-0000-0000-0000E7070000}"/>
    <cellStyle name="Comma 4 2 2 2 3 8 2 2" xfId="15429" xr:uid="{B8162A07-8C19-48D8-9BC5-9536039CFB37}"/>
    <cellStyle name="Comma 4 2 2 2 3 8 2 3" xfId="23866" xr:uid="{5A9ED2C0-60B0-4884-89CD-D0156807BC21}"/>
    <cellStyle name="Comma 4 2 2 2 3 8 3" xfId="11211" xr:uid="{C53FFF3C-0E16-41D9-A7D2-6DF5054822CD}"/>
    <cellStyle name="Comma 4 2 2 2 3 8 4" xfId="19649" xr:uid="{A73F0FBC-DDE1-4994-9CC9-B7E5CEE34E96}"/>
    <cellStyle name="Comma 4 2 2 2 3 9" xfId="4604" xr:uid="{00000000-0005-0000-0000-0000E8070000}"/>
    <cellStyle name="Comma 4 2 2 2 3 9 2" xfId="13046" xr:uid="{8EF8121D-6881-4273-8F94-C9E0065AC7BF}"/>
    <cellStyle name="Comma 4 2 2 2 3 9 3" xfId="21483" xr:uid="{72B71FEB-3190-4130-8135-1F9A0ACA1DCA}"/>
    <cellStyle name="Comma 4 2 2 2 4" xfId="666" xr:uid="{00000000-0005-0000-0000-0000E9070000}"/>
    <cellStyle name="Comma 4 2 2 2 4 2" xfId="2937" xr:uid="{00000000-0005-0000-0000-0000EA070000}"/>
    <cellStyle name="Comma 4 2 2 2 4 2 2" xfId="7160" xr:uid="{00000000-0005-0000-0000-0000EB070000}"/>
    <cellStyle name="Comma 4 2 2 2 4 2 2 2" xfId="15602" xr:uid="{63FB211E-AE44-476D-A6A6-490DF74745F9}"/>
    <cellStyle name="Comma 4 2 2 2 4 2 2 3" xfId="24039" xr:uid="{336BE537-133D-4B11-BDBA-3B9AC43B004C}"/>
    <cellStyle name="Comma 4 2 2 2 4 2 3" xfId="11384" xr:uid="{B5C599C5-9E42-4FB9-97F2-D1E19D364F27}"/>
    <cellStyle name="Comma 4 2 2 2 4 2 4" xfId="19822" xr:uid="{9FCE0D19-2488-44F7-B0AA-99B40E6B2847}"/>
    <cellStyle name="Comma 4 2 2 2 4 3" xfId="5015" xr:uid="{00000000-0005-0000-0000-0000EC070000}"/>
    <cellStyle name="Comma 4 2 2 2 4 3 2" xfId="13457" xr:uid="{655A0EBA-1197-4C64-A476-0D2F47CEC5A2}"/>
    <cellStyle name="Comma 4 2 2 2 4 3 3" xfId="21894" xr:uid="{BA10A2DB-B914-4297-85D8-6F700F257FDF}"/>
    <cellStyle name="Comma 4 2 2 2 4 4" xfId="9239" xr:uid="{707B6312-E36E-4F8D-ACDA-37A621A64378}"/>
    <cellStyle name="Comma 4 2 2 2 4 5" xfId="17677" xr:uid="{E6E0F0F2-6648-424C-AD8A-0993A4EA1F33}"/>
    <cellStyle name="Comma 4 2 2 2 5" xfId="1119" xr:uid="{00000000-0005-0000-0000-0000ED070000}"/>
    <cellStyle name="Comma 4 2 2 2 5 2" xfId="3350" xr:uid="{00000000-0005-0000-0000-0000EE070000}"/>
    <cellStyle name="Comma 4 2 2 2 5 2 2" xfId="7573" xr:uid="{00000000-0005-0000-0000-0000EF070000}"/>
    <cellStyle name="Comma 4 2 2 2 5 2 2 2" xfId="16015" xr:uid="{E20A19EC-2E85-4A13-9CBE-91DB3BBA0009}"/>
    <cellStyle name="Comma 4 2 2 2 5 2 2 3" xfId="24452" xr:uid="{5C3D0654-65AB-450B-912A-E3B97BE568F4}"/>
    <cellStyle name="Comma 4 2 2 2 5 2 3" xfId="11797" xr:uid="{52BC723B-4240-43F7-A9D5-A86BDDD5F2D6}"/>
    <cellStyle name="Comma 4 2 2 2 5 2 4" xfId="20235" xr:uid="{FBEB14EA-E384-4174-B7A8-B31CBE8A0CCA}"/>
    <cellStyle name="Comma 4 2 2 2 5 3" xfId="5428" xr:uid="{00000000-0005-0000-0000-0000F0070000}"/>
    <cellStyle name="Comma 4 2 2 2 5 3 2" xfId="13870" xr:uid="{99D39308-A25B-4E05-80C5-F21F10449C14}"/>
    <cellStyle name="Comma 4 2 2 2 5 3 3" xfId="22307" xr:uid="{1D99BE11-E85F-4540-B371-40864AC782E9}"/>
    <cellStyle name="Comma 4 2 2 2 5 4" xfId="9652" xr:uid="{81B4A529-2BDF-49AF-8887-F826B44BD27F}"/>
    <cellStyle name="Comma 4 2 2 2 5 5" xfId="18090" xr:uid="{84D0E96F-7D57-4A90-B3D0-CD6778167471}"/>
    <cellStyle name="Comma 4 2 2 2 6" xfId="1533" xr:uid="{00000000-0005-0000-0000-0000F1070000}"/>
    <cellStyle name="Comma 4 2 2 2 6 2" xfId="3763" xr:uid="{00000000-0005-0000-0000-0000F2070000}"/>
    <cellStyle name="Comma 4 2 2 2 6 2 2" xfId="7986" xr:uid="{00000000-0005-0000-0000-0000F3070000}"/>
    <cellStyle name="Comma 4 2 2 2 6 2 2 2" xfId="16428" xr:uid="{E16C767E-9037-4AE1-A431-D337F7B91759}"/>
    <cellStyle name="Comma 4 2 2 2 6 2 2 3" xfId="24865" xr:uid="{289BA740-19DE-4873-8F10-51A49897B0A5}"/>
    <cellStyle name="Comma 4 2 2 2 6 2 3" xfId="12210" xr:uid="{62F772D2-4B66-4C89-B2B4-726D2B2B490C}"/>
    <cellStyle name="Comma 4 2 2 2 6 2 4" xfId="20648" xr:uid="{D2E4F8A0-A0DC-4B83-B589-B5BC5DC91675}"/>
    <cellStyle name="Comma 4 2 2 2 6 3" xfId="5841" xr:uid="{00000000-0005-0000-0000-0000F4070000}"/>
    <cellStyle name="Comma 4 2 2 2 6 3 2" xfId="14283" xr:uid="{D346C333-095A-4D35-A15F-EB677F7DD9B8}"/>
    <cellStyle name="Comma 4 2 2 2 6 3 3" xfId="22720" xr:uid="{1B585E7D-2EF9-4D86-BF77-C0DDF9D3FC55}"/>
    <cellStyle name="Comma 4 2 2 2 6 4" xfId="10065" xr:uid="{29253712-65DB-4F54-88FD-B9C12D80DE68}"/>
    <cellStyle name="Comma 4 2 2 2 6 5" xfId="18503" xr:uid="{C8BB5FA1-4CEA-4C06-B65B-2D5FB48475AF}"/>
    <cellStyle name="Comma 4 2 2 2 7" xfId="1947" xr:uid="{00000000-0005-0000-0000-0000F5070000}"/>
    <cellStyle name="Comma 4 2 2 2 7 2" xfId="4176" xr:uid="{00000000-0005-0000-0000-0000F6070000}"/>
    <cellStyle name="Comma 4 2 2 2 7 2 2" xfId="8399" xr:uid="{00000000-0005-0000-0000-0000F7070000}"/>
    <cellStyle name="Comma 4 2 2 2 7 2 2 2" xfId="16841" xr:uid="{499E872B-119A-411D-A526-5574252B7E06}"/>
    <cellStyle name="Comma 4 2 2 2 7 2 2 3" xfId="25278" xr:uid="{E04EC154-EC63-46A9-A481-72322C6EB47D}"/>
    <cellStyle name="Comma 4 2 2 2 7 2 3" xfId="12623" xr:uid="{21395ACB-F1FC-4860-A304-B337E09D534A}"/>
    <cellStyle name="Comma 4 2 2 2 7 2 4" xfId="21061" xr:uid="{318F3EFE-3303-4ABE-9184-E3E0C268891E}"/>
    <cellStyle name="Comma 4 2 2 2 7 3" xfId="6254" xr:uid="{00000000-0005-0000-0000-0000F8070000}"/>
    <cellStyle name="Comma 4 2 2 2 7 3 2" xfId="14696" xr:uid="{635A627D-D9A9-4FCC-983F-25C21F906A71}"/>
    <cellStyle name="Comma 4 2 2 2 7 3 3" xfId="23133" xr:uid="{0FD3B383-D190-486A-BD2A-83049F967A0C}"/>
    <cellStyle name="Comma 4 2 2 2 7 4" xfId="10478" xr:uid="{2DCA792A-8AEB-4F9C-A657-31BC5E30F847}"/>
    <cellStyle name="Comma 4 2 2 2 7 5" xfId="18916" xr:uid="{DAF8ABE4-8754-4EC4-AC24-5B0E0351FB4B}"/>
    <cellStyle name="Comma 4 2 2 2 8" xfId="2382" xr:uid="{00000000-0005-0000-0000-0000F9070000}"/>
    <cellStyle name="Comma 4 2 2 2 8 2" xfId="6667" xr:uid="{00000000-0005-0000-0000-0000FA070000}"/>
    <cellStyle name="Comma 4 2 2 2 8 2 2" xfId="15109" xr:uid="{58D9F278-9A27-429E-BC6C-838EA9C5567E}"/>
    <cellStyle name="Comma 4 2 2 2 8 2 3" xfId="23546" xr:uid="{0D0F79DF-3AED-471E-85B3-633746887F28}"/>
    <cellStyle name="Comma 4 2 2 2 8 3" xfId="10891" xr:uid="{DAC5B5C4-318E-4F16-9B49-F5FE3E7B845A}"/>
    <cellStyle name="Comma 4 2 2 2 8 4" xfId="19329" xr:uid="{5DA02D94-94CC-4E33-AFF0-CAD697CA32FC}"/>
    <cellStyle name="Comma 4 2 2 2 9" xfId="2381" xr:uid="{00000000-0005-0000-0000-0000FB070000}"/>
    <cellStyle name="Comma 4 2 2 3" xfId="132" xr:uid="{00000000-0005-0000-0000-0000FC070000}"/>
    <cellStyle name="Comma 4 2 2 3 10" xfId="4605" xr:uid="{00000000-0005-0000-0000-0000FD070000}"/>
    <cellStyle name="Comma 4 2 2 3 10 2" xfId="13047" xr:uid="{96341110-6A7A-4C4F-B1B1-EF82AD0A3EF5}"/>
    <cellStyle name="Comma 4 2 2 3 10 3" xfId="21484" xr:uid="{7FE4BD28-FBC5-4992-9217-0686A531C052}"/>
    <cellStyle name="Comma 4 2 2 3 11" xfId="8829" xr:uid="{DA1EA6A1-9524-432D-B054-D891D145DEBD}"/>
    <cellStyle name="Comma 4 2 2 3 12" xfId="17267" xr:uid="{68E5750C-34C1-4882-963A-A35657D8EB26}"/>
    <cellStyle name="Comma 4 2 2 3 2" xfId="133" xr:uid="{00000000-0005-0000-0000-0000FE070000}"/>
    <cellStyle name="Comma 4 2 2 3 2 10" xfId="8830" xr:uid="{F11D4AE9-91AE-46D3-9951-77AC66B4F391}"/>
    <cellStyle name="Comma 4 2 2 3 2 11" xfId="17268" xr:uid="{DDAD8B93-C05B-4FAB-921B-6480D35A73FC}"/>
    <cellStyle name="Comma 4 2 2 3 2 2" xfId="671" xr:uid="{00000000-0005-0000-0000-0000FF070000}"/>
    <cellStyle name="Comma 4 2 2 3 2 2 2" xfId="2942" xr:uid="{00000000-0005-0000-0000-000000080000}"/>
    <cellStyle name="Comma 4 2 2 3 2 2 2 2" xfId="7165" xr:uid="{00000000-0005-0000-0000-000001080000}"/>
    <cellStyle name="Comma 4 2 2 3 2 2 2 2 2" xfId="15607" xr:uid="{11BDA5B0-4087-4ECC-AEB3-3ADDA745A627}"/>
    <cellStyle name="Comma 4 2 2 3 2 2 2 2 3" xfId="24044" xr:uid="{1CE2BC77-61D3-4713-8EB3-88913CDB3EB3}"/>
    <cellStyle name="Comma 4 2 2 3 2 2 2 3" xfId="11389" xr:uid="{6ED9F152-594B-42D5-B372-11425ED92A25}"/>
    <cellStyle name="Comma 4 2 2 3 2 2 2 4" xfId="19827" xr:uid="{D7711224-F128-4891-8C01-AC1638131E88}"/>
    <cellStyle name="Comma 4 2 2 3 2 2 3" xfId="5020" xr:uid="{00000000-0005-0000-0000-000002080000}"/>
    <cellStyle name="Comma 4 2 2 3 2 2 3 2" xfId="13462" xr:uid="{659AF23F-A805-4227-97EA-F92450C2877F}"/>
    <cellStyle name="Comma 4 2 2 3 2 2 3 3" xfId="21899" xr:uid="{1E42B06C-6DE1-45F0-BBB7-333C373DCB21}"/>
    <cellStyle name="Comma 4 2 2 3 2 2 4" xfId="9244" xr:uid="{E7A7EB3C-DBC9-41C3-A9C3-B782A7CADA34}"/>
    <cellStyle name="Comma 4 2 2 3 2 2 5" xfId="17682" xr:uid="{733D5856-878A-4130-A2EA-1BA7C827631B}"/>
    <cellStyle name="Comma 4 2 2 3 2 3" xfId="1124" xr:uid="{00000000-0005-0000-0000-000003080000}"/>
    <cellStyle name="Comma 4 2 2 3 2 3 2" xfId="3355" xr:uid="{00000000-0005-0000-0000-000004080000}"/>
    <cellStyle name="Comma 4 2 2 3 2 3 2 2" xfId="7578" xr:uid="{00000000-0005-0000-0000-000005080000}"/>
    <cellStyle name="Comma 4 2 2 3 2 3 2 2 2" xfId="16020" xr:uid="{A5E3D4F0-E332-404B-8596-BA6A6E987296}"/>
    <cellStyle name="Comma 4 2 2 3 2 3 2 2 3" xfId="24457" xr:uid="{71EE9B6F-E5F5-4A94-BDF4-4651C894D54F}"/>
    <cellStyle name="Comma 4 2 2 3 2 3 2 3" xfId="11802" xr:uid="{D62DAE80-EB2D-4919-8B64-614059C1C87D}"/>
    <cellStyle name="Comma 4 2 2 3 2 3 2 4" xfId="20240" xr:uid="{26CB87B1-ABBD-4801-9A35-C58F071B4C33}"/>
    <cellStyle name="Comma 4 2 2 3 2 3 3" xfId="5433" xr:uid="{00000000-0005-0000-0000-000006080000}"/>
    <cellStyle name="Comma 4 2 2 3 2 3 3 2" xfId="13875" xr:uid="{D7F28C88-6228-4B9D-B12B-082B42295E28}"/>
    <cellStyle name="Comma 4 2 2 3 2 3 3 3" xfId="22312" xr:uid="{E7001119-E86E-4498-8D01-66AAE69902EB}"/>
    <cellStyle name="Comma 4 2 2 3 2 3 4" xfId="9657" xr:uid="{20931CD9-2B2E-44B0-891D-D513698ECAF7}"/>
    <cellStyle name="Comma 4 2 2 3 2 3 5" xfId="18095" xr:uid="{9E987A8D-8386-4980-B251-4E1F30029BC5}"/>
    <cellStyle name="Comma 4 2 2 3 2 4" xfId="1538" xr:uid="{00000000-0005-0000-0000-000007080000}"/>
    <cellStyle name="Comma 4 2 2 3 2 4 2" xfId="3768" xr:uid="{00000000-0005-0000-0000-000008080000}"/>
    <cellStyle name="Comma 4 2 2 3 2 4 2 2" xfId="7991" xr:uid="{00000000-0005-0000-0000-000009080000}"/>
    <cellStyle name="Comma 4 2 2 3 2 4 2 2 2" xfId="16433" xr:uid="{2AEA343B-8320-4C71-AD6F-88167F05FDFE}"/>
    <cellStyle name="Comma 4 2 2 3 2 4 2 2 3" xfId="24870" xr:uid="{97A08F37-F0AC-44EF-A948-36C9B3D54099}"/>
    <cellStyle name="Comma 4 2 2 3 2 4 2 3" xfId="12215" xr:uid="{0977CAD2-5B93-4B64-989C-DDC200640359}"/>
    <cellStyle name="Comma 4 2 2 3 2 4 2 4" xfId="20653" xr:uid="{11A9B666-3A16-4A67-82E1-8035322B676A}"/>
    <cellStyle name="Comma 4 2 2 3 2 4 3" xfId="5846" xr:uid="{00000000-0005-0000-0000-00000A080000}"/>
    <cellStyle name="Comma 4 2 2 3 2 4 3 2" xfId="14288" xr:uid="{A3B73025-995D-4267-A593-7DCA02BABE4E}"/>
    <cellStyle name="Comma 4 2 2 3 2 4 3 3" xfId="22725" xr:uid="{2B795652-F4DD-4755-A94A-D7FEA48B3B84}"/>
    <cellStyle name="Comma 4 2 2 3 2 4 4" xfId="10070" xr:uid="{BDE05ABE-B558-4574-9695-780F117DF739}"/>
    <cellStyle name="Comma 4 2 2 3 2 4 5" xfId="18508" xr:uid="{E6F9C4C9-5997-4A58-BB75-2EFC26C6C68C}"/>
    <cellStyle name="Comma 4 2 2 3 2 5" xfId="1952" xr:uid="{00000000-0005-0000-0000-00000B080000}"/>
    <cellStyle name="Comma 4 2 2 3 2 5 2" xfId="4181" xr:uid="{00000000-0005-0000-0000-00000C080000}"/>
    <cellStyle name="Comma 4 2 2 3 2 5 2 2" xfId="8404" xr:uid="{00000000-0005-0000-0000-00000D080000}"/>
    <cellStyle name="Comma 4 2 2 3 2 5 2 2 2" xfId="16846" xr:uid="{43CA812C-1778-4C96-A30B-EA7255761379}"/>
    <cellStyle name="Comma 4 2 2 3 2 5 2 2 3" xfId="25283" xr:uid="{3A4EB7B8-766C-4682-A64D-525CC5AC1390}"/>
    <cellStyle name="Comma 4 2 2 3 2 5 2 3" xfId="12628" xr:uid="{191E8DB7-0878-4C02-9121-D810FBE94F99}"/>
    <cellStyle name="Comma 4 2 2 3 2 5 2 4" xfId="21066" xr:uid="{5EB99D6C-E92A-41A1-9A25-4310671802C3}"/>
    <cellStyle name="Comma 4 2 2 3 2 5 3" xfId="6259" xr:uid="{00000000-0005-0000-0000-00000E080000}"/>
    <cellStyle name="Comma 4 2 2 3 2 5 3 2" xfId="14701" xr:uid="{98FFF517-D675-4211-BA72-B37EAEA1F015}"/>
    <cellStyle name="Comma 4 2 2 3 2 5 3 3" xfId="23138" xr:uid="{A0874803-6E0E-4CBA-A525-D699D9BF7160}"/>
    <cellStyle name="Comma 4 2 2 3 2 5 4" xfId="10483" xr:uid="{2DA6FB19-01A8-436A-8376-955C953EE758}"/>
    <cellStyle name="Comma 4 2 2 3 2 5 5" xfId="18921" xr:uid="{2216FDC4-E65B-4DE4-A805-13F30D36BAA7}"/>
    <cellStyle name="Comma 4 2 2 3 2 6" xfId="2387" xr:uid="{00000000-0005-0000-0000-00000F080000}"/>
    <cellStyle name="Comma 4 2 2 3 2 6 2" xfId="6672" xr:uid="{00000000-0005-0000-0000-000010080000}"/>
    <cellStyle name="Comma 4 2 2 3 2 6 2 2" xfId="15114" xr:uid="{EF8F87B6-A4F1-4CAD-B528-7AA8A97833A3}"/>
    <cellStyle name="Comma 4 2 2 3 2 6 2 3" xfId="23551" xr:uid="{4FDE31FE-CDED-4DD7-B666-2C133DEBB23A}"/>
    <cellStyle name="Comma 4 2 2 3 2 6 3" xfId="10896" xr:uid="{056CCB2A-4483-4E87-A2A8-BE655A2F4BA5}"/>
    <cellStyle name="Comma 4 2 2 3 2 6 4" xfId="19334" xr:uid="{59493373-B26F-42A9-BA56-AC4C9056492E}"/>
    <cellStyle name="Comma 4 2 2 3 2 7" xfId="2376" xr:uid="{00000000-0005-0000-0000-000011080000}"/>
    <cellStyle name="Comma 4 2 2 3 2 8" xfId="2765" xr:uid="{00000000-0005-0000-0000-000012080000}"/>
    <cellStyle name="Comma 4 2 2 3 2 8 2" xfId="6989" xr:uid="{00000000-0005-0000-0000-000013080000}"/>
    <cellStyle name="Comma 4 2 2 3 2 8 2 2" xfId="15431" xr:uid="{53BF2B17-136B-47E2-8369-AB47E349F843}"/>
    <cellStyle name="Comma 4 2 2 3 2 8 2 3" xfId="23868" xr:uid="{2E9C5EFD-7DBF-4374-98FE-DBDC51DA3017}"/>
    <cellStyle name="Comma 4 2 2 3 2 8 3" xfId="11213" xr:uid="{D09D4D3D-3D0A-4E78-A6CD-ADC28C8646E2}"/>
    <cellStyle name="Comma 4 2 2 3 2 8 4" xfId="19651" xr:uid="{4FEBB682-A2CB-4933-97BA-2C2027B23F87}"/>
    <cellStyle name="Comma 4 2 2 3 2 9" xfId="4606" xr:uid="{00000000-0005-0000-0000-000014080000}"/>
    <cellStyle name="Comma 4 2 2 3 2 9 2" xfId="13048" xr:uid="{3EDB3EDD-F4B9-4E5E-8596-3A8AF0D00C45}"/>
    <cellStyle name="Comma 4 2 2 3 2 9 3" xfId="21485" xr:uid="{7E4B2E73-D9D7-41C7-893E-A9E7A9BFC2B6}"/>
    <cellStyle name="Comma 4 2 2 3 3" xfId="670" xr:uid="{00000000-0005-0000-0000-000015080000}"/>
    <cellStyle name="Comma 4 2 2 3 3 2" xfId="2941" xr:uid="{00000000-0005-0000-0000-000016080000}"/>
    <cellStyle name="Comma 4 2 2 3 3 2 2" xfId="7164" xr:uid="{00000000-0005-0000-0000-000017080000}"/>
    <cellStyle name="Comma 4 2 2 3 3 2 2 2" xfId="15606" xr:uid="{661D9D64-0DEC-448E-8475-955DDD38654E}"/>
    <cellStyle name="Comma 4 2 2 3 3 2 2 3" xfId="24043" xr:uid="{A3A7F8C3-7848-4D5B-99EB-D9A9579015C8}"/>
    <cellStyle name="Comma 4 2 2 3 3 2 3" xfId="11388" xr:uid="{127D054B-F1BE-4E21-9BB7-3CFCEF3ECE6E}"/>
    <cellStyle name="Comma 4 2 2 3 3 2 4" xfId="19826" xr:uid="{A0628D60-B300-4EFB-84E3-72CC042B2D76}"/>
    <cellStyle name="Comma 4 2 2 3 3 3" xfId="5019" xr:uid="{00000000-0005-0000-0000-000018080000}"/>
    <cellStyle name="Comma 4 2 2 3 3 3 2" xfId="13461" xr:uid="{624663F7-851A-4CAD-B0BC-6BFC29BFACE5}"/>
    <cellStyle name="Comma 4 2 2 3 3 3 3" xfId="21898" xr:uid="{51797FD5-7918-4D79-9C61-4CDF71D44358}"/>
    <cellStyle name="Comma 4 2 2 3 3 4" xfId="9243" xr:uid="{786BB9B9-43BC-4D0E-9606-9C8C8363136C}"/>
    <cellStyle name="Comma 4 2 2 3 3 5" xfId="17681" xr:uid="{EFB7A9C4-B902-433F-AFFB-A56CFCFE9B17}"/>
    <cellStyle name="Comma 4 2 2 3 4" xfId="1123" xr:uid="{00000000-0005-0000-0000-000019080000}"/>
    <cellStyle name="Comma 4 2 2 3 4 2" xfId="3354" xr:uid="{00000000-0005-0000-0000-00001A080000}"/>
    <cellStyle name="Comma 4 2 2 3 4 2 2" xfId="7577" xr:uid="{00000000-0005-0000-0000-00001B080000}"/>
    <cellStyle name="Comma 4 2 2 3 4 2 2 2" xfId="16019" xr:uid="{169A7229-50C5-421E-A36C-09AD43C270A0}"/>
    <cellStyle name="Comma 4 2 2 3 4 2 2 3" xfId="24456" xr:uid="{D3DB5F8A-E704-4FE9-B182-3629DB92D3D3}"/>
    <cellStyle name="Comma 4 2 2 3 4 2 3" xfId="11801" xr:uid="{9C2D4A44-5139-40A8-AC48-31BD847DDA7D}"/>
    <cellStyle name="Comma 4 2 2 3 4 2 4" xfId="20239" xr:uid="{B6AE86E0-D8ED-4DD8-A1BA-05AAC628E524}"/>
    <cellStyle name="Comma 4 2 2 3 4 3" xfId="5432" xr:uid="{00000000-0005-0000-0000-00001C080000}"/>
    <cellStyle name="Comma 4 2 2 3 4 3 2" xfId="13874" xr:uid="{BC3CF977-139E-41F8-A5D4-7701CD6D40B3}"/>
    <cellStyle name="Comma 4 2 2 3 4 3 3" xfId="22311" xr:uid="{C3F84872-97A9-41CA-A7BA-BB9CB6C48DE7}"/>
    <cellStyle name="Comma 4 2 2 3 4 4" xfId="9656" xr:uid="{03815A4C-D526-4ACE-B45F-4F9382173DE1}"/>
    <cellStyle name="Comma 4 2 2 3 4 5" xfId="18094" xr:uid="{CAA2A484-E13C-413A-9EC9-ACE7DA839657}"/>
    <cellStyle name="Comma 4 2 2 3 5" xfId="1537" xr:uid="{00000000-0005-0000-0000-00001D080000}"/>
    <cellStyle name="Comma 4 2 2 3 5 2" xfId="3767" xr:uid="{00000000-0005-0000-0000-00001E080000}"/>
    <cellStyle name="Comma 4 2 2 3 5 2 2" xfId="7990" xr:uid="{00000000-0005-0000-0000-00001F080000}"/>
    <cellStyle name="Comma 4 2 2 3 5 2 2 2" xfId="16432" xr:uid="{360E32D2-644F-4A8F-A4C6-390E32877307}"/>
    <cellStyle name="Comma 4 2 2 3 5 2 2 3" xfId="24869" xr:uid="{268060B4-6936-45E2-B4AD-8B0361E77FE2}"/>
    <cellStyle name="Comma 4 2 2 3 5 2 3" xfId="12214" xr:uid="{57B051C7-3966-4ADB-BA41-48DEAEF07F7B}"/>
    <cellStyle name="Comma 4 2 2 3 5 2 4" xfId="20652" xr:uid="{59834FD6-748C-49D1-95AA-F86BE606529F}"/>
    <cellStyle name="Comma 4 2 2 3 5 3" xfId="5845" xr:uid="{00000000-0005-0000-0000-000020080000}"/>
    <cellStyle name="Comma 4 2 2 3 5 3 2" xfId="14287" xr:uid="{39476F87-7C74-426F-8BBA-7B9A529B1C9D}"/>
    <cellStyle name="Comma 4 2 2 3 5 3 3" xfId="22724" xr:uid="{7009822A-550E-4A9E-AAAA-68598EAD84CA}"/>
    <cellStyle name="Comma 4 2 2 3 5 4" xfId="10069" xr:uid="{A52C2297-CF0D-405F-BCF3-CFED0B29CFDC}"/>
    <cellStyle name="Comma 4 2 2 3 5 5" xfId="18507" xr:uid="{B4F59ECA-9916-45BC-88F5-D20B54B923D5}"/>
    <cellStyle name="Comma 4 2 2 3 6" xfId="1951" xr:uid="{00000000-0005-0000-0000-000021080000}"/>
    <cellStyle name="Comma 4 2 2 3 6 2" xfId="4180" xr:uid="{00000000-0005-0000-0000-000022080000}"/>
    <cellStyle name="Comma 4 2 2 3 6 2 2" xfId="8403" xr:uid="{00000000-0005-0000-0000-000023080000}"/>
    <cellStyle name="Comma 4 2 2 3 6 2 2 2" xfId="16845" xr:uid="{8505B676-4331-4E0B-BF31-1C9AD741DA2D}"/>
    <cellStyle name="Comma 4 2 2 3 6 2 2 3" xfId="25282" xr:uid="{680ADBCE-DF61-4D7C-AAF1-2A91230E5B65}"/>
    <cellStyle name="Comma 4 2 2 3 6 2 3" xfId="12627" xr:uid="{A8D987C2-20FA-47AA-9CE5-A1D1F1E96D6D}"/>
    <cellStyle name="Comma 4 2 2 3 6 2 4" xfId="21065" xr:uid="{D4B7EF69-E3A1-4EE4-9337-B51EF18E9163}"/>
    <cellStyle name="Comma 4 2 2 3 6 3" xfId="6258" xr:uid="{00000000-0005-0000-0000-000024080000}"/>
    <cellStyle name="Comma 4 2 2 3 6 3 2" xfId="14700" xr:uid="{D5647EEB-6A14-4A06-B933-B2355C167627}"/>
    <cellStyle name="Comma 4 2 2 3 6 3 3" xfId="23137" xr:uid="{59DB4A36-5EE6-434F-966A-A4CDB46AEED7}"/>
    <cellStyle name="Comma 4 2 2 3 6 4" xfId="10482" xr:uid="{4FDD8CE4-0C84-4F58-87FA-87B5B6F8609A}"/>
    <cellStyle name="Comma 4 2 2 3 6 5" xfId="18920" xr:uid="{6E8B4179-B3E3-4DF2-B434-5318C50A7745}"/>
    <cellStyle name="Comma 4 2 2 3 7" xfId="2386" xr:uid="{00000000-0005-0000-0000-000025080000}"/>
    <cellStyle name="Comma 4 2 2 3 7 2" xfId="6671" xr:uid="{00000000-0005-0000-0000-000026080000}"/>
    <cellStyle name="Comma 4 2 2 3 7 2 2" xfId="15113" xr:uid="{DB2AB6E0-C7CC-497F-96D1-5B1169D0B5BE}"/>
    <cellStyle name="Comma 4 2 2 3 7 2 3" xfId="23550" xr:uid="{262797B9-F497-4320-A76B-3E01FCCDF031}"/>
    <cellStyle name="Comma 4 2 2 3 7 3" xfId="10895" xr:uid="{259C6FA8-00F7-4D08-B1E7-47AFDB4FCBEC}"/>
    <cellStyle name="Comma 4 2 2 3 7 4" xfId="19333" xr:uid="{89DD0C97-B124-4B6C-AC39-0ED860854C41}"/>
    <cellStyle name="Comma 4 2 2 3 8" xfId="2377" xr:uid="{00000000-0005-0000-0000-000027080000}"/>
    <cellStyle name="Comma 4 2 2 3 9" xfId="2764" xr:uid="{00000000-0005-0000-0000-000028080000}"/>
    <cellStyle name="Comma 4 2 2 3 9 2" xfId="6988" xr:uid="{00000000-0005-0000-0000-000029080000}"/>
    <cellStyle name="Comma 4 2 2 3 9 2 2" xfId="15430" xr:uid="{828F5D59-2EA2-4BC9-A06A-A90620993279}"/>
    <cellStyle name="Comma 4 2 2 3 9 2 3" xfId="23867" xr:uid="{DA7E95EB-5666-48CB-8647-0A29AB1A9FEF}"/>
    <cellStyle name="Comma 4 2 2 3 9 3" xfId="11212" xr:uid="{F0FD47CD-EA4A-4C5C-8A29-C42EDA52770D}"/>
    <cellStyle name="Comma 4 2 2 3 9 4" xfId="19650" xr:uid="{BFBF2C67-563E-4115-A77E-C59796A17681}"/>
    <cellStyle name="Comma 4 2 2 4" xfId="134" xr:uid="{00000000-0005-0000-0000-00002A080000}"/>
    <cellStyle name="Comma 4 2 2 4 10" xfId="8831" xr:uid="{F42EDEB1-2EF8-4AC4-9E22-E40C64F32372}"/>
    <cellStyle name="Comma 4 2 2 4 11" xfId="17269" xr:uid="{BF4C2762-5B7C-468F-BC5E-1BDD2729EAF6}"/>
    <cellStyle name="Comma 4 2 2 4 2" xfId="672" xr:uid="{00000000-0005-0000-0000-00002B080000}"/>
    <cellStyle name="Comma 4 2 2 4 2 2" xfId="2943" xr:uid="{00000000-0005-0000-0000-00002C080000}"/>
    <cellStyle name="Comma 4 2 2 4 2 2 2" xfId="7166" xr:uid="{00000000-0005-0000-0000-00002D080000}"/>
    <cellStyle name="Comma 4 2 2 4 2 2 2 2" xfId="15608" xr:uid="{8D91D7E3-8234-4C36-9FDF-9A01E8C8E3F3}"/>
    <cellStyle name="Comma 4 2 2 4 2 2 2 3" xfId="24045" xr:uid="{8BEDB7C5-CC0B-4393-A137-A709C1C02A45}"/>
    <cellStyle name="Comma 4 2 2 4 2 2 3" xfId="11390" xr:uid="{65B91275-E96B-471C-BD7B-6AF7AAEB7D47}"/>
    <cellStyle name="Comma 4 2 2 4 2 2 4" xfId="19828" xr:uid="{6AC9482D-097A-4654-98A4-59AB46E3597B}"/>
    <cellStyle name="Comma 4 2 2 4 2 3" xfId="5021" xr:uid="{00000000-0005-0000-0000-00002E080000}"/>
    <cellStyle name="Comma 4 2 2 4 2 3 2" xfId="13463" xr:uid="{36BFB635-0274-4C68-94E3-E69582127F32}"/>
    <cellStyle name="Comma 4 2 2 4 2 3 3" xfId="21900" xr:uid="{741CBFF2-0EC7-4842-854E-90359477109F}"/>
    <cellStyle name="Comma 4 2 2 4 2 4" xfId="9245" xr:uid="{A1B29937-BCA1-4DD2-BBC0-0FAC828BBBB7}"/>
    <cellStyle name="Comma 4 2 2 4 2 5" xfId="17683" xr:uid="{C920E5FA-BDDD-4E60-A93C-B881B90DDE40}"/>
    <cellStyle name="Comma 4 2 2 4 3" xfId="1125" xr:uid="{00000000-0005-0000-0000-00002F080000}"/>
    <cellStyle name="Comma 4 2 2 4 3 2" xfId="3356" xr:uid="{00000000-0005-0000-0000-000030080000}"/>
    <cellStyle name="Comma 4 2 2 4 3 2 2" xfId="7579" xr:uid="{00000000-0005-0000-0000-000031080000}"/>
    <cellStyle name="Comma 4 2 2 4 3 2 2 2" xfId="16021" xr:uid="{FE8CB5AF-57D8-4356-9429-E8A77654E8BC}"/>
    <cellStyle name="Comma 4 2 2 4 3 2 2 3" xfId="24458" xr:uid="{931ABF3C-3F6B-470D-92F7-2D7B16B1C168}"/>
    <cellStyle name="Comma 4 2 2 4 3 2 3" xfId="11803" xr:uid="{7B09D397-CBE9-4173-93B6-3DA07D6D8CA2}"/>
    <cellStyle name="Comma 4 2 2 4 3 2 4" xfId="20241" xr:uid="{04EE8ACB-EFA0-4B25-BAA2-5403CE152150}"/>
    <cellStyle name="Comma 4 2 2 4 3 3" xfId="5434" xr:uid="{00000000-0005-0000-0000-000032080000}"/>
    <cellStyle name="Comma 4 2 2 4 3 3 2" xfId="13876" xr:uid="{1CFE5ACA-CD69-471A-9EDF-645B82E485C6}"/>
    <cellStyle name="Comma 4 2 2 4 3 3 3" xfId="22313" xr:uid="{1A5AA408-22FA-49F9-8CFD-D6F0FEB175F6}"/>
    <cellStyle name="Comma 4 2 2 4 3 4" xfId="9658" xr:uid="{8148FE95-E050-42E8-B70A-15B17EC070FB}"/>
    <cellStyle name="Comma 4 2 2 4 3 5" xfId="18096" xr:uid="{512AFEDD-289B-4B4B-861A-344C992F9277}"/>
    <cellStyle name="Comma 4 2 2 4 4" xfId="1539" xr:uid="{00000000-0005-0000-0000-000033080000}"/>
    <cellStyle name="Comma 4 2 2 4 4 2" xfId="3769" xr:uid="{00000000-0005-0000-0000-000034080000}"/>
    <cellStyle name="Comma 4 2 2 4 4 2 2" xfId="7992" xr:uid="{00000000-0005-0000-0000-000035080000}"/>
    <cellStyle name="Comma 4 2 2 4 4 2 2 2" xfId="16434" xr:uid="{4B52A158-F0B4-47D8-B3D7-97B8A545471E}"/>
    <cellStyle name="Comma 4 2 2 4 4 2 2 3" xfId="24871" xr:uid="{B58D7C8A-B9DD-4224-B72A-4F6A95EE0A61}"/>
    <cellStyle name="Comma 4 2 2 4 4 2 3" xfId="12216" xr:uid="{3182E3BA-34AB-49BC-84F0-4B7835B4CB3C}"/>
    <cellStyle name="Comma 4 2 2 4 4 2 4" xfId="20654" xr:uid="{AE83BB62-370A-4E3B-8A63-97DB715723E7}"/>
    <cellStyle name="Comma 4 2 2 4 4 3" xfId="5847" xr:uid="{00000000-0005-0000-0000-000036080000}"/>
    <cellStyle name="Comma 4 2 2 4 4 3 2" xfId="14289" xr:uid="{91A4AE4D-31D3-4791-A32B-C897879BFEEA}"/>
    <cellStyle name="Comma 4 2 2 4 4 3 3" xfId="22726" xr:uid="{950D004F-9EDA-42EE-833F-A23A4A694312}"/>
    <cellStyle name="Comma 4 2 2 4 4 4" xfId="10071" xr:uid="{B12B13C7-D81A-4CAE-9CA3-6C5C569D4A99}"/>
    <cellStyle name="Comma 4 2 2 4 4 5" xfId="18509" xr:uid="{AD228740-94A0-40F3-A14F-D10C1B2A49A8}"/>
    <cellStyle name="Comma 4 2 2 4 5" xfId="1953" xr:uid="{00000000-0005-0000-0000-000037080000}"/>
    <cellStyle name="Comma 4 2 2 4 5 2" xfId="4182" xr:uid="{00000000-0005-0000-0000-000038080000}"/>
    <cellStyle name="Comma 4 2 2 4 5 2 2" xfId="8405" xr:uid="{00000000-0005-0000-0000-000039080000}"/>
    <cellStyle name="Comma 4 2 2 4 5 2 2 2" xfId="16847" xr:uid="{5DF2FF6D-0567-439A-A68D-6CAD0FA7692D}"/>
    <cellStyle name="Comma 4 2 2 4 5 2 2 3" xfId="25284" xr:uid="{CB7F5346-D4AA-45C8-B815-375950B3FD9D}"/>
    <cellStyle name="Comma 4 2 2 4 5 2 3" xfId="12629" xr:uid="{4BF1CEBB-F82F-4992-8A67-D3E88B413E60}"/>
    <cellStyle name="Comma 4 2 2 4 5 2 4" xfId="21067" xr:uid="{A66D2FC2-1DFD-4B9B-88FB-DBA17563DAFC}"/>
    <cellStyle name="Comma 4 2 2 4 5 3" xfId="6260" xr:uid="{00000000-0005-0000-0000-00003A080000}"/>
    <cellStyle name="Comma 4 2 2 4 5 3 2" xfId="14702" xr:uid="{F34E5401-A103-414E-8423-31A26C9709C3}"/>
    <cellStyle name="Comma 4 2 2 4 5 3 3" xfId="23139" xr:uid="{EF911293-05EB-44B0-BBB9-8C13202086FA}"/>
    <cellStyle name="Comma 4 2 2 4 5 4" xfId="10484" xr:uid="{5C8D5011-3376-46CE-9B83-D55FB5C8356F}"/>
    <cellStyle name="Comma 4 2 2 4 5 5" xfId="18922" xr:uid="{7D1DAAB9-CA1B-4D99-9C32-8498B2E1ADEC}"/>
    <cellStyle name="Comma 4 2 2 4 6" xfId="2388" xr:uid="{00000000-0005-0000-0000-00003B080000}"/>
    <cellStyle name="Comma 4 2 2 4 6 2" xfId="6673" xr:uid="{00000000-0005-0000-0000-00003C080000}"/>
    <cellStyle name="Comma 4 2 2 4 6 2 2" xfId="15115" xr:uid="{C9DC96B6-CC1F-40EC-8B45-98D09E0C21BA}"/>
    <cellStyle name="Comma 4 2 2 4 6 2 3" xfId="23552" xr:uid="{F5DCE7A7-9E40-4CE1-824E-5EF96AF7D73C}"/>
    <cellStyle name="Comma 4 2 2 4 6 3" xfId="10897" xr:uid="{DEA80EFE-3B9A-40F8-A19A-413AF7F0A09D}"/>
    <cellStyle name="Comma 4 2 2 4 6 4" xfId="19335" xr:uid="{D87A1C6D-83D9-4862-A795-17681F814386}"/>
    <cellStyle name="Comma 4 2 2 4 7" xfId="2375" xr:uid="{00000000-0005-0000-0000-00003D080000}"/>
    <cellStyle name="Comma 4 2 2 4 8" xfId="2766" xr:uid="{00000000-0005-0000-0000-00003E080000}"/>
    <cellStyle name="Comma 4 2 2 4 8 2" xfId="6990" xr:uid="{00000000-0005-0000-0000-00003F080000}"/>
    <cellStyle name="Comma 4 2 2 4 8 2 2" xfId="15432" xr:uid="{959DF9E9-E99D-4CDA-B703-A73B656DBB43}"/>
    <cellStyle name="Comma 4 2 2 4 8 2 3" xfId="23869" xr:uid="{8364855A-49FE-4540-95FB-2FF858EA2CC3}"/>
    <cellStyle name="Comma 4 2 2 4 8 3" xfId="11214" xr:uid="{7BE632A6-5180-4DFF-B5EC-DA10E9F8CD4E}"/>
    <cellStyle name="Comma 4 2 2 4 8 4" xfId="19652" xr:uid="{C2CFD581-96EE-438A-8AAD-0E421A7997A2}"/>
    <cellStyle name="Comma 4 2 2 4 9" xfId="4607" xr:uid="{00000000-0005-0000-0000-000040080000}"/>
    <cellStyle name="Comma 4 2 2 4 9 2" xfId="13049" xr:uid="{CA47C0F3-6BA8-4A91-8419-1FFE44EBDCC8}"/>
    <cellStyle name="Comma 4 2 2 4 9 3" xfId="21486" xr:uid="{05823E17-CA2A-4175-8138-6CD6A87EF583}"/>
    <cellStyle name="Comma 4 2 2 5" xfId="135" xr:uid="{00000000-0005-0000-0000-000041080000}"/>
    <cellStyle name="Comma 4 2 2 5 10" xfId="8832" xr:uid="{60D85CA7-4C77-490F-BFFD-CF68CE3C46AB}"/>
    <cellStyle name="Comma 4 2 2 5 11" xfId="17270" xr:uid="{E7A0C24E-4375-4C2E-8C41-2648F9FA1229}"/>
    <cellStyle name="Comma 4 2 2 5 2" xfId="673" xr:uid="{00000000-0005-0000-0000-000042080000}"/>
    <cellStyle name="Comma 4 2 2 5 2 2" xfId="2944" xr:uid="{00000000-0005-0000-0000-000043080000}"/>
    <cellStyle name="Comma 4 2 2 5 2 2 2" xfId="7167" xr:uid="{00000000-0005-0000-0000-000044080000}"/>
    <cellStyle name="Comma 4 2 2 5 2 2 2 2" xfId="15609" xr:uid="{3CE43AF0-4562-4825-8E2B-C54461B751E2}"/>
    <cellStyle name="Comma 4 2 2 5 2 2 2 3" xfId="24046" xr:uid="{1BE7EE72-B59B-4A70-AE37-0E5DC7B9A138}"/>
    <cellStyle name="Comma 4 2 2 5 2 2 3" xfId="11391" xr:uid="{4070F930-F29C-4AEA-827A-A6129602E350}"/>
    <cellStyle name="Comma 4 2 2 5 2 2 4" xfId="19829" xr:uid="{05992FF0-208A-435C-9551-5237FCB1AFD3}"/>
    <cellStyle name="Comma 4 2 2 5 2 3" xfId="5022" xr:uid="{00000000-0005-0000-0000-000045080000}"/>
    <cellStyle name="Comma 4 2 2 5 2 3 2" xfId="13464" xr:uid="{C470DEAE-C7D0-4AE3-92C7-0B17FBAA7F10}"/>
    <cellStyle name="Comma 4 2 2 5 2 3 3" xfId="21901" xr:uid="{EE904758-B777-45E9-B4E9-074A777B45F6}"/>
    <cellStyle name="Comma 4 2 2 5 2 4" xfId="9246" xr:uid="{2C5AB2B7-084A-4B16-8E78-7AB9638CC0AA}"/>
    <cellStyle name="Comma 4 2 2 5 2 5" xfId="17684" xr:uid="{1DBE471D-587B-4B4F-8964-D8640A83ACBF}"/>
    <cellStyle name="Comma 4 2 2 5 3" xfId="1126" xr:uid="{00000000-0005-0000-0000-000046080000}"/>
    <cellStyle name="Comma 4 2 2 5 3 2" xfId="3357" xr:uid="{00000000-0005-0000-0000-000047080000}"/>
    <cellStyle name="Comma 4 2 2 5 3 2 2" xfId="7580" xr:uid="{00000000-0005-0000-0000-000048080000}"/>
    <cellStyle name="Comma 4 2 2 5 3 2 2 2" xfId="16022" xr:uid="{40A86731-0FB9-4ECA-AA85-40D25ECBCF28}"/>
    <cellStyle name="Comma 4 2 2 5 3 2 2 3" xfId="24459" xr:uid="{35DEAE27-C2A8-479F-942C-23DC80F1AB4A}"/>
    <cellStyle name="Comma 4 2 2 5 3 2 3" xfId="11804" xr:uid="{902E10C6-E885-42D3-B7A9-25D1D8F9CEA3}"/>
    <cellStyle name="Comma 4 2 2 5 3 2 4" xfId="20242" xr:uid="{18B2D4A4-D793-43E7-AB68-E2FBDD4851CA}"/>
    <cellStyle name="Comma 4 2 2 5 3 3" xfId="5435" xr:uid="{00000000-0005-0000-0000-000049080000}"/>
    <cellStyle name="Comma 4 2 2 5 3 3 2" xfId="13877" xr:uid="{CCE77313-F3D3-438E-B0D6-1DC658C13877}"/>
    <cellStyle name="Comma 4 2 2 5 3 3 3" xfId="22314" xr:uid="{1B1FC865-E695-45C6-BDDD-7C17D63095D1}"/>
    <cellStyle name="Comma 4 2 2 5 3 4" xfId="9659" xr:uid="{117DC817-346C-4147-9CBB-03CB6B1F8A18}"/>
    <cellStyle name="Comma 4 2 2 5 3 5" xfId="18097" xr:uid="{C9541DE4-2F11-4AFE-99A6-45D71AE7A042}"/>
    <cellStyle name="Comma 4 2 2 5 4" xfId="1540" xr:uid="{00000000-0005-0000-0000-00004A080000}"/>
    <cellStyle name="Comma 4 2 2 5 4 2" xfId="3770" xr:uid="{00000000-0005-0000-0000-00004B080000}"/>
    <cellStyle name="Comma 4 2 2 5 4 2 2" xfId="7993" xr:uid="{00000000-0005-0000-0000-00004C080000}"/>
    <cellStyle name="Comma 4 2 2 5 4 2 2 2" xfId="16435" xr:uid="{4E7713C6-B5FB-4098-83A8-273441CEC807}"/>
    <cellStyle name="Comma 4 2 2 5 4 2 2 3" xfId="24872" xr:uid="{62B53B3A-641F-4E0F-AD04-0DBC4D4870B4}"/>
    <cellStyle name="Comma 4 2 2 5 4 2 3" xfId="12217" xr:uid="{223C41D0-3973-47C3-A660-4094278E1301}"/>
    <cellStyle name="Comma 4 2 2 5 4 2 4" xfId="20655" xr:uid="{4EB7F949-7E25-468F-ADBD-0A0991AE5ECD}"/>
    <cellStyle name="Comma 4 2 2 5 4 3" xfId="5848" xr:uid="{00000000-0005-0000-0000-00004D080000}"/>
    <cellStyle name="Comma 4 2 2 5 4 3 2" xfId="14290" xr:uid="{E38BEC52-4B51-4C60-BD50-41292BD77A4C}"/>
    <cellStyle name="Comma 4 2 2 5 4 3 3" xfId="22727" xr:uid="{0FE6544B-2579-42EF-923D-AC2BF16B8C66}"/>
    <cellStyle name="Comma 4 2 2 5 4 4" xfId="10072" xr:uid="{BFEE5F61-A084-4C19-B642-E542D6722DDD}"/>
    <cellStyle name="Comma 4 2 2 5 4 5" xfId="18510" xr:uid="{0A2291EC-06F3-4690-81D7-8FF605CF0E33}"/>
    <cellStyle name="Comma 4 2 2 5 5" xfId="1954" xr:uid="{00000000-0005-0000-0000-00004E080000}"/>
    <cellStyle name="Comma 4 2 2 5 5 2" xfId="4183" xr:uid="{00000000-0005-0000-0000-00004F080000}"/>
    <cellStyle name="Comma 4 2 2 5 5 2 2" xfId="8406" xr:uid="{00000000-0005-0000-0000-000050080000}"/>
    <cellStyle name="Comma 4 2 2 5 5 2 2 2" xfId="16848" xr:uid="{EC2FE0C2-AF69-4F0C-971C-5EBA1052AEFB}"/>
    <cellStyle name="Comma 4 2 2 5 5 2 2 3" xfId="25285" xr:uid="{E6C9C9B3-172F-4627-9CFD-121E9EB7FAE0}"/>
    <cellStyle name="Comma 4 2 2 5 5 2 3" xfId="12630" xr:uid="{305BF5D3-284C-4EBD-9E49-C7A6A7400935}"/>
    <cellStyle name="Comma 4 2 2 5 5 2 4" xfId="21068" xr:uid="{ED5CE03E-8D34-4195-A2AB-7E7883ECAAAF}"/>
    <cellStyle name="Comma 4 2 2 5 5 3" xfId="6261" xr:uid="{00000000-0005-0000-0000-000051080000}"/>
    <cellStyle name="Comma 4 2 2 5 5 3 2" xfId="14703" xr:uid="{D228E606-0658-4822-A83A-93B925E21EFD}"/>
    <cellStyle name="Comma 4 2 2 5 5 3 3" xfId="23140" xr:uid="{9727C877-9D1B-439A-8D87-05347F28C775}"/>
    <cellStyle name="Comma 4 2 2 5 5 4" xfId="10485" xr:uid="{3E634D70-BAAE-42D9-B210-EE368CF88BA3}"/>
    <cellStyle name="Comma 4 2 2 5 5 5" xfId="18923" xr:uid="{324F7D74-C0EA-48D3-8927-5AAF51A8F016}"/>
    <cellStyle name="Comma 4 2 2 5 6" xfId="2389" xr:uid="{00000000-0005-0000-0000-000052080000}"/>
    <cellStyle name="Comma 4 2 2 5 6 2" xfId="6674" xr:uid="{00000000-0005-0000-0000-000053080000}"/>
    <cellStyle name="Comma 4 2 2 5 6 2 2" xfId="15116" xr:uid="{F4BCFD88-4058-41B4-B679-EBB7BC28F7EC}"/>
    <cellStyle name="Comma 4 2 2 5 6 2 3" xfId="23553" xr:uid="{83DFB4FA-DDA8-49AF-B20D-CFE2CF48D6B3}"/>
    <cellStyle name="Comma 4 2 2 5 6 3" xfId="10898" xr:uid="{95ECEB5C-6FC7-4C30-9126-3BF5EEDB2D91}"/>
    <cellStyle name="Comma 4 2 2 5 6 4" xfId="19336" xr:uid="{81009BB6-E4B5-4FEA-B6F7-03C47B20C383}"/>
    <cellStyle name="Comma 4 2 2 5 7" xfId="2374" xr:uid="{00000000-0005-0000-0000-000054080000}"/>
    <cellStyle name="Comma 4 2 2 5 8" xfId="2767" xr:uid="{00000000-0005-0000-0000-000055080000}"/>
    <cellStyle name="Comma 4 2 2 5 8 2" xfId="6991" xr:uid="{00000000-0005-0000-0000-000056080000}"/>
    <cellStyle name="Comma 4 2 2 5 8 2 2" xfId="15433" xr:uid="{47DC7BED-7160-46C5-8FE2-41C6579CD517}"/>
    <cellStyle name="Comma 4 2 2 5 8 2 3" xfId="23870" xr:uid="{87023E63-D1E5-4B4E-AF42-F5C7F724A868}"/>
    <cellStyle name="Comma 4 2 2 5 8 3" xfId="11215" xr:uid="{32850F2E-2447-40CB-A38B-88525336385B}"/>
    <cellStyle name="Comma 4 2 2 5 8 4" xfId="19653" xr:uid="{C0BA4196-CC20-4E4A-B13A-F58C8A0ECC4F}"/>
    <cellStyle name="Comma 4 2 2 5 9" xfId="4608" xr:uid="{00000000-0005-0000-0000-000057080000}"/>
    <cellStyle name="Comma 4 2 2 5 9 2" xfId="13050" xr:uid="{D96EEABE-30BB-42E5-996B-703D8DB05841}"/>
    <cellStyle name="Comma 4 2 2 5 9 3" xfId="21487" xr:uid="{E410F293-5DDF-4156-8102-337AA68D8A85}"/>
    <cellStyle name="Comma 4 2 3" xfId="136" xr:uid="{00000000-0005-0000-0000-000058080000}"/>
    <cellStyle name="Comma 4 2 3 10" xfId="2768" xr:uid="{00000000-0005-0000-0000-000059080000}"/>
    <cellStyle name="Comma 4 2 3 10 2" xfId="6992" xr:uid="{00000000-0005-0000-0000-00005A080000}"/>
    <cellStyle name="Comma 4 2 3 10 2 2" xfId="15434" xr:uid="{A87E5D04-5AA0-4E7F-85ED-1C881612AF18}"/>
    <cellStyle name="Comma 4 2 3 10 2 3" xfId="23871" xr:uid="{D4D9AF56-B3CF-464C-8F12-50CD0ED22E81}"/>
    <cellStyle name="Comma 4 2 3 10 3" xfId="11216" xr:uid="{26F6EB49-D46C-44BE-BF86-79D7D261C8BF}"/>
    <cellStyle name="Comma 4 2 3 10 4" xfId="19654" xr:uid="{F844983B-4B1F-4CB9-A575-484428A67531}"/>
    <cellStyle name="Comma 4 2 3 11" xfId="4609" xr:uid="{00000000-0005-0000-0000-00005B080000}"/>
    <cellStyle name="Comma 4 2 3 11 2" xfId="13051" xr:uid="{C6A0448E-3C89-4E9C-8BA5-CC43B3D5BD14}"/>
    <cellStyle name="Comma 4 2 3 11 3" xfId="21488" xr:uid="{09903A1B-FCAC-4D81-8188-52C0EF3A7C6B}"/>
    <cellStyle name="Comma 4 2 3 12" xfId="8833" xr:uid="{D63C6016-3623-4141-BB1E-F1C8C88A61A6}"/>
    <cellStyle name="Comma 4 2 3 13" xfId="17271" xr:uid="{CC43208E-CEBE-4559-97F7-E522ACE280E6}"/>
    <cellStyle name="Comma 4 2 3 2" xfId="137" xr:uid="{00000000-0005-0000-0000-00005C080000}"/>
    <cellStyle name="Comma 4 2 3 2 10" xfId="4610" xr:uid="{00000000-0005-0000-0000-00005D080000}"/>
    <cellStyle name="Comma 4 2 3 2 10 2" xfId="13052" xr:uid="{455C54E2-13B8-4480-983E-BA1A094DF2FC}"/>
    <cellStyle name="Comma 4 2 3 2 10 3" xfId="21489" xr:uid="{E357BD2C-E7C4-4850-A3B3-C970CAAE6B02}"/>
    <cellStyle name="Comma 4 2 3 2 11" xfId="8834" xr:uid="{1436B2D1-F45E-4AD5-9D1B-207D91047636}"/>
    <cellStyle name="Comma 4 2 3 2 12" xfId="17272" xr:uid="{DC2EB988-92FB-4487-87BA-BBC999F40424}"/>
    <cellStyle name="Comma 4 2 3 2 2" xfId="138" xr:uid="{00000000-0005-0000-0000-00005E080000}"/>
    <cellStyle name="Comma 4 2 3 2 2 10" xfId="8835" xr:uid="{A4B03CC7-4CE2-4A01-9A65-BDBC9EE9134C}"/>
    <cellStyle name="Comma 4 2 3 2 2 11" xfId="17273" xr:uid="{AE0088D2-71CD-4B89-A139-5AC92821F89A}"/>
    <cellStyle name="Comma 4 2 3 2 2 2" xfId="676" xr:uid="{00000000-0005-0000-0000-00005F080000}"/>
    <cellStyle name="Comma 4 2 3 2 2 2 2" xfId="2947" xr:uid="{00000000-0005-0000-0000-000060080000}"/>
    <cellStyle name="Comma 4 2 3 2 2 2 2 2" xfId="7170" xr:uid="{00000000-0005-0000-0000-000061080000}"/>
    <cellStyle name="Comma 4 2 3 2 2 2 2 2 2" xfId="15612" xr:uid="{E3011FD6-387D-4D88-ADB9-86B751018423}"/>
    <cellStyle name="Comma 4 2 3 2 2 2 2 2 3" xfId="24049" xr:uid="{DACDF472-E60A-41DD-979B-2C1BB62E97A6}"/>
    <cellStyle name="Comma 4 2 3 2 2 2 2 3" xfId="11394" xr:uid="{39497268-ED72-455E-8D19-CBF34F6F885C}"/>
    <cellStyle name="Comma 4 2 3 2 2 2 2 4" xfId="19832" xr:uid="{9ADA0C7F-009F-4A64-868B-7E1F9EB173D4}"/>
    <cellStyle name="Comma 4 2 3 2 2 2 3" xfId="5025" xr:uid="{00000000-0005-0000-0000-000062080000}"/>
    <cellStyle name="Comma 4 2 3 2 2 2 3 2" xfId="13467" xr:uid="{FC32B6B0-EEDC-471B-892D-E09F7FFDBC8F}"/>
    <cellStyle name="Comma 4 2 3 2 2 2 3 3" xfId="21904" xr:uid="{FFCA8753-7456-4693-B621-92E37B3BF21E}"/>
    <cellStyle name="Comma 4 2 3 2 2 2 4" xfId="9249" xr:uid="{3DB53E7B-2642-4209-A61A-1FFF3E91D36A}"/>
    <cellStyle name="Comma 4 2 3 2 2 2 5" xfId="17687" xr:uid="{016A82BD-983D-4FB6-A04A-8402EBDB3238}"/>
    <cellStyle name="Comma 4 2 3 2 2 3" xfId="1129" xr:uid="{00000000-0005-0000-0000-000063080000}"/>
    <cellStyle name="Comma 4 2 3 2 2 3 2" xfId="3360" xr:uid="{00000000-0005-0000-0000-000064080000}"/>
    <cellStyle name="Comma 4 2 3 2 2 3 2 2" xfId="7583" xr:uid="{00000000-0005-0000-0000-000065080000}"/>
    <cellStyle name="Comma 4 2 3 2 2 3 2 2 2" xfId="16025" xr:uid="{446AAEE4-44AE-4FBE-8223-AB3AB4CFDB53}"/>
    <cellStyle name="Comma 4 2 3 2 2 3 2 2 3" xfId="24462" xr:uid="{F38EB100-3960-4221-B5BB-42096801F162}"/>
    <cellStyle name="Comma 4 2 3 2 2 3 2 3" xfId="11807" xr:uid="{73DCA66A-C3CC-4BF9-BC24-2929F2094801}"/>
    <cellStyle name="Comma 4 2 3 2 2 3 2 4" xfId="20245" xr:uid="{29F0E4A2-26B9-45FE-A8E5-E592D97E6639}"/>
    <cellStyle name="Comma 4 2 3 2 2 3 3" xfId="5438" xr:uid="{00000000-0005-0000-0000-000066080000}"/>
    <cellStyle name="Comma 4 2 3 2 2 3 3 2" xfId="13880" xr:uid="{7437C6BC-267E-4E4E-BA7D-8D4CADDE9DAD}"/>
    <cellStyle name="Comma 4 2 3 2 2 3 3 3" xfId="22317" xr:uid="{8ACCBAFC-7D6C-4B25-91B6-16D734199137}"/>
    <cellStyle name="Comma 4 2 3 2 2 3 4" xfId="9662" xr:uid="{4DC79C22-D432-4735-BAA2-41563E2A928A}"/>
    <cellStyle name="Comma 4 2 3 2 2 3 5" xfId="18100" xr:uid="{4E7EDDD1-BCC8-491A-9431-D2ED73FF2B5B}"/>
    <cellStyle name="Comma 4 2 3 2 2 4" xfId="1543" xr:uid="{00000000-0005-0000-0000-000067080000}"/>
    <cellStyle name="Comma 4 2 3 2 2 4 2" xfId="3773" xr:uid="{00000000-0005-0000-0000-000068080000}"/>
    <cellStyle name="Comma 4 2 3 2 2 4 2 2" xfId="7996" xr:uid="{00000000-0005-0000-0000-000069080000}"/>
    <cellStyle name="Comma 4 2 3 2 2 4 2 2 2" xfId="16438" xr:uid="{51E8EAB2-D8BA-464D-AFA4-BD4960453488}"/>
    <cellStyle name="Comma 4 2 3 2 2 4 2 2 3" xfId="24875" xr:uid="{1629BA56-05AD-43AA-89D4-8B0B4D7BA68E}"/>
    <cellStyle name="Comma 4 2 3 2 2 4 2 3" xfId="12220" xr:uid="{F40544A2-204B-4675-ADF9-CBC7F849D0AE}"/>
    <cellStyle name="Comma 4 2 3 2 2 4 2 4" xfId="20658" xr:uid="{24A1D7AC-948C-464B-AA14-DFCC55EC0094}"/>
    <cellStyle name="Comma 4 2 3 2 2 4 3" xfId="5851" xr:uid="{00000000-0005-0000-0000-00006A080000}"/>
    <cellStyle name="Comma 4 2 3 2 2 4 3 2" xfId="14293" xr:uid="{6919BC4E-99C9-46ED-8FD7-699F85C39203}"/>
    <cellStyle name="Comma 4 2 3 2 2 4 3 3" xfId="22730" xr:uid="{DE8E7D4C-FE1C-4746-987F-8769B882E20B}"/>
    <cellStyle name="Comma 4 2 3 2 2 4 4" xfId="10075" xr:uid="{C13D9B8E-9B14-4494-A7B1-8B8C3A8E24B7}"/>
    <cellStyle name="Comma 4 2 3 2 2 4 5" xfId="18513" xr:uid="{E65DE0C0-C90D-40E9-ABF9-052690231206}"/>
    <cellStyle name="Comma 4 2 3 2 2 5" xfId="1957" xr:uid="{00000000-0005-0000-0000-00006B080000}"/>
    <cellStyle name="Comma 4 2 3 2 2 5 2" xfId="4186" xr:uid="{00000000-0005-0000-0000-00006C080000}"/>
    <cellStyle name="Comma 4 2 3 2 2 5 2 2" xfId="8409" xr:uid="{00000000-0005-0000-0000-00006D080000}"/>
    <cellStyle name="Comma 4 2 3 2 2 5 2 2 2" xfId="16851" xr:uid="{F242F06B-9B2C-4E5C-852D-93F4BFEA22B3}"/>
    <cellStyle name="Comma 4 2 3 2 2 5 2 2 3" xfId="25288" xr:uid="{5F57867D-2C75-4332-A15F-9A31F576023A}"/>
    <cellStyle name="Comma 4 2 3 2 2 5 2 3" xfId="12633" xr:uid="{8DDA5CBF-CE3F-444F-B89C-70C5B9023665}"/>
    <cellStyle name="Comma 4 2 3 2 2 5 2 4" xfId="21071" xr:uid="{FC1A2C22-16FA-423B-BBA0-239B0ABABE81}"/>
    <cellStyle name="Comma 4 2 3 2 2 5 3" xfId="6264" xr:uid="{00000000-0005-0000-0000-00006E080000}"/>
    <cellStyle name="Comma 4 2 3 2 2 5 3 2" xfId="14706" xr:uid="{A49174A5-3B8E-4D4C-91CB-05BC1547BCE9}"/>
    <cellStyle name="Comma 4 2 3 2 2 5 3 3" xfId="23143" xr:uid="{15C5EFB5-5C0A-40C6-9E4D-57BBC4C32090}"/>
    <cellStyle name="Comma 4 2 3 2 2 5 4" xfId="10488" xr:uid="{061C4CA5-E097-4F09-8DFA-308C8F189E58}"/>
    <cellStyle name="Comma 4 2 3 2 2 5 5" xfId="18926" xr:uid="{6A71DA21-4CBF-46C4-95D4-05DBA11A4800}"/>
    <cellStyle name="Comma 4 2 3 2 2 6" xfId="2392" xr:uid="{00000000-0005-0000-0000-00006F080000}"/>
    <cellStyle name="Comma 4 2 3 2 2 6 2" xfId="6677" xr:uid="{00000000-0005-0000-0000-000070080000}"/>
    <cellStyle name="Comma 4 2 3 2 2 6 2 2" xfId="15119" xr:uid="{1F5311A4-598F-45EA-A138-9F9155057E45}"/>
    <cellStyle name="Comma 4 2 3 2 2 6 2 3" xfId="23556" xr:uid="{774D380B-46BE-4571-B25B-19D468536AC6}"/>
    <cellStyle name="Comma 4 2 3 2 2 6 3" xfId="10901" xr:uid="{AAC384E6-E33F-4B21-8EF9-70007E480B59}"/>
    <cellStyle name="Comma 4 2 3 2 2 6 4" xfId="19339" xr:uid="{827AB570-3975-4F72-B5A9-2C26F640EC89}"/>
    <cellStyle name="Comma 4 2 3 2 2 7" xfId="2371" xr:uid="{00000000-0005-0000-0000-000071080000}"/>
    <cellStyle name="Comma 4 2 3 2 2 8" xfId="2770" xr:uid="{00000000-0005-0000-0000-000072080000}"/>
    <cellStyle name="Comma 4 2 3 2 2 8 2" xfId="6994" xr:uid="{00000000-0005-0000-0000-000073080000}"/>
    <cellStyle name="Comma 4 2 3 2 2 8 2 2" xfId="15436" xr:uid="{F9BF3AD1-65CC-4C3C-9FD2-25D5EF605356}"/>
    <cellStyle name="Comma 4 2 3 2 2 8 2 3" xfId="23873" xr:uid="{8AB075E3-8F9B-4851-9A67-5F7DB4AC785F}"/>
    <cellStyle name="Comma 4 2 3 2 2 8 3" xfId="11218" xr:uid="{C3F1050F-658C-48AC-AEA6-F02348CE3C96}"/>
    <cellStyle name="Comma 4 2 3 2 2 8 4" xfId="19656" xr:uid="{93597A08-67CB-42DC-A429-721CF0209C57}"/>
    <cellStyle name="Comma 4 2 3 2 2 9" xfId="4611" xr:uid="{00000000-0005-0000-0000-000074080000}"/>
    <cellStyle name="Comma 4 2 3 2 2 9 2" xfId="13053" xr:uid="{EB3D80B6-C70E-46ED-A1B1-10C864AB3698}"/>
    <cellStyle name="Comma 4 2 3 2 2 9 3" xfId="21490" xr:uid="{1A38187E-705F-410C-BE05-889BB94A962E}"/>
    <cellStyle name="Comma 4 2 3 2 3" xfId="675" xr:uid="{00000000-0005-0000-0000-000075080000}"/>
    <cellStyle name="Comma 4 2 3 2 3 2" xfId="2946" xr:uid="{00000000-0005-0000-0000-000076080000}"/>
    <cellStyle name="Comma 4 2 3 2 3 2 2" xfId="7169" xr:uid="{00000000-0005-0000-0000-000077080000}"/>
    <cellStyle name="Comma 4 2 3 2 3 2 2 2" xfId="15611" xr:uid="{C19EFF14-A32A-46F3-AE2C-FDC2737941EC}"/>
    <cellStyle name="Comma 4 2 3 2 3 2 2 3" xfId="24048" xr:uid="{56598D25-883A-43CB-98CA-51C24DC6F035}"/>
    <cellStyle name="Comma 4 2 3 2 3 2 3" xfId="11393" xr:uid="{24316204-3040-4A75-9D3F-ED279A7F1717}"/>
    <cellStyle name="Comma 4 2 3 2 3 2 4" xfId="19831" xr:uid="{DF5416CB-1546-423F-AFF0-7234DDA3A945}"/>
    <cellStyle name="Comma 4 2 3 2 3 3" xfId="5024" xr:uid="{00000000-0005-0000-0000-000078080000}"/>
    <cellStyle name="Comma 4 2 3 2 3 3 2" xfId="13466" xr:uid="{03B1CFA1-261C-4CE9-97EE-BDF0124BCA54}"/>
    <cellStyle name="Comma 4 2 3 2 3 3 3" xfId="21903" xr:uid="{D9DEB03A-7097-4366-A93E-64B051D28EC6}"/>
    <cellStyle name="Comma 4 2 3 2 3 4" xfId="9248" xr:uid="{626022F5-C650-4A36-A9DD-A447663C0671}"/>
    <cellStyle name="Comma 4 2 3 2 3 5" xfId="17686" xr:uid="{9834BB44-64D6-45EC-B67F-B1E58B256F85}"/>
    <cellStyle name="Comma 4 2 3 2 4" xfId="1128" xr:uid="{00000000-0005-0000-0000-000079080000}"/>
    <cellStyle name="Comma 4 2 3 2 4 2" xfId="3359" xr:uid="{00000000-0005-0000-0000-00007A080000}"/>
    <cellStyle name="Comma 4 2 3 2 4 2 2" xfId="7582" xr:uid="{00000000-0005-0000-0000-00007B080000}"/>
    <cellStyle name="Comma 4 2 3 2 4 2 2 2" xfId="16024" xr:uid="{72B40DFA-9FA9-4564-96FB-4D52C1A41596}"/>
    <cellStyle name="Comma 4 2 3 2 4 2 2 3" xfId="24461" xr:uid="{EE07194D-92C8-4790-9A86-FE59D137A4AB}"/>
    <cellStyle name="Comma 4 2 3 2 4 2 3" xfId="11806" xr:uid="{7C1B4220-7BA9-472B-B0DA-CA1571D5331B}"/>
    <cellStyle name="Comma 4 2 3 2 4 2 4" xfId="20244" xr:uid="{44248E86-5A93-47E8-A847-3B237DAC03F5}"/>
    <cellStyle name="Comma 4 2 3 2 4 3" xfId="5437" xr:uid="{00000000-0005-0000-0000-00007C080000}"/>
    <cellStyle name="Comma 4 2 3 2 4 3 2" xfId="13879" xr:uid="{E6834962-04AC-4E11-B27A-4FCBB0FCE2C9}"/>
    <cellStyle name="Comma 4 2 3 2 4 3 3" xfId="22316" xr:uid="{281C0E36-6B5F-4896-8CFF-68E9C09C31C3}"/>
    <cellStyle name="Comma 4 2 3 2 4 4" xfId="9661" xr:uid="{27D9D2CB-D772-4AC9-8B42-F1A86A14C906}"/>
    <cellStyle name="Comma 4 2 3 2 4 5" xfId="18099" xr:uid="{868B0E8D-0C05-4187-9AC5-57ED60030C2C}"/>
    <cellStyle name="Comma 4 2 3 2 5" xfId="1542" xr:uid="{00000000-0005-0000-0000-00007D080000}"/>
    <cellStyle name="Comma 4 2 3 2 5 2" xfId="3772" xr:uid="{00000000-0005-0000-0000-00007E080000}"/>
    <cellStyle name="Comma 4 2 3 2 5 2 2" xfId="7995" xr:uid="{00000000-0005-0000-0000-00007F080000}"/>
    <cellStyle name="Comma 4 2 3 2 5 2 2 2" xfId="16437" xr:uid="{A42EE1A8-EACA-4872-9F03-FCBE9A427D6B}"/>
    <cellStyle name="Comma 4 2 3 2 5 2 2 3" xfId="24874" xr:uid="{E046A0D3-601F-440E-9FEA-28D9A490E55F}"/>
    <cellStyle name="Comma 4 2 3 2 5 2 3" xfId="12219" xr:uid="{DED13F55-9242-4355-807F-D16D30448D7D}"/>
    <cellStyle name="Comma 4 2 3 2 5 2 4" xfId="20657" xr:uid="{8EE7DBD6-042F-4C4D-AADB-EE4217257688}"/>
    <cellStyle name="Comma 4 2 3 2 5 3" xfId="5850" xr:uid="{00000000-0005-0000-0000-000080080000}"/>
    <cellStyle name="Comma 4 2 3 2 5 3 2" xfId="14292" xr:uid="{363161F8-3331-41F2-83CA-0ECDA97C4C1F}"/>
    <cellStyle name="Comma 4 2 3 2 5 3 3" xfId="22729" xr:uid="{BD87CFC7-4397-4E8C-82E5-90B11110BCCB}"/>
    <cellStyle name="Comma 4 2 3 2 5 4" xfId="10074" xr:uid="{78328E41-4AEA-4B93-B853-6413EE2D9B7E}"/>
    <cellStyle name="Comma 4 2 3 2 5 5" xfId="18512" xr:uid="{7CD47E3D-86D4-4B05-9FC7-324CD4EBF429}"/>
    <cellStyle name="Comma 4 2 3 2 6" xfId="1956" xr:uid="{00000000-0005-0000-0000-000081080000}"/>
    <cellStyle name="Comma 4 2 3 2 6 2" xfId="4185" xr:uid="{00000000-0005-0000-0000-000082080000}"/>
    <cellStyle name="Comma 4 2 3 2 6 2 2" xfId="8408" xr:uid="{00000000-0005-0000-0000-000083080000}"/>
    <cellStyle name="Comma 4 2 3 2 6 2 2 2" xfId="16850" xr:uid="{49F538FE-9C2A-4618-80C3-22206A643391}"/>
    <cellStyle name="Comma 4 2 3 2 6 2 2 3" xfId="25287" xr:uid="{30AE76E9-A10B-4A97-8C21-75308930B230}"/>
    <cellStyle name="Comma 4 2 3 2 6 2 3" xfId="12632" xr:uid="{D62D895C-E76E-45E9-BBB3-73F3F57E9C23}"/>
    <cellStyle name="Comma 4 2 3 2 6 2 4" xfId="21070" xr:uid="{75AD1E8C-E073-4053-B361-463F7922DE3A}"/>
    <cellStyle name="Comma 4 2 3 2 6 3" xfId="6263" xr:uid="{00000000-0005-0000-0000-000084080000}"/>
    <cellStyle name="Comma 4 2 3 2 6 3 2" xfId="14705" xr:uid="{F72268AB-D7DC-4ADB-AFFC-0988F7D34CC6}"/>
    <cellStyle name="Comma 4 2 3 2 6 3 3" xfId="23142" xr:uid="{27A2A089-D9C0-4FAF-B14B-0DBDA5FC4A4B}"/>
    <cellStyle name="Comma 4 2 3 2 6 4" xfId="10487" xr:uid="{B87CE5C4-FACC-425C-A24C-D8060703EDAD}"/>
    <cellStyle name="Comma 4 2 3 2 6 5" xfId="18925" xr:uid="{6D2E57F5-7EED-421A-83F8-E5858D3E7A64}"/>
    <cellStyle name="Comma 4 2 3 2 7" xfId="2391" xr:uid="{00000000-0005-0000-0000-000085080000}"/>
    <cellStyle name="Comma 4 2 3 2 7 2" xfId="6676" xr:uid="{00000000-0005-0000-0000-000086080000}"/>
    <cellStyle name="Comma 4 2 3 2 7 2 2" xfId="15118" xr:uid="{FE331479-2595-400B-9792-77D6650EAD04}"/>
    <cellStyle name="Comma 4 2 3 2 7 2 3" xfId="23555" xr:uid="{9071CA52-5529-4EAF-B4E1-9E86381E6303}"/>
    <cellStyle name="Comma 4 2 3 2 7 3" xfId="10900" xr:uid="{D6D106BA-890A-4470-AEEC-DDCD39CC6E17}"/>
    <cellStyle name="Comma 4 2 3 2 7 4" xfId="19338" xr:uid="{D2F680D9-DF9F-4C51-A165-F80E63CFAA1F}"/>
    <cellStyle name="Comma 4 2 3 2 8" xfId="2372" xr:uid="{00000000-0005-0000-0000-000087080000}"/>
    <cellStyle name="Comma 4 2 3 2 9" xfId="2769" xr:uid="{00000000-0005-0000-0000-000088080000}"/>
    <cellStyle name="Comma 4 2 3 2 9 2" xfId="6993" xr:uid="{00000000-0005-0000-0000-000089080000}"/>
    <cellStyle name="Comma 4 2 3 2 9 2 2" xfId="15435" xr:uid="{016FCB84-E239-45BC-988D-E7D63444AA44}"/>
    <cellStyle name="Comma 4 2 3 2 9 2 3" xfId="23872" xr:uid="{4DEA75B0-F860-4E6F-BA18-E16AC46D308D}"/>
    <cellStyle name="Comma 4 2 3 2 9 3" xfId="11217" xr:uid="{56C378E0-64C8-43DB-A395-164B3A90B0DD}"/>
    <cellStyle name="Comma 4 2 3 2 9 4" xfId="19655" xr:uid="{5B0085B3-6405-4BF3-8542-E7BE6067E434}"/>
    <cellStyle name="Comma 4 2 3 3" xfId="139" xr:uid="{00000000-0005-0000-0000-00008A080000}"/>
    <cellStyle name="Comma 4 2 3 3 10" xfId="8836" xr:uid="{D1416508-AAE5-42B2-9B21-E8CE9A1C9D4C}"/>
    <cellStyle name="Comma 4 2 3 3 11" xfId="17274" xr:uid="{E5AD1160-45B7-4A41-A64B-CC9ECF172570}"/>
    <cellStyle name="Comma 4 2 3 3 2" xfId="677" xr:uid="{00000000-0005-0000-0000-00008B080000}"/>
    <cellStyle name="Comma 4 2 3 3 2 2" xfId="2948" xr:uid="{00000000-0005-0000-0000-00008C080000}"/>
    <cellStyle name="Comma 4 2 3 3 2 2 2" xfId="7171" xr:uid="{00000000-0005-0000-0000-00008D080000}"/>
    <cellStyle name="Comma 4 2 3 3 2 2 2 2" xfId="15613" xr:uid="{065C5ED9-68DD-4BE7-B4F7-FBD00AD447F2}"/>
    <cellStyle name="Comma 4 2 3 3 2 2 2 3" xfId="24050" xr:uid="{CA3FDA15-ACBA-463A-82A4-07D4F9C3A20D}"/>
    <cellStyle name="Comma 4 2 3 3 2 2 3" xfId="11395" xr:uid="{1E418ECF-CED0-4E09-951A-50E0DF2C44CE}"/>
    <cellStyle name="Comma 4 2 3 3 2 2 4" xfId="19833" xr:uid="{DD751E12-EA57-4A10-A3E8-77F2CDEDB14D}"/>
    <cellStyle name="Comma 4 2 3 3 2 3" xfId="5026" xr:uid="{00000000-0005-0000-0000-00008E080000}"/>
    <cellStyle name="Comma 4 2 3 3 2 3 2" xfId="13468" xr:uid="{178535D8-5CA2-46BC-9590-757A5EEE97AF}"/>
    <cellStyle name="Comma 4 2 3 3 2 3 3" xfId="21905" xr:uid="{6AB4C9D2-130B-46B8-B60D-C8EC566A1351}"/>
    <cellStyle name="Comma 4 2 3 3 2 4" xfId="9250" xr:uid="{990DC08E-3BA9-4980-BCE7-F0C3DF9CE79A}"/>
    <cellStyle name="Comma 4 2 3 3 2 5" xfId="17688" xr:uid="{6D5E19C2-F271-4159-A979-C1ABCE20C497}"/>
    <cellStyle name="Comma 4 2 3 3 3" xfId="1130" xr:uid="{00000000-0005-0000-0000-00008F080000}"/>
    <cellStyle name="Comma 4 2 3 3 3 2" xfId="3361" xr:uid="{00000000-0005-0000-0000-000090080000}"/>
    <cellStyle name="Comma 4 2 3 3 3 2 2" xfId="7584" xr:uid="{00000000-0005-0000-0000-000091080000}"/>
    <cellStyle name="Comma 4 2 3 3 3 2 2 2" xfId="16026" xr:uid="{A32E07ED-D616-4867-876D-42AF1BA53ED4}"/>
    <cellStyle name="Comma 4 2 3 3 3 2 2 3" xfId="24463" xr:uid="{D6427634-2D6C-46B1-8105-076153E9D3C2}"/>
    <cellStyle name="Comma 4 2 3 3 3 2 3" xfId="11808" xr:uid="{D2D54120-E85A-4448-9F48-BD90B679E4E9}"/>
    <cellStyle name="Comma 4 2 3 3 3 2 4" xfId="20246" xr:uid="{932B056F-0DC1-4E89-9B90-80DC296CB556}"/>
    <cellStyle name="Comma 4 2 3 3 3 3" xfId="5439" xr:uid="{00000000-0005-0000-0000-000092080000}"/>
    <cellStyle name="Comma 4 2 3 3 3 3 2" xfId="13881" xr:uid="{98FE554B-A892-4EB0-8E45-E0E450E2AE6C}"/>
    <cellStyle name="Comma 4 2 3 3 3 3 3" xfId="22318" xr:uid="{603B19D2-4A2B-4DC8-8DC5-F1523F983163}"/>
    <cellStyle name="Comma 4 2 3 3 3 4" xfId="9663" xr:uid="{2A490B1D-C5FA-4A2D-89ED-DD28917DDAB2}"/>
    <cellStyle name="Comma 4 2 3 3 3 5" xfId="18101" xr:uid="{7043AF0F-CF92-4C86-8697-18A88F773186}"/>
    <cellStyle name="Comma 4 2 3 3 4" xfId="1544" xr:uid="{00000000-0005-0000-0000-000093080000}"/>
    <cellStyle name="Comma 4 2 3 3 4 2" xfId="3774" xr:uid="{00000000-0005-0000-0000-000094080000}"/>
    <cellStyle name="Comma 4 2 3 3 4 2 2" xfId="7997" xr:uid="{00000000-0005-0000-0000-000095080000}"/>
    <cellStyle name="Comma 4 2 3 3 4 2 2 2" xfId="16439" xr:uid="{3FA02890-E3F7-4152-A262-C5548E2CBA25}"/>
    <cellStyle name="Comma 4 2 3 3 4 2 2 3" xfId="24876" xr:uid="{33C85198-2F29-4D0B-8209-455D5E11C0EB}"/>
    <cellStyle name="Comma 4 2 3 3 4 2 3" xfId="12221" xr:uid="{FE3767A4-3C07-4C5F-8B3E-7B195CC1C3A4}"/>
    <cellStyle name="Comma 4 2 3 3 4 2 4" xfId="20659" xr:uid="{94F9D51F-91C5-46F1-B837-60188B675B92}"/>
    <cellStyle name="Comma 4 2 3 3 4 3" xfId="5852" xr:uid="{00000000-0005-0000-0000-000096080000}"/>
    <cellStyle name="Comma 4 2 3 3 4 3 2" xfId="14294" xr:uid="{E72B311C-6860-401D-A4C5-BC4956B2ED5B}"/>
    <cellStyle name="Comma 4 2 3 3 4 3 3" xfId="22731" xr:uid="{441F31D8-558C-4949-BCAC-EFBE2F8EA7F5}"/>
    <cellStyle name="Comma 4 2 3 3 4 4" xfId="10076" xr:uid="{A17675E4-F926-4B30-9DF5-B22729B24D48}"/>
    <cellStyle name="Comma 4 2 3 3 4 5" xfId="18514" xr:uid="{A996FD46-36A6-48FB-A9A8-300AE697019F}"/>
    <cellStyle name="Comma 4 2 3 3 5" xfId="1958" xr:uid="{00000000-0005-0000-0000-000097080000}"/>
    <cellStyle name="Comma 4 2 3 3 5 2" xfId="4187" xr:uid="{00000000-0005-0000-0000-000098080000}"/>
    <cellStyle name="Comma 4 2 3 3 5 2 2" xfId="8410" xr:uid="{00000000-0005-0000-0000-000099080000}"/>
    <cellStyle name="Comma 4 2 3 3 5 2 2 2" xfId="16852" xr:uid="{F2344BE3-0DC9-4E9F-9EB2-F761F2B82CAA}"/>
    <cellStyle name="Comma 4 2 3 3 5 2 2 3" xfId="25289" xr:uid="{BFCCA070-6113-4C77-8602-31F83C68C5E0}"/>
    <cellStyle name="Comma 4 2 3 3 5 2 3" xfId="12634" xr:uid="{74CECB34-DCF0-4AC6-9BD1-54B07B53F717}"/>
    <cellStyle name="Comma 4 2 3 3 5 2 4" xfId="21072" xr:uid="{04735F78-467A-4B2F-BA00-D1B4612CB25E}"/>
    <cellStyle name="Comma 4 2 3 3 5 3" xfId="6265" xr:uid="{00000000-0005-0000-0000-00009A080000}"/>
    <cellStyle name="Comma 4 2 3 3 5 3 2" xfId="14707" xr:uid="{F10907FE-C28D-4C05-9658-0C3C51939BCF}"/>
    <cellStyle name="Comma 4 2 3 3 5 3 3" xfId="23144" xr:uid="{9044A776-BDAD-426E-999A-5082B869CACE}"/>
    <cellStyle name="Comma 4 2 3 3 5 4" xfId="10489" xr:uid="{33363FE5-7D5F-4F36-904B-1693DF26EE91}"/>
    <cellStyle name="Comma 4 2 3 3 5 5" xfId="18927" xr:uid="{EC0DBC65-2A08-4CEE-9A03-98CCBD6E7866}"/>
    <cellStyle name="Comma 4 2 3 3 6" xfId="2393" xr:uid="{00000000-0005-0000-0000-00009B080000}"/>
    <cellStyle name="Comma 4 2 3 3 6 2" xfId="6678" xr:uid="{00000000-0005-0000-0000-00009C080000}"/>
    <cellStyle name="Comma 4 2 3 3 6 2 2" xfId="15120" xr:uid="{C8F6B234-FFD0-420C-9A8C-1E271A838AAD}"/>
    <cellStyle name="Comma 4 2 3 3 6 2 3" xfId="23557" xr:uid="{BAE2A3B2-AF55-4A93-9863-5FE714388870}"/>
    <cellStyle name="Comma 4 2 3 3 6 3" xfId="10902" xr:uid="{8BAC9E9B-BB34-4F1E-B94A-24D5F73D5AA0}"/>
    <cellStyle name="Comma 4 2 3 3 6 4" xfId="19340" xr:uid="{320D17DD-ED8D-42BD-9ED0-4A58398B622B}"/>
    <cellStyle name="Comma 4 2 3 3 7" xfId="2370" xr:uid="{00000000-0005-0000-0000-00009D080000}"/>
    <cellStyle name="Comma 4 2 3 3 8" xfId="2771" xr:uid="{00000000-0005-0000-0000-00009E080000}"/>
    <cellStyle name="Comma 4 2 3 3 8 2" xfId="6995" xr:uid="{00000000-0005-0000-0000-00009F080000}"/>
    <cellStyle name="Comma 4 2 3 3 8 2 2" xfId="15437" xr:uid="{5EFBFB1D-1171-4212-9BD0-7C20D3DB1A21}"/>
    <cellStyle name="Comma 4 2 3 3 8 2 3" xfId="23874" xr:uid="{19936828-6870-4535-BF00-7158CE4EAC65}"/>
    <cellStyle name="Comma 4 2 3 3 8 3" xfId="11219" xr:uid="{35110A60-0A8A-4F5D-BB63-6D6365A27E0C}"/>
    <cellStyle name="Comma 4 2 3 3 8 4" xfId="19657" xr:uid="{1DE0AE34-2922-4576-9E0E-A5284F80AAFF}"/>
    <cellStyle name="Comma 4 2 3 3 9" xfId="4612" xr:uid="{00000000-0005-0000-0000-0000A0080000}"/>
    <cellStyle name="Comma 4 2 3 3 9 2" xfId="13054" xr:uid="{0975B6C0-B54A-4893-8B32-3E5A1C5857DD}"/>
    <cellStyle name="Comma 4 2 3 3 9 3" xfId="21491" xr:uid="{89E789DA-1C81-4D64-911C-E1C82CE0350F}"/>
    <cellStyle name="Comma 4 2 3 4" xfId="674" xr:uid="{00000000-0005-0000-0000-0000A1080000}"/>
    <cellStyle name="Comma 4 2 3 4 2" xfId="2945" xr:uid="{00000000-0005-0000-0000-0000A2080000}"/>
    <cellStyle name="Comma 4 2 3 4 2 2" xfId="7168" xr:uid="{00000000-0005-0000-0000-0000A3080000}"/>
    <cellStyle name="Comma 4 2 3 4 2 2 2" xfId="15610" xr:uid="{76D30CAD-FB3C-4643-A5EA-E88FB3AF52CE}"/>
    <cellStyle name="Comma 4 2 3 4 2 2 3" xfId="24047" xr:uid="{1BF96474-DB1B-4CE8-AD60-61AF82F9D6DD}"/>
    <cellStyle name="Comma 4 2 3 4 2 3" xfId="11392" xr:uid="{5F63FAEB-2A4E-40A6-BAF9-F4A6525A97B3}"/>
    <cellStyle name="Comma 4 2 3 4 2 4" xfId="19830" xr:uid="{20E356FB-161B-49F7-BFB7-BCA42B3C6AF9}"/>
    <cellStyle name="Comma 4 2 3 4 3" xfId="5023" xr:uid="{00000000-0005-0000-0000-0000A4080000}"/>
    <cellStyle name="Comma 4 2 3 4 3 2" xfId="13465" xr:uid="{E043ADE8-3E43-4B18-859B-2894C4CA13F8}"/>
    <cellStyle name="Comma 4 2 3 4 3 3" xfId="21902" xr:uid="{60CD1291-7CBF-442C-8151-0F29EC84A815}"/>
    <cellStyle name="Comma 4 2 3 4 4" xfId="9247" xr:uid="{824E4D4E-728D-4BE7-8255-529C4E931B98}"/>
    <cellStyle name="Comma 4 2 3 4 5" xfId="17685" xr:uid="{6BD75392-7CA8-4F1A-B592-8FC1FAE306CF}"/>
    <cellStyle name="Comma 4 2 3 5" xfId="1127" xr:uid="{00000000-0005-0000-0000-0000A5080000}"/>
    <cellStyle name="Comma 4 2 3 5 2" xfId="3358" xr:uid="{00000000-0005-0000-0000-0000A6080000}"/>
    <cellStyle name="Comma 4 2 3 5 2 2" xfId="7581" xr:uid="{00000000-0005-0000-0000-0000A7080000}"/>
    <cellStyle name="Comma 4 2 3 5 2 2 2" xfId="16023" xr:uid="{D65754A7-6A6E-410F-B64E-6C42E2D15318}"/>
    <cellStyle name="Comma 4 2 3 5 2 2 3" xfId="24460" xr:uid="{E6166F2A-8573-4348-8793-C4ACB314B346}"/>
    <cellStyle name="Comma 4 2 3 5 2 3" xfId="11805" xr:uid="{8607FFA5-9007-42A8-9C42-3E46A456E1C9}"/>
    <cellStyle name="Comma 4 2 3 5 2 4" xfId="20243" xr:uid="{B4C07C4E-74A0-410A-8357-5D4CE81C3E53}"/>
    <cellStyle name="Comma 4 2 3 5 3" xfId="5436" xr:uid="{00000000-0005-0000-0000-0000A8080000}"/>
    <cellStyle name="Comma 4 2 3 5 3 2" xfId="13878" xr:uid="{279E0539-EED3-4D9E-A13E-F7649FDFA878}"/>
    <cellStyle name="Comma 4 2 3 5 3 3" xfId="22315" xr:uid="{CBE8A650-6D2F-49AE-98A7-E0CB7889E200}"/>
    <cellStyle name="Comma 4 2 3 5 4" xfId="9660" xr:uid="{F958ACF4-44D2-4BB4-80CE-3965F098F1DD}"/>
    <cellStyle name="Comma 4 2 3 5 5" xfId="18098" xr:uid="{5958DC32-AB58-4D83-B1D0-C3995A9D4E29}"/>
    <cellStyle name="Comma 4 2 3 6" xfId="1541" xr:uid="{00000000-0005-0000-0000-0000A9080000}"/>
    <cellStyle name="Comma 4 2 3 6 2" xfId="3771" xr:uid="{00000000-0005-0000-0000-0000AA080000}"/>
    <cellStyle name="Comma 4 2 3 6 2 2" xfId="7994" xr:uid="{00000000-0005-0000-0000-0000AB080000}"/>
    <cellStyle name="Comma 4 2 3 6 2 2 2" xfId="16436" xr:uid="{37EBC480-FB29-4FB9-ADBD-29B0EAE0FB6E}"/>
    <cellStyle name="Comma 4 2 3 6 2 2 3" xfId="24873" xr:uid="{54222969-7C33-4BE1-9D3D-9167F0B645C1}"/>
    <cellStyle name="Comma 4 2 3 6 2 3" xfId="12218" xr:uid="{AB86E4D6-C187-43F9-8785-59CEB60B2DE6}"/>
    <cellStyle name="Comma 4 2 3 6 2 4" xfId="20656" xr:uid="{467DEC29-72AF-4D16-983C-C15BA9306148}"/>
    <cellStyle name="Comma 4 2 3 6 3" xfId="5849" xr:uid="{00000000-0005-0000-0000-0000AC080000}"/>
    <cellStyle name="Comma 4 2 3 6 3 2" xfId="14291" xr:uid="{EAE749C2-4FFB-4DC5-8C18-C02F9EB722F1}"/>
    <cellStyle name="Comma 4 2 3 6 3 3" xfId="22728" xr:uid="{EB531E6B-9EBC-4ED5-8B30-2441017AB4A4}"/>
    <cellStyle name="Comma 4 2 3 6 4" xfId="10073" xr:uid="{850ECD02-9324-4D44-B275-6456B3EEACCF}"/>
    <cellStyle name="Comma 4 2 3 6 5" xfId="18511" xr:uid="{3A5D7696-DE01-443F-8268-CA89395B8A8A}"/>
    <cellStyle name="Comma 4 2 3 7" xfId="1955" xr:uid="{00000000-0005-0000-0000-0000AD080000}"/>
    <cellStyle name="Comma 4 2 3 7 2" xfId="4184" xr:uid="{00000000-0005-0000-0000-0000AE080000}"/>
    <cellStyle name="Comma 4 2 3 7 2 2" xfId="8407" xr:uid="{00000000-0005-0000-0000-0000AF080000}"/>
    <cellStyle name="Comma 4 2 3 7 2 2 2" xfId="16849" xr:uid="{0A102039-B891-4111-9F8F-03462A428533}"/>
    <cellStyle name="Comma 4 2 3 7 2 2 3" xfId="25286" xr:uid="{55C0DAAE-B7DD-4E73-B43C-5061A0301E6D}"/>
    <cellStyle name="Comma 4 2 3 7 2 3" xfId="12631" xr:uid="{FB01B6DF-AD2E-4CDA-9416-2E81F54B00B1}"/>
    <cellStyle name="Comma 4 2 3 7 2 4" xfId="21069" xr:uid="{343E3762-4C4A-4C3A-9873-8DE66A5BC97C}"/>
    <cellStyle name="Comma 4 2 3 7 3" xfId="6262" xr:uid="{00000000-0005-0000-0000-0000B0080000}"/>
    <cellStyle name="Comma 4 2 3 7 3 2" xfId="14704" xr:uid="{9F9B8BE5-374A-4593-B079-4AD01A5BCB8F}"/>
    <cellStyle name="Comma 4 2 3 7 3 3" xfId="23141" xr:uid="{82E5005B-7854-40B0-933A-715F0B84BB30}"/>
    <cellStyle name="Comma 4 2 3 7 4" xfId="10486" xr:uid="{9E301E3F-45CC-413A-BFDB-4B7CB7A76180}"/>
    <cellStyle name="Comma 4 2 3 7 5" xfId="18924" xr:uid="{E2EEF641-1239-4CF0-9C0D-2FBADE584617}"/>
    <cellStyle name="Comma 4 2 3 8" xfId="2390" xr:uid="{00000000-0005-0000-0000-0000B1080000}"/>
    <cellStyle name="Comma 4 2 3 8 2" xfId="6675" xr:uid="{00000000-0005-0000-0000-0000B2080000}"/>
    <cellStyle name="Comma 4 2 3 8 2 2" xfId="15117" xr:uid="{AAD5B4FE-1F5D-49F0-A187-272E618D71EC}"/>
    <cellStyle name="Comma 4 2 3 8 2 3" xfId="23554" xr:uid="{834D7D3B-3969-4EEE-A657-4F150FCCC697}"/>
    <cellStyle name="Comma 4 2 3 8 3" xfId="10899" xr:uid="{E4FD0B2D-644B-4953-863A-0756C759B7C9}"/>
    <cellStyle name="Comma 4 2 3 8 4" xfId="19337" xr:uid="{B4B59DA7-3FCB-4079-83B5-96D1641E4111}"/>
    <cellStyle name="Comma 4 2 3 9" xfId="2373" xr:uid="{00000000-0005-0000-0000-0000B3080000}"/>
    <cellStyle name="Comma 4 2 4" xfId="140" xr:uid="{00000000-0005-0000-0000-0000B4080000}"/>
    <cellStyle name="Comma 4 2 4 10" xfId="4613" xr:uid="{00000000-0005-0000-0000-0000B5080000}"/>
    <cellStyle name="Comma 4 2 4 10 2" xfId="13055" xr:uid="{77F6D763-F8D7-4241-AD2F-E844931D6A05}"/>
    <cellStyle name="Comma 4 2 4 10 3" xfId="21492" xr:uid="{E0348D65-3E7D-479A-9C6A-3B0BE7B3B743}"/>
    <cellStyle name="Comma 4 2 4 11" xfId="8837" xr:uid="{413A1B77-12C3-4C0F-8E89-8719DDEEC462}"/>
    <cellStyle name="Comma 4 2 4 12" xfId="17275" xr:uid="{5001ACEF-8E06-4E13-AA5C-81B1D8CBC2A9}"/>
    <cellStyle name="Comma 4 2 4 2" xfId="141" xr:uid="{00000000-0005-0000-0000-0000B6080000}"/>
    <cellStyle name="Comma 4 2 4 2 10" xfId="8838" xr:uid="{800B6CE8-5748-48C9-B0D6-20D8C96FD8C9}"/>
    <cellStyle name="Comma 4 2 4 2 11" xfId="17276" xr:uid="{7DB0B66B-5881-4CD9-8526-900E3FD1C2AC}"/>
    <cellStyle name="Comma 4 2 4 2 2" xfId="679" xr:uid="{00000000-0005-0000-0000-0000B7080000}"/>
    <cellStyle name="Comma 4 2 4 2 2 2" xfId="2950" xr:uid="{00000000-0005-0000-0000-0000B8080000}"/>
    <cellStyle name="Comma 4 2 4 2 2 2 2" xfId="7173" xr:uid="{00000000-0005-0000-0000-0000B9080000}"/>
    <cellStyle name="Comma 4 2 4 2 2 2 2 2" xfId="15615" xr:uid="{7632175B-C80B-4318-9414-7D51AA6681E2}"/>
    <cellStyle name="Comma 4 2 4 2 2 2 2 3" xfId="24052" xr:uid="{F5B92D57-E68B-4711-AB6C-65D845BD42BD}"/>
    <cellStyle name="Comma 4 2 4 2 2 2 3" xfId="11397" xr:uid="{A8708433-BD95-4AEE-9F2F-EF7801B2AF41}"/>
    <cellStyle name="Comma 4 2 4 2 2 2 4" xfId="19835" xr:uid="{F224A6FC-63F8-4606-B453-254F8538CE47}"/>
    <cellStyle name="Comma 4 2 4 2 2 3" xfId="5028" xr:uid="{00000000-0005-0000-0000-0000BA080000}"/>
    <cellStyle name="Comma 4 2 4 2 2 3 2" xfId="13470" xr:uid="{0AFAA01B-6B2D-4C79-B790-0B50112A7731}"/>
    <cellStyle name="Comma 4 2 4 2 2 3 3" xfId="21907" xr:uid="{14CE41F0-0121-4217-82D6-34A70CA14757}"/>
    <cellStyle name="Comma 4 2 4 2 2 4" xfId="9252" xr:uid="{0F3192E5-AD32-4728-82D8-C1C00034D464}"/>
    <cellStyle name="Comma 4 2 4 2 2 5" xfId="17690" xr:uid="{B1CFA1F3-AB02-4B48-B578-4C3E21E2C3C4}"/>
    <cellStyle name="Comma 4 2 4 2 3" xfId="1132" xr:uid="{00000000-0005-0000-0000-0000BB080000}"/>
    <cellStyle name="Comma 4 2 4 2 3 2" xfId="3363" xr:uid="{00000000-0005-0000-0000-0000BC080000}"/>
    <cellStyle name="Comma 4 2 4 2 3 2 2" xfId="7586" xr:uid="{00000000-0005-0000-0000-0000BD080000}"/>
    <cellStyle name="Comma 4 2 4 2 3 2 2 2" xfId="16028" xr:uid="{A9CC3FED-FECE-4649-9AB8-315806DA0B4E}"/>
    <cellStyle name="Comma 4 2 4 2 3 2 2 3" xfId="24465" xr:uid="{AAABF595-2436-439A-86EF-84E99D8F3E66}"/>
    <cellStyle name="Comma 4 2 4 2 3 2 3" xfId="11810" xr:uid="{AB6C7865-B6E3-4EB3-8F2C-D23EF782521B}"/>
    <cellStyle name="Comma 4 2 4 2 3 2 4" xfId="20248" xr:uid="{C60AF985-E980-42A7-B5A0-A952422BB39B}"/>
    <cellStyle name="Comma 4 2 4 2 3 3" xfId="5441" xr:uid="{00000000-0005-0000-0000-0000BE080000}"/>
    <cellStyle name="Comma 4 2 4 2 3 3 2" xfId="13883" xr:uid="{A46E63EE-26C0-4173-9346-744763345CFC}"/>
    <cellStyle name="Comma 4 2 4 2 3 3 3" xfId="22320" xr:uid="{EF223600-8661-4F6B-8B6B-E20563168991}"/>
    <cellStyle name="Comma 4 2 4 2 3 4" xfId="9665" xr:uid="{3835E162-6BC2-44F1-9F2F-A4E971927BAE}"/>
    <cellStyle name="Comma 4 2 4 2 3 5" xfId="18103" xr:uid="{88EEC0BA-C1D2-4FCE-BE1E-98A67100B71D}"/>
    <cellStyle name="Comma 4 2 4 2 4" xfId="1546" xr:uid="{00000000-0005-0000-0000-0000BF080000}"/>
    <cellStyle name="Comma 4 2 4 2 4 2" xfId="3776" xr:uid="{00000000-0005-0000-0000-0000C0080000}"/>
    <cellStyle name="Comma 4 2 4 2 4 2 2" xfId="7999" xr:uid="{00000000-0005-0000-0000-0000C1080000}"/>
    <cellStyle name="Comma 4 2 4 2 4 2 2 2" xfId="16441" xr:uid="{3725EFEF-9D42-47F5-887D-20FC2C8BB1AB}"/>
    <cellStyle name="Comma 4 2 4 2 4 2 2 3" xfId="24878" xr:uid="{59CE0D25-0D55-4718-9AB5-CE392C1E54EA}"/>
    <cellStyle name="Comma 4 2 4 2 4 2 3" xfId="12223" xr:uid="{8757E687-E44D-41DE-AB0C-7951729D7B9F}"/>
    <cellStyle name="Comma 4 2 4 2 4 2 4" xfId="20661" xr:uid="{0D8B1DBB-7C0D-4C2D-AFF1-03E10901BE9D}"/>
    <cellStyle name="Comma 4 2 4 2 4 3" xfId="5854" xr:uid="{00000000-0005-0000-0000-0000C2080000}"/>
    <cellStyle name="Comma 4 2 4 2 4 3 2" xfId="14296" xr:uid="{B250D757-5A23-4A06-81A0-2A7163034A15}"/>
    <cellStyle name="Comma 4 2 4 2 4 3 3" xfId="22733" xr:uid="{15C38294-6731-4ED4-8503-332B47826772}"/>
    <cellStyle name="Comma 4 2 4 2 4 4" xfId="10078" xr:uid="{F8E8EE85-1838-44FB-879D-E4BDAEB22C92}"/>
    <cellStyle name="Comma 4 2 4 2 4 5" xfId="18516" xr:uid="{5A5B5461-B22F-4124-AF14-67B6CC468DAE}"/>
    <cellStyle name="Comma 4 2 4 2 5" xfId="1960" xr:uid="{00000000-0005-0000-0000-0000C3080000}"/>
    <cellStyle name="Comma 4 2 4 2 5 2" xfId="4189" xr:uid="{00000000-0005-0000-0000-0000C4080000}"/>
    <cellStyle name="Comma 4 2 4 2 5 2 2" xfId="8412" xr:uid="{00000000-0005-0000-0000-0000C5080000}"/>
    <cellStyle name="Comma 4 2 4 2 5 2 2 2" xfId="16854" xr:uid="{D9EE7305-3F6F-44AA-91B0-C0652C22C818}"/>
    <cellStyle name="Comma 4 2 4 2 5 2 2 3" xfId="25291" xr:uid="{F13198A4-7346-4597-8714-9A85DFD9BD1C}"/>
    <cellStyle name="Comma 4 2 4 2 5 2 3" xfId="12636" xr:uid="{5A303EFE-BABA-4A80-BAC5-C32E390312DB}"/>
    <cellStyle name="Comma 4 2 4 2 5 2 4" xfId="21074" xr:uid="{85328D82-AC22-4C3C-97D9-F00FE959CC62}"/>
    <cellStyle name="Comma 4 2 4 2 5 3" xfId="6267" xr:uid="{00000000-0005-0000-0000-0000C6080000}"/>
    <cellStyle name="Comma 4 2 4 2 5 3 2" xfId="14709" xr:uid="{B5DEFE72-BE80-47E0-9DB9-2451BFEA2C5E}"/>
    <cellStyle name="Comma 4 2 4 2 5 3 3" xfId="23146" xr:uid="{1481964D-3471-439E-ADC5-5821576A2B3B}"/>
    <cellStyle name="Comma 4 2 4 2 5 4" xfId="10491" xr:uid="{69B92705-4972-424D-A157-8F2E237A082A}"/>
    <cellStyle name="Comma 4 2 4 2 5 5" xfId="18929" xr:uid="{4EDD43DB-A5BC-437C-8ABF-B4EC5CB1E2C7}"/>
    <cellStyle name="Comma 4 2 4 2 6" xfId="2395" xr:uid="{00000000-0005-0000-0000-0000C7080000}"/>
    <cellStyle name="Comma 4 2 4 2 6 2" xfId="6680" xr:uid="{00000000-0005-0000-0000-0000C8080000}"/>
    <cellStyle name="Comma 4 2 4 2 6 2 2" xfId="15122" xr:uid="{7E61B48D-6951-48E4-9B8B-EA1F5B1084BD}"/>
    <cellStyle name="Comma 4 2 4 2 6 2 3" xfId="23559" xr:uid="{F21D31EA-37BB-4A66-AE30-AB732610F276}"/>
    <cellStyle name="Comma 4 2 4 2 6 3" xfId="10904" xr:uid="{814ACA1F-F992-4BA4-A1B4-E3203382277C}"/>
    <cellStyle name="Comma 4 2 4 2 6 4" xfId="19342" xr:uid="{3A61EC66-3489-4017-9FC6-91C0A5CEC136}"/>
    <cellStyle name="Comma 4 2 4 2 7" xfId="2368" xr:uid="{00000000-0005-0000-0000-0000C9080000}"/>
    <cellStyle name="Comma 4 2 4 2 8" xfId="2773" xr:uid="{00000000-0005-0000-0000-0000CA080000}"/>
    <cellStyle name="Comma 4 2 4 2 8 2" xfId="6997" xr:uid="{00000000-0005-0000-0000-0000CB080000}"/>
    <cellStyle name="Comma 4 2 4 2 8 2 2" xfId="15439" xr:uid="{64222173-E393-4C8F-8FEB-336512787CD8}"/>
    <cellStyle name="Comma 4 2 4 2 8 2 3" xfId="23876" xr:uid="{D59D849E-89CD-4CFD-BC01-A57A9BB55346}"/>
    <cellStyle name="Comma 4 2 4 2 8 3" xfId="11221" xr:uid="{0ED1063E-02CE-40C9-BFCE-6570D108603F}"/>
    <cellStyle name="Comma 4 2 4 2 8 4" xfId="19659" xr:uid="{46C708AD-CC73-4792-8B33-29CAAF99991D}"/>
    <cellStyle name="Comma 4 2 4 2 9" xfId="4614" xr:uid="{00000000-0005-0000-0000-0000CC080000}"/>
    <cellStyle name="Comma 4 2 4 2 9 2" xfId="13056" xr:uid="{3142782C-8374-4FCD-9454-0A0EE0F10339}"/>
    <cellStyle name="Comma 4 2 4 2 9 3" xfId="21493" xr:uid="{08CAFEF0-233A-4068-B6CC-7DDB770E294C}"/>
    <cellStyle name="Comma 4 2 4 3" xfId="678" xr:uid="{00000000-0005-0000-0000-0000CD080000}"/>
    <cellStyle name="Comma 4 2 4 3 2" xfId="2949" xr:uid="{00000000-0005-0000-0000-0000CE080000}"/>
    <cellStyle name="Comma 4 2 4 3 2 2" xfId="7172" xr:uid="{00000000-0005-0000-0000-0000CF080000}"/>
    <cellStyle name="Comma 4 2 4 3 2 2 2" xfId="15614" xr:uid="{D618F7DE-0266-4575-A751-FC0AF453A8ED}"/>
    <cellStyle name="Comma 4 2 4 3 2 2 3" xfId="24051" xr:uid="{AC1E0B09-4980-4A9E-A4E7-8DC85AD25D5E}"/>
    <cellStyle name="Comma 4 2 4 3 2 3" xfId="11396" xr:uid="{96F4B39F-D5AB-4C44-836A-F93DCBFC69D2}"/>
    <cellStyle name="Comma 4 2 4 3 2 4" xfId="19834" xr:uid="{7E2131FE-9709-42A3-B979-D375A8EB40AE}"/>
    <cellStyle name="Comma 4 2 4 3 3" xfId="5027" xr:uid="{00000000-0005-0000-0000-0000D0080000}"/>
    <cellStyle name="Comma 4 2 4 3 3 2" xfId="13469" xr:uid="{8F646B5D-CA1D-4853-81D8-9ADDA5EE0132}"/>
    <cellStyle name="Comma 4 2 4 3 3 3" xfId="21906" xr:uid="{8699ADF5-AEFE-4FB3-AF14-20B9465984F9}"/>
    <cellStyle name="Comma 4 2 4 3 4" xfId="9251" xr:uid="{8B206FAF-A65F-4C8A-94A4-32E0F0C63F31}"/>
    <cellStyle name="Comma 4 2 4 3 5" xfId="17689" xr:uid="{2FF9FF17-7B05-49A9-A3F5-D657DBB2C929}"/>
    <cellStyle name="Comma 4 2 4 4" xfId="1131" xr:uid="{00000000-0005-0000-0000-0000D1080000}"/>
    <cellStyle name="Comma 4 2 4 4 2" xfId="3362" xr:uid="{00000000-0005-0000-0000-0000D2080000}"/>
    <cellStyle name="Comma 4 2 4 4 2 2" xfId="7585" xr:uid="{00000000-0005-0000-0000-0000D3080000}"/>
    <cellStyle name="Comma 4 2 4 4 2 2 2" xfId="16027" xr:uid="{28E1E153-4C0E-44B5-AE8F-371968367ADE}"/>
    <cellStyle name="Comma 4 2 4 4 2 2 3" xfId="24464" xr:uid="{8B0A886F-E092-4149-BA73-CE5B3F3BE833}"/>
    <cellStyle name="Comma 4 2 4 4 2 3" xfId="11809" xr:uid="{FC231E29-2E72-4636-AAF8-BADB942D4663}"/>
    <cellStyle name="Comma 4 2 4 4 2 4" xfId="20247" xr:uid="{EE137E5E-59A0-4075-B496-75C2095924CF}"/>
    <cellStyle name="Comma 4 2 4 4 3" xfId="5440" xr:uid="{00000000-0005-0000-0000-0000D4080000}"/>
    <cellStyle name="Comma 4 2 4 4 3 2" xfId="13882" xr:uid="{790AF678-F5E7-4E5C-8F81-D061F0829FD1}"/>
    <cellStyle name="Comma 4 2 4 4 3 3" xfId="22319" xr:uid="{B934DDBF-B4B8-4FDF-88AE-D9B6B06B875E}"/>
    <cellStyle name="Comma 4 2 4 4 4" xfId="9664" xr:uid="{257DE29D-E6E7-491A-93C8-4F34F530956A}"/>
    <cellStyle name="Comma 4 2 4 4 5" xfId="18102" xr:uid="{1D1DB7F2-9D1B-42A6-81DC-E2A49C4B9995}"/>
    <cellStyle name="Comma 4 2 4 5" xfId="1545" xr:uid="{00000000-0005-0000-0000-0000D5080000}"/>
    <cellStyle name="Comma 4 2 4 5 2" xfId="3775" xr:uid="{00000000-0005-0000-0000-0000D6080000}"/>
    <cellStyle name="Comma 4 2 4 5 2 2" xfId="7998" xr:uid="{00000000-0005-0000-0000-0000D7080000}"/>
    <cellStyle name="Comma 4 2 4 5 2 2 2" xfId="16440" xr:uid="{BA73B191-20B1-4F8B-95BC-EC64F1BFFDCE}"/>
    <cellStyle name="Comma 4 2 4 5 2 2 3" xfId="24877" xr:uid="{89976921-B527-467E-BC38-0E97DDD11896}"/>
    <cellStyle name="Comma 4 2 4 5 2 3" xfId="12222" xr:uid="{65C0FFD2-7919-4FCF-868F-D2F977E4788E}"/>
    <cellStyle name="Comma 4 2 4 5 2 4" xfId="20660" xr:uid="{458EED8B-BC22-4715-9583-4B021914403F}"/>
    <cellStyle name="Comma 4 2 4 5 3" xfId="5853" xr:uid="{00000000-0005-0000-0000-0000D8080000}"/>
    <cellStyle name="Comma 4 2 4 5 3 2" xfId="14295" xr:uid="{58C441A4-820F-49A5-945D-EA026DD196A3}"/>
    <cellStyle name="Comma 4 2 4 5 3 3" xfId="22732" xr:uid="{6F451A1C-49FB-4689-8A6E-6F5A489FE6DC}"/>
    <cellStyle name="Comma 4 2 4 5 4" xfId="10077" xr:uid="{485A9749-69A6-49D9-9AAE-DC6E74176643}"/>
    <cellStyle name="Comma 4 2 4 5 5" xfId="18515" xr:uid="{845D9391-3ED6-4E6A-8B78-0132553A010B}"/>
    <cellStyle name="Comma 4 2 4 6" xfId="1959" xr:uid="{00000000-0005-0000-0000-0000D9080000}"/>
    <cellStyle name="Comma 4 2 4 6 2" xfId="4188" xr:uid="{00000000-0005-0000-0000-0000DA080000}"/>
    <cellStyle name="Comma 4 2 4 6 2 2" xfId="8411" xr:uid="{00000000-0005-0000-0000-0000DB080000}"/>
    <cellStyle name="Comma 4 2 4 6 2 2 2" xfId="16853" xr:uid="{10764080-D5E4-42D6-91E8-65B31C5B295A}"/>
    <cellStyle name="Comma 4 2 4 6 2 2 3" xfId="25290" xr:uid="{C1BAB4BD-66B8-4970-805E-48291B293A90}"/>
    <cellStyle name="Comma 4 2 4 6 2 3" xfId="12635" xr:uid="{6192521E-E995-45A8-98C9-B386B7EB9691}"/>
    <cellStyle name="Comma 4 2 4 6 2 4" xfId="21073" xr:uid="{2DE3DE6E-E431-4303-974C-DE618227294A}"/>
    <cellStyle name="Comma 4 2 4 6 3" xfId="6266" xr:uid="{00000000-0005-0000-0000-0000DC080000}"/>
    <cellStyle name="Comma 4 2 4 6 3 2" xfId="14708" xr:uid="{BC0979C3-696B-49C9-802E-DBC2D8127A1D}"/>
    <cellStyle name="Comma 4 2 4 6 3 3" xfId="23145" xr:uid="{F27F3398-EC46-4D15-AB0B-12B1D007A143}"/>
    <cellStyle name="Comma 4 2 4 6 4" xfId="10490" xr:uid="{147B07B0-ECFB-4532-BADE-582FB5208944}"/>
    <cellStyle name="Comma 4 2 4 6 5" xfId="18928" xr:uid="{DE38AD14-BF37-4AB1-B0F5-E7879A33EC60}"/>
    <cellStyle name="Comma 4 2 4 7" xfId="2394" xr:uid="{00000000-0005-0000-0000-0000DD080000}"/>
    <cellStyle name="Comma 4 2 4 7 2" xfId="6679" xr:uid="{00000000-0005-0000-0000-0000DE080000}"/>
    <cellStyle name="Comma 4 2 4 7 2 2" xfId="15121" xr:uid="{EEF8C5E9-C396-4413-89C3-39EE89775D0D}"/>
    <cellStyle name="Comma 4 2 4 7 2 3" xfId="23558" xr:uid="{2A86469D-E33C-4AF8-AEBC-0DE83B066F18}"/>
    <cellStyle name="Comma 4 2 4 7 3" xfId="10903" xr:uid="{F79EB5C5-D0DA-460A-B538-886366D86180}"/>
    <cellStyle name="Comma 4 2 4 7 4" xfId="19341" xr:uid="{B87A05BE-8BF4-41D9-9777-096D578EACB3}"/>
    <cellStyle name="Comma 4 2 4 8" xfId="2369" xr:uid="{00000000-0005-0000-0000-0000DF080000}"/>
    <cellStyle name="Comma 4 2 4 9" xfId="2772" xr:uid="{00000000-0005-0000-0000-0000E0080000}"/>
    <cellStyle name="Comma 4 2 4 9 2" xfId="6996" xr:uid="{00000000-0005-0000-0000-0000E1080000}"/>
    <cellStyle name="Comma 4 2 4 9 2 2" xfId="15438" xr:uid="{079F8807-200A-4B3E-B6C4-B74FDF4BAAF1}"/>
    <cellStyle name="Comma 4 2 4 9 2 3" xfId="23875" xr:uid="{5374DAF4-2D44-42E2-B43D-0E596F5878D1}"/>
    <cellStyle name="Comma 4 2 4 9 3" xfId="11220" xr:uid="{38AD9BC0-F7A5-4E63-8D56-720B6B046F50}"/>
    <cellStyle name="Comma 4 2 4 9 4" xfId="19658" xr:uid="{21E8860C-5797-42B2-BE78-0800E86417CB}"/>
    <cellStyle name="Comma 4 2 5" xfId="142" xr:uid="{00000000-0005-0000-0000-0000E2080000}"/>
    <cellStyle name="Comma 4 2 5 10" xfId="8839" xr:uid="{DCA546CF-34C1-4F8C-9C94-330E2975DFD3}"/>
    <cellStyle name="Comma 4 2 5 11" xfId="17277" xr:uid="{9811C350-BF1B-40A8-81F6-A91A361584DD}"/>
    <cellStyle name="Comma 4 2 5 2" xfId="680" xr:uid="{00000000-0005-0000-0000-0000E3080000}"/>
    <cellStyle name="Comma 4 2 5 2 2" xfId="2951" xr:uid="{00000000-0005-0000-0000-0000E4080000}"/>
    <cellStyle name="Comma 4 2 5 2 2 2" xfId="7174" xr:uid="{00000000-0005-0000-0000-0000E5080000}"/>
    <cellStyle name="Comma 4 2 5 2 2 2 2" xfId="15616" xr:uid="{DCB2BF2E-0869-4DE3-80AD-B4B0A1C37C98}"/>
    <cellStyle name="Comma 4 2 5 2 2 2 3" xfId="24053" xr:uid="{855D6BEE-0F3C-4B39-9366-64B386E4B04E}"/>
    <cellStyle name="Comma 4 2 5 2 2 3" xfId="11398" xr:uid="{761C5836-09C6-4FAE-BC26-5D48B680C624}"/>
    <cellStyle name="Comma 4 2 5 2 2 4" xfId="19836" xr:uid="{85C19584-F972-4518-AC66-97DFE5D3053F}"/>
    <cellStyle name="Comma 4 2 5 2 3" xfId="5029" xr:uid="{00000000-0005-0000-0000-0000E6080000}"/>
    <cellStyle name="Comma 4 2 5 2 3 2" xfId="13471" xr:uid="{086C28B7-BD46-4EEC-917B-4398782E60D2}"/>
    <cellStyle name="Comma 4 2 5 2 3 3" xfId="21908" xr:uid="{F98AA871-9967-43F4-AE6A-6181F7FB7970}"/>
    <cellStyle name="Comma 4 2 5 2 4" xfId="9253" xr:uid="{458465F7-7873-4F8D-B1C1-13FC8A1290F6}"/>
    <cellStyle name="Comma 4 2 5 2 5" xfId="17691" xr:uid="{9D117EED-23E7-4895-85FE-F0756C164992}"/>
    <cellStyle name="Comma 4 2 5 3" xfId="1133" xr:uid="{00000000-0005-0000-0000-0000E7080000}"/>
    <cellStyle name="Comma 4 2 5 3 2" xfId="3364" xr:uid="{00000000-0005-0000-0000-0000E8080000}"/>
    <cellStyle name="Comma 4 2 5 3 2 2" xfId="7587" xr:uid="{00000000-0005-0000-0000-0000E9080000}"/>
    <cellStyle name="Comma 4 2 5 3 2 2 2" xfId="16029" xr:uid="{E5B74335-168D-4FD8-964C-C9D38E648DB3}"/>
    <cellStyle name="Comma 4 2 5 3 2 2 3" xfId="24466" xr:uid="{245AFCC2-88A2-40B1-8676-4330C628DF14}"/>
    <cellStyle name="Comma 4 2 5 3 2 3" xfId="11811" xr:uid="{1468F8A1-7979-44E3-93F3-1CFF88FFA267}"/>
    <cellStyle name="Comma 4 2 5 3 2 4" xfId="20249" xr:uid="{00E0D0D6-9A94-466A-9EB0-059D09B26AAC}"/>
    <cellStyle name="Comma 4 2 5 3 3" xfId="5442" xr:uid="{00000000-0005-0000-0000-0000EA080000}"/>
    <cellStyle name="Comma 4 2 5 3 3 2" xfId="13884" xr:uid="{A9A7D9AE-6C49-4EAB-B08E-5917546D41B1}"/>
    <cellStyle name="Comma 4 2 5 3 3 3" xfId="22321" xr:uid="{B71A0B7D-13B9-495A-A046-48F50446179F}"/>
    <cellStyle name="Comma 4 2 5 3 4" xfId="9666" xr:uid="{5B152141-C310-4EFC-A312-97A653E71DEB}"/>
    <cellStyle name="Comma 4 2 5 3 5" xfId="18104" xr:uid="{3F6B959A-43F5-4D49-B32E-D5E1999FA80C}"/>
    <cellStyle name="Comma 4 2 5 4" xfId="1547" xr:uid="{00000000-0005-0000-0000-0000EB080000}"/>
    <cellStyle name="Comma 4 2 5 4 2" xfId="3777" xr:uid="{00000000-0005-0000-0000-0000EC080000}"/>
    <cellStyle name="Comma 4 2 5 4 2 2" xfId="8000" xr:uid="{00000000-0005-0000-0000-0000ED080000}"/>
    <cellStyle name="Comma 4 2 5 4 2 2 2" xfId="16442" xr:uid="{513ADA98-8103-4BE4-AB98-3548CCD941F5}"/>
    <cellStyle name="Comma 4 2 5 4 2 2 3" xfId="24879" xr:uid="{19ECE7BE-12CC-40AA-9D06-7AA7DAC94549}"/>
    <cellStyle name="Comma 4 2 5 4 2 3" xfId="12224" xr:uid="{83946A5B-A531-4675-B3B1-08CFDA58C9D6}"/>
    <cellStyle name="Comma 4 2 5 4 2 4" xfId="20662" xr:uid="{4A67A66F-174B-4BCF-8323-C5243DCCA202}"/>
    <cellStyle name="Comma 4 2 5 4 3" xfId="5855" xr:uid="{00000000-0005-0000-0000-0000EE080000}"/>
    <cellStyle name="Comma 4 2 5 4 3 2" xfId="14297" xr:uid="{23DCC6EE-99B7-4D84-B4FC-840541EFDF0D}"/>
    <cellStyle name="Comma 4 2 5 4 3 3" xfId="22734" xr:uid="{28188202-BC50-4F44-9BCE-DC68A4B5FFAA}"/>
    <cellStyle name="Comma 4 2 5 4 4" xfId="10079" xr:uid="{D2E14EC5-6087-4BCF-BFA1-78D187E7FF82}"/>
    <cellStyle name="Comma 4 2 5 4 5" xfId="18517" xr:uid="{CF11739B-C4CE-4538-AC87-E166307A8B16}"/>
    <cellStyle name="Comma 4 2 5 5" xfId="1961" xr:uid="{00000000-0005-0000-0000-0000EF080000}"/>
    <cellStyle name="Comma 4 2 5 5 2" xfId="4190" xr:uid="{00000000-0005-0000-0000-0000F0080000}"/>
    <cellStyle name="Comma 4 2 5 5 2 2" xfId="8413" xr:uid="{00000000-0005-0000-0000-0000F1080000}"/>
    <cellStyle name="Comma 4 2 5 5 2 2 2" xfId="16855" xr:uid="{13226A4E-2569-4BCA-B8A0-117DAC822681}"/>
    <cellStyle name="Comma 4 2 5 5 2 2 3" xfId="25292" xr:uid="{2B855FB3-5705-4A84-AB1A-33474ACAD2B9}"/>
    <cellStyle name="Comma 4 2 5 5 2 3" xfId="12637" xr:uid="{909EE917-0A12-4215-B4E3-F1C1AB055E8E}"/>
    <cellStyle name="Comma 4 2 5 5 2 4" xfId="21075" xr:uid="{ECA6A9AD-B6DC-41CA-B027-660C7AAD2C79}"/>
    <cellStyle name="Comma 4 2 5 5 3" xfId="6268" xr:uid="{00000000-0005-0000-0000-0000F2080000}"/>
    <cellStyle name="Comma 4 2 5 5 3 2" xfId="14710" xr:uid="{38B4866E-A200-4895-AE14-6BC74C068A16}"/>
    <cellStyle name="Comma 4 2 5 5 3 3" xfId="23147" xr:uid="{CAD1E613-1103-4D6B-8D2C-41FFD3C54623}"/>
    <cellStyle name="Comma 4 2 5 5 4" xfId="10492" xr:uid="{40104B53-BA4B-4C97-8CAD-FA2092FD18C7}"/>
    <cellStyle name="Comma 4 2 5 5 5" xfId="18930" xr:uid="{75A6316C-8258-4B90-9610-7DE4F4D83084}"/>
    <cellStyle name="Comma 4 2 5 6" xfId="2396" xr:uid="{00000000-0005-0000-0000-0000F3080000}"/>
    <cellStyle name="Comma 4 2 5 6 2" xfId="6681" xr:uid="{00000000-0005-0000-0000-0000F4080000}"/>
    <cellStyle name="Comma 4 2 5 6 2 2" xfId="15123" xr:uid="{CE57C254-4981-4775-8220-330B05130233}"/>
    <cellStyle name="Comma 4 2 5 6 2 3" xfId="23560" xr:uid="{604D7878-64E4-4513-A182-F3E5DCF62C75}"/>
    <cellStyle name="Comma 4 2 5 6 3" xfId="10905" xr:uid="{AE3A36B1-0CE9-494C-BDBC-69367A49FAF9}"/>
    <cellStyle name="Comma 4 2 5 6 4" xfId="19343" xr:uid="{0434C0DB-9424-4BBC-9FB0-8B3075CFA362}"/>
    <cellStyle name="Comma 4 2 5 7" xfId="2367" xr:uid="{00000000-0005-0000-0000-0000F5080000}"/>
    <cellStyle name="Comma 4 2 5 8" xfId="2774" xr:uid="{00000000-0005-0000-0000-0000F6080000}"/>
    <cellStyle name="Comma 4 2 5 8 2" xfId="6998" xr:uid="{00000000-0005-0000-0000-0000F7080000}"/>
    <cellStyle name="Comma 4 2 5 8 2 2" xfId="15440" xr:uid="{B31C89B8-3203-494A-A87F-1A4082700E4E}"/>
    <cellStyle name="Comma 4 2 5 8 2 3" xfId="23877" xr:uid="{E8F7C427-77D2-4764-AB25-5740847826C5}"/>
    <cellStyle name="Comma 4 2 5 8 3" xfId="11222" xr:uid="{D6835354-8203-4589-85E4-E44D25C47408}"/>
    <cellStyle name="Comma 4 2 5 8 4" xfId="19660" xr:uid="{E6BF99F6-89D9-4833-BD64-0859946A04A6}"/>
    <cellStyle name="Comma 4 2 5 9" xfId="4615" xr:uid="{00000000-0005-0000-0000-0000F8080000}"/>
    <cellStyle name="Comma 4 2 5 9 2" xfId="13057" xr:uid="{AF28A917-633F-4EC3-BF9C-67F04D285B20}"/>
    <cellStyle name="Comma 4 2 5 9 3" xfId="21494" xr:uid="{0C77FB5B-4FE2-4B4D-AE11-AF5B6ED88920}"/>
    <cellStyle name="Comma 4 2 6" xfId="143" xr:uid="{00000000-0005-0000-0000-0000F9080000}"/>
    <cellStyle name="Comma 4 2 6 10" xfId="8840" xr:uid="{35ED91A6-81C2-4E14-A86F-72F3B6DEDF33}"/>
    <cellStyle name="Comma 4 2 6 11" xfId="17278" xr:uid="{EDCFCF03-857E-4C50-A8D4-D57BC8E5158E}"/>
    <cellStyle name="Comma 4 2 6 2" xfId="681" xr:uid="{00000000-0005-0000-0000-0000FA080000}"/>
    <cellStyle name="Comma 4 2 6 2 2" xfId="2952" xr:uid="{00000000-0005-0000-0000-0000FB080000}"/>
    <cellStyle name="Comma 4 2 6 2 2 2" xfId="7175" xr:uid="{00000000-0005-0000-0000-0000FC080000}"/>
    <cellStyle name="Comma 4 2 6 2 2 2 2" xfId="15617" xr:uid="{568CE19A-5871-4AAA-A9AE-081D94FAFDBF}"/>
    <cellStyle name="Comma 4 2 6 2 2 2 3" xfId="24054" xr:uid="{57752199-8B7B-49E0-A4C1-255803A92906}"/>
    <cellStyle name="Comma 4 2 6 2 2 3" xfId="11399" xr:uid="{C474B667-DCB6-433F-824C-4779C9C70DF0}"/>
    <cellStyle name="Comma 4 2 6 2 2 4" xfId="19837" xr:uid="{D141DB7D-CD7A-40B4-9129-5D08B7ED687F}"/>
    <cellStyle name="Comma 4 2 6 2 3" xfId="5030" xr:uid="{00000000-0005-0000-0000-0000FD080000}"/>
    <cellStyle name="Comma 4 2 6 2 3 2" xfId="13472" xr:uid="{F739B31E-ED1A-4092-8A52-C91B5655A5B9}"/>
    <cellStyle name="Comma 4 2 6 2 3 3" xfId="21909" xr:uid="{1AFF5860-8F70-4467-85C9-22B3C98B699F}"/>
    <cellStyle name="Comma 4 2 6 2 4" xfId="9254" xr:uid="{FD265D70-1D81-4713-852C-41C28F8184DE}"/>
    <cellStyle name="Comma 4 2 6 2 5" xfId="17692" xr:uid="{F08F1A53-F4CD-4FAB-B163-68251D205C36}"/>
    <cellStyle name="Comma 4 2 6 3" xfId="1134" xr:uid="{00000000-0005-0000-0000-0000FE080000}"/>
    <cellStyle name="Comma 4 2 6 3 2" xfId="3365" xr:uid="{00000000-0005-0000-0000-0000FF080000}"/>
    <cellStyle name="Comma 4 2 6 3 2 2" xfId="7588" xr:uid="{00000000-0005-0000-0000-000000090000}"/>
    <cellStyle name="Comma 4 2 6 3 2 2 2" xfId="16030" xr:uid="{8FDF6DDA-244F-4DC4-8EEC-692457C8487F}"/>
    <cellStyle name="Comma 4 2 6 3 2 2 3" xfId="24467" xr:uid="{53461A02-C619-403A-BD3C-D082245CD67D}"/>
    <cellStyle name="Comma 4 2 6 3 2 3" xfId="11812" xr:uid="{DD146183-CA27-4E79-8535-025F2B136BD3}"/>
    <cellStyle name="Comma 4 2 6 3 2 4" xfId="20250" xr:uid="{5D95EFB1-DC23-4E88-AF84-52C8DF503BDF}"/>
    <cellStyle name="Comma 4 2 6 3 3" xfId="5443" xr:uid="{00000000-0005-0000-0000-000001090000}"/>
    <cellStyle name="Comma 4 2 6 3 3 2" xfId="13885" xr:uid="{410B43E4-63A7-47F2-8510-175D0D1B9A3E}"/>
    <cellStyle name="Comma 4 2 6 3 3 3" xfId="22322" xr:uid="{B76EBDCA-DE27-433A-B82D-A0E6B1BC37AD}"/>
    <cellStyle name="Comma 4 2 6 3 4" xfId="9667" xr:uid="{E5C95D95-8EE6-4595-806E-97DCA00CEA23}"/>
    <cellStyle name="Comma 4 2 6 3 5" xfId="18105" xr:uid="{510F7187-FDAB-492E-9D61-A2B9B5BB6492}"/>
    <cellStyle name="Comma 4 2 6 4" xfId="1548" xr:uid="{00000000-0005-0000-0000-000002090000}"/>
    <cellStyle name="Comma 4 2 6 4 2" xfId="3778" xr:uid="{00000000-0005-0000-0000-000003090000}"/>
    <cellStyle name="Comma 4 2 6 4 2 2" xfId="8001" xr:uid="{00000000-0005-0000-0000-000004090000}"/>
    <cellStyle name="Comma 4 2 6 4 2 2 2" xfId="16443" xr:uid="{640D07D8-67B6-426E-8E96-938850613B5A}"/>
    <cellStyle name="Comma 4 2 6 4 2 2 3" xfId="24880" xr:uid="{99F3FA1B-AAB0-4E33-80BA-9F9817046AAB}"/>
    <cellStyle name="Comma 4 2 6 4 2 3" xfId="12225" xr:uid="{9F92F809-A34B-4D95-A042-A691CE1436DB}"/>
    <cellStyle name="Comma 4 2 6 4 2 4" xfId="20663" xr:uid="{68314605-8B0C-456A-A504-774B163D2EDF}"/>
    <cellStyle name="Comma 4 2 6 4 3" xfId="5856" xr:uid="{00000000-0005-0000-0000-000005090000}"/>
    <cellStyle name="Comma 4 2 6 4 3 2" xfId="14298" xr:uid="{CF950EFC-18BF-4C08-B774-DB6D0E94B99F}"/>
    <cellStyle name="Comma 4 2 6 4 3 3" xfId="22735" xr:uid="{C5B7E6CF-8828-4477-8BD4-B4E186C09F42}"/>
    <cellStyle name="Comma 4 2 6 4 4" xfId="10080" xr:uid="{71EE27F7-49CE-4DEC-875C-9CF8EF5E09CA}"/>
    <cellStyle name="Comma 4 2 6 4 5" xfId="18518" xr:uid="{B2A76659-7C0A-437F-9990-FCEF5E4391B2}"/>
    <cellStyle name="Comma 4 2 6 5" xfId="1962" xr:uid="{00000000-0005-0000-0000-000006090000}"/>
    <cellStyle name="Comma 4 2 6 5 2" xfId="4191" xr:uid="{00000000-0005-0000-0000-000007090000}"/>
    <cellStyle name="Comma 4 2 6 5 2 2" xfId="8414" xr:uid="{00000000-0005-0000-0000-000008090000}"/>
    <cellStyle name="Comma 4 2 6 5 2 2 2" xfId="16856" xr:uid="{E911732F-2AEC-4496-8688-2F05431BD172}"/>
    <cellStyle name="Comma 4 2 6 5 2 2 3" xfId="25293" xr:uid="{15178B7F-9BD7-43E8-BE58-79CBC563AF72}"/>
    <cellStyle name="Comma 4 2 6 5 2 3" xfId="12638" xr:uid="{16F8A4D8-8AA0-4E6C-8645-43CDD4888AFC}"/>
    <cellStyle name="Comma 4 2 6 5 2 4" xfId="21076" xr:uid="{EF2703A2-852B-4272-8513-5F01EC625229}"/>
    <cellStyle name="Comma 4 2 6 5 3" xfId="6269" xr:uid="{00000000-0005-0000-0000-000009090000}"/>
    <cellStyle name="Comma 4 2 6 5 3 2" xfId="14711" xr:uid="{75ADF16C-7DB2-43D1-89C3-3223ED446A02}"/>
    <cellStyle name="Comma 4 2 6 5 3 3" xfId="23148" xr:uid="{AB95EB1E-4B89-418A-993B-3DEEC5B16F1A}"/>
    <cellStyle name="Comma 4 2 6 5 4" xfId="10493" xr:uid="{8BF100C1-C22F-46AA-BADF-28CB45276964}"/>
    <cellStyle name="Comma 4 2 6 5 5" xfId="18931" xr:uid="{0D2AE945-9587-4681-8626-EB1D5A4EE0FD}"/>
    <cellStyle name="Comma 4 2 6 6" xfId="2397" xr:uid="{00000000-0005-0000-0000-00000A090000}"/>
    <cellStyle name="Comma 4 2 6 6 2" xfId="6682" xr:uid="{00000000-0005-0000-0000-00000B090000}"/>
    <cellStyle name="Comma 4 2 6 6 2 2" xfId="15124" xr:uid="{CF95FA00-9517-4E2C-A6D4-39E3F3E04A2B}"/>
    <cellStyle name="Comma 4 2 6 6 2 3" xfId="23561" xr:uid="{2F704BDF-7BE1-4559-862C-659A7BF49A89}"/>
    <cellStyle name="Comma 4 2 6 6 3" xfId="10906" xr:uid="{351F12E9-6439-49E0-A48E-DAEBC534916D}"/>
    <cellStyle name="Comma 4 2 6 6 4" xfId="19344" xr:uid="{BF3AAA00-3503-4B76-9F68-894874106CC3}"/>
    <cellStyle name="Comma 4 2 6 7" xfId="2366" xr:uid="{00000000-0005-0000-0000-00000C090000}"/>
    <cellStyle name="Comma 4 2 6 8" xfId="2775" xr:uid="{00000000-0005-0000-0000-00000D090000}"/>
    <cellStyle name="Comma 4 2 6 8 2" xfId="6999" xr:uid="{00000000-0005-0000-0000-00000E090000}"/>
    <cellStyle name="Comma 4 2 6 8 2 2" xfId="15441" xr:uid="{CD56E19B-AB5B-4B9E-8F92-04483AEB1D79}"/>
    <cellStyle name="Comma 4 2 6 8 2 3" xfId="23878" xr:uid="{01F823BE-BDB2-4674-B8EA-DCFCC40018EB}"/>
    <cellStyle name="Comma 4 2 6 8 3" xfId="11223" xr:uid="{9038422A-4B51-4B13-A835-4D14B340CE65}"/>
    <cellStyle name="Comma 4 2 6 8 4" xfId="19661" xr:uid="{5C143207-FF94-4D12-BF8A-4A2E348CA469}"/>
    <cellStyle name="Comma 4 2 6 9" xfId="4616" xr:uid="{00000000-0005-0000-0000-00000F090000}"/>
    <cellStyle name="Comma 4 2 6 9 2" xfId="13058" xr:uid="{A69E784A-ADA4-4F67-8D10-06C9E63344CB}"/>
    <cellStyle name="Comma 4 2 6 9 3" xfId="21495" xr:uid="{61B26D20-092E-470A-AF4D-873613EAD1F6}"/>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0 2 2" xfId="15442" xr:uid="{1B5AA87E-26BF-4349-A5C2-BB4A79056F2D}"/>
    <cellStyle name="Comma 4 3 2 10 2 3" xfId="23879" xr:uid="{F1A55261-C72B-4869-9470-C929040E5B20}"/>
    <cellStyle name="Comma 4 3 2 10 3" xfId="11224" xr:uid="{51D3906A-7E04-426D-AB7D-6E3E77064065}"/>
    <cellStyle name="Comma 4 3 2 10 4" xfId="19662" xr:uid="{4E8128B5-0D2D-4BE4-87FA-9F99943D31B9}"/>
    <cellStyle name="Comma 4 3 2 11" xfId="4617" xr:uid="{00000000-0005-0000-0000-000014090000}"/>
    <cellStyle name="Comma 4 3 2 11 2" xfId="13059" xr:uid="{0A1E5ACA-BCFD-426C-AC16-661E07000344}"/>
    <cellStyle name="Comma 4 3 2 11 3" xfId="21496" xr:uid="{0EAEF8C0-C2E0-486C-BF0D-72E367430736}"/>
    <cellStyle name="Comma 4 3 2 12" xfId="8841" xr:uid="{4BAAAB94-57B7-429D-B3C2-CEB345050258}"/>
    <cellStyle name="Comma 4 3 2 13" xfId="17279" xr:uid="{D1648975-3652-4DC6-A7CA-DEBA65C3027B}"/>
    <cellStyle name="Comma 4 3 2 2" xfId="146" xr:uid="{00000000-0005-0000-0000-000015090000}"/>
    <cellStyle name="Comma 4 3 2 2 10" xfId="4618" xr:uid="{00000000-0005-0000-0000-000016090000}"/>
    <cellStyle name="Comma 4 3 2 2 10 2" xfId="13060" xr:uid="{C026BDEF-5C6F-4766-95CE-F8DB3BDBA7CB}"/>
    <cellStyle name="Comma 4 3 2 2 10 3" xfId="21497" xr:uid="{13D2B974-33F8-4E0B-99C2-CE126858CDD5}"/>
    <cellStyle name="Comma 4 3 2 2 11" xfId="8842" xr:uid="{383D8A30-3C69-4874-9D06-EF476D0E5420}"/>
    <cellStyle name="Comma 4 3 2 2 12" xfId="17280" xr:uid="{78F1B277-D3AD-4C26-AE59-3F6209C14552}"/>
    <cellStyle name="Comma 4 3 2 2 2" xfId="147" xr:uid="{00000000-0005-0000-0000-000017090000}"/>
    <cellStyle name="Comma 4 3 2 2 2 10" xfId="8843" xr:uid="{C51D9CB5-3ABA-4100-9002-C8CD4DB8D3B2}"/>
    <cellStyle name="Comma 4 3 2 2 2 11" xfId="17281" xr:uid="{511E874D-E5F6-4FF4-ADCA-6EDD2FAB95AA}"/>
    <cellStyle name="Comma 4 3 2 2 2 2" xfId="684" xr:uid="{00000000-0005-0000-0000-000018090000}"/>
    <cellStyle name="Comma 4 3 2 2 2 2 2" xfId="2955" xr:uid="{00000000-0005-0000-0000-000019090000}"/>
    <cellStyle name="Comma 4 3 2 2 2 2 2 2" xfId="7178" xr:uid="{00000000-0005-0000-0000-00001A090000}"/>
    <cellStyle name="Comma 4 3 2 2 2 2 2 2 2" xfId="15620" xr:uid="{EF936F61-D954-4A0A-A4F5-D869D597051B}"/>
    <cellStyle name="Comma 4 3 2 2 2 2 2 2 3" xfId="24057" xr:uid="{F4BAD627-A500-47D1-A936-3228B8F8B32D}"/>
    <cellStyle name="Comma 4 3 2 2 2 2 2 3" xfId="11402" xr:uid="{64F7ACBE-BC9D-4669-90E3-CD6C5E668DBB}"/>
    <cellStyle name="Comma 4 3 2 2 2 2 2 4" xfId="19840" xr:uid="{19B42784-7DBE-4783-9EA3-381B2AE31B48}"/>
    <cellStyle name="Comma 4 3 2 2 2 2 3" xfId="5033" xr:uid="{00000000-0005-0000-0000-00001B090000}"/>
    <cellStyle name="Comma 4 3 2 2 2 2 3 2" xfId="13475" xr:uid="{08AA61F2-C9BF-4152-99C1-28FC2808C26B}"/>
    <cellStyle name="Comma 4 3 2 2 2 2 3 3" xfId="21912" xr:uid="{73E054A3-2819-4489-9C52-8B1FA81724FF}"/>
    <cellStyle name="Comma 4 3 2 2 2 2 4" xfId="9257" xr:uid="{B8742D0D-928C-4BE8-A053-110728188189}"/>
    <cellStyle name="Comma 4 3 2 2 2 2 5" xfId="17695" xr:uid="{226D3A8B-BE12-432B-841B-8DEC1BF6E0DC}"/>
    <cellStyle name="Comma 4 3 2 2 2 3" xfId="1137" xr:uid="{00000000-0005-0000-0000-00001C090000}"/>
    <cellStyle name="Comma 4 3 2 2 2 3 2" xfId="3368" xr:uid="{00000000-0005-0000-0000-00001D090000}"/>
    <cellStyle name="Comma 4 3 2 2 2 3 2 2" xfId="7591" xr:uid="{00000000-0005-0000-0000-00001E090000}"/>
    <cellStyle name="Comma 4 3 2 2 2 3 2 2 2" xfId="16033" xr:uid="{8FB66D70-9FA9-4437-973A-B5A8E1E17BCF}"/>
    <cellStyle name="Comma 4 3 2 2 2 3 2 2 3" xfId="24470" xr:uid="{7BE13BA7-A75E-4A57-B720-20601E541C7E}"/>
    <cellStyle name="Comma 4 3 2 2 2 3 2 3" xfId="11815" xr:uid="{7E02D998-6E3B-4C55-B104-12FC8CE19591}"/>
    <cellStyle name="Comma 4 3 2 2 2 3 2 4" xfId="20253" xr:uid="{1C3766CA-78A9-4E18-BD62-E88D042FE390}"/>
    <cellStyle name="Comma 4 3 2 2 2 3 3" xfId="5446" xr:uid="{00000000-0005-0000-0000-00001F090000}"/>
    <cellStyle name="Comma 4 3 2 2 2 3 3 2" xfId="13888" xr:uid="{3989CF9F-B605-4036-A046-133A91A0F88B}"/>
    <cellStyle name="Comma 4 3 2 2 2 3 3 3" xfId="22325" xr:uid="{97A4B565-C1B4-4EFD-AF08-A16FF11FD4B4}"/>
    <cellStyle name="Comma 4 3 2 2 2 3 4" xfId="9670" xr:uid="{478A9546-A874-4EF6-ABB6-CA6D1B23BBD5}"/>
    <cellStyle name="Comma 4 3 2 2 2 3 5" xfId="18108" xr:uid="{DF94BCF2-94B3-4BBE-AE49-DE2C1CE328F3}"/>
    <cellStyle name="Comma 4 3 2 2 2 4" xfId="1551" xr:uid="{00000000-0005-0000-0000-000020090000}"/>
    <cellStyle name="Comma 4 3 2 2 2 4 2" xfId="3781" xr:uid="{00000000-0005-0000-0000-000021090000}"/>
    <cellStyle name="Comma 4 3 2 2 2 4 2 2" xfId="8004" xr:uid="{00000000-0005-0000-0000-000022090000}"/>
    <cellStyle name="Comma 4 3 2 2 2 4 2 2 2" xfId="16446" xr:uid="{3F8895D9-2690-4A8E-BB6C-7EA8017803C2}"/>
    <cellStyle name="Comma 4 3 2 2 2 4 2 2 3" xfId="24883" xr:uid="{6C396C3B-0490-45B3-B397-1627CB186495}"/>
    <cellStyle name="Comma 4 3 2 2 2 4 2 3" xfId="12228" xr:uid="{1991546F-8701-4F32-945E-3C210CEB200D}"/>
    <cellStyle name="Comma 4 3 2 2 2 4 2 4" xfId="20666" xr:uid="{97A132CE-EE06-4DF3-848C-9255C9374CD4}"/>
    <cellStyle name="Comma 4 3 2 2 2 4 3" xfId="5859" xr:uid="{00000000-0005-0000-0000-000023090000}"/>
    <cellStyle name="Comma 4 3 2 2 2 4 3 2" xfId="14301" xr:uid="{0EA11CC4-4BFA-4FBE-876B-067D075ACF04}"/>
    <cellStyle name="Comma 4 3 2 2 2 4 3 3" xfId="22738" xr:uid="{5A80A297-06A4-4B85-AC6D-2F47F93B8D2F}"/>
    <cellStyle name="Comma 4 3 2 2 2 4 4" xfId="10083" xr:uid="{BBC3DB69-3FDE-4989-9A25-FB96CB63FF59}"/>
    <cellStyle name="Comma 4 3 2 2 2 4 5" xfId="18521" xr:uid="{B5295A72-039C-401E-AA94-D53FA9D1567F}"/>
    <cellStyle name="Comma 4 3 2 2 2 5" xfId="1965" xr:uid="{00000000-0005-0000-0000-000024090000}"/>
    <cellStyle name="Comma 4 3 2 2 2 5 2" xfId="4194" xr:uid="{00000000-0005-0000-0000-000025090000}"/>
    <cellStyle name="Comma 4 3 2 2 2 5 2 2" xfId="8417" xr:uid="{00000000-0005-0000-0000-000026090000}"/>
    <cellStyle name="Comma 4 3 2 2 2 5 2 2 2" xfId="16859" xr:uid="{87D201A7-097E-44CF-AF7D-6949B42D6C3E}"/>
    <cellStyle name="Comma 4 3 2 2 2 5 2 2 3" xfId="25296" xr:uid="{A6ACB0A0-32B0-4214-8365-D7632ABF6C30}"/>
    <cellStyle name="Comma 4 3 2 2 2 5 2 3" xfId="12641" xr:uid="{DD359956-DFFB-46AD-95C9-9C4AA0110C45}"/>
    <cellStyle name="Comma 4 3 2 2 2 5 2 4" xfId="21079" xr:uid="{66965329-01AD-40DA-8E39-754625BA04BE}"/>
    <cellStyle name="Comma 4 3 2 2 2 5 3" xfId="6272" xr:uid="{00000000-0005-0000-0000-000027090000}"/>
    <cellStyle name="Comma 4 3 2 2 2 5 3 2" xfId="14714" xr:uid="{27B622BC-6A0A-4219-9639-0D4BF91C14F5}"/>
    <cellStyle name="Comma 4 3 2 2 2 5 3 3" xfId="23151" xr:uid="{D75CBD7F-B32D-4BAA-89BC-051D37223E0B}"/>
    <cellStyle name="Comma 4 3 2 2 2 5 4" xfId="10496" xr:uid="{1D3362DC-45CE-431F-A941-2B8EC2CB8667}"/>
    <cellStyle name="Comma 4 3 2 2 2 5 5" xfId="18934" xr:uid="{34246384-D361-4B77-A24B-3B732B2D42E0}"/>
    <cellStyle name="Comma 4 3 2 2 2 6" xfId="2400" xr:uid="{00000000-0005-0000-0000-000028090000}"/>
    <cellStyle name="Comma 4 3 2 2 2 6 2" xfId="6685" xr:uid="{00000000-0005-0000-0000-000029090000}"/>
    <cellStyle name="Comma 4 3 2 2 2 6 2 2" xfId="15127" xr:uid="{3F3FDBD0-DBEA-4619-A372-73D1351829FF}"/>
    <cellStyle name="Comma 4 3 2 2 2 6 2 3" xfId="23564" xr:uid="{C90062F8-B044-4DC2-8716-CF7D23D57A5B}"/>
    <cellStyle name="Comma 4 3 2 2 2 6 3" xfId="10909" xr:uid="{63D71E91-0A3A-4A89-93AC-6949360C7A97}"/>
    <cellStyle name="Comma 4 3 2 2 2 6 4" xfId="19347" xr:uid="{346DD406-C50C-4461-BA4C-3EB867AC3D3A}"/>
    <cellStyle name="Comma 4 3 2 2 2 7" xfId="2363" xr:uid="{00000000-0005-0000-0000-00002A090000}"/>
    <cellStyle name="Comma 4 3 2 2 2 8" xfId="2778" xr:uid="{00000000-0005-0000-0000-00002B090000}"/>
    <cellStyle name="Comma 4 3 2 2 2 8 2" xfId="7002" xr:uid="{00000000-0005-0000-0000-00002C090000}"/>
    <cellStyle name="Comma 4 3 2 2 2 8 2 2" xfId="15444" xr:uid="{D8D6EDAB-9D55-4C7B-A327-AF3A28052121}"/>
    <cellStyle name="Comma 4 3 2 2 2 8 2 3" xfId="23881" xr:uid="{A6E4B668-E349-4A48-8685-683BBA2ACC35}"/>
    <cellStyle name="Comma 4 3 2 2 2 8 3" xfId="11226" xr:uid="{AFA0497E-C2A9-430D-A1C6-7F434B80015E}"/>
    <cellStyle name="Comma 4 3 2 2 2 8 4" xfId="19664" xr:uid="{C48366D5-5673-4917-BEB1-FCF6C1187BD4}"/>
    <cellStyle name="Comma 4 3 2 2 2 9" xfId="4619" xr:uid="{00000000-0005-0000-0000-00002D090000}"/>
    <cellStyle name="Comma 4 3 2 2 2 9 2" xfId="13061" xr:uid="{598FD20F-7746-4490-BCEB-2EB11AEB4D21}"/>
    <cellStyle name="Comma 4 3 2 2 2 9 3" xfId="21498" xr:uid="{28F99D60-2015-40BE-9BDD-9CD8E3CEBD0F}"/>
    <cellStyle name="Comma 4 3 2 2 3" xfId="683" xr:uid="{00000000-0005-0000-0000-00002E090000}"/>
    <cellStyle name="Comma 4 3 2 2 3 2" xfId="2954" xr:uid="{00000000-0005-0000-0000-00002F090000}"/>
    <cellStyle name="Comma 4 3 2 2 3 2 2" xfId="7177" xr:uid="{00000000-0005-0000-0000-000030090000}"/>
    <cellStyle name="Comma 4 3 2 2 3 2 2 2" xfId="15619" xr:uid="{B490358F-7EC8-4919-AD59-9D597C0EDA9F}"/>
    <cellStyle name="Comma 4 3 2 2 3 2 2 3" xfId="24056" xr:uid="{925598B5-AE04-4EEE-AA98-4587B0100732}"/>
    <cellStyle name="Comma 4 3 2 2 3 2 3" xfId="11401" xr:uid="{1EB1B67E-53E7-4873-8F2D-F3A1EC41865A}"/>
    <cellStyle name="Comma 4 3 2 2 3 2 4" xfId="19839" xr:uid="{4FB88EF8-DD26-4485-89E7-B8C684E09C82}"/>
    <cellStyle name="Comma 4 3 2 2 3 3" xfId="5032" xr:uid="{00000000-0005-0000-0000-000031090000}"/>
    <cellStyle name="Comma 4 3 2 2 3 3 2" xfId="13474" xr:uid="{EED919ED-B9A6-4A61-A3F5-E8B11F5011CE}"/>
    <cellStyle name="Comma 4 3 2 2 3 3 3" xfId="21911" xr:uid="{F28D8938-FF48-4777-A71D-0DC8F6853786}"/>
    <cellStyle name="Comma 4 3 2 2 3 4" xfId="9256" xr:uid="{CBDBE75A-32AF-411E-95C3-2D32F54A86B0}"/>
    <cellStyle name="Comma 4 3 2 2 3 5" xfId="17694" xr:uid="{60FBD44F-09CC-4B3C-83F1-4C9843919F8E}"/>
    <cellStyle name="Comma 4 3 2 2 4" xfId="1136" xr:uid="{00000000-0005-0000-0000-000032090000}"/>
    <cellStyle name="Comma 4 3 2 2 4 2" xfId="3367" xr:uid="{00000000-0005-0000-0000-000033090000}"/>
    <cellStyle name="Comma 4 3 2 2 4 2 2" xfId="7590" xr:uid="{00000000-0005-0000-0000-000034090000}"/>
    <cellStyle name="Comma 4 3 2 2 4 2 2 2" xfId="16032" xr:uid="{2E735122-D36A-4EE6-81CD-26BBA1E58B39}"/>
    <cellStyle name="Comma 4 3 2 2 4 2 2 3" xfId="24469" xr:uid="{5E768D9B-3F19-4CE7-BA90-2499DDF1B850}"/>
    <cellStyle name="Comma 4 3 2 2 4 2 3" xfId="11814" xr:uid="{B098C1E5-B4D4-4C1B-9F62-B1D9AE9F83D6}"/>
    <cellStyle name="Comma 4 3 2 2 4 2 4" xfId="20252" xr:uid="{371B944C-BA44-4011-951A-4D6766C00E2E}"/>
    <cellStyle name="Comma 4 3 2 2 4 3" xfId="5445" xr:uid="{00000000-0005-0000-0000-000035090000}"/>
    <cellStyle name="Comma 4 3 2 2 4 3 2" xfId="13887" xr:uid="{013F92A9-8DEB-4769-981D-D12F5402CB92}"/>
    <cellStyle name="Comma 4 3 2 2 4 3 3" xfId="22324" xr:uid="{2287F729-F375-4FAD-A966-AF3DE0F28654}"/>
    <cellStyle name="Comma 4 3 2 2 4 4" xfId="9669" xr:uid="{47C86B15-A4A9-4DC3-8A71-32EF2CCB6FF4}"/>
    <cellStyle name="Comma 4 3 2 2 4 5" xfId="18107" xr:uid="{1BF771FE-80E0-4685-AF1A-3680E822C637}"/>
    <cellStyle name="Comma 4 3 2 2 5" xfId="1550" xr:uid="{00000000-0005-0000-0000-000036090000}"/>
    <cellStyle name="Comma 4 3 2 2 5 2" xfId="3780" xr:uid="{00000000-0005-0000-0000-000037090000}"/>
    <cellStyle name="Comma 4 3 2 2 5 2 2" xfId="8003" xr:uid="{00000000-0005-0000-0000-000038090000}"/>
    <cellStyle name="Comma 4 3 2 2 5 2 2 2" xfId="16445" xr:uid="{18D483A2-3D34-454C-BD24-8E9426C1FCFE}"/>
    <cellStyle name="Comma 4 3 2 2 5 2 2 3" xfId="24882" xr:uid="{1EBD0849-9A28-490E-B6AD-3828ECA4CA25}"/>
    <cellStyle name="Comma 4 3 2 2 5 2 3" xfId="12227" xr:uid="{310142F6-22BE-4B51-A0D0-3F0783807287}"/>
    <cellStyle name="Comma 4 3 2 2 5 2 4" xfId="20665" xr:uid="{22F1D3B4-8891-40E2-A170-155BCAA21F32}"/>
    <cellStyle name="Comma 4 3 2 2 5 3" xfId="5858" xr:uid="{00000000-0005-0000-0000-000039090000}"/>
    <cellStyle name="Comma 4 3 2 2 5 3 2" xfId="14300" xr:uid="{60A36B11-AE6C-4C3D-80BB-5D0F17970CA3}"/>
    <cellStyle name="Comma 4 3 2 2 5 3 3" xfId="22737" xr:uid="{9A5A8DF6-E265-4241-9F1D-4718A07C3949}"/>
    <cellStyle name="Comma 4 3 2 2 5 4" xfId="10082" xr:uid="{4C9EF191-CAAC-4CF8-9F1C-39F508B9F953}"/>
    <cellStyle name="Comma 4 3 2 2 5 5" xfId="18520" xr:uid="{E1206E99-3AFF-441D-840C-CB834CDEB74C}"/>
    <cellStyle name="Comma 4 3 2 2 6" xfId="1964" xr:uid="{00000000-0005-0000-0000-00003A090000}"/>
    <cellStyle name="Comma 4 3 2 2 6 2" xfId="4193" xr:uid="{00000000-0005-0000-0000-00003B090000}"/>
    <cellStyle name="Comma 4 3 2 2 6 2 2" xfId="8416" xr:uid="{00000000-0005-0000-0000-00003C090000}"/>
    <cellStyle name="Comma 4 3 2 2 6 2 2 2" xfId="16858" xr:uid="{49505043-B2D7-458D-92F8-65862DD8E43A}"/>
    <cellStyle name="Comma 4 3 2 2 6 2 2 3" xfId="25295" xr:uid="{EFA0944B-BF62-4CC2-84A8-9BCA45A134B3}"/>
    <cellStyle name="Comma 4 3 2 2 6 2 3" xfId="12640" xr:uid="{0CE5533E-B632-442A-9BDE-6B740E186D17}"/>
    <cellStyle name="Comma 4 3 2 2 6 2 4" xfId="21078" xr:uid="{0D17FB7E-3FB2-4261-A052-C2B35E4B943E}"/>
    <cellStyle name="Comma 4 3 2 2 6 3" xfId="6271" xr:uid="{00000000-0005-0000-0000-00003D090000}"/>
    <cellStyle name="Comma 4 3 2 2 6 3 2" xfId="14713" xr:uid="{E180CAC5-4530-4148-8586-7FA38FC645A1}"/>
    <cellStyle name="Comma 4 3 2 2 6 3 3" xfId="23150" xr:uid="{74169071-F24A-4F0B-8AD2-4CA26443F30E}"/>
    <cellStyle name="Comma 4 3 2 2 6 4" xfId="10495" xr:uid="{303EBD83-8CCB-43FD-8DC8-1374BDCE0DD1}"/>
    <cellStyle name="Comma 4 3 2 2 6 5" xfId="18933" xr:uid="{27ACECA2-DF7F-4503-ABF4-C76CDB139CB3}"/>
    <cellStyle name="Comma 4 3 2 2 7" xfId="2399" xr:uid="{00000000-0005-0000-0000-00003E090000}"/>
    <cellStyle name="Comma 4 3 2 2 7 2" xfId="6684" xr:uid="{00000000-0005-0000-0000-00003F090000}"/>
    <cellStyle name="Comma 4 3 2 2 7 2 2" xfId="15126" xr:uid="{C71506A8-C649-48F9-89E7-9A44B9490176}"/>
    <cellStyle name="Comma 4 3 2 2 7 2 3" xfId="23563" xr:uid="{B6047485-0419-48AA-AD7A-501F0067BD2E}"/>
    <cellStyle name="Comma 4 3 2 2 7 3" xfId="10908" xr:uid="{A023C3A8-C31A-4F2C-8EF4-4E0133239345}"/>
    <cellStyle name="Comma 4 3 2 2 7 4" xfId="19346" xr:uid="{7C15B820-07F0-4A67-9B72-A2A956B00787}"/>
    <cellStyle name="Comma 4 3 2 2 8" xfId="2364" xr:uid="{00000000-0005-0000-0000-000040090000}"/>
    <cellStyle name="Comma 4 3 2 2 9" xfId="2777" xr:uid="{00000000-0005-0000-0000-000041090000}"/>
    <cellStyle name="Comma 4 3 2 2 9 2" xfId="7001" xr:uid="{00000000-0005-0000-0000-000042090000}"/>
    <cellStyle name="Comma 4 3 2 2 9 2 2" xfId="15443" xr:uid="{30D00EAA-9E18-4154-8F8E-44264BC5AB7D}"/>
    <cellStyle name="Comma 4 3 2 2 9 2 3" xfId="23880" xr:uid="{0A3B4D6F-80D2-4913-8EA9-E57E34B80359}"/>
    <cellStyle name="Comma 4 3 2 2 9 3" xfId="11225" xr:uid="{932EC8D3-C0D4-4673-BC22-A3C162EC2C19}"/>
    <cellStyle name="Comma 4 3 2 2 9 4" xfId="19663" xr:uid="{285D0C44-3AE0-4BCE-9C9C-6201E1359DBA}"/>
    <cellStyle name="Comma 4 3 2 3" xfId="148" xr:uid="{00000000-0005-0000-0000-000043090000}"/>
    <cellStyle name="Comma 4 3 2 3 10" xfId="8844" xr:uid="{E1A118CC-274A-426F-8618-C7D2BACEFF95}"/>
    <cellStyle name="Comma 4 3 2 3 11" xfId="17282" xr:uid="{AA7B70B6-68BD-409E-9A39-183A0AEA78A1}"/>
    <cellStyle name="Comma 4 3 2 3 2" xfId="685" xr:uid="{00000000-0005-0000-0000-000044090000}"/>
    <cellStyle name="Comma 4 3 2 3 2 2" xfId="2956" xr:uid="{00000000-0005-0000-0000-000045090000}"/>
    <cellStyle name="Comma 4 3 2 3 2 2 2" xfId="7179" xr:uid="{00000000-0005-0000-0000-000046090000}"/>
    <cellStyle name="Comma 4 3 2 3 2 2 2 2" xfId="15621" xr:uid="{6D76A44C-31F2-4942-9597-FF0FD0B53A4A}"/>
    <cellStyle name="Comma 4 3 2 3 2 2 2 3" xfId="24058" xr:uid="{0351B872-AD79-4CEE-8316-2BD7752A2630}"/>
    <cellStyle name="Comma 4 3 2 3 2 2 3" xfId="11403" xr:uid="{18E51330-8EE7-4980-B814-4A908F678920}"/>
    <cellStyle name="Comma 4 3 2 3 2 2 4" xfId="19841" xr:uid="{89AA5958-F9CB-4402-998B-61A5B7676BB2}"/>
    <cellStyle name="Comma 4 3 2 3 2 3" xfId="5034" xr:uid="{00000000-0005-0000-0000-000047090000}"/>
    <cellStyle name="Comma 4 3 2 3 2 3 2" xfId="13476" xr:uid="{5B0C8BE7-87F8-485B-AC68-9935E87126F4}"/>
    <cellStyle name="Comma 4 3 2 3 2 3 3" xfId="21913" xr:uid="{E387E21C-770F-44F6-90E9-BA656406E5CB}"/>
    <cellStyle name="Comma 4 3 2 3 2 4" xfId="9258" xr:uid="{FA46A550-7242-4DB9-9E9D-BFB8125F9234}"/>
    <cellStyle name="Comma 4 3 2 3 2 5" xfId="17696" xr:uid="{260DE382-905E-44D5-A694-B8DAD48E23E8}"/>
    <cellStyle name="Comma 4 3 2 3 3" xfId="1138" xr:uid="{00000000-0005-0000-0000-000048090000}"/>
    <cellStyle name="Comma 4 3 2 3 3 2" xfId="3369" xr:uid="{00000000-0005-0000-0000-000049090000}"/>
    <cellStyle name="Comma 4 3 2 3 3 2 2" xfId="7592" xr:uid="{00000000-0005-0000-0000-00004A090000}"/>
    <cellStyle name="Comma 4 3 2 3 3 2 2 2" xfId="16034" xr:uid="{1ED950D2-7175-4CE1-94D4-0FB8B3542EC2}"/>
    <cellStyle name="Comma 4 3 2 3 3 2 2 3" xfId="24471" xr:uid="{25368AF8-CAD7-41E6-8BD3-FBF2AF36FD0B}"/>
    <cellStyle name="Comma 4 3 2 3 3 2 3" xfId="11816" xr:uid="{95D01DFB-DD51-4477-AE70-3230F99E20A7}"/>
    <cellStyle name="Comma 4 3 2 3 3 2 4" xfId="20254" xr:uid="{6ED48AED-4F39-4AAA-8F0A-D188BE527680}"/>
    <cellStyle name="Comma 4 3 2 3 3 3" xfId="5447" xr:uid="{00000000-0005-0000-0000-00004B090000}"/>
    <cellStyle name="Comma 4 3 2 3 3 3 2" xfId="13889" xr:uid="{C8C03338-82C9-4322-8C51-E485894183F1}"/>
    <cellStyle name="Comma 4 3 2 3 3 3 3" xfId="22326" xr:uid="{6107B45B-CC13-46A8-AF58-7D97F77E6792}"/>
    <cellStyle name="Comma 4 3 2 3 3 4" xfId="9671" xr:uid="{B9B6A739-EB85-4ED8-A47E-8B702324D69B}"/>
    <cellStyle name="Comma 4 3 2 3 3 5" xfId="18109" xr:uid="{8ACE41D8-E2E6-49F2-8443-D37DEAAC7485}"/>
    <cellStyle name="Comma 4 3 2 3 4" xfId="1552" xr:uid="{00000000-0005-0000-0000-00004C090000}"/>
    <cellStyle name="Comma 4 3 2 3 4 2" xfId="3782" xr:uid="{00000000-0005-0000-0000-00004D090000}"/>
    <cellStyle name="Comma 4 3 2 3 4 2 2" xfId="8005" xr:uid="{00000000-0005-0000-0000-00004E090000}"/>
    <cellStyle name="Comma 4 3 2 3 4 2 2 2" xfId="16447" xr:uid="{C5AEE706-9FBF-4BC2-B992-98DB5EA39CC8}"/>
    <cellStyle name="Comma 4 3 2 3 4 2 2 3" xfId="24884" xr:uid="{9D674E51-7D6C-40E5-AC5B-A1E36D57F052}"/>
    <cellStyle name="Comma 4 3 2 3 4 2 3" xfId="12229" xr:uid="{FF031A9A-80DC-4C6E-AA12-479D0AD9E821}"/>
    <cellStyle name="Comma 4 3 2 3 4 2 4" xfId="20667" xr:uid="{0811570C-E215-47D8-A461-0E3C89AC172B}"/>
    <cellStyle name="Comma 4 3 2 3 4 3" xfId="5860" xr:uid="{00000000-0005-0000-0000-00004F090000}"/>
    <cellStyle name="Comma 4 3 2 3 4 3 2" xfId="14302" xr:uid="{B947E7C3-5169-4671-B38C-616027BD7484}"/>
    <cellStyle name="Comma 4 3 2 3 4 3 3" xfId="22739" xr:uid="{114E39B5-3BAA-4FA9-883B-D25E426B22A6}"/>
    <cellStyle name="Comma 4 3 2 3 4 4" xfId="10084" xr:uid="{27BB90CD-BE04-45FB-8603-68748F98C79C}"/>
    <cellStyle name="Comma 4 3 2 3 4 5" xfId="18522" xr:uid="{70CE3444-8D0B-498A-9DCE-C97D0555A642}"/>
    <cellStyle name="Comma 4 3 2 3 5" xfId="1966" xr:uid="{00000000-0005-0000-0000-000050090000}"/>
    <cellStyle name="Comma 4 3 2 3 5 2" xfId="4195" xr:uid="{00000000-0005-0000-0000-000051090000}"/>
    <cellStyle name="Comma 4 3 2 3 5 2 2" xfId="8418" xr:uid="{00000000-0005-0000-0000-000052090000}"/>
    <cellStyle name="Comma 4 3 2 3 5 2 2 2" xfId="16860" xr:uid="{E549F0D4-BD05-4E18-A4E5-BDC2CB340653}"/>
    <cellStyle name="Comma 4 3 2 3 5 2 2 3" xfId="25297" xr:uid="{FBDB7EC0-DDD9-4D2C-8F32-74C17566E368}"/>
    <cellStyle name="Comma 4 3 2 3 5 2 3" xfId="12642" xr:uid="{07A653D3-E4BE-41EA-9B8D-2B2107FB1AB0}"/>
    <cellStyle name="Comma 4 3 2 3 5 2 4" xfId="21080" xr:uid="{6DABE035-05AB-4BFE-BFD3-ED633DA1A2BF}"/>
    <cellStyle name="Comma 4 3 2 3 5 3" xfId="6273" xr:uid="{00000000-0005-0000-0000-000053090000}"/>
    <cellStyle name="Comma 4 3 2 3 5 3 2" xfId="14715" xr:uid="{43C78AF5-EA8B-4F15-8049-432133FE1035}"/>
    <cellStyle name="Comma 4 3 2 3 5 3 3" xfId="23152" xr:uid="{4B214FA6-D17E-4D22-A2D0-29D989F74074}"/>
    <cellStyle name="Comma 4 3 2 3 5 4" xfId="10497" xr:uid="{0A846D6F-1D88-4249-A66E-6C89642B1F12}"/>
    <cellStyle name="Comma 4 3 2 3 5 5" xfId="18935" xr:uid="{7E1669DE-5018-47F3-896E-2176DC6784C6}"/>
    <cellStyle name="Comma 4 3 2 3 6" xfId="2401" xr:uid="{00000000-0005-0000-0000-000054090000}"/>
    <cellStyle name="Comma 4 3 2 3 6 2" xfId="6686" xr:uid="{00000000-0005-0000-0000-000055090000}"/>
    <cellStyle name="Comma 4 3 2 3 6 2 2" xfId="15128" xr:uid="{61C52BEF-BD9E-4E06-B2FB-11F5F1805D05}"/>
    <cellStyle name="Comma 4 3 2 3 6 2 3" xfId="23565" xr:uid="{DAF59422-BADA-48C5-8983-1843F778B502}"/>
    <cellStyle name="Comma 4 3 2 3 6 3" xfId="10910" xr:uid="{74BAB8FE-BEE8-48DD-8E89-6A367765F151}"/>
    <cellStyle name="Comma 4 3 2 3 6 4" xfId="19348" xr:uid="{48CB5B4C-26D2-4E05-B2AF-D0A4E774A173}"/>
    <cellStyle name="Comma 4 3 2 3 7" xfId="2362" xr:uid="{00000000-0005-0000-0000-000056090000}"/>
    <cellStyle name="Comma 4 3 2 3 8" xfId="2779" xr:uid="{00000000-0005-0000-0000-000057090000}"/>
    <cellStyle name="Comma 4 3 2 3 8 2" xfId="7003" xr:uid="{00000000-0005-0000-0000-000058090000}"/>
    <cellStyle name="Comma 4 3 2 3 8 2 2" xfId="15445" xr:uid="{00A5BCB2-9F80-4002-A59C-B025B5537D2B}"/>
    <cellStyle name="Comma 4 3 2 3 8 2 3" xfId="23882" xr:uid="{642EFD2B-7E8E-4C70-8EB8-DD3F00CBC5C0}"/>
    <cellStyle name="Comma 4 3 2 3 8 3" xfId="11227" xr:uid="{FF2919EA-1F2B-44B0-BB70-105C1B65D743}"/>
    <cellStyle name="Comma 4 3 2 3 8 4" xfId="19665" xr:uid="{433F4EF2-3243-4975-BDC3-C0FB3E6C4C79}"/>
    <cellStyle name="Comma 4 3 2 3 9" xfId="4620" xr:uid="{00000000-0005-0000-0000-000059090000}"/>
    <cellStyle name="Comma 4 3 2 3 9 2" xfId="13062" xr:uid="{B0B35566-66F7-4FBF-9F4A-C8B63965E0F3}"/>
    <cellStyle name="Comma 4 3 2 3 9 3" xfId="21499" xr:uid="{72DC9807-D40C-49AA-A14D-71C7EE425A55}"/>
    <cellStyle name="Comma 4 3 2 4" xfId="682" xr:uid="{00000000-0005-0000-0000-00005A090000}"/>
    <cellStyle name="Comma 4 3 2 4 2" xfId="2953" xr:uid="{00000000-0005-0000-0000-00005B090000}"/>
    <cellStyle name="Comma 4 3 2 4 2 2" xfId="7176" xr:uid="{00000000-0005-0000-0000-00005C090000}"/>
    <cellStyle name="Comma 4 3 2 4 2 2 2" xfId="15618" xr:uid="{E4CF3985-7D0B-4B43-8CF9-B470D0331A47}"/>
    <cellStyle name="Comma 4 3 2 4 2 2 3" xfId="24055" xr:uid="{35B1154B-F9A5-45FE-8F5B-017A83868B22}"/>
    <cellStyle name="Comma 4 3 2 4 2 3" xfId="11400" xr:uid="{7A23677B-D951-4F9C-B772-D7B9C5E19C5B}"/>
    <cellStyle name="Comma 4 3 2 4 2 4" xfId="19838" xr:uid="{FB49047A-4132-4BA4-BFFA-2AE6072C8DE7}"/>
    <cellStyle name="Comma 4 3 2 4 3" xfId="5031" xr:uid="{00000000-0005-0000-0000-00005D090000}"/>
    <cellStyle name="Comma 4 3 2 4 3 2" xfId="13473" xr:uid="{0DF375CC-F083-4C90-91DD-92411B29998A}"/>
    <cellStyle name="Comma 4 3 2 4 3 3" xfId="21910" xr:uid="{A6CA8F6C-5617-481E-AA5E-B9DAA94701A2}"/>
    <cellStyle name="Comma 4 3 2 4 4" xfId="9255" xr:uid="{E721C20B-821F-47B0-BA7D-3F998076F028}"/>
    <cellStyle name="Comma 4 3 2 4 5" xfId="17693" xr:uid="{1F546157-6426-4D13-8189-6512EBC42A12}"/>
    <cellStyle name="Comma 4 3 2 5" xfId="1135" xr:uid="{00000000-0005-0000-0000-00005E090000}"/>
    <cellStyle name="Comma 4 3 2 5 2" xfId="3366" xr:uid="{00000000-0005-0000-0000-00005F090000}"/>
    <cellStyle name="Comma 4 3 2 5 2 2" xfId="7589" xr:uid="{00000000-0005-0000-0000-000060090000}"/>
    <cellStyle name="Comma 4 3 2 5 2 2 2" xfId="16031" xr:uid="{E30C0D3B-0A8F-457D-83A4-C044AD2CFDBB}"/>
    <cellStyle name="Comma 4 3 2 5 2 2 3" xfId="24468" xr:uid="{F4DE60AC-17D1-4C0A-927C-AEE8DB84ABA4}"/>
    <cellStyle name="Comma 4 3 2 5 2 3" xfId="11813" xr:uid="{C2C3C371-DFAC-4F6C-BAE3-9218128CDBF5}"/>
    <cellStyle name="Comma 4 3 2 5 2 4" xfId="20251" xr:uid="{B93A0690-1DD9-4EA4-99E6-1E91FC96175A}"/>
    <cellStyle name="Comma 4 3 2 5 3" xfId="5444" xr:uid="{00000000-0005-0000-0000-000061090000}"/>
    <cellStyle name="Comma 4 3 2 5 3 2" xfId="13886" xr:uid="{211E9396-1D77-4FCC-87AD-11F22C1FB78F}"/>
    <cellStyle name="Comma 4 3 2 5 3 3" xfId="22323" xr:uid="{B6F5967B-A2F6-4240-90AA-7D221BAC9752}"/>
    <cellStyle name="Comma 4 3 2 5 4" xfId="9668" xr:uid="{0DEDC7D3-CA19-4CFF-BC65-10A2A132285B}"/>
    <cellStyle name="Comma 4 3 2 5 5" xfId="18106" xr:uid="{8FB2A1EB-44C0-4E89-BCCC-CEE451CA6242}"/>
    <cellStyle name="Comma 4 3 2 6" xfId="1549" xr:uid="{00000000-0005-0000-0000-000062090000}"/>
    <cellStyle name="Comma 4 3 2 6 2" xfId="3779" xr:uid="{00000000-0005-0000-0000-000063090000}"/>
    <cellStyle name="Comma 4 3 2 6 2 2" xfId="8002" xr:uid="{00000000-0005-0000-0000-000064090000}"/>
    <cellStyle name="Comma 4 3 2 6 2 2 2" xfId="16444" xr:uid="{04930DB5-F2E6-4F29-8D65-77C07E9DFAF7}"/>
    <cellStyle name="Comma 4 3 2 6 2 2 3" xfId="24881" xr:uid="{7644B4D2-4F51-4137-A638-EDDB10EB0691}"/>
    <cellStyle name="Comma 4 3 2 6 2 3" xfId="12226" xr:uid="{1BA31136-46F1-4159-B598-9EBFDC8A67A8}"/>
    <cellStyle name="Comma 4 3 2 6 2 4" xfId="20664" xr:uid="{605B43B3-6EE1-4264-8D3D-99AE67CF1F20}"/>
    <cellStyle name="Comma 4 3 2 6 3" xfId="5857" xr:uid="{00000000-0005-0000-0000-000065090000}"/>
    <cellStyle name="Comma 4 3 2 6 3 2" xfId="14299" xr:uid="{616F80F0-F01F-4402-9503-A912C80E52FF}"/>
    <cellStyle name="Comma 4 3 2 6 3 3" xfId="22736" xr:uid="{44DA3839-6C1D-4688-9872-5AFF219DDBFF}"/>
    <cellStyle name="Comma 4 3 2 6 4" xfId="10081" xr:uid="{6DD704FB-83A2-4E3F-B009-3BB53851A56B}"/>
    <cellStyle name="Comma 4 3 2 6 5" xfId="18519" xr:uid="{2E36B832-35CF-4BCA-8EA9-20CF27378E8D}"/>
    <cellStyle name="Comma 4 3 2 7" xfId="1963" xr:uid="{00000000-0005-0000-0000-000066090000}"/>
    <cellStyle name="Comma 4 3 2 7 2" xfId="4192" xr:uid="{00000000-0005-0000-0000-000067090000}"/>
    <cellStyle name="Comma 4 3 2 7 2 2" xfId="8415" xr:uid="{00000000-0005-0000-0000-000068090000}"/>
    <cellStyle name="Comma 4 3 2 7 2 2 2" xfId="16857" xr:uid="{4993BC06-3984-4A72-8C0A-5441CA0BD486}"/>
    <cellStyle name="Comma 4 3 2 7 2 2 3" xfId="25294" xr:uid="{2575068F-DFF9-4F23-8767-DEAB88D43C43}"/>
    <cellStyle name="Comma 4 3 2 7 2 3" xfId="12639" xr:uid="{4B769370-D0D8-4645-A157-1FFAFD599F1D}"/>
    <cellStyle name="Comma 4 3 2 7 2 4" xfId="21077" xr:uid="{09DE50A9-E35F-4204-AFC1-3DE28CB57525}"/>
    <cellStyle name="Comma 4 3 2 7 3" xfId="6270" xr:uid="{00000000-0005-0000-0000-000069090000}"/>
    <cellStyle name="Comma 4 3 2 7 3 2" xfId="14712" xr:uid="{5B34227E-1E28-4600-AFB6-A97D7C33691D}"/>
    <cellStyle name="Comma 4 3 2 7 3 3" xfId="23149" xr:uid="{99D18BBB-2C48-443A-B5F4-C8B505EACA8E}"/>
    <cellStyle name="Comma 4 3 2 7 4" xfId="10494" xr:uid="{7E2E222E-F2A7-4B06-9904-ACBF741EF507}"/>
    <cellStyle name="Comma 4 3 2 7 5" xfId="18932" xr:uid="{CDA4A373-2772-4060-9835-FDC84C392C6C}"/>
    <cellStyle name="Comma 4 3 2 8" xfId="2398" xr:uid="{00000000-0005-0000-0000-00006A090000}"/>
    <cellStyle name="Comma 4 3 2 8 2" xfId="6683" xr:uid="{00000000-0005-0000-0000-00006B090000}"/>
    <cellStyle name="Comma 4 3 2 8 2 2" xfId="15125" xr:uid="{430DA5B9-27CD-4DBC-8E7D-C80F4D8C341A}"/>
    <cellStyle name="Comma 4 3 2 8 2 3" xfId="23562" xr:uid="{CEEA9B96-845A-46C4-A0F5-053983842130}"/>
    <cellStyle name="Comma 4 3 2 8 3" xfId="10907" xr:uid="{A28D5C71-961F-4DF0-B3D5-372D4B70E5C1}"/>
    <cellStyle name="Comma 4 3 2 8 4" xfId="19345" xr:uid="{0E84A07E-AB39-45F0-8AB0-267722A8DD00}"/>
    <cellStyle name="Comma 4 3 2 9" xfId="2365" xr:uid="{00000000-0005-0000-0000-00006C090000}"/>
    <cellStyle name="Comma 4 3 3" xfId="149" xr:uid="{00000000-0005-0000-0000-00006D090000}"/>
    <cellStyle name="Comma 4 3 3 10" xfId="4621" xr:uid="{00000000-0005-0000-0000-00006E090000}"/>
    <cellStyle name="Comma 4 3 3 10 2" xfId="13063" xr:uid="{F9FB4E75-AEC0-439F-94CD-EB609D17DC88}"/>
    <cellStyle name="Comma 4 3 3 10 3" xfId="21500" xr:uid="{94017543-8E41-4215-9A25-1CE2BC0510C1}"/>
    <cellStyle name="Comma 4 3 3 11" xfId="8845" xr:uid="{82A96389-F255-45B5-8734-2AAE69C29CEB}"/>
    <cellStyle name="Comma 4 3 3 12" xfId="17283" xr:uid="{73223CB3-BFB4-4BA9-92BC-C6900CB115B7}"/>
    <cellStyle name="Comma 4 3 3 2" xfId="150" xr:uid="{00000000-0005-0000-0000-00006F090000}"/>
    <cellStyle name="Comma 4 3 3 2 10" xfId="8846" xr:uid="{DFF45035-03BF-41F1-8115-4FFE0AC9384B}"/>
    <cellStyle name="Comma 4 3 3 2 11" xfId="17284" xr:uid="{2A788207-BBD7-4E41-9799-0BDC3352D724}"/>
    <cellStyle name="Comma 4 3 3 2 2" xfId="687" xr:uid="{00000000-0005-0000-0000-000070090000}"/>
    <cellStyle name="Comma 4 3 3 2 2 2" xfId="2958" xr:uid="{00000000-0005-0000-0000-000071090000}"/>
    <cellStyle name="Comma 4 3 3 2 2 2 2" xfId="7181" xr:uid="{00000000-0005-0000-0000-000072090000}"/>
    <cellStyle name="Comma 4 3 3 2 2 2 2 2" xfId="15623" xr:uid="{CBECA303-8276-49DF-84E0-F4FC23E29433}"/>
    <cellStyle name="Comma 4 3 3 2 2 2 2 3" xfId="24060" xr:uid="{79F2263E-920A-4FE7-A0EB-7C8B5222C4C7}"/>
    <cellStyle name="Comma 4 3 3 2 2 2 3" xfId="11405" xr:uid="{A926AB21-C279-4AC8-B09E-4F72D6D36284}"/>
    <cellStyle name="Comma 4 3 3 2 2 2 4" xfId="19843" xr:uid="{87BE4BE3-76EE-47C7-A656-16C2448C08CC}"/>
    <cellStyle name="Comma 4 3 3 2 2 3" xfId="5036" xr:uid="{00000000-0005-0000-0000-000073090000}"/>
    <cellStyle name="Comma 4 3 3 2 2 3 2" xfId="13478" xr:uid="{71F7242A-9096-428C-99B3-5AEF3C322774}"/>
    <cellStyle name="Comma 4 3 3 2 2 3 3" xfId="21915" xr:uid="{84CF534E-532A-4FC0-89CF-8A85AEADF31D}"/>
    <cellStyle name="Comma 4 3 3 2 2 4" xfId="9260" xr:uid="{E5D857B8-C480-4440-A904-D9FB3FE431FA}"/>
    <cellStyle name="Comma 4 3 3 2 2 5" xfId="17698" xr:uid="{B6338BA8-BDAE-4D3D-B011-1990F2465811}"/>
    <cellStyle name="Comma 4 3 3 2 3" xfId="1140" xr:uid="{00000000-0005-0000-0000-000074090000}"/>
    <cellStyle name="Comma 4 3 3 2 3 2" xfId="3371" xr:uid="{00000000-0005-0000-0000-000075090000}"/>
    <cellStyle name="Comma 4 3 3 2 3 2 2" xfId="7594" xr:uid="{00000000-0005-0000-0000-000076090000}"/>
    <cellStyle name="Comma 4 3 3 2 3 2 2 2" xfId="16036" xr:uid="{8A8D5FCC-6933-4D13-AA2E-D9799803F1AD}"/>
    <cellStyle name="Comma 4 3 3 2 3 2 2 3" xfId="24473" xr:uid="{40AE3BD7-ABA1-4C89-96CD-1A3961990895}"/>
    <cellStyle name="Comma 4 3 3 2 3 2 3" xfId="11818" xr:uid="{E0EAF5A4-367E-43D8-A454-3E049FC3377F}"/>
    <cellStyle name="Comma 4 3 3 2 3 2 4" xfId="20256" xr:uid="{6A83DDD1-2D21-4494-B4BD-8C18552F11B0}"/>
    <cellStyle name="Comma 4 3 3 2 3 3" xfId="5449" xr:uid="{00000000-0005-0000-0000-000077090000}"/>
    <cellStyle name="Comma 4 3 3 2 3 3 2" xfId="13891" xr:uid="{A0A2C5D6-8D72-4FEC-A84F-CE6C0A2D11D2}"/>
    <cellStyle name="Comma 4 3 3 2 3 3 3" xfId="22328" xr:uid="{688D34DF-DCBD-4DCB-8F90-0B7474A7E6F4}"/>
    <cellStyle name="Comma 4 3 3 2 3 4" xfId="9673" xr:uid="{E6945FA2-8FD2-47F0-A2E4-206CBE78172A}"/>
    <cellStyle name="Comma 4 3 3 2 3 5" xfId="18111" xr:uid="{9720AF9B-9D01-4B0B-A565-CE39BAF66ED7}"/>
    <cellStyle name="Comma 4 3 3 2 4" xfId="1554" xr:uid="{00000000-0005-0000-0000-000078090000}"/>
    <cellStyle name="Comma 4 3 3 2 4 2" xfId="3784" xr:uid="{00000000-0005-0000-0000-000079090000}"/>
    <cellStyle name="Comma 4 3 3 2 4 2 2" xfId="8007" xr:uid="{00000000-0005-0000-0000-00007A090000}"/>
    <cellStyle name="Comma 4 3 3 2 4 2 2 2" xfId="16449" xr:uid="{BDF0AD79-ACD3-42DE-AEEE-30287CCE0E91}"/>
    <cellStyle name="Comma 4 3 3 2 4 2 2 3" xfId="24886" xr:uid="{66738836-E33F-4581-BD4B-1E64B1FDDD46}"/>
    <cellStyle name="Comma 4 3 3 2 4 2 3" xfId="12231" xr:uid="{1DF09604-4A3A-471B-B6B5-99D42741B00B}"/>
    <cellStyle name="Comma 4 3 3 2 4 2 4" xfId="20669" xr:uid="{B5F1E66C-C0F1-4296-A5A6-A04EFD9BA0DA}"/>
    <cellStyle name="Comma 4 3 3 2 4 3" xfId="5862" xr:uid="{00000000-0005-0000-0000-00007B090000}"/>
    <cellStyle name="Comma 4 3 3 2 4 3 2" xfId="14304" xr:uid="{248A5979-2C14-4840-8FC2-76C73BFC5629}"/>
    <cellStyle name="Comma 4 3 3 2 4 3 3" xfId="22741" xr:uid="{765625B9-FB41-4FD3-9975-3F3A465D58BD}"/>
    <cellStyle name="Comma 4 3 3 2 4 4" xfId="10086" xr:uid="{69B59864-9378-419C-9ACF-4BB050F6DB9D}"/>
    <cellStyle name="Comma 4 3 3 2 4 5" xfId="18524" xr:uid="{3BF22695-2D04-44AE-A8E3-59B111B4C763}"/>
    <cellStyle name="Comma 4 3 3 2 5" xfId="1968" xr:uid="{00000000-0005-0000-0000-00007C090000}"/>
    <cellStyle name="Comma 4 3 3 2 5 2" xfId="4197" xr:uid="{00000000-0005-0000-0000-00007D090000}"/>
    <cellStyle name="Comma 4 3 3 2 5 2 2" xfId="8420" xr:uid="{00000000-0005-0000-0000-00007E090000}"/>
    <cellStyle name="Comma 4 3 3 2 5 2 2 2" xfId="16862" xr:uid="{9803B0F0-33A4-4074-B5CD-26E4C5437BAF}"/>
    <cellStyle name="Comma 4 3 3 2 5 2 2 3" xfId="25299" xr:uid="{BB5DD000-1E65-4E1C-8EB6-1E9EEE88B571}"/>
    <cellStyle name="Comma 4 3 3 2 5 2 3" xfId="12644" xr:uid="{D7161FE8-5DDC-43D3-869D-FCC6526BA6D9}"/>
    <cellStyle name="Comma 4 3 3 2 5 2 4" xfId="21082" xr:uid="{46B4D00C-1909-443E-AA8B-AB2479A1D52D}"/>
    <cellStyle name="Comma 4 3 3 2 5 3" xfId="6275" xr:uid="{00000000-0005-0000-0000-00007F090000}"/>
    <cellStyle name="Comma 4 3 3 2 5 3 2" xfId="14717" xr:uid="{92AD1F6E-B013-4451-AF94-E52ACF27019D}"/>
    <cellStyle name="Comma 4 3 3 2 5 3 3" xfId="23154" xr:uid="{B16A2C6E-2DF7-408B-9CAB-4BDF7C9C82D6}"/>
    <cellStyle name="Comma 4 3 3 2 5 4" xfId="10499" xr:uid="{C7211D46-C525-474F-B41D-42070F575DE8}"/>
    <cellStyle name="Comma 4 3 3 2 5 5" xfId="18937" xr:uid="{E7F38A3A-59E6-4359-8B60-3F053FFCC27E}"/>
    <cellStyle name="Comma 4 3 3 2 6" xfId="2403" xr:uid="{00000000-0005-0000-0000-000080090000}"/>
    <cellStyle name="Comma 4 3 3 2 6 2" xfId="6688" xr:uid="{00000000-0005-0000-0000-000081090000}"/>
    <cellStyle name="Comma 4 3 3 2 6 2 2" xfId="15130" xr:uid="{7BD3B82E-2D7C-4391-A724-2D129B683E63}"/>
    <cellStyle name="Comma 4 3 3 2 6 2 3" xfId="23567" xr:uid="{0D8E529B-32FF-42ED-BC6D-0919A8B78CC1}"/>
    <cellStyle name="Comma 4 3 3 2 6 3" xfId="10912" xr:uid="{316F1AD2-6219-4CB2-B285-3DB1603A6153}"/>
    <cellStyle name="Comma 4 3 3 2 6 4" xfId="19350" xr:uid="{8DA9F9F0-553C-4031-B763-DBCA6F2FE76E}"/>
    <cellStyle name="Comma 4 3 3 2 7" xfId="2360" xr:uid="{00000000-0005-0000-0000-000082090000}"/>
    <cellStyle name="Comma 4 3 3 2 8" xfId="2781" xr:uid="{00000000-0005-0000-0000-000083090000}"/>
    <cellStyle name="Comma 4 3 3 2 8 2" xfId="7005" xr:uid="{00000000-0005-0000-0000-000084090000}"/>
    <cellStyle name="Comma 4 3 3 2 8 2 2" xfId="15447" xr:uid="{E73AA67D-DB35-476C-98CD-B5EC98F25F23}"/>
    <cellStyle name="Comma 4 3 3 2 8 2 3" xfId="23884" xr:uid="{B917D110-0B6A-4AE0-83AC-4820FB4C4A52}"/>
    <cellStyle name="Comma 4 3 3 2 8 3" xfId="11229" xr:uid="{F499FE36-434F-4CD2-B56C-59829F5490C9}"/>
    <cellStyle name="Comma 4 3 3 2 8 4" xfId="19667" xr:uid="{5C126915-5C3F-4241-A05D-6CAD16B3B42A}"/>
    <cellStyle name="Comma 4 3 3 2 9" xfId="4622" xr:uid="{00000000-0005-0000-0000-000085090000}"/>
    <cellStyle name="Comma 4 3 3 2 9 2" xfId="13064" xr:uid="{0D770372-3A54-4478-B46A-09EFC85DB912}"/>
    <cellStyle name="Comma 4 3 3 2 9 3" xfId="21501" xr:uid="{E500A50E-2FE6-49E5-92A0-467695B22ACB}"/>
    <cellStyle name="Comma 4 3 3 3" xfId="686" xr:uid="{00000000-0005-0000-0000-000086090000}"/>
    <cellStyle name="Comma 4 3 3 3 2" xfId="2957" xr:uid="{00000000-0005-0000-0000-000087090000}"/>
    <cellStyle name="Comma 4 3 3 3 2 2" xfId="7180" xr:uid="{00000000-0005-0000-0000-000088090000}"/>
    <cellStyle name="Comma 4 3 3 3 2 2 2" xfId="15622" xr:uid="{26919C95-8093-4746-A75D-36A98E124FA7}"/>
    <cellStyle name="Comma 4 3 3 3 2 2 3" xfId="24059" xr:uid="{3C168B18-6B1A-4142-9211-E1FBD4E53A3B}"/>
    <cellStyle name="Comma 4 3 3 3 2 3" xfId="11404" xr:uid="{49BD160D-173F-4763-86AF-AA3B7F7B699A}"/>
    <cellStyle name="Comma 4 3 3 3 2 4" xfId="19842" xr:uid="{3E31CA66-90FE-4B7E-8A9A-EB4E28E0B606}"/>
    <cellStyle name="Comma 4 3 3 3 3" xfId="5035" xr:uid="{00000000-0005-0000-0000-000089090000}"/>
    <cellStyle name="Comma 4 3 3 3 3 2" xfId="13477" xr:uid="{1767A2A5-78D5-48FC-967A-C55A621B8A6E}"/>
    <cellStyle name="Comma 4 3 3 3 3 3" xfId="21914" xr:uid="{ACACA0FC-D734-4B8B-B4A5-921C5B97CCA2}"/>
    <cellStyle name="Comma 4 3 3 3 4" xfId="9259" xr:uid="{5A782083-5A88-4AC7-9624-C44FCDB3E2F1}"/>
    <cellStyle name="Comma 4 3 3 3 5" xfId="17697" xr:uid="{67DE58D5-F8BA-4572-A0BF-69AF18C29539}"/>
    <cellStyle name="Comma 4 3 3 4" xfId="1139" xr:uid="{00000000-0005-0000-0000-00008A090000}"/>
    <cellStyle name="Comma 4 3 3 4 2" xfId="3370" xr:uid="{00000000-0005-0000-0000-00008B090000}"/>
    <cellStyle name="Comma 4 3 3 4 2 2" xfId="7593" xr:uid="{00000000-0005-0000-0000-00008C090000}"/>
    <cellStyle name="Comma 4 3 3 4 2 2 2" xfId="16035" xr:uid="{4600A701-0809-4EB6-8E2D-C4A615D086F4}"/>
    <cellStyle name="Comma 4 3 3 4 2 2 3" xfId="24472" xr:uid="{40772E60-11E4-42F8-8F7D-69AC3AB15F44}"/>
    <cellStyle name="Comma 4 3 3 4 2 3" xfId="11817" xr:uid="{8602F721-4B2C-40A9-B358-F7DDA40E87E9}"/>
    <cellStyle name="Comma 4 3 3 4 2 4" xfId="20255" xr:uid="{A8FB2509-799D-416C-8896-137790F96877}"/>
    <cellStyle name="Comma 4 3 3 4 3" xfId="5448" xr:uid="{00000000-0005-0000-0000-00008D090000}"/>
    <cellStyle name="Comma 4 3 3 4 3 2" xfId="13890" xr:uid="{4BFF270B-0029-47A3-9248-3573DF8F4901}"/>
    <cellStyle name="Comma 4 3 3 4 3 3" xfId="22327" xr:uid="{9FB54D22-4148-420D-8147-039ADFD80186}"/>
    <cellStyle name="Comma 4 3 3 4 4" xfId="9672" xr:uid="{FC1C22BE-3D7D-4C59-A144-E11E1087B714}"/>
    <cellStyle name="Comma 4 3 3 4 5" xfId="18110" xr:uid="{5C95F951-69B4-4C35-A891-80406ECF820D}"/>
    <cellStyle name="Comma 4 3 3 5" xfId="1553" xr:uid="{00000000-0005-0000-0000-00008E090000}"/>
    <cellStyle name="Comma 4 3 3 5 2" xfId="3783" xr:uid="{00000000-0005-0000-0000-00008F090000}"/>
    <cellStyle name="Comma 4 3 3 5 2 2" xfId="8006" xr:uid="{00000000-0005-0000-0000-000090090000}"/>
    <cellStyle name="Comma 4 3 3 5 2 2 2" xfId="16448" xr:uid="{18C8DADB-35AE-4FEF-ACF1-0C2F2AE4015B}"/>
    <cellStyle name="Comma 4 3 3 5 2 2 3" xfId="24885" xr:uid="{CF818CF7-0E18-4434-86EF-35A4A4D7D85B}"/>
    <cellStyle name="Comma 4 3 3 5 2 3" xfId="12230" xr:uid="{9E8C6B22-1405-4119-AB76-954569B4797F}"/>
    <cellStyle name="Comma 4 3 3 5 2 4" xfId="20668" xr:uid="{AD7C9CE9-F719-4359-BBB3-0E2D08AEDAF0}"/>
    <cellStyle name="Comma 4 3 3 5 3" xfId="5861" xr:uid="{00000000-0005-0000-0000-000091090000}"/>
    <cellStyle name="Comma 4 3 3 5 3 2" xfId="14303" xr:uid="{D2D1980A-B617-4990-806B-C16B68F6AE95}"/>
    <cellStyle name="Comma 4 3 3 5 3 3" xfId="22740" xr:uid="{B5E39ECC-F935-445B-813F-D0485E89ED3E}"/>
    <cellStyle name="Comma 4 3 3 5 4" xfId="10085" xr:uid="{F8B51DAE-EF43-49FA-8161-42A58939D65D}"/>
    <cellStyle name="Comma 4 3 3 5 5" xfId="18523" xr:uid="{77FD5B8F-BFB7-444C-9878-30F3B45DF035}"/>
    <cellStyle name="Comma 4 3 3 6" xfId="1967" xr:uid="{00000000-0005-0000-0000-000092090000}"/>
    <cellStyle name="Comma 4 3 3 6 2" xfId="4196" xr:uid="{00000000-0005-0000-0000-000093090000}"/>
    <cellStyle name="Comma 4 3 3 6 2 2" xfId="8419" xr:uid="{00000000-0005-0000-0000-000094090000}"/>
    <cellStyle name="Comma 4 3 3 6 2 2 2" xfId="16861" xr:uid="{44931F01-934F-46E1-B3C9-7FFB2B6812E8}"/>
    <cellStyle name="Comma 4 3 3 6 2 2 3" xfId="25298" xr:uid="{BCD5D3F4-04B1-4F1D-8D4A-8C0E00C86471}"/>
    <cellStyle name="Comma 4 3 3 6 2 3" xfId="12643" xr:uid="{BCF5B65F-B5E6-467E-B3BA-CF0C7D49B921}"/>
    <cellStyle name="Comma 4 3 3 6 2 4" xfId="21081" xr:uid="{880C2D92-2DB5-4884-B166-DB6DACBCD108}"/>
    <cellStyle name="Comma 4 3 3 6 3" xfId="6274" xr:uid="{00000000-0005-0000-0000-000095090000}"/>
    <cellStyle name="Comma 4 3 3 6 3 2" xfId="14716" xr:uid="{F66BC914-0EE4-4B80-B08B-B22739DCF4D5}"/>
    <cellStyle name="Comma 4 3 3 6 3 3" xfId="23153" xr:uid="{92ECD72C-2369-4E66-968A-0297A5085A96}"/>
    <cellStyle name="Comma 4 3 3 6 4" xfId="10498" xr:uid="{01FB8F1E-6DF2-407F-B1C9-B4CFEF7AABD4}"/>
    <cellStyle name="Comma 4 3 3 6 5" xfId="18936" xr:uid="{2657CAE2-70F2-4916-8230-D084DDCCB1FD}"/>
    <cellStyle name="Comma 4 3 3 7" xfId="2402" xr:uid="{00000000-0005-0000-0000-000096090000}"/>
    <cellStyle name="Comma 4 3 3 7 2" xfId="6687" xr:uid="{00000000-0005-0000-0000-000097090000}"/>
    <cellStyle name="Comma 4 3 3 7 2 2" xfId="15129" xr:uid="{19EBCA0A-6CA8-442F-BEAD-6FACE946ECCC}"/>
    <cellStyle name="Comma 4 3 3 7 2 3" xfId="23566" xr:uid="{901D8F70-9753-4FE5-BD3B-35C390BAC217}"/>
    <cellStyle name="Comma 4 3 3 7 3" xfId="10911" xr:uid="{2AEF8336-2341-457B-9F17-9C8159CDE8C5}"/>
    <cellStyle name="Comma 4 3 3 7 4" xfId="19349" xr:uid="{16EF6CDE-6D3D-49D6-9C93-BEB083EFC9D0}"/>
    <cellStyle name="Comma 4 3 3 8" xfId="2361" xr:uid="{00000000-0005-0000-0000-000098090000}"/>
    <cellStyle name="Comma 4 3 3 9" xfId="2780" xr:uid="{00000000-0005-0000-0000-000099090000}"/>
    <cellStyle name="Comma 4 3 3 9 2" xfId="7004" xr:uid="{00000000-0005-0000-0000-00009A090000}"/>
    <cellStyle name="Comma 4 3 3 9 2 2" xfId="15446" xr:uid="{E0E724C3-42DC-4F52-83EC-CA59A48E14DF}"/>
    <cellStyle name="Comma 4 3 3 9 2 3" xfId="23883" xr:uid="{A13F5525-3070-4C96-AAD1-6EDE964E0B7F}"/>
    <cellStyle name="Comma 4 3 3 9 3" xfId="11228" xr:uid="{C1469DE7-435B-421C-BF13-4574166E2325}"/>
    <cellStyle name="Comma 4 3 3 9 4" xfId="19666" xr:uid="{674919B3-2DA1-4477-A8DB-34C61E3AB168}"/>
    <cellStyle name="Comma 4 3 4" xfId="151" xr:uid="{00000000-0005-0000-0000-00009B090000}"/>
    <cellStyle name="Comma 4 3 4 10" xfId="8847" xr:uid="{CCC2F3B7-DEDB-4654-973A-97EABCFC259F}"/>
    <cellStyle name="Comma 4 3 4 11" xfId="17285" xr:uid="{E092D6BA-A682-4D90-81EA-04B8D6892427}"/>
    <cellStyle name="Comma 4 3 4 2" xfId="688" xr:uid="{00000000-0005-0000-0000-00009C090000}"/>
    <cellStyle name="Comma 4 3 4 2 2" xfId="2959" xr:uid="{00000000-0005-0000-0000-00009D090000}"/>
    <cellStyle name="Comma 4 3 4 2 2 2" xfId="7182" xr:uid="{00000000-0005-0000-0000-00009E090000}"/>
    <cellStyle name="Comma 4 3 4 2 2 2 2" xfId="15624" xr:uid="{6F32AF33-3FFA-4845-A183-D3F786372F94}"/>
    <cellStyle name="Comma 4 3 4 2 2 2 3" xfId="24061" xr:uid="{DF8995DF-0AA8-4DEC-8850-02C3CF93A561}"/>
    <cellStyle name="Comma 4 3 4 2 2 3" xfId="11406" xr:uid="{38966C10-5188-4A27-8CF4-556E3E847C51}"/>
    <cellStyle name="Comma 4 3 4 2 2 4" xfId="19844" xr:uid="{E5685299-9FCB-4FBF-B1B6-AF2A1D4DB1BC}"/>
    <cellStyle name="Comma 4 3 4 2 3" xfId="5037" xr:uid="{00000000-0005-0000-0000-00009F090000}"/>
    <cellStyle name="Comma 4 3 4 2 3 2" xfId="13479" xr:uid="{269C091B-453B-4A39-AA98-CDC0540AF293}"/>
    <cellStyle name="Comma 4 3 4 2 3 3" xfId="21916" xr:uid="{6D84047C-6271-4168-9425-006B93551688}"/>
    <cellStyle name="Comma 4 3 4 2 4" xfId="9261" xr:uid="{525B0419-BFAA-4A03-9D33-E3B77A720F3F}"/>
    <cellStyle name="Comma 4 3 4 2 5" xfId="17699" xr:uid="{358D787B-93DB-42D4-A52D-65FFA09ED039}"/>
    <cellStyle name="Comma 4 3 4 3" xfId="1141" xr:uid="{00000000-0005-0000-0000-0000A0090000}"/>
    <cellStyle name="Comma 4 3 4 3 2" xfId="3372" xr:uid="{00000000-0005-0000-0000-0000A1090000}"/>
    <cellStyle name="Comma 4 3 4 3 2 2" xfId="7595" xr:uid="{00000000-0005-0000-0000-0000A2090000}"/>
    <cellStyle name="Comma 4 3 4 3 2 2 2" xfId="16037" xr:uid="{91F8D654-8205-4683-8D91-E3F1AEA79687}"/>
    <cellStyle name="Comma 4 3 4 3 2 2 3" xfId="24474" xr:uid="{1D8E0148-6A5C-400A-BD88-49AFDAEA24D5}"/>
    <cellStyle name="Comma 4 3 4 3 2 3" xfId="11819" xr:uid="{CE4E2CD0-D325-4DC5-9F29-DF1D187D6E2E}"/>
    <cellStyle name="Comma 4 3 4 3 2 4" xfId="20257" xr:uid="{05B152E5-6019-42F2-9F3D-1B8BA23AF278}"/>
    <cellStyle name="Comma 4 3 4 3 3" xfId="5450" xr:uid="{00000000-0005-0000-0000-0000A3090000}"/>
    <cellStyle name="Comma 4 3 4 3 3 2" xfId="13892" xr:uid="{8C5D2BB2-90FE-49AC-B80A-A6FAB5690AB7}"/>
    <cellStyle name="Comma 4 3 4 3 3 3" xfId="22329" xr:uid="{E1C04C97-E2BB-43B8-9668-3D3DA7FF62C5}"/>
    <cellStyle name="Comma 4 3 4 3 4" xfId="9674" xr:uid="{E3D32F2F-59E9-444D-8AB0-DC612366F091}"/>
    <cellStyle name="Comma 4 3 4 3 5" xfId="18112" xr:uid="{4E1FFA2D-94F7-465E-A4A5-5C0E2AC569BC}"/>
    <cellStyle name="Comma 4 3 4 4" xfId="1555" xr:uid="{00000000-0005-0000-0000-0000A4090000}"/>
    <cellStyle name="Comma 4 3 4 4 2" xfId="3785" xr:uid="{00000000-0005-0000-0000-0000A5090000}"/>
    <cellStyle name="Comma 4 3 4 4 2 2" xfId="8008" xr:uid="{00000000-0005-0000-0000-0000A6090000}"/>
    <cellStyle name="Comma 4 3 4 4 2 2 2" xfId="16450" xr:uid="{93A23BAE-2E12-4DD5-A004-2191F33BB18C}"/>
    <cellStyle name="Comma 4 3 4 4 2 2 3" xfId="24887" xr:uid="{18C26D44-1846-4E24-9C48-EDE676D3B74D}"/>
    <cellStyle name="Comma 4 3 4 4 2 3" xfId="12232" xr:uid="{1AC4978E-E601-44F1-8657-72ABC72ADCA6}"/>
    <cellStyle name="Comma 4 3 4 4 2 4" xfId="20670" xr:uid="{28AE8039-9521-426D-9C44-ABB732F88EC7}"/>
    <cellStyle name="Comma 4 3 4 4 3" xfId="5863" xr:uid="{00000000-0005-0000-0000-0000A7090000}"/>
    <cellStyle name="Comma 4 3 4 4 3 2" xfId="14305" xr:uid="{D2EBD9EF-034D-48A3-805D-BD9E16E3C50D}"/>
    <cellStyle name="Comma 4 3 4 4 3 3" xfId="22742" xr:uid="{A77462E3-A498-40A2-AC81-63B07CDD443A}"/>
    <cellStyle name="Comma 4 3 4 4 4" xfId="10087" xr:uid="{1491EB40-93E7-4D6E-B945-758467C69698}"/>
    <cellStyle name="Comma 4 3 4 4 5" xfId="18525" xr:uid="{0FA5B1FA-DD18-4E50-B852-81BC72C57E1F}"/>
    <cellStyle name="Comma 4 3 4 5" xfId="1969" xr:uid="{00000000-0005-0000-0000-0000A8090000}"/>
    <cellStyle name="Comma 4 3 4 5 2" xfId="4198" xr:uid="{00000000-0005-0000-0000-0000A9090000}"/>
    <cellStyle name="Comma 4 3 4 5 2 2" xfId="8421" xr:uid="{00000000-0005-0000-0000-0000AA090000}"/>
    <cellStyle name="Comma 4 3 4 5 2 2 2" xfId="16863" xr:uid="{3D2E54F2-A81B-44CE-8E82-77A2C8527EFA}"/>
    <cellStyle name="Comma 4 3 4 5 2 2 3" xfId="25300" xr:uid="{D2CBDB1F-E328-448F-9D51-AEB8E7BDFF8C}"/>
    <cellStyle name="Comma 4 3 4 5 2 3" xfId="12645" xr:uid="{9A4EB88F-44E0-4585-9DB6-529F7969C5AE}"/>
    <cellStyle name="Comma 4 3 4 5 2 4" xfId="21083" xr:uid="{3D4F164E-DC06-46A5-B982-D968CFAC7960}"/>
    <cellStyle name="Comma 4 3 4 5 3" xfId="6276" xr:uid="{00000000-0005-0000-0000-0000AB090000}"/>
    <cellStyle name="Comma 4 3 4 5 3 2" xfId="14718" xr:uid="{1D7EAEE4-7CE3-4024-85E0-9375EC0128D2}"/>
    <cellStyle name="Comma 4 3 4 5 3 3" xfId="23155" xr:uid="{8D45313B-12C2-4E4C-A653-AD0ADDFAB0B7}"/>
    <cellStyle name="Comma 4 3 4 5 4" xfId="10500" xr:uid="{B245FE32-67D8-4D4E-8130-8599F2CC9967}"/>
    <cellStyle name="Comma 4 3 4 5 5" xfId="18938" xr:uid="{C6300F61-CFE3-40E5-A113-0B564C3376B0}"/>
    <cellStyle name="Comma 4 3 4 6" xfId="2404" xr:uid="{00000000-0005-0000-0000-0000AC090000}"/>
    <cellStyle name="Comma 4 3 4 6 2" xfId="6689" xr:uid="{00000000-0005-0000-0000-0000AD090000}"/>
    <cellStyle name="Comma 4 3 4 6 2 2" xfId="15131" xr:uid="{A6C4A017-F161-4CB5-A4C2-31078C2A716D}"/>
    <cellStyle name="Comma 4 3 4 6 2 3" xfId="23568" xr:uid="{9AAE20BF-241F-4F47-9AE2-D7BDF427D8BA}"/>
    <cellStyle name="Comma 4 3 4 6 3" xfId="10913" xr:uid="{CE5724EE-869C-49D3-9A79-9066E62061FA}"/>
    <cellStyle name="Comma 4 3 4 6 4" xfId="19351" xr:uid="{87E63037-B19F-43DE-9CF4-07088FB01AC0}"/>
    <cellStyle name="Comma 4 3 4 7" xfId="2700" xr:uid="{00000000-0005-0000-0000-0000AE090000}"/>
    <cellStyle name="Comma 4 3 4 8" xfId="2782" xr:uid="{00000000-0005-0000-0000-0000AF090000}"/>
    <cellStyle name="Comma 4 3 4 8 2" xfId="7006" xr:uid="{00000000-0005-0000-0000-0000B0090000}"/>
    <cellStyle name="Comma 4 3 4 8 2 2" xfId="15448" xr:uid="{6B04C075-B5DA-45E6-926B-78B263E5129F}"/>
    <cellStyle name="Comma 4 3 4 8 2 3" xfId="23885" xr:uid="{B92CAEEA-7382-4A14-8E01-0B2696DA6A86}"/>
    <cellStyle name="Comma 4 3 4 8 3" xfId="11230" xr:uid="{542696E4-396A-4AEF-ABF9-FA54BEF39229}"/>
    <cellStyle name="Comma 4 3 4 8 4" xfId="19668" xr:uid="{A3785DFA-5385-47D8-AAE1-B42DA19EC825}"/>
    <cellStyle name="Comma 4 3 4 9" xfId="4623" xr:uid="{00000000-0005-0000-0000-0000B1090000}"/>
    <cellStyle name="Comma 4 3 4 9 2" xfId="13065" xr:uid="{9BB3A2FF-D48F-4356-B213-D8DC0BDEFA11}"/>
    <cellStyle name="Comma 4 3 4 9 3" xfId="21502" xr:uid="{13A1B6E0-E7C3-475A-91AE-F449CC287CE4}"/>
    <cellStyle name="Comma 4 3 5" xfId="152" xr:uid="{00000000-0005-0000-0000-0000B2090000}"/>
    <cellStyle name="Comma 4 3 5 10" xfId="8848" xr:uid="{05DC9D61-129E-45A6-A07E-5EC859B82E7F}"/>
    <cellStyle name="Comma 4 3 5 11" xfId="17286" xr:uid="{067AB7AF-AB46-4452-8A52-B2C19F718522}"/>
    <cellStyle name="Comma 4 3 5 2" xfId="689" xr:uid="{00000000-0005-0000-0000-0000B3090000}"/>
    <cellStyle name="Comma 4 3 5 2 2" xfId="2960" xr:uid="{00000000-0005-0000-0000-0000B4090000}"/>
    <cellStyle name="Comma 4 3 5 2 2 2" xfId="7183" xr:uid="{00000000-0005-0000-0000-0000B5090000}"/>
    <cellStyle name="Comma 4 3 5 2 2 2 2" xfId="15625" xr:uid="{075CDCF4-5B42-492F-9B34-3E363A115FEB}"/>
    <cellStyle name="Comma 4 3 5 2 2 2 3" xfId="24062" xr:uid="{B2E89DA3-B80D-4C99-9CC3-6BBBBE7A887E}"/>
    <cellStyle name="Comma 4 3 5 2 2 3" xfId="11407" xr:uid="{6508B4A4-CA05-4B61-A0E6-5236665AA029}"/>
    <cellStyle name="Comma 4 3 5 2 2 4" xfId="19845" xr:uid="{D5E3CDE6-D90A-492F-AB1E-4F61787C7B3C}"/>
    <cellStyle name="Comma 4 3 5 2 3" xfId="5038" xr:uid="{00000000-0005-0000-0000-0000B6090000}"/>
    <cellStyle name="Comma 4 3 5 2 3 2" xfId="13480" xr:uid="{2380ABC5-4B54-4178-97EB-6E6E7DAE8465}"/>
    <cellStyle name="Comma 4 3 5 2 3 3" xfId="21917" xr:uid="{96075A6B-EBEE-4CF8-9DCC-16896B375053}"/>
    <cellStyle name="Comma 4 3 5 2 4" xfId="9262" xr:uid="{30A1E182-B2F3-4E8A-A5B0-4A7F732479E5}"/>
    <cellStyle name="Comma 4 3 5 2 5" xfId="17700" xr:uid="{40DB581E-D3E4-42F3-B544-50478366CE7D}"/>
    <cellStyle name="Comma 4 3 5 3" xfId="1142" xr:uid="{00000000-0005-0000-0000-0000B7090000}"/>
    <cellStyle name="Comma 4 3 5 3 2" xfId="3373" xr:uid="{00000000-0005-0000-0000-0000B8090000}"/>
    <cellStyle name="Comma 4 3 5 3 2 2" xfId="7596" xr:uid="{00000000-0005-0000-0000-0000B9090000}"/>
    <cellStyle name="Comma 4 3 5 3 2 2 2" xfId="16038" xr:uid="{414BEB1F-FBB5-416F-963A-78F3D415DBB4}"/>
    <cellStyle name="Comma 4 3 5 3 2 2 3" xfId="24475" xr:uid="{F091CD87-AAFB-4D5B-81AC-594D6AEA7C11}"/>
    <cellStyle name="Comma 4 3 5 3 2 3" xfId="11820" xr:uid="{BD07F5BF-8AE2-455D-B74B-AA9EA3E2D933}"/>
    <cellStyle name="Comma 4 3 5 3 2 4" xfId="20258" xr:uid="{3A879F9B-BB96-4E8C-AB44-95BF37F4B538}"/>
    <cellStyle name="Comma 4 3 5 3 3" xfId="5451" xr:uid="{00000000-0005-0000-0000-0000BA090000}"/>
    <cellStyle name="Comma 4 3 5 3 3 2" xfId="13893" xr:uid="{C8DF8837-5286-4B7E-8618-9C8CFB786550}"/>
    <cellStyle name="Comma 4 3 5 3 3 3" xfId="22330" xr:uid="{75508DA0-F6C1-441E-945C-D23B5208BEEF}"/>
    <cellStyle name="Comma 4 3 5 3 4" xfId="9675" xr:uid="{823861D7-3D57-4509-9AA2-69DF23089F31}"/>
    <cellStyle name="Comma 4 3 5 3 5" xfId="18113" xr:uid="{7D71EE51-BAC1-4D77-817D-72F55455BD46}"/>
    <cellStyle name="Comma 4 3 5 4" xfId="1556" xr:uid="{00000000-0005-0000-0000-0000BB090000}"/>
    <cellStyle name="Comma 4 3 5 4 2" xfId="3786" xr:uid="{00000000-0005-0000-0000-0000BC090000}"/>
    <cellStyle name="Comma 4 3 5 4 2 2" xfId="8009" xr:uid="{00000000-0005-0000-0000-0000BD090000}"/>
    <cellStyle name="Comma 4 3 5 4 2 2 2" xfId="16451" xr:uid="{571FC0B9-29B8-466A-AA70-5D84808CA197}"/>
    <cellStyle name="Comma 4 3 5 4 2 2 3" xfId="24888" xr:uid="{2DBE849E-90C2-4FAE-8C16-7FC8C68C72D2}"/>
    <cellStyle name="Comma 4 3 5 4 2 3" xfId="12233" xr:uid="{EBB97703-BE89-40F3-A90A-364AC584E62B}"/>
    <cellStyle name="Comma 4 3 5 4 2 4" xfId="20671" xr:uid="{6462F12F-CDB7-447E-96CD-B594B4CAB140}"/>
    <cellStyle name="Comma 4 3 5 4 3" xfId="5864" xr:uid="{00000000-0005-0000-0000-0000BE090000}"/>
    <cellStyle name="Comma 4 3 5 4 3 2" xfId="14306" xr:uid="{59BB80EB-193F-408E-98FD-DC3C2DBEBD50}"/>
    <cellStyle name="Comma 4 3 5 4 3 3" xfId="22743" xr:uid="{57E5465C-9650-4FD0-9379-95CFF8174BB8}"/>
    <cellStyle name="Comma 4 3 5 4 4" xfId="10088" xr:uid="{C07EEADF-120E-4A55-8A90-98D6CD441276}"/>
    <cellStyle name="Comma 4 3 5 4 5" xfId="18526" xr:uid="{5DD98E19-EA70-46DD-ACBB-963E2AD79BA4}"/>
    <cellStyle name="Comma 4 3 5 5" xfId="1970" xr:uid="{00000000-0005-0000-0000-0000BF090000}"/>
    <cellStyle name="Comma 4 3 5 5 2" xfId="4199" xr:uid="{00000000-0005-0000-0000-0000C0090000}"/>
    <cellStyle name="Comma 4 3 5 5 2 2" xfId="8422" xr:uid="{00000000-0005-0000-0000-0000C1090000}"/>
    <cellStyle name="Comma 4 3 5 5 2 2 2" xfId="16864" xr:uid="{2B0C9FC8-3F07-4F60-8333-AABFF8BC2564}"/>
    <cellStyle name="Comma 4 3 5 5 2 2 3" xfId="25301" xr:uid="{3EF6C335-19AE-4D29-AFCF-E3EE78296EB0}"/>
    <cellStyle name="Comma 4 3 5 5 2 3" xfId="12646" xr:uid="{CCCFB6AA-E5B7-473B-94E6-76F44FD6875E}"/>
    <cellStyle name="Comma 4 3 5 5 2 4" xfId="21084" xr:uid="{C6B822A5-F2DD-4167-ABEA-46636F6C3755}"/>
    <cellStyle name="Comma 4 3 5 5 3" xfId="6277" xr:uid="{00000000-0005-0000-0000-0000C2090000}"/>
    <cellStyle name="Comma 4 3 5 5 3 2" xfId="14719" xr:uid="{AB0F7E2D-F8A4-40DB-84A6-A8FD82456F69}"/>
    <cellStyle name="Comma 4 3 5 5 3 3" xfId="23156" xr:uid="{F53A28F4-7E0D-4D36-A343-B12D119AC747}"/>
    <cellStyle name="Comma 4 3 5 5 4" xfId="10501" xr:uid="{2B3FA536-7EDE-440F-A5CF-E5B8E2832395}"/>
    <cellStyle name="Comma 4 3 5 5 5" xfId="18939" xr:uid="{EEFC408C-A90E-47A4-A122-41566DA56194}"/>
    <cellStyle name="Comma 4 3 5 6" xfId="2405" xr:uid="{00000000-0005-0000-0000-0000C3090000}"/>
    <cellStyle name="Comma 4 3 5 6 2" xfId="6690" xr:uid="{00000000-0005-0000-0000-0000C4090000}"/>
    <cellStyle name="Comma 4 3 5 6 2 2" xfId="15132" xr:uid="{3A211EB6-EBF1-472B-8158-E20A257837B1}"/>
    <cellStyle name="Comma 4 3 5 6 2 3" xfId="23569" xr:uid="{4D9433AC-2A9A-4A0A-9EB2-C203180208D7}"/>
    <cellStyle name="Comma 4 3 5 6 3" xfId="10914" xr:uid="{13863996-04B2-46BE-ABF1-515B71860491}"/>
    <cellStyle name="Comma 4 3 5 6 4" xfId="19352" xr:uid="{BA1A38F7-E740-458A-8EFD-63802D89D1F7}"/>
    <cellStyle name="Comma 4 3 5 7" xfId="2701" xr:uid="{00000000-0005-0000-0000-0000C5090000}"/>
    <cellStyle name="Comma 4 3 5 8" xfId="2783" xr:uid="{00000000-0005-0000-0000-0000C6090000}"/>
    <cellStyle name="Comma 4 3 5 8 2" xfId="7007" xr:uid="{00000000-0005-0000-0000-0000C7090000}"/>
    <cellStyle name="Comma 4 3 5 8 2 2" xfId="15449" xr:uid="{6E43688F-746D-40EE-A2EC-DB4B4DB134A6}"/>
    <cellStyle name="Comma 4 3 5 8 2 3" xfId="23886" xr:uid="{ECF8A967-ADEE-4E36-A93B-54F0F57A5689}"/>
    <cellStyle name="Comma 4 3 5 8 3" xfId="11231" xr:uid="{885FFD5B-A828-4E99-A3FF-FF2B7819F189}"/>
    <cellStyle name="Comma 4 3 5 8 4" xfId="19669" xr:uid="{46592650-658C-469C-A251-2EDEF5673F1E}"/>
    <cellStyle name="Comma 4 3 5 9" xfId="4624" xr:uid="{00000000-0005-0000-0000-0000C8090000}"/>
    <cellStyle name="Comma 4 3 5 9 2" xfId="13066" xr:uid="{2F1AB853-F42A-4A43-B508-06B3B2D17361}"/>
    <cellStyle name="Comma 4 3 5 9 3" xfId="21503" xr:uid="{05F9520F-A381-4F63-A8ED-0BAC53A3AB15}"/>
    <cellStyle name="Comma 4 4" xfId="153" xr:uid="{00000000-0005-0000-0000-0000C9090000}"/>
    <cellStyle name="Comma 4 4 10" xfId="2784" xr:uid="{00000000-0005-0000-0000-0000CA090000}"/>
    <cellStyle name="Comma 4 4 10 2" xfId="7008" xr:uid="{00000000-0005-0000-0000-0000CB090000}"/>
    <cellStyle name="Comma 4 4 10 2 2" xfId="15450" xr:uid="{A82BDC5D-35B7-4053-8510-CFD40DA38716}"/>
    <cellStyle name="Comma 4 4 10 2 3" xfId="23887" xr:uid="{C52F3FCB-F407-454E-B635-89ECD58A9980}"/>
    <cellStyle name="Comma 4 4 10 3" xfId="11232" xr:uid="{A205F50D-B7DF-4ED3-B7E6-88DDE13AD9E6}"/>
    <cellStyle name="Comma 4 4 10 4" xfId="19670" xr:uid="{A6479FED-B688-483A-B4BE-F5E5C6D79B76}"/>
    <cellStyle name="Comma 4 4 11" xfId="4625" xr:uid="{00000000-0005-0000-0000-0000CC090000}"/>
    <cellStyle name="Comma 4 4 11 2" xfId="13067" xr:uid="{454C6122-D2E0-4443-A4C0-1C727668FBEB}"/>
    <cellStyle name="Comma 4 4 11 3" xfId="21504" xr:uid="{547E90B3-53A4-492E-8547-E967880D5A46}"/>
    <cellStyle name="Comma 4 4 12" xfId="8849" xr:uid="{8CD0E764-3030-4972-97E7-2AAB7BCA103A}"/>
    <cellStyle name="Comma 4 4 13" xfId="17287" xr:uid="{7F4C4732-AAEA-4AA6-8344-1EC1BD1243C7}"/>
    <cellStyle name="Comma 4 4 2" xfId="154" xr:uid="{00000000-0005-0000-0000-0000CD090000}"/>
    <cellStyle name="Comma 4 4 2 10" xfId="4626" xr:uid="{00000000-0005-0000-0000-0000CE090000}"/>
    <cellStyle name="Comma 4 4 2 10 2" xfId="13068" xr:uid="{B4C8F84D-234D-4A4D-B798-541F1D5D7531}"/>
    <cellStyle name="Comma 4 4 2 10 3" xfId="21505" xr:uid="{E12664AF-725F-404B-9303-03AC813D1E30}"/>
    <cellStyle name="Comma 4 4 2 11" xfId="8850" xr:uid="{3BD579A1-1580-45CB-9457-8319E6BC3FEC}"/>
    <cellStyle name="Comma 4 4 2 12" xfId="17288" xr:uid="{0E5837D9-3984-465F-A2AF-88F2510EBA61}"/>
    <cellStyle name="Comma 4 4 2 2" xfId="155" xr:uid="{00000000-0005-0000-0000-0000CF090000}"/>
    <cellStyle name="Comma 4 4 2 2 10" xfId="8851" xr:uid="{72556634-14A0-472A-9F28-68C8BE127E30}"/>
    <cellStyle name="Comma 4 4 2 2 11" xfId="17289" xr:uid="{3A084E39-C767-4AC2-9858-E7E767EED854}"/>
    <cellStyle name="Comma 4 4 2 2 2" xfId="692" xr:uid="{00000000-0005-0000-0000-0000D0090000}"/>
    <cellStyle name="Comma 4 4 2 2 2 2" xfId="2963" xr:uid="{00000000-0005-0000-0000-0000D1090000}"/>
    <cellStyle name="Comma 4 4 2 2 2 2 2" xfId="7186" xr:uid="{00000000-0005-0000-0000-0000D2090000}"/>
    <cellStyle name="Comma 4 4 2 2 2 2 2 2" xfId="15628" xr:uid="{BB387028-AD3F-41B5-86A2-B5726A520C50}"/>
    <cellStyle name="Comma 4 4 2 2 2 2 2 3" xfId="24065" xr:uid="{989FCCBA-8314-45BA-B45A-9FBE4E99F1C3}"/>
    <cellStyle name="Comma 4 4 2 2 2 2 3" xfId="11410" xr:uid="{A9A1C9A5-3C20-4E60-A91A-8A7780D8CDE6}"/>
    <cellStyle name="Comma 4 4 2 2 2 2 4" xfId="19848" xr:uid="{DBE6BC05-2D37-458F-BF63-ADD382073C9F}"/>
    <cellStyle name="Comma 4 4 2 2 2 3" xfId="5041" xr:uid="{00000000-0005-0000-0000-0000D3090000}"/>
    <cellStyle name="Comma 4 4 2 2 2 3 2" xfId="13483" xr:uid="{296AF231-5FF3-4928-9C46-0E057E2057E9}"/>
    <cellStyle name="Comma 4 4 2 2 2 3 3" xfId="21920" xr:uid="{04C3E9F6-82D3-4446-A0ED-51E8A75A9F21}"/>
    <cellStyle name="Comma 4 4 2 2 2 4" xfId="9265" xr:uid="{86739992-B7A8-4FE1-B10F-4FA8AD909B97}"/>
    <cellStyle name="Comma 4 4 2 2 2 5" xfId="17703" xr:uid="{0B4DDD9C-37D7-4104-867B-313962873D7E}"/>
    <cellStyle name="Comma 4 4 2 2 3" xfId="1145" xr:uid="{00000000-0005-0000-0000-0000D4090000}"/>
    <cellStyle name="Comma 4 4 2 2 3 2" xfId="3376" xr:uid="{00000000-0005-0000-0000-0000D5090000}"/>
    <cellStyle name="Comma 4 4 2 2 3 2 2" xfId="7599" xr:uid="{00000000-0005-0000-0000-0000D6090000}"/>
    <cellStyle name="Comma 4 4 2 2 3 2 2 2" xfId="16041" xr:uid="{F191F19B-BDA8-4997-81CB-13CFE1C3ABD4}"/>
    <cellStyle name="Comma 4 4 2 2 3 2 2 3" xfId="24478" xr:uid="{837F4006-74E1-44F5-97EA-3F1D346055B5}"/>
    <cellStyle name="Comma 4 4 2 2 3 2 3" xfId="11823" xr:uid="{F8F9705F-E504-48B7-821D-59FB88A43955}"/>
    <cellStyle name="Comma 4 4 2 2 3 2 4" xfId="20261" xr:uid="{3EF27D3A-7480-45B2-80F6-BE20DD171C75}"/>
    <cellStyle name="Comma 4 4 2 2 3 3" xfId="5454" xr:uid="{00000000-0005-0000-0000-0000D7090000}"/>
    <cellStyle name="Comma 4 4 2 2 3 3 2" xfId="13896" xr:uid="{898AD9E8-D663-4F76-9FF4-A05F6F7953CC}"/>
    <cellStyle name="Comma 4 4 2 2 3 3 3" xfId="22333" xr:uid="{709A6BEE-D6E1-4F36-B185-C009106DFB35}"/>
    <cellStyle name="Comma 4 4 2 2 3 4" xfId="9678" xr:uid="{45ABB5CD-9FCF-4153-8920-A903D298E9F4}"/>
    <cellStyle name="Comma 4 4 2 2 3 5" xfId="18116" xr:uid="{469D55DB-039A-4B34-9B6C-F4124EFAACBC}"/>
    <cellStyle name="Comma 4 4 2 2 4" xfId="1559" xr:uid="{00000000-0005-0000-0000-0000D8090000}"/>
    <cellStyle name="Comma 4 4 2 2 4 2" xfId="3789" xr:uid="{00000000-0005-0000-0000-0000D9090000}"/>
    <cellStyle name="Comma 4 4 2 2 4 2 2" xfId="8012" xr:uid="{00000000-0005-0000-0000-0000DA090000}"/>
    <cellStyle name="Comma 4 4 2 2 4 2 2 2" xfId="16454" xr:uid="{9239F234-038D-4B03-8A17-0DA64FB4D655}"/>
    <cellStyle name="Comma 4 4 2 2 4 2 2 3" xfId="24891" xr:uid="{62BDE61A-6726-48BC-A537-F62EDE552618}"/>
    <cellStyle name="Comma 4 4 2 2 4 2 3" xfId="12236" xr:uid="{D1788D31-DE97-4373-998B-57FA3B8F2CFA}"/>
    <cellStyle name="Comma 4 4 2 2 4 2 4" xfId="20674" xr:uid="{14AF2106-C618-409C-92D7-E257C8E506BE}"/>
    <cellStyle name="Comma 4 4 2 2 4 3" xfId="5867" xr:uid="{00000000-0005-0000-0000-0000DB090000}"/>
    <cellStyle name="Comma 4 4 2 2 4 3 2" xfId="14309" xr:uid="{8C3DB0CC-1790-449D-A6EE-3D89D946384A}"/>
    <cellStyle name="Comma 4 4 2 2 4 3 3" xfId="22746" xr:uid="{CCB7CC06-4AE2-4B30-839A-86B98E267450}"/>
    <cellStyle name="Comma 4 4 2 2 4 4" xfId="10091" xr:uid="{B72C5642-0E42-42B1-9D54-F012A934108D}"/>
    <cellStyle name="Comma 4 4 2 2 4 5" xfId="18529" xr:uid="{EAF8807D-2E6D-4279-AE7E-F4E4485BBA69}"/>
    <cellStyle name="Comma 4 4 2 2 5" xfId="1973" xr:uid="{00000000-0005-0000-0000-0000DC090000}"/>
    <cellStyle name="Comma 4 4 2 2 5 2" xfId="4202" xr:uid="{00000000-0005-0000-0000-0000DD090000}"/>
    <cellStyle name="Comma 4 4 2 2 5 2 2" xfId="8425" xr:uid="{00000000-0005-0000-0000-0000DE090000}"/>
    <cellStyle name="Comma 4 4 2 2 5 2 2 2" xfId="16867" xr:uid="{DC631D9C-1E91-47B6-9AC8-1998B9A26EBF}"/>
    <cellStyle name="Comma 4 4 2 2 5 2 2 3" xfId="25304" xr:uid="{6560212D-EFF6-42FB-A0AF-A7F48511C87E}"/>
    <cellStyle name="Comma 4 4 2 2 5 2 3" xfId="12649" xr:uid="{39B5BFD0-E392-4704-B4D5-CD6942A60E1E}"/>
    <cellStyle name="Comma 4 4 2 2 5 2 4" xfId="21087" xr:uid="{7DEB5C7B-C4B8-46D7-A908-B21A9246EB82}"/>
    <cellStyle name="Comma 4 4 2 2 5 3" xfId="6280" xr:uid="{00000000-0005-0000-0000-0000DF090000}"/>
    <cellStyle name="Comma 4 4 2 2 5 3 2" xfId="14722" xr:uid="{0046965E-19A2-4255-8518-67AF163777AC}"/>
    <cellStyle name="Comma 4 4 2 2 5 3 3" xfId="23159" xr:uid="{C29E9B7A-4572-40EB-82ED-624A6462ECF8}"/>
    <cellStyle name="Comma 4 4 2 2 5 4" xfId="10504" xr:uid="{ACD4F5D9-F298-43EC-9713-484AF764F739}"/>
    <cellStyle name="Comma 4 4 2 2 5 5" xfId="18942" xr:uid="{5F777E63-D43B-4B7D-AFD7-BB8AED4B0315}"/>
    <cellStyle name="Comma 4 4 2 2 6" xfId="2408" xr:uid="{00000000-0005-0000-0000-0000E0090000}"/>
    <cellStyle name="Comma 4 4 2 2 6 2" xfId="6693" xr:uid="{00000000-0005-0000-0000-0000E1090000}"/>
    <cellStyle name="Comma 4 4 2 2 6 2 2" xfId="15135" xr:uid="{5D2138CC-DE24-49EA-8C61-0A89966A75FE}"/>
    <cellStyle name="Comma 4 4 2 2 6 2 3" xfId="23572" xr:uid="{90600DE6-0406-47B2-9B57-FC24AA4F88B8}"/>
    <cellStyle name="Comma 4 4 2 2 6 3" xfId="10917" xr:uid="{ED87CB88-07B6-4CFB-809E-2332CF054640}"/>
    <cellStyle name="Comma 4 4 2 2 6 4" xfId="19355" xr:uid="{01C97A6B-64DE-4678-826D-3807C47E01CE}"/>
    <cellStyle name="Comma 4 4 2 2 7" xfId="2704" xr:uid="{00000000-0005-0000-0000-0000E2090000}"/>
    <cellStyle name="Comma 4 4 2 2 8" xfId="2786" xr:uid="{00000000-0005-0000-0000-0000E3090000}"/>
    <cellStyle name="Comma 4 4 2 2 8 2" xfId="7010" xr:uid="{00000000-0005-0000-0000-0000E4090000}"/>
    <cellStyle name="Comma 4 4 2 2 8 2 2" xfId="15452" xr:uid="{6B5C651E-424F-44B7-BB75-B2D787C595C6}"/>
    <cellStyle name="Comma 4 4 2 2 8 2 3" xfId="23889" xr:uid="{01EA541F-10A2-4145-85C9-E76C10BA03A6}"/>
    <cellStyle name="Comma 4 4 2 2 8 3" xfId="11234" xr:uid="{513E1186-39CF-4F75-B753-456D512529E2}"/>
    <cellStyle name="Comma 4 4 2 2 8 4" xfId="19672" xr:uid="{E02662F6-D429-4958-885D-1300A8D83954}"/>
    <cellStyle name="Comma 4 4 2 2 9" xfId="4627" xr:uid="{00000000-0005-0000-0000-0000E5090000}"/>
    <cellStyle name="Comma 4 4 2 2 9 2" xfId="13069" xr:uid="{47636CD1-83F8-43EA-8AA9-E0D3FD680659}"/>
    <cellStyle name="Comma 4 4 2 2 9 3" xfId="21506" xr:uid="{EFEBD70D-0AD1-4C6D-9D7F-DBA390029610}"/>
    <cellStyle name="Comma 4 4 2 3" xfId="691" xr:uid="{00000000-0005-0000-0000-0000E6090000}"/>
    <cellStyle name="Comma 4 4 2 3 2" xfId="2962" xr:uid="{00000000-0005-0000-0000-0000E7090000}"/>
    <cellStyle name="Comma 4 4 2 3 2 2" xfId="7185" xr:uid="{00000000-0005-0000-0000-0000E8090000}"/>
    <cellStyle name="Comma 4 4 2 3 2 2 2" xfId="15627" xr:uid="{B4288F58-2301-4167-9A79-E3259C1491A9}"/>
    <cellStyle name="Comma 4 4 2 3 2 2 3" xfId="24064" xr:uid="{7E0275E3-0612-48B1-935A-15FE911EFDA0}"/>
    <cellStyle name="Comma 4 4 2 3 2 3" xfId="11409" xr:uid="{F308F25E-8A7D-4DE0-BEE6-9369CB0FE439}"/>
    <cellStyle name="Comma 4 4 2 3 2 4" xfId="19847" xr:uid="{CB7CB6C0-6A9B-450C-A1FA-7194989EB475}"/>
    <cellStyle name="Comma 4 4 2 3 3" xfId="5040" xr:uid="{00000000-0005-0000-0000-0000E9090000}"/>
    <cellStyle name="Comma 4 4 2 3 3 2" xfId="13482" xr:uid="{FEBE9A80-1758-4B90-8BCA-490C8346DA63}"/>
    <cellStyle name="Comma 4 4 2 3 3 3" xfId="21919" xr:uid="{FAE0A60D-6719-4BF3-9E73-3104FC02DA3D}"/>
    <cellStyle name="Comma 4 4 2 3 4" xfId="9264" xr:uid="{3B846E00-853F-4293-8326-6B33476C12F7}"/>
    <cellStyle name="Comma 4 4 2 3 5" xfId="17702" xr:uid="{8B478B6A-908A-486C-BF82-7DA3FFA3A6F0}"/>
    <cellStyle name="Comma 4 4 2 4" xfId="1144" xr:uid="{00000000-0005-0000-0000-0000EA090000}"/>
    <cellStyle name="Comma 4 4 2 4 2" xfId="3375" xr:uid="{00000000-0005-0000-0000-0000EB090000}"/>
    <cellStyle name="Comma 4 4 2 4 2 2" xfId="7598" xr:uid="{00000000-0005-0000-0000-0000EC090000}"/>
    <cellStyle name="Comma 4 4 2 4 2 2 2" xfId="16040" xr:uid="{2C4271D2-278E-4D10-BD73-E473B49AF20F}"/>
    <cellStyle name="Comma 4 4 2 4 2 2 3" xfId="24477" xr:uid="{EEE72891-EF84-4155-8E28-C2B1BD7CE29B}"/>
    <cellStyle name="Comma 4 4 2 4 2 3" xfId="11822" xr:uid="{5A8DDC52-DE89-46F2-8E87-5337D0FAF679}"/>
    <cellStyle name="Comma 4 4 2 4 2 4" xfId="20260" xr:uid="{11815F23-EC50-4E1E-8B07-43ED9CF5FE74}"/>
    <cellStyle name="Comma 4 4 2 4 3" xfId="5453" xr:uid="{00000000-0005-0000-0000-0000ED090000}"/>
    <cellStyle name="Comma 4 4 2 4 3 2" xfId="13895" xr:uid="{41111338-D0BC-46B1-B178-C0BB98AE7F64}"/>
    <cellStyle name="Comma 4 4 2 4 3 3" xfId="22332" xr:uid="{31415912-19BF-4B02-8E09-74EDBC9F13A8}"/>
    <cellStyle name="Comma 4 4 2 4 4" xfId="9677" xr:uid="{72562D2D-003E-4EE8-9AB4-7BD8567FF573}"/>
    <cellStyle name="Comma 4 4 2 4 5" xfId="18115" xr:uid="{D9E73FD0-C2D4-4DDA-987C-A0DC2AA91DEB}"/>
    <cellStyle name="Comma 4 4 2 5" xfId="1558" xr:uid="{00000000-0005-0000-0000-0000EE090000}"/>
    <cellStyle name="Comma 4 4 2 5 2" xfId="3788" xr:uid="{00000000-0005-0000-0000-0000EF090000}"/>
    <cellStyle name="Comma 4 4 2 5 2 2" xfId="8011" xr:uid="{00000000-0005-0000-0000-0000F0090000}"/>
    <cellStyle name="Comma 4 4 2 5 2 2 2" xfId="16453" xr:uid="{9ED465BC-4C16-4376-B485-3F31803BEF85}"/>
    <cellStyle name="Comma 4 4 2 5 2 2 3" xfId="24890" xr:uid="{97159034-CC58-4BEF-AF56-192C60503EB2}"/>
    <cellStyle name="Comma 4 4 2 5 2 3" xfId="12235" xr:uid="{6C1D9E2E-E4FA-4A8C-9F26-EE5F0B585700}"/>
    <cellStyle name="Comma 4 4 2 5 2 4" xfId="20673" xr:uid="{29509AE9-4C6B-4F94-B8CE-81E6EB392B6D}"/>
    <cellStyle name="Comma 4 4 2 5 3" xfId="5866" xr:uid="{00000000-0005-0000-0000-0000F1090000}"/>
    <cellStyle name="Comma 4 4 2 5 3 2" xfId="14308" xr:uid="{92332632-9A46-45B5-9591-88F0563EC977}"/>
    <cellStyle name="Comma 4 4 2 5 3 3" xfId="22745" xr:uid="{3505B705-1F84-4D26-B480-9673BB07A76E}"/>
    <cellStyle name="Comma 4 4 2 5 4" xfId="10090" xr:uid="{7731A013-FEA7-49A8-A3A6-BCEC5AA484D6}"/>
    <cellStyle name="Comma 4 4 2 5 5" xfId="18528" xr:uid="{82A3A5A5-ACB6-49CD-97EB-731AE9547347}"/>
    <cellStyle name="Comma 4 4 2 6" xfId="1972" xr:uid="{00000000-0005-0000-0000-0000F2090000}"/>
    <cellStyle name="Comma 4 4 2 6 2" xfId="4201" xr:uid="{00000000-0005-0000-0000-0000F3090000}"/>
    <cellStyle name="Comma 4 4 2 6 2 2" xfId="8424" xr:uid="{00000000-0005-0000-0000-0000F4090000}"/>
    <cellStyle name="Comma 4 4 2 6 2 2 2" xfId="16866" xr:uid="{C3FEE29C-2EF8-4EC8-87E2-5B7A9FD3B378}"/>
    <cellStyle name="Comma 4 4 2 6 2 2 3" xfId="25303" xr:uid="{9C84074B-57E1-433A-9F7F-3ABE9C77C298}"/>
    <cellStyle name="Comma 4 4 2 6 2 3" xfId="12648" xr:uid="{E6DFE548-3AC0-4149-9F7F-6C18445B4A75}"/>
    <cellStyle name="Comma 4 4 2 6 2 4" xfId="21086" xr:uid="{E728FCDF-3E16-4995-A346-08EE52BCBCB6}"/>
    <cellStyle name="Comma 4 4 2 6 3" xfId="6279" xr:uid="{00000000-0005-0000-0000-0000F5090000}"/>
    <cellStyle name="Comma 4 4 2 6 3 2" xfId="14721" xr:uid="{AAB5075F-C333-47A0-87CC-81EE9ACAAA7E}"/>
    <cellStyle name="Comma 4 4 2 6 3 3" xfId="23158" xr:uid="{F4228346-CB74-48D3-B109-956B0BE9A83C}"/>
    <cellStyle name="Comma 4 4 2 6 4" xfId="10503" xr:uid="{270927EB-3B82-41D4-8CDB-F775193BF9F8}"/>
    <cellStyle name="Comma 4 4 2 6 5" xfId="18941" xr:uid="{78B6D415-6BA9-4EB5-8A2E-8B7C35C1E35B}"/>
    <cellStyle name="Comma 4 4 2 7" xfId="2407" xr:uid="{00000000-0005-0000-0000-0000F6090000}"/>
    <cellStyle name="Comma 4 4 2 7 2" xfId="6692" xr:uid="{00000000-0005-0000-0000-0000F7090000}"/>
    <cellStyle name="Comma 4 4 2 7 2 2" xfId="15134" xr:uid="{324F9B3B-FDF7-46A8-9103-590A83FEC632}"/>
    <cellStyle name="Comma 4 4 2 7 2 3" xfId="23571" xr:uid="{E3942C67-11BC-4EEB-A8CB-6C275B867ECD}"/>
    <cellStyle name="Comma 4 4 2 7 3" xfId="10916" xr:uid="{F481E89F-E560-47EA-A015-8F0C983EB28C}"/>
    <cellStyle name="Comma 4 4 2 7 4" xfId="19354" xr:uid="{E66F7616-5BCD-4CB5-9B25-D23B715F65CA}"/>
    <cellStyle name="Comma 4 4 2 8" xfId="2703" xr:uid="{00000000-0005-0000-0000-0000F8090000}"/>
    <cellStyle name="Comma 4 4 2 9" xfId="2785" xr:uid="{00000000-0005-0000-0000-0000F9090000}"/>
    <cellStyle name="Comma 4 4 2 9 2" xfId="7009" xr:uid="{00000000-0005-0000-0000-0000FA090000}"/>
    <cellStyle name="Comma 4 4 2 9 2 2" xfId="15451" xr:uid="{3D6DDD44-5CB9-47A3-9195-5FB8BF894905}"/>
    <cellStyle name="Comma 4 4 2 9 2 3" xfId="23888" xr:uid="{A1B81B16-019A-4483-B56A-DD42502398F5}"/>
    <cellStyle name="Comma 4 4 2 9 3" xfId="11233" xr:uid="{5A9BC7E0-ED81-46D9-B0F4-7C0719D9A40E}"/>
    <cellStyle name="Comma 4 4 2 9 4" xfId="19671" xr:uid="{2F40FB2E-65B9-4BC5-B563-23C33DC52CA1}"/>
    <cellStyle name="Comma 4 4 3" xfId="156" xr:uid="{00000000-0005-0000-0000-0000FB090000}"/>
    <cellStyle name="Comma 4 4 3 10" xfId="8852" xr:uid="{7ED4D8FD-D8BA-478A-930D-501B6BDD229F}"/>
    <cellStyle name="Comma 4 4 3 11" xfId="17290" xr:uid="{FD87310A-F611-4480-927B-A43EDAC76976}"/>
    <cellStyle name="Comma 4 4 3 2" xfId="693" xr:uid="{00000000-0005-0000-0000-0000FC090000}"/>
    <cellStyle name="Comma 4 4 3 2 2" xfId="2964" xr:uid="{00000000-0005-0000-0000-0000FD090000}"/>
    <cellStyle name="Comma 4 4 3 2 2 2" xfId="7187" xr:uid="{00000000-0005-0000-0000-0000FE090000}"/>
    <cellStyle name="Comma 4 4 3 2 2 2 2" xfId="15629" xr:uid="{8FC005FB-9647-413D-9DFD-9013F1346807}"/>
    <cellStyle name="Comma 4 4 3 2 2 2 3" xfId="24066" xr:uid="{999A16BC-5A53-4AF6-8B97-D6F6298CBE8B}"/>
    <cellStyle name="Comma 4 4 3 2 2 3" xfId="11411" xr:uid="{495DB48A-F570-4932-9AE4-17F9A37ED47A}"/>
    <cellStyle name="Comma 4 4 3 2 2 4" xfId="19849" xr:uid="{751ED482-9495-4B26-B952-6D673D5B8E29}"/>
    <cellStyle name="Comma 4 4 3 2 3" xfId="5042" xr:uid="{00000000-0005-0000-0000-0000FF090000}"/>
    <cellStyle name="Comma 4 4 3 2 3 2" xfId="13484" xr:uid="{EF5C0879-2D84-4840-86B4-55339385B7C4}"/>
    <cellStyle name="Comma 4 4 3 2 3 3" xfId="21921" xr:uid="{D78E7BF3-B870-4989-A6F1-9C283284485C}"/>
    <cellStyle name="Comma 4 4 3 2 4" xfId="9266" xr:uid="{96100745-B719-4FE3-BD84-DB6ABE1744DA}"/>
    <cellStyle name="Comma 4 4 3 2 5" xfId="17704" xr:uid="{3E2ABD5C-6787-4E3D-B9E0-BE32D3A94E2D}"/>
    <cellStyle name="Comma 4 4 3 3" xfId="1146" xr:uid="{00000000-0005-0000-0000-0000000A0000}"/>
    <cellStyle name="Comma 4 4 3 3 2" xfId="3377" xr:uid="{00000000-0005-0000-0000-0000010A0000}"/>
    <cellStyle name="Comma 4 4 3 3 2 2" xfId="7600" xr:uid="{00000000-0005-0000-0000-0000020A0000}"/>
    <cellStyle name="Comma 4 4 3 3 2 2 2" xfId="16042" xr:uid="{A50229E2-0FC0-413B-AFC2-F5A01A904A72}"/>
    <cellStyle name="Comma 4 4 3 3 2 2 3" xfId="24479" xr:uid="{2EA004E7-11D8-4FB0-8AA6-5CB6DF7A261D}"/>
    <cellStyle name="Comma 4 4 3 3 2 3" xfId="11824" xr:uid="{B1924428-11CA-4943-A761-3328FEF1DEB1}"/>
    <cellStyle name="Comma 4 4 3 3 2 4" xfId="20262" xr:uid="{0F4DEC13-CF22-45E4-AAD0-87AD95B7017B}"/>
    <cellStyle name="Comma 4 4 3 3 3" xfId="5455" xr:uid="{00000000-0005-0000-0000-0000030A0000}"/>
    <cellStyle name="Comma 4 4 3 3 3 2" xfId="13897" xr:uid="{060000C1-391E-4A23-A505-4FF3C12CEEFE}"/>
    <cellStyle name="Comma 4 4 3 3 3 3" xfId="22334" xr:uid="{0E5DC29D-3A7D-4911-9D35-36F73C62D562}"/>
    <cellStyle name="Comma 4 4 3 3 4" xfId="9679" xr:uid="{2EB34F24-27DD-42F1-8277-C5EE880AB9C4}"/>
    <cellStyle name="Comma 4 4 3 3 5" xfId="18117" xr:uid="{E5608088-C2F4-4D7A-A509-0852A0F50200}"/>
    <cellStyle name="Comma 4 4 3 4" xfId="1560" xr:uid="{00000000-0005-0000-0000-0000040A0000}"/>
    <cellStyle name="Comma 4 4 3 4 2" xfId="3790" xr:uid="{00000000-0005-0000-0000-0000050A0000}"/>
    <cellStyle name="Comma 4 4 3 4 2 2" xfId="8013" xr:uid="{00000000-0005-0000-0000-0000060A0000}"/>
    <cellStyle name="Comma 4 4 3 4 2 2 2" xfId="16455" xr:uid="{CAE25ADC-5C3E-4A75-A9EF-2D59841B6A1E}"/>
    <cellStyle name="Comma 4 4 3 4 2 2 3" xfId="24892" xr:uid="{0ECD3FFF-7E6E-4D2B-B3A9-7F54AF36C5F0}"/>
    <cellStyle name="Comma 4 4 3 4 2 3" xfId="12237" xr:uid="{7A695370-F8EF-400F-A805-5DB38F596614}"/>
    <cellStyle name="Comma 4 4 3 4 2 4" xfId="20675" xr:uid="{3F2A676A-5DC6-449A-8075-BE5F99F6A707}"/>
    <cellStyle name="Comma 4 4 3 4 3" xfId="5868" xr:uid="{00000000-0005-0000-0000-0000070A0000}"/>
    <cellStyle name="Comma 4 4 3 4 3 2" xfId="14310" xr:uid="{09BC7C75-0E29-46DE-9D03-09A64A88DE53}"/>
    <cellStyle name="Comma 4 4 3 4 3 3" xfId="22747" xr:uid="{AA4F63A2-F3D5-4979-AC3F-B3B14D4ACA00}"/>
    <cellStyle name="Comma 4 4 3 4 4" xfId="10092" xr:uid="{21241F0C-7B00-4538-9A78-985262024E1E}"/>
    <cellStyle name="Comma 4 4 3 4 5" xfId="18530" xr:uid="{513337E9-9445-47C4-8B84-451E3607FF2C}"/>
    <cellStyle name="Comma 4 4 3 5" xfId="1974" xr:uid="{00000000-0005-0000-0000-0000080A0000}"/>
    <cellStyle name="Comma 4 4 3 5 2" xfId="4203" xr:uid="{00000000-0005-0000-0000-0000090A0000}"/>
    <cellStyle name="Comma 4 4 3 5 2 2" xfId="8426" xr:uid="{00000000-0005-0000-0000-00000A0A0000}"/>
    <cellStyle name="Comma 4 4 3 5 2 2 2" xfId="16868" xr:uid="{0AD063B4-F7E9-4E8E-84DA-F5A3350699F6}"/>
    <cellStyle name="Comma 4 4 3 5 2 2 3" xfId="25305" xr:uid="{71BB4FA3-CB7F-41C1-90A8-F1AE7A77C993}"/>
    <cellStyle name="Comma 4 4 3 5 2 3" xfId="12650" xr:uid="{06C43B37-A84E-4A9E-AD07-67DC0F8FFADC}"/>
    <cellStyle name="Comma 4 4 3 5 2 4" xfId="21088" xr:uid="{18BAC593-A25A-466E-9D7C-98D040EF379C}"/>
    <cellStyle name="Comma 4 4 3 5 3" xfId="6281" xr:uid="{00000000-0005-0000-0000-00000B0A0000}"/>
    <cellStyle name="Comma 4 4 3 5 3 2" xfId="14723" xr:uid="{9CC87A51-061D-4969-B4C8-064C2258E2E2}"/>
    <cellStyle name="Comma 4 4 3 5 3 3" xfId="23160" xr:uid="{9DF5689D-887F-4E4A-BA82-4D4206647D43}"/>
    <cellStyle name="Comma 4 4 3 5 4" xfId="10505" xr:uid="{71C03301-1B8D-4FB3-932C-EE87AEB65C2F}"/>
    <cellStyle name="Comma 4 4 3 5 5" xfId="18943" xr:uid="{F6956B6D-2EF5-4231-B835-D80F1A9BED37}"/>
    <cellStyle name="Comma 4 4 3 6" xfId="2409" xr:uid="{00000000-0005-0000-0000-00000C0A0000}"/>
    <cellStyle name="Comma 4 4 3 6 2" xfId="6694" xr:uid="{00000000-0005-0000-0000-00000D0A0000}"/>
    <cellStyle name="Comma 4 4 3 6 2 2" xfId="15136" xr:uid="{B35B2860-8BB4-4DA1-BD51-13E974523DDD}"/>
    <cellStyle name="Comma 4 4 3 6 2 3" xfId="23573" xr:uid="{DDE2C5C4-F5D4-43D0-BEDF-438EF26380E4}"/>
    <cellStyle name="Comma 4 4 3 6 3" xfId="10918" xr:uid="{A6F85E2F-466C-471F-BFED-8FADB4CA8123}"/>
    <cellStyle name="Comma 4 4 3 6 4" xfId="19356" xr:uid="{8336E8F0-CD15-4451-A3F0-DF66B348E43D}"/>
    <cellStyle name="Comma 4 4 3 7" xfId="2705" xr:uid="{00000000-0005-0000-0000-00000E0A0000}"/>
    <cellStyle name="Comma 4 4 3 8" xfId="2787" xr:uid="{00000000-0005-0000-0000-00000F0A0000}"/>
    <cellStyle name="Comma 4 4 3 8 2" xfId="7011" xr:uid="{00000000-0005-0000-0000-0000100A0000}"/>
    <cellStyle name="Comma 4 4 3 8 2 2" xfId="15453" xr:uid="{DDBB903D-1053-4ECC-A4D9-88D8DBDA1360}"/>
    <cellStyle name="Comma 4 4 3 8 2 3" xfId="23890" xr:uid="{BF2E8E80-10F6-48ED-ACC0-557F438368CE}"/>
    <cellStyle name="Comma 4 4 3 8 3" xfId="11235" xr:uid="{45A07F56-DE5E-4B16-8CA3-9E4F9D9EF0AF}"/>
    <cellStyle name="Comma 4 4 3 8 4" xfId="19673" xr:uid="{2CFB1028-7131-45F8-9FA7-6F290DEB5F02}"/>
    <cellStyle name="Comma 4 4 3 9" xfId="4628" xr:uid="{00000000-0005-0000-0000-0000110A0000}"/>
    <cellStyle name="Comma 4 4 3 9 2" xfId="13070" xr:uid="{EA0B1A5D-8716-4305-BB05-9002D32D46CD}"/>
    <cellStyle name="Comma 4 4 3 9 3" xfId="21507" xr:uid="{B0C8943C-C956-4A96-8B55-E8D083FD57E1}"/>
    <cellStyle name="Comma 4 4 4" xfId="690" xr:uid="{00000000-0005-0000-0000-0000120A0000}"/>
    <cellStyle name="Comma 4 4 4 2" xfId="2961" xr:uid="{00000000-0005-0000-0000-0000130A0000}"/>
    <cellStyle name="Comma 4 4 4 2 2" xfId="7184" xr:uid="{00000000-0005-0000-0000-0000140A0000}"/>
    <cellStyle name="Comma 4 4 4 2 2 2" xfId="15626" xr:uid="{8B52694B-5973-40EF-A820-6BA3BE1E190B}"/>
    <cellStyle name="Comma 4 4 4 2 2 3" xfId="24063" xr:uid="{2EF09021-C66D-466F-B32B-FA2A165A273C}"/>
    <cellStyle name="Comma 4 4 4 2 3" xfId="11408" xr:uid="{B71FF506-267C-4621-9DC8-1BE85F351311}"/>
    <cellStyle name="Comma 4 4 4 2 4" xfId="19846" xr:uid="{F41C3697-E442-43BA-836A-A1263430FE7F}"/>
    <cellStyle name="Comma 4 4 4 3" xfId="5039" xr:uid="{00000000-0005-0000-0000-0000150A0000}"/>
    <cellStyle name="Comma 4 4 4 3 2" xfId="13481" xr:uid="{7512C567-952E-4B01-BE6A-EA0F389D9EE4}"/>
    <cellStyle name="Comma 4 4 4 3 3" xfId="21918" xr:uid="{28BF53B9-E8B6-47DF-BE8F-329DF18D99F5}"/>
    <cellStyle name="Comma 4 4 4 4" xfId="9263" xr:uid="{1EBA8641-C0B1-47A6-81E2-64FCF05D398B}"/>
    <cellStyle name="Comma 4 4 4 5" xfId="17701" xr:uid="{296E3474-FCFD-4B52-8887-BFD1A15DA3AF}"/>
    <cellStyle name="Comma 4 4 5" xfId="1143" xr:uid="{00000000-0005-0000-0000-0000160A0000}"/>
    <cellStyle name="Comma 4 4 5 2" xfId="3374" xr:uid="{00000000-0005-0000-0000-0000170A0000}"/>
    <cellStyle name="Comma 4 4 5 2 2" xfId="7597" xr:uid="{00000000-0005-0000-0000-0000180A0000}"/>
    <cellStyle name="Comma 4 4 5 2 2 2" xfId="16039" xr:uid="{68443D5A-BBD0-4446-B9EE-DBD06DD357B2}"/>
    <cellStyle name="Comma 4 4 5 2 2 3" xfId="24476" xr:uid="{E1AC9BD1-85AF-42A2-94B9-EEA2A652863C}"/>
    <cellStyle name="Comma 4 4 5 2 3" xfId="11821" xr:uid="{D11AE687-E1E7-44EC-89EA-F36285E46E67}"/>
    <cellStyle name="Comma 4 4 5 2 4" xfId="20259" xr:uid="{D5DFFCB0-ABB5-473E-9312-F67A75E6A4AF}"/>
    <cellStyle name="Comma 4 4 5 3" xfId="5452" xr:uid="{00000000-0005-0000-0000-0000190A0000}"/>
    <cellStyle name="Comma 4 4 5 3 2" xfId="13894" xr:uid="{5F0D5ADC-AFF1-4B34-A1C6-CD8B6452C716}"/>
    <cellStyle name="Comma 4 4 5 3 3" xfId="22331" xr:uid="{3E3217BC-4C64-4436-896A-B06200C121B0}"/>
    <cellStyle name="Comma 4 4 5 4" xfId="9676" xr:uid="{5DCB6546-272E-4DDC-AADB-12E767C244E9}"/>
    <cellStyle name="Comma 4 4 5 5" xfId="18114" xr:uid="{5BBFEF59-AE7C-4405-B6A7-F1F5AD38A086}"/>
    <cellStyle name="Comma 4 4 6" xfId="1557" xr:uid="{00000000-0005-0000-0000-00001A0A0000}"/>
    <cellStyle name="Comma 4 4 6 2" xfId="3787" xr:uid="{00000000-0005-0000-0000-00001B0A0000}"/>
    <cellStyle name="Comma 4 4 6 2 2" xfId="8010" xr:uid="{00000000-0005-0000-0000-00001C0A0000}"/>
    <cellStyle name="Comma 4 4 6 2 2 2" xfId="16452" xr:uid="{E982178F-83DD-4F2E-B8B7-45377719231E}"/>
    <cellStyle name="Comma 4 4 6 2 2 3" xfId="24889" xr:uid="{EE5353C1-499A-46E5-9E0C-B82766E9D917}"/>
    <cellStyle name="Comma 4 4 6 2 3" xfId="12234" xr:uid="{2D46C7D1-603A-4436-BA81-233275887A65}"/>
    <cellStyle name="Comma 4 4 6 2 4" xfId="20672" xr:uid="{3ED5FBA9-B359-4568-83E1-23BBF8855B3B}"/>
    <cellStyle name="Comma 4 4 6 3" xfId="5865" xr:uid="{00000000-0005-0000-0000-00001D0A0000}"/>
    <cellStyle name="Comma 4 4 6 3 2" xfId="14307" xr:uid="{D9705BD4-F6B8-4689-AC02-7F047C4FF4C8}"/>
    <cellStyle name="Comma 4 4 6 3 3" xfId="22744" xr:uid="{5CBDE7DD-F173-4159-823C-39D26ED0E03E}"/>
    <cellStyle name="Comma 4 4 6 4" xfId="10089" xr:uid="{D47E99AE-178F-4EF1-AC67-E34C2E72F51D}"/>
    <cellStyle name="Comma 4 4 6 5" xfId="18527" xr:uid="{F8B1ACDF-F014-4E62-BC96-E9882165DAED}"/>
    <cellStyle name="Comma 4 4 7" xfId="1971" xr:uid="{00000000-0005-0000-0000-00001E0A0000}"/>
    <cellStyle name="Comma 4 4 7 2" xfId="4200" xr:uid="{00000000-0005-0000-0000-00001F0A0000}"/>
    <cellStyle name="Comma 4 4 7 2 2" xfId="8423" xr:uid="{00000000-0005-0000-0000-0000200A0000}"/>
    <cellStyle name="Comma 4 4 7 2 2 2" xfId="16865" xr:uid="{845E3315-2CA8-413A-A006-64ADE07365C0}"/>
    <cellStyle name="Comma 4 4 7 2 2 3" xfId="25302" xr:uid="{F150F92C-1A3C-4159-A2CB-73E71AF3016A}"/>
    <cellStyle name="Comma 4 4 7 2 3" xfId="12647" xr:uid="{FA38E6C5-3FDA-47B9-97CA-0266E0BC263C}"/>
    <cellStyle name="Comma 4 4 7 2 4" xfId="21085" xr:uid="{2E4BA12D-9A67-4620-B129-F3F7C7D480D6}"/>
    <cellStyle name="Comma 4 4 7 3" xfId="6278" xr:uid="{00000000-0005-0000-0000-0000210A0000}"/>
    <cellStyle name="Comma 4 4 7 3 2" xfId="14720" xr:uid="{1F19278D-D11D-4EF2-93B7-3C20D28725E9}"/>
    <cellStyle name="Comma 4 4 7 3 3" xfId="23157" xr:uid="{3A1C7319-FDFB-4B53-8EA5-1C6B13955E78}"/>
    <cellStyle name="Comma 4 4 7 4" xfId="10502" xr:uid="{AD523664-B2FE-496F-BDF6-58E22F3E01CA}"/>
    <cellStyle name="Comma 4 4 7 5" xfId="18940" xr:uid="{916BFF9B-ACCD-47FC-B90F-226C7608547A}"/>
    <cellStyle name="Comma 4 4 8" xfId="2406" xr:uid="{00000000-0005-0000-0000-0000220A0000}"/>
    <cellStyle name="Comma 4 4 8 2" xfId="6691" xr:uid="{00000000-0005-0000-0000-0000230A0000}"/>
    <cellStyle name="Comma 4 4 8 2 2" xfId="15133" xr:uid="{326B1732-07BE-4843-BB9A-295D9205ABE5}"/>
    <cellStyle name="Comma 4 4 8 2 3" xfId="23570" xr:uid="{4E3CFF8D-67E3-4948-88EC-137DB19D0E27}"/>
    <cellStyle name="Comma 4 4 8 3" xfId="10915" xr:uid="{E717ED6D-3B28-4EFB-87E2-16852B5809ED}"/>
    <cellStyle name="Comma 4 4 8 4" xfId="19353" xr:uid="{42556ED8-B87A-4EB7-A237-F3B9C394678D}"/>
    <cellStyle name="Comma 4 4 9" xfId="2702" xr:uid="{00000000-0005-0000-0000-0000240A0000}"/>
    <cellStyle name="Comma 4 5" xfId="157" xr:uid="{00000000-0005-0000-0000-0000250A0000}"/>
    <cellStyle name="Comma 4 5 10" xfId="4629" xr:uid="{00000000-0005-0000-0000-0000260A0000}"/>
    <cellStyle name="Comma 4 5 10 2" xfId="13071" xr:uid="{932405B3-89D4-4908-882E-DC192DD4769C}"/>
    <cellStyle name="Comma 4 5 10 3" xfId="21508" xr:uid="{75B5E41F-303D-466D-BC9A-65C920DE1433}"/>
    <cellStyle name="Comma 4 5 11" xfId="8853" xr:uid="{6CD57C44-8DDA-46FC-881C-91D085675B9C}"/>
    <cellStyle name="Comma 4 5 12" xfId="17291" xr:uid="{A0DE5C86-46E8-4FE5-AE1A-5890C18898DF}"/>
    <cellStyle name="Comma 4 5 2" xfId="158" xr:uid="{00000000-0005-0000-0000-0000270A0000}"/>
    <cellStyle name="Comma 4 5 2 10" xfId="8854" xr:uid="{2771D6EE-DCDE-4267-B727-83E360EAE0EF}"/>
    <cellStyle name="Comma 4 5 2 11" xfId="17292" xr:uid="{1A3D6434-5226-41F6-84F9-F25E37782952}"/>
    <cellStyle name="Comma 4 5 2 2" xfId="695" xr:uid="{00000000-0005-0000-0000-0000280A0000}"/>
    <cellStyle name="Comma 4 5 2 2 2" xfId="2966" xr:uid="{00000000-0005-0000-0000-0000290A0000}"/>
    <cellStyle name="Comma 4 5 2 2 2 2" xfId="7189" xr:uid="{00000000-0005-0000-0000-00002A0A0000}"/>
    <cellStyle name="Comma 4 5 2 2 2 2 2" xfId="15631" xr:uid="{F459BA3C-67E1-4141-A1C6-CAFA7F95585C}"/>
    <cellStyle name="Comma 4 5 2 2 2 2 3" xfId="24068" xr:uid="{055193B6-06A5-4B7F-A747-1BEA743BD572}"/>
    <cellStyle name="Comma 4 5 2 2 2 3" xfId="11413" xr:uid="{595CB16C-CCC2-492F-86CD-BE650565DF83}"/>
    <cellStyle name="Comma 4 5 2 2 2 4" xfId="19851" xr:uid="{DABF68F7-0702-4BE3-8322-4C710FF47C33}"/>
    <cellStyle name="Comma 4 5 2 2 3" xfId="5044" xr:uid="{00000000-0005-0000-0000-00002B0A0000}"/>
    <cellStyle name="Comma 4 5 2 2 3 2" xfId="13486" xr:uid="{057F61F9-9BE1-4EE0-B441-4BF5CCEFFB98}"/>
    <cellStyle name="Comma 4 5 2 2 3 3" xfId="21923" xr:uid="{A4E33C5B-3DF6-4E0A-88ED-A62D960B7B75}"/>
    <cellStyle name="Comma 4 5 2 2 4" xfId="9268" xr:uid="{FB15D802-B9A3-44FF-BE51-CDB3D2B9E2C3}"/>
    <cellStyle name="Comma 4 5 2 2 5" xfId="17706" xr:uid="{E46AD9C4-B680-46C3-8AD9-516FF510A841}"/>
    <cellStyle name="Comma 4 5 2 3" xfId="1148" xr:uid="{00000000-0005-0000-0000-00002C0A0000}"/>
    <cellStyle name="Comma 4 5 2 3 2" xfId="3379" xr:uid="{00000000-0005-0000-0000-00002D0A0000}"/>
    <cellStyle name="Comma 4 5 2 3 2 2" xfId="7602" xr:uid="{00000000-0005-0000-0000-00002E0A0000}"/>
    <cellStyle name="Comma 4 5 2 3 2 2 2" xfId="16044" xr:uid="{396684A4-9B41-4BB9-928E-3D7B12ABFE12}"/>
    <cellStyle name="Comma 4 5 2 3 2 2 3" xfId="24481" xr:uid="{9D35F6F2-2D88-43FC-9297-FAA76F8A4B40}"/>
    <cellStyle name="Comma 4 5 2 3 2 3" xfId="11826" xr:uid="{AC7B7E3C-C0AC-4925-A56F-5698CE58FEF2}"/>
    <cellStyle name="Comma 4 5 2 3 2 4" xfId="20264" xr:uid="{BA61F164-30EC-4861-A7D0-979C9D24C365}"/>
    <cellStyle name="Comma 4 5 2 3 3" xfId="5457" xr:uid="{00000000-0005-0000-0000-00002F0A0000}"/>
    <cellStyle name="Comma 4 5 2 3 3 2" xfId="13899" xr:uid="{35591912-29F0-4326-9380-A290C7C54E38}"/>
    <cellStyle name="Comma 4 5 2 3 3 3" xfId="22336" xr:uid="{6E9ED9AB-0633-461D-8406-248CD181D5EB}"/>
    <cellStyle name="Comma 4 5 2 3 4" xfId="9681" xr:uid="{459C0663-B8D9-455C-AAE9-43244C535753}"/>
    <cellStyle name="Comma 4 5 2 3 5" xfId="18119" xr:uid="{3D44176B-549F-4948-AD00-06BB45605DA5}"/>
    <cellStyle name="Comma 4 5 2 4" xfId="1562" xr:uid="{00000000-0005-0000-0000-0000300A0000}"/>
    <cellStyle name="Comma 4 5 2 4 2" xfId="3792" xr:uid="{00000000-0005-0000-0000-0000310A0000}"/>
    <cellStyle name="Comma 4 5 2 4 2 2" xfId="8015" xr:uid="{00000000-0005-0000-0000-0000320A0000}"/>
    <cellStyle name="Comma 4 5 2 4 2 2 2" xfId="16457" xr:uid="{30DB8922-1B06-40F0-992D-C4B2849C3110}"/>
    <cellStyle name="Comma 4 5 2 4 2 2 3" xfId="24894" xr:uid="{3C563A8A-AC64-4987-9472-FC87D945EF60}"/>
    <cellStyle name="Comma 4 5 2 4 2 3" xfId="12239" xr:uid="{885E818C-9155-46CB-8EAB-E114623425D0}"/>
    <cellStyle name="Comma 4 5 2 4 2 4" xfId="20677" xr:uid="{6DE5CE62-259D-40A2-9CB0-383E12133FD0}"/>
    <cellStyle name="Comma 4 5 2 4 3" xfId="5870" xr:uid="{00000000-0005-0000-0000-0000330A0000}"/>
    <cellStyle name="Comma 4 5 2 4 3 2" xfId="14312" xr:uid="{0D0B4F1A-76D9-4DDC-B1C6-9AC3DB1C623F}"/>
    <cellStyle name="Comma 4 5 2 4 3 3" xfId="22749" xr:uid="{CA87FD8A-EFF1-43E7-A3EE-D3D729EA0508}"/>
    <cellStyle name="Comma 4 5 2 4 4" xfId="10094" xr:uid="{AAA42B6F-A25C-4471-952A-7E9F7C7E8344}"/>
    <cellStyle name="Comma 4 5 2 4 5" xfId="18532" xr:uid="{5711B85A-9875-4370-AE6E-2B4235F87DDA}"/>
    <cellStyle name="Comma 4 5 2 5" xfId="1976" xr:uid="{00000000-0005-0000-0000-0000340A0000}"/>
    <cellStyle name="Comma 4 5 2 5 2" xfId="4205" xr:uid="{00000000-0005-0000-0000-0000350A0000}"/>
    <cellStyle name="Comma 4 5 2 5 2 2" xfId="8428" xr:uid="{00000000-0005-0000-0000-0000360A0000}"/>
    <cellStyle name="Comma 4 5 2 5 2 2 2" xfId="16870" xr:uid="{D321D63C-EF1E-4FA1-904F-52712ECA19F3}"/>
    <cellStyle name="Comma 4 5 2 5 2 2 3" xfId="25307" xr:uid="{8B75E6D2-4294-4261-A26A-F112AC1A0DE1}"/>
    <cellStyle name="Comma 4 5 2 5 2 3" xfId="12652" xr:uid="{52156303-07DB-465B-9FF6-BD004B1C4D13}"/>
    <cellStyle name="Comma 4 5 2 5 2 4" xfId="21090" xr:uid="{1B006041-9099-4881-9719-EC212DB7D838}"/>
    <cellStyle name="Comma 4 5 2 5 3" xfId="6283" xr:uid="{00000000-0005-0000-0000-0000370A0000}"/>
    <cellStyle name="Comma 4 5 2 5 3 2" xfId="14725" xr:uid="{22B44307-33B8-4B96-A464-FF8BA9ED22DC}"/>
    <cellStyle name="Comma 4 5 2 5 3 3" xfId="23162" xr:uid="{E7912D4E-0F42-4C46-A8D7-D40AFAF82A32}"/>
    <cellStyle name="Comma 4 5 2 5 4" xfId="10507" xr:uid="{B201A5F3-5586-4978-9AE4-419E8B5505FA}"/>
    <cellStyle name="Comma 4 5 2 5 5" xfId="18945" xr:uid="{FFE5B8EA-D55E-413D-B839-35D159FD4E82}"/>
    <cellStyle name="Comma 4 5 2 6" xfId="2411" xr:uid="{00000000-0005-0000-0000-0000380A0000}"/>
    <cellStyle name="Comma 4 5 2 6 2" xfId="6696" xr:uid="{00000000-0005-0000-0000-0000390A0000}"/>
    <cellStyle name="Comma 4 5 2 6 2 2" xfId="15138" xr:uid="{652AA226-6623-4D11-BA7C-068E71CCFC21}"/>
    <cellStyle name="Comma 4 5 2 6 2 3" xfId="23575" xr:uid="{A2CF4FE5-FC8F-4154-ABD1-B961E694A4E0}"/>
    <cellStyle name="Comma 4 5 2 6 3" xfId="10920" xr:uid="{E689E59C-E3E9-4A9B-9669-C9394A252157}"/>
    <cellStyle name="Comma 4 5 2 6 4" xfId="19358" xr:uid="{CD9CCC14-2318-42B0-AD15-E5512A958677}"/>
    <cellStyle name="Comma 4 5 2 7" xfId="2707" xr:uid="{00000000-0005-0000-0000-00003A0A0000}"/>
    <cellStyle name="Comma 4 5 2 8" xfId="2789" xr:uid="{00000000-0005-0000-0000-00003B0A0000}"/>
    <cellStyle name="Comma 4 5 2 8 2" xfId="7013" xr:uid="{00000000-0005-0000-0000-00003C0A0000}"/>
    <cellStyle name="Comma 4 5 2 8 2 2" xfId="15455" xr:uid="{5EB73FA1-BB10-40A6-B15B-DAC3EF060F87}"/>
    <cellStyle name="Comma 4 5 2 8 2 3" xfId="23892" xr:uid="{97C5B3CD-650B-4F1F-89E8-5ED2A21167BC}"/>
    <cellStyle name="Comma 4 5 2 8 3" xfId="11237" xr:uid="{6DEA7B2D-1042-4BFD-9110-7B3C3EC8EF98}"/>
    <cellStyle name="Comma 4 5 2 8 4" xfId="19675" xr:uid="{512588AD-EF79-47EF-85B4-C45F26FAA1E6}"/>
    <cellStyle name="Comma 4 5 2 9" xfId="4630" xr:uid="{00000000-0005-0000-0000-00003D0A0000}"/>
    <cellStyle name="Comma 4 5 2 9 2" xfId="13072" xr:uid="{C8144346-012D-4283-BEA3-98BBB7B5EA4B}"/>
    <cellStyle name="Comma 4 5 2 9 3" xfId="21509" xr:uid="{C8D5B297-156C-4562-89CD-4F2D3AC2C532}"/>
    <cellStyle name="Comma 4 5 3" xfId="694" xr:uid="{00000000-0005-0000-0000-00003E0A0000}"/>
    <cellStyle name="Comma 4 5 3 2" xfId="2965" xr:uid="{00000000-0005-0000-0000-00003F0A0000}"/>
    <cellStyle name="Comma 4 5 3 2 2" xfId="7188" xr:uid="{00000000-0005-0000-0000-0000400A0000}"/>
    <cellStyle name="Comma 4 5 3 2 2 2" xfId="15630" xr:uid="{28920D5B-E343-4CD9-8A5A-844969866E46}"/>
    <cellStyle name="Comma 4 5 3 2 2 3" xfId="24067" xr:uid="{86DAED7B-B962-4E13-BF34-66186EAE913A}"/>
    <cellStyle name="Comma 4 5 3 2 3" xfId="11412" xr:uid="{E08AEF80-DE90-48F8-AFC1-6D52990CB770}"/>
    <cellStyle name="Comma 4 5 3 2 4" xfId="19850" xr:uid="{E73FE7AF-6C36-4B8A-A339-FF534A92248C}"/>
    <cellStyle name="Comma 4 5 3 3" xfId="5043" xr:uid="{00000000-0005-0000-0000-0000410A0000}"/>
    <cellStyle name="Comma 4 5 3 3 2" xfId="13485" xr:uid="{167AEC7A-D7B4-4A96-817A-396914616619}"/>
    <cellStyle name="Comma 4 5 3 3 3" xfId="21922" xr:uid="{A431D153-7570-4625-A782-231ED355D7B4}"/>
    <cellStyle name="Comma 4 5 3 4" xfId="9267" xr:uid="{53B9FCBA-6330-4E03-84C3-AE88AF8BEFF8}"/>
    <cellStyle name="Comma 4 5 3 5" xfId="17705" xr:uid="{389C2C04-4A50-42A4-B3E4-D01B9848246B}"/>
    <cellStyle name="Comma 4 5 4" xfId="1147" xr:uid="{00000000-0005-0000-0000-0000420A0000}"/>
    <cellStyle name="Comma 4 5 4 2" xfId="3378" xr:uid="{00000000-0005-0000-0000-0000430A0000}"/>
    <cellStyle name="Comma 4 5 4 2 2" xfId="7601" xr:uid="{00000000-0005-0000-0000-0000440A0000}"/>
    <cellStyle name="Comma 4 5 4 2 2 2" xfId="16043" xr:uid="{793A6894-9DF9-4368-B3FE-D149710FF7EB}"/>
    <cellStyle name="Comma 4 5 4 2 2 3" xfId="24480" xr:uid="{70AA67C9-9D7C-44E8-AAEB-1832BD9636D1}"/>
    <cellStyle name="Comma 4 5 4 2 3" xfId="11825" xr:uid="{C0A3E538-D2AE-4694-9035-94C8E7EFA3FB}"/>
    <cellStyle name="Comma 4 5 4 2 4" xfId="20263" xr:uid="{46A31DEA-3957-4ACE-BF20-69307057CF6E}"/>
    <cellStyle name="Comma 4 5 4 3" xfId="5456" xr:uid="{00000000-0005-0000-0000-0000450A0000}"/>
    <cellStyle name="Comma 4 5 4 3 2" xfId="13898" xr:uid="{4380B1D2-83B7-4C1A-9BB9-CB0727D5D0E3}"/>
    <cellStyle name="Comma 4 5 4 3 3" xfId="22335" xr:uid="{FFE00DC1-7199-480C-BF8C-2FF8DE635E03}"/>
    <cellStyle name="Comma 4 5 4 4" xfId="9680" xr:uid="{A325264C-2127-498F-AB7D-C0FB81DF322C}"/>
    <cellStyle name="Comma 4 5 4 5" xfId="18118" xr:uid="{82A9937D-13CE-4DA0-AF63-B519A2423B68}"/>
    <cellStyle name="Comma 4 5 5" xfId="1561" xr:uid="{00000000-0005-0000-0000-0000460A0000}"/>
    <cellStyle name="Comma 4 5 5 2" xfId="3791" xr:uid="{00000000-0005-0000-0000-0000470A0000}"/>
    <cellStyle name="Comma 4 5 5 2 2" xfId="8014" xr:uid="{00000000-0005-0000-0000-0000480A0000}"/>
    <cellStyle name="Comma 4 5 5 2 2 2" xfId="16456" xr:uid="{214CFC86-A306-4CCD-821E-97636EC0497C}"/>
    <cellStyle name="Comma 4 5 5 2 2 3" xfId="24893" xr:uid="{65CD928C-C7EE-4D50-B5A6-AD00680E41B7}"/>
    <cellStyle name="Comma 4 5 5 2 3" xfId="12238" xr:uid="{57BAE379-725C-46AA-89FC-9026D9896DA9}"/>
    <cellStyle name="Comma 4 5 5 2 4" xfId="20676" xr:uid="{6EBAE645-5E6B-44CF-9F27-1035380459D3}"/>
    <cellStyle name="Comma 4 5 5 3" xfId="5869" xr:uid="{00000000-0005-0000-0000-0000490A0000}"/>
    <cellStyle name="Comma 4 5 5 3 2" xfId="14311" xr:uid="{5F34CEA1-1963-4A9F-BBCD-5E3FF1978BC4}"/>
    <cellStyle name="Comma 4 5 5 3 3" xfId="22748" xr:uid="{2823F963-8F63-4CCB-9828-7CA87E11B417}"/>
    <cellStyle name="Comma 4 5 5 4" xfId="10093" xr:uid="{B025989D-3BD7-4D89-B1AA-6810166F2D8A}"/>
    <cellStyle name="Comma 4 5 5 5" xfId="18531" xr:uid="{0B2272A5-D1E3-469A-89ED-64D295A5192B}"/>
    <cellStyle name="Comma 4 5 6" xfId="1975" xr:uid="{00000000-0005-0000-0000-00004A0A0000}"/>
    <cellStyle name="Comma 4 5 6 2" xfId="4204" xr:uid="{00000000-0005-0000-0000-00004B0A0000}"/>
    <cellStyle name="Comma 4 5 6 2 2" xfId="8427" xr:uid="{00000000-0005-0000-0000-00004C0A0000}"/>
    <cellStyle name="Comma 4 5 6 2 2 2" xfId="16869" xr:uid="{67829F76-D9F9-460F-AED1-5FE6EEC2C261}"/>
    <cellStyle name="Comma 4 5 6 2 2 3" xfId="25306" xr:uid="{C1E0B215-E209-4559-A843-4E9542983114}"/>
    <cellStyle name="Comma 4 5 6 2 3" xfId="12651" xr:uid="{788627C1-E8A6-46D6-AECE-48ECE4EEB2CA}"/>
    <cellStyle name="Comma 4 5 6 2 4" xfId="21089" xr:uid="{BBA0C2EA-0BF7-448A-ACCF-BA41BA8E7975}"/>
    <cellStyle name="Comma 4 5 6 3" xfId="6282" xr:uid="{00000000-0005-0000-0000-00004D0A0000}"/>
    <cellStyle name="Comma 4 5 6 3 2" xfId="14724" xr:uid="{83A6DC8F-FB45-4311-942D-6AD25D01F595}"/>
    <cellStyle name="Comma 4 5 6 3 3" xfId="23161" xr:uid="{4F8D93C9-5D3F-4D52-807E-3F0075BFBBAE}"/>
    <cellStyle name="Comma 4 5 6 4" xfId="10506" xr:uid="{233D7A5D-1963-4D92-93D0-CFB653BE5A91}"/>
    <cellStyle name="Comma 4 5 6 5" xfId="18944" xr:uid="{2775EC39-49C3-44E1-B59C-F7016113DE0A}"/>
    <cellStyle name="Comma 4 5 7" xfId="2410" xr:uid="{00000000-0005-0000-0000-00004E0A0000}"/>
    <cellStyle name="Comma 4 5 7 2" xfId="6695" xr:uid="{00000000-0005-0000-0000-00004F0A0000}"/>
    <cellStyle name="Comma 4 5 7 2 2" xfId="15137" xr:uid="{F060C64E-2E91-4F8D-9B34-C11926E67D04}"/>
    <cellStyle name="Comma 4 5 7 2 3" xfId="23574" xr:uid="{41C7815A-181F-4FC2-AF3F-01B0A8F95B10}"/>
    <cellStyle name="Comma 4 5 7 3" xfId="10919" xr:uid="{8D74C1DE-5D75-48AA-A975-4388AD6DDFBB}"/>
    <cellStyle name="Comma 4 5 7 4" xfId="19357" xr:uid="{FFB90A7B-57AC-406F-8375-2D509372FE79}"/>
    <cellStyle name="Comma 4 5 8" xfId="2706" xr:uid="{00000000-0005-0000-0000-0000500A0000}"/>
    <cellStyle name="Comma 4 5 9" xfId="2788" xr:uid="{00000000-0005-0000-0000-0000510A0000}"/>
    <cellStyle name="Comma 4 5 9 2" xfId="7012" xr:uid="{00000000-0005-0000-0000-0000520A0000}"/>
    <cellStyle name="Comma 4 5 9 2 2" xfId="15454" xr:uid="{CC1F2AAF-30C1-4EEA-88C3-44578B1B0D6D}"/>
    <cellStyle name="Comma 4 5 9 2 3" xfId="23891" xr:uid="{E7F0F152-5EC3-4B07-8E75-1DDEE19D3E5E}"/>
    <cellStyle name="Comma 4 5 9 3" xfId="11236" xr:uid="{2F3C205C-3B51-431F-8931-E3D33F7BDF52}"/>
    <cellStyle name="Comma 4 5 9 4" xfId="19674" xr:uid="{78743CEE-F341-43A7-9CFC-BA6C7959BEDB}"/>
    <cellStyle name="Comma 4 6" xfId="159" xr:uid="{00000000-0005-0000-0000-0000530A0000}"/>
    <cellStyle name="Comma 4 6 10" xfId="8855" xr:uid="{1723E209-91FE-45E3-81F8-6450FDE3C161}"/>
    <cellStyle name="Comma 4 6 11" xfId="17293" xr:uid="{421309E3-DE29-4448-A65D-6D50F61DD04B}"/>
    <cellStyle name="Comma 4 6 2" xfId="696" xr:uid="{00000000-0005-0000-0000-0000540A0000}"/>
    <cellStyle name="Comma 4 6 2 2" xfId="2967" xr:uid="{00000000-0005-0000-0000-0000550A0000}"/>
    <cellStyle name="Comma 4 6 2 2 2" xfId="7190" xr:uid="{00000000-0005-0000-0000-0000560A0000}"/>
    <cellStyle name="Comma 4 6 2 2 2 2" xfId="15632" xr:uid="{375A8D92-B084-4DF0-B8C9-C083DCF4A015}"/>
    <cellStyle name="Comma 4 6 2 2 2 3" xfId="24069" xr:uid="{54A5F633-A645-4352-9DF2-8CF1A08A7CDB}"/>
    <cellStyle name="Comma 4 6 2 2 3" xfId="11414" xr:uid="{F526738D-BF07-4C61-BB5E-3D57739B3B9E}"/>
    <cellStyle name="Comma 4 6 2 2 4" xfId="19852" xr:uid="{5C83FE59-8016-4ED0-B520-45E480022D0E}"/>
    <cellStyle name="Comma 4 6 2 3" xfId="5045" xr:uid="{00000000-0005-0000-0000-0000570A0000}"/>
    <cellStyle name="Comma 4 6 2 3 2" xfId="13487" xr:uid="{A3012E0E-EDC3-4A09-AF7D-8E3B54B739A0}"/>
    <cellStyle name="Comma 4 6 2 3 3" xfId="21924" xr:uid="{6F959743-B8A1-46A9-8AB5-BA075856288C}"/>
    <cellStyle name="Comma 4 6 2 4" xfId="9269" xr:uid="{CD7ED27B-F6A7-4EAE-82EF-A61A8976773D}"/>
    <cellStyle name="Comma 4 6 2 5" xfId="17707" xr:uid="{999988CB-EBE5-444F-8C42-0D53FAE3E6AE}"/>
    <cellStyle name="Comma 4 6 3" xfId="1149" xr:uid="{00000000-0005-0000-0000-0000580A0000}"/>
    <cellStyle name="Comma 4 6 3 2" xfId="3380" xr:uid="{00000000-0005-0000-0000-0000590A0000}"/>
    <cellStyle name="Comma 4 6 3 2 2" xfId="7603" xr:uid="{00000000-0005-0000-0000-00005A0A0000}"/>
    <cellStyle name="Comma 4 6 3 2 2 2" xfId="16045" xr:uid="{E42AC7D9-4D8B-40D6-BA38-CDE51907D136}"/>
    <cellStyle name="Comma 4 6 3 2 2 3" xfId="24482" xr:uid="{57295C80-92AA-4A0F-9DDD-01DC1B81E602}"/>
    <cellStyle name="Comma 4 6 3 2 3" xfId="11827" xr:uid="{846563C9-254F-420C-8DB3-32A287DA9F8B}"/>
    <cellStyle name="Comma 4 6 3 2 4" xfId="20265" xr:uid="{32FD3700-D1E8-47F7-8F4A-BEB135C62BB1}"/>
    <cellStyle name="Comma 4 6 3 3" xfId="5458" xr:uid="{00000000-0005-0000-0000-00005B0A0000}"/>
    <cellStyle name="Comma 4 6 3 3 2" xfId="13900" xr:uid="{002E93EA-4F0E-4D9A-95A9-CB4F9E72EDED}"/>
    <cellStyle name="Comma 4 6 3 3 3" xfId="22337" xr:uid="{4571C1A1-BE6E-48BE-8E0F-D28AE74AEDA7}"/>
    <cellStyle name="Comma 4 6 3 4" xfId="9682" xr:uid="{D53C0FE6-C271-4525-BDDB-554A6C820825}"/>
    <cellStyle name="Comma 4 6 3 5" xfId="18120" xr:uid="{E35ED8C2-0616-4631-94D8-0D451ADEC7EF}"/>
    <cellStyle name="Comma 4 6 4" xfId="1563" xr:uid="{00000000-0005-0000-0000-00005C0A0000}"/>
    <cellStyle name="Comma 4 6 4 2" xfId="3793" xr:uid="{00000000-0005-0000-0000-00005D0A0000}"/>
    <cellStyle name="Comma 4 6 4 2 2" xfId="8016" xr:uid="{00000000-0005-0000-0000-00005E0A0000}"/>
    <cellStyle name="Comma 4 6 4 2 2 2" xfId="16458" xr:uid="{AB8589B9-C466-4D01-AA71-5C73CC906DEA}"/>
    <cellStyle name="Comma 4 6 4 2 2 3" xfId="24895" xr:uid="{6EC4ED9A-D99F-4F7A-919C-67EE0C588597}"/>
    <cellStyle name="Comma 4 6 4 2 3" xfId="12240" xr:uid="{D85FEA23-C3AD-473B-B9F8-5D9A452AF119}"/>
    <cellStyle name="Comma 4 6 4 2 4" xfId="20678" xr:uid="{50B9AC5C-126B-47FD-AEA6-402E5EEF9891}"/>
    <cellStyle name="Comma 4 6 4 3" xfId="5871" xr:uid="{00000000-0005-0000-0000-00005F0A0000}"/>
    <cellStyle name="Comma 4 6 4 3 2" xfId="14313" xr:uid="{5E10FE1F-804A-45A1-9571-4B88BC9AA5A7}"/>
    <cellStyle name="Comma 4 6 4 3 3" xfId="22750" xr:uid="{2B35AAE1-1AC9-4152-B032-59116C1877CB}"/>
    <cellStyle name="Comma 4 6 4 4" xfId="10095" xr:uid="{70906921-3169-421F-8CBF-129F1B8D06D9}"/>
    <cellStyle name="Comma 4 6 4 5" xfId="18533" xr:uid="{96A60608-C198-4FAB-AADC-61E8283CA1E1}"/>
    <cellStyle name="Comma 4 6 5" xfId="1977" xr:uid="{00000000-0005-0000-0000-0000600A0000}"/>
    <cellStyle name="Comma 4 6 5 2" xfId="4206" xr:uid="{00000000-0005-0000-0000-0000610A0000}"/>
    <cellStyle name="Comma 4 6 5 2 2" xfId="8429" xr:uid="{00000000-0005-0000-0000-0000620A0000}"/>
    <cellStyle name="Comma 4 6 5 2 2 2" xfId="16871" xr:uid="{DB81E8DF-2084-4A99-BCD8-C937AB7177D8}"/>
    <cellStyle name="Comma 4 6 5 2 2 3" xfId="25308" xr:uid="{4AAFC15F-2347-4558-BC1D-4BC4C9FAE270}"/>
    <cellStyle name="Comma 4 6 5 2 3" xfId="12653" xr:uid="{E3E52327-59BE-4535-83BC-193250580343}"/>
    <cellStyle name="Comma 4 6 5 2 4" xfId="21091" xr:uid="{FB847927-CB38-47CE-A7E4-1E8A28208F1F}"/>
    <cellStyle name="Comma 4 6 5 3" xfId="6284" xr:uid="{00000000-0005-0000-0000-0000630A0000}"/>
    <cellStyle name="Comma 4 6 5 3 2" xfId="14726" xr:uid="{5DBE2C66-9789-488E-84F5-3A9DDC25A628}"/>
    <cellStyle name="Comma 4 6 5 3 3" xfId="23163" xr:uid="{5BD71D6B-F9A3-45EB-ADD3-E0C5C265FE67}"/>
    <cellStyle name="Comma 4 6 5 4" xfId="10508" xr:uid="{B3DB4913-DAB9-4BDC-8DD2-521DDCB3C34A}"/>
    <cellStyle name="Comma 4 6 5 5" xfId="18946" xr:uid="{4A938C3A-C90E-4D14-81E1-931198EC963A}"/>
    <cellStyle name="Comma 4 6 6" xfId="2412" xr:uid="{00000000-0005-0000-0000-0000640A0000}"/>
    <cellStyle name="Comma 4 6 6 2" xfId="6697" xr:uid="{00000000-0005-0000-0000-0000650A0000}"/>
    <cellStyle name="Comma 4 6 6 2 2" xfId="15139" xr:uid="{C1DD40C9-3CAF-47E8-9599-DC0A5BFFBBED}"/>
    <cellStyle name="Comma 4 6 6 2 3" xfId="23576" xr:uid="{806C2526-9C93-4728-9306-3BE112E5C9FD}"/>
    <cellStyle name="Comma 4 6 6 3" xfId="10921" xr:uid="{5FFE79D4-AA19-4CB7-A413-4F4A9878FCAB}"/>
    <cellStyle name="Comma 4 6 6 4" xfId="19359" xr:uid="{BBB5D379-877A-4DBC-BA70-3B617D6A14C7}"/>
    <cellStyle name="Comma 4 6 7" xfId="2708" xr:uid="{00000000-0005-0000-0000-0000660A0000}"/>
    <cellStyle name="Comma 4 6 8" xfId="2790" xr:uid="{00000000-0005-0000-0000-0000670A0000}"/>
    <cellStyle name="Comma 4 6 8 2" xfId="7014" xr:uid="{00000000-0005-0000-0000-0000680A0000}"/>
    <cellStyle name="Comma 4 6 8 2 2" xfId="15456" xr:uid="{21A5A327-6AC1-4E43-84B1-25A74009C30A}"/>
    <cellStyle name="Comma 4 6 8 2 3" xfId="23893" xr:uid="{9F8493B3-C6B7-444B-8A36-CAFBAF3B46EF}"/>
    <cellStyle name="Comma 4 6 8 3" xfId="11238" xr:uid="{571C41C1-681B-4848-A1FC-3A95EC518F92}"/>
    <cellStyle name="Comma 4 6 8 4" xfId="19676" xr:uid="{DD7CF506-9759-4A7A-B4F6-D4883A6BD6AD}"/>
    <cellStyle name="Comma 4 6 9" xfId="4631" xr:uid="{00000000-0005-0000-0000-0000690A0000}"/>
    <cellStyle name="Comma 4 6 9 2" xfId="13073" xr:uid="{61681C1E-0330-4B32-88B6-38ED81D8D478}"/>
    <cellStyle name="Comma 4 6 9 3" xfId="21510" xr:uid="{E177783D-DA48-4880-B63C-A6137ACF12BD}"/>
    <cellStyle name="Comma 4 7" xfId="160" xr:uid="{00000000-0005-0000-0000-00006A0A0000}"/>
    <cellStyle name="Comma 4 7 10" xfId="8856" xr:uid="{1FD7F58D-5822-42D5-BA3C-B8750F42838A}"/>
    <cellStyle name="Comma 4 7 11" xfId="17294" xr:uid="{0EE94A83-9A84-4ADC-B667-A5DBBB88AE8C}"/>
    <cellStyle name="Comma 4 7 2" xfId="697" xr:uid="{00000000-0005-0000-0000-00006B0A0000}"/>
    <cellStyle name="Comma 4 7 2 2" xfId="2968" xr:uid="{00000000-0005-0000-0000-00006C0A0000}"/>
    <cellStyle name="Comma 4 7 2 2 2" xfId="7191" xr:uid="{00000000-0005-0000-0000-00006D0A0000}"/>
    <cellStyle name="Comma 4 7 2 2 2 2" xfId="15633" xr:uid="{DEB625F8-CF89-4341-ACBA-CBFD00990495}"/>
    <cellStyle name="Comma 4 7 2 2 2 3" xfId="24070" xr:uid="{9D0BEAC6-0609-4352-B568-AA43168935D0}"/>
    <cellStyle name="Comma 4 7 2 2 3" xfId="11415" xr:uid="{B525F52C-9475-45D0-AB7E-78C5B16033A8}"/>
    <cellStyle name="Comma 4 7 2 2 4" xfId="19853" xr:uid="{CE0DB54A-223B-4586-A64E-EA6DC08F7AAF}"/>
    <cellStyle name="Comma 4 7 2 3" xfId="5046" xr:uid="{00000000-0005-0000-0000-00006E0A0000}"/>
    <cellStyle name="Comma 4 7 2 3 2" xfId="13488" xr:uid="{BDA4991B-A1D9-44B2-A055-59154F9D9521}"/>
    <cellStyle name="Comma 4 7 2 3 3" xfId="21925" xr:uid="{5B5F7484-E667-4806-A6A6-07051B3D27D7}"/>
    <cellStyle name="Comma 4 7 2 4" xfId="9270" xr:uid="{6F797BED-A6FC-4EEA-B337-B1CC6CE9967D}"/>
    <cellStyle name="Comma 4 7 2 5" xfId="17708" xr:uid="{41A7251C-5784-4DDB-8290-ADD978C47827}"/>
    <cellStyle name="Comma 4 7 3" xfId="1150" xr:uid="{00000000-0005-0000-0000-00006F0A0000}"/>
    <cellStyle name="Comma 4 7 3 2" xfId="3381" xr:uid="{00000000-0005-0000-0000-0000700A0000}"/>
    <cellStyle name="Comma 4 7 3 2 2" xfId="7604" xr:uid="{00000000-0005-0000-0000-0000710A0000}"/>
    <cellStyle name="Comma 4 7 3 2 2 2" xfId="16046" xr:uid="{46637D30-D399-4B1B-B2D9-18710E2542A5}"/>
    <cellStyle name="Comma 4 7 3 2 2 3" xfId="24483" xr:uid="{44F18FC6-5AC4-42CE-8CB8-3627D38279E6}"/>
    <cellStyle name="Comma 4 7 3 2 3" xfId="11828" xr:uid="{BC732DAD-C6B8-4C23-ABBE-E29BABB309F1}"/>
    <cellStyle name="Comma 4 7 3 2 4" xfId="20266" xr:uid="{38E9C0DC-CA72-40EA-824C-3DD88FD33A83}"/>
    <cellStyle name="Comma 4 7 3 3" xfId="5459" xr:uid="{00000000-0005-0000-0000-0000720A0000}"/>
    <cellStyle name="Comma 4 7 3 3 2" xfId="13901" xr:uid="{7BF0570A-4065-4922-A9F8-BA0BC920330C}"/>
    <cellStyle name="Comma 4 7 3 3 3" xfId="22338" xr:uid="{F1E85D67-4E20-4C0D-9361-4696C8227E05}"/>
    <cellStyle name="Comma 4 7 3 4" xfId="9683" xr:uid="{42B2CEA9-8F93-4863-B44B-F1FADB4EBE7E}"/>
    <cellStyle name="Comma 4 7 3 5" xfId="18121" xr:uid="{B583E2E3-1F78-4D16-BE88-54E62BE9BEF8}"/>
    <cellStyle name="Comma 4 7 4" xfId="1564" xr:uid="{00000000-0005-0000-0000-0000730A0000}"/>
    <cellStyle name="Comma 4 7 4 2" xfId="3794" xr:uid="{00000000-0005-0000-0000-0000740A0000}"/>
    <cellStyle name="Comma 4 7 4 2 2" xfId="8017" xr:uid="{00000000-0005-0000-0000-0000750A0000}"/>
    <cellStyle name="Comma 4 7 4 2 2 2" xfId="16459" xr:uid="{B56315D9-D083-47EF-82CC-ACEDB47AA764}"/>
    <cellStyle name="Comma 4 7 4 2 2 3" xfId="24896" xr:uid="{083C8338-06EC-4201-ADE0-FDE6B2725837}"/>
    <cellStyle name="Comma 4 7 4 2 3" xfId="12241" xr:uid="{484156BD-9876-4A95-9117-F6E1D8416CBE}"/>
    <cellStyle name="Comma 4 7 4 2 4" xfId="20679" xr:uid="{B801843C-C2E9-4D70-A3C9-5CB3E7EA0807}"/>
    <cellStyle name="Comma 4 7 4 3" xfId="5872" xr:uid="{00000000-0005-0000-0000-0000760A0000}"/>
    <cellStyle name="Comma 4 7 4 3 2" xfId="14314" xr:uid="{5A32FAFB-F707-44D5-B786-480DF4870287}"/>
    <cellStyle name="Comma 4 7 4 3 3" xfId="22751" xr:uid="{32191FBF-60B7-4310-8F02-10BBCFCD6415}"/>
    <cellStyle name="Comma 4 7 4 4" xfId="10096" xr:uid="{2E0071A1-F27A-436D-A5B5-DCB0A38577A5}"/>
    <cellStyle name="Comma 4 7 4 5" xfId="18534" xr:uid="{811F25A7-8A48-4E09-A4D6-9971A36E7787}"/>
    <cellStyle name="Comma 4 7 5" xfId="1978" xr:uid="{00000000-0005-0000-0000-0000770A0000}"/>
    <cellStyle name="Comma 4 7 5 2" xfId="4207" xr:uid="{00000000-0005-0000-0000-0000780A0000}"/>
    <cellStyle name="Comma 4 7 5 2 2" xfId="8430" xr:uid="{00000000-0005-0000-0000-0000790A0000}"/>
    <cellStyle name="Comma 4 7 5 2 2 2" xfId="16872" xr:uid="{8D6E1544-00EF-4C00-8AF2-71BEFFA0F515}"/>
    <cellStyle name="Comma 4 7 5 2 2 3" xfId="25309" xr:uid="{F68CEE9B-B874-43DB-BD96-A7B424FFD76B}"/>
    <cellStyle name="Comma 4 7 5 2 3" xfId="12654" xr:uid="{C4BD1400-CA78-432D-B88C-511282A6EF2F}"/>
    <cellStyle name="Comma 4 7 5 2 4" xfId="21092" xr:uid="{343500E5-A953-489E-BBCD-E94D184337E1}"/>
    <cellStyle name="Comma 4 7 5 3" xfId="6285" xr:uid="{00000000-0005-0000-0000-00007A0A0000}"/>
    <cellStyle name="Comma 4 7 5 3 2" xfId="14727" xr:uid="{81886FE2-2280-45C4-BE93-D7853B04DE91}"/>
    <cellStyle name="Comma 4 7 5 3 3" xfId="23164" xr:uid="{1F5E0B89-BC93-46CF-AF5A-CF396B81A981}"/>
    <cellStyle name="Comma 4 7 5 4" xfId="10509" xr:uid="{8F6801B6-8C55-4098-93E1-276792775BAF}"/>
    <cellStyle name="Comma 4 7 5 5" xfId="18947" xr:uid="{262D1A1A-4CC3-4D38-A093-CF55213113E2}"/>
    <cellStyle name="Comma 4 7 6" xfId="2413" xr:uid="{00000000-0005-0000-0000-00007B0A0000}"/>
    <cellStyle name="Comma 4 7 6 2" xfId="6698" xr:uid="{00000000-0005-0000-0000-00007C0A0000}"/>
    <cellStyle name="Comma 4 7 6 2 2" xfId="15140" xr:uid="{73724C6E-E0DF-4B3F-B52F-649DA3C01A54}"/>
    <cellStyle name="Comma 4 7 6 2 3" xfId="23577" xr:uid="{16BDBB66-F9C5-4EB7-BB55-44E343E0DE40}"/>
    <cellStyle name="Comma 4 7 6 3" xfId="10922" xr:uid="{2DE281A4-B0CB-4659-B3CD-5753583163F5}"/>
    <cellStyle name="Comma 4 7 6 4" xfId="19360" xr:uid="{1514213A-4343-4DA4-9E69-116B5216C6F5}"/>
    <cellStyle name="Comma 4 7 7" xfId="2709" xr:uid="{00000000-0005-0000-0000-00007D0A0000}"/>
    <cellStyle name="Comma 4 7 8" xfId="2791" xr:uid="{00000000-0005-0000-0000-00007E0A0000}"/>
    <cellStyle name="Comma 4 7 8 2" xfId="7015" xr:uid="{00000000-0005-0000-0000-00007F0A0000}"/>
    <cellStyle name="Comma 4 7 8 2 2" xfId="15457" xr:uid="{85D4B314-87F9-400F-9BDD-D855666B5A2A}"/>
    <cellStyle name="Comma 4 7 8 2 3" xfId="23894" xr:uid="{CE618561-4D7E-42AD-996D-74454842E77F}"/>
    <cellStyle name="Comma 4 7 8 3" xfId="11239" xr:uid="{08426AC7-6372-4780-B356-BB7A805B0188}"/>
    <cellStyle name="Comma 4 7 8 4" xfId="19677" xr:uid="{67AB7FCD-2CF3-4D44-A474-19E991395851}"/>
    <cellStyle name="Comma 4 7 9" xfId="4632" xr:uid="{00000000-0005-0000-0000-0000800A0000}"/>
    <cellStyle name="Comma 4 7 9 2" xfId="13074" xr:uid="{1B210069-7AC9-45C7-AB8B-6ABD3177C150}"/>
    <cellStyle name="Comma 4 7 9 3" xfId="21511" xr:uid="{517D48E3-6D06-4BF5-8036-DEF7BB77CE62}"/>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42" xr:uid="{A69114C0-F3B5-4D32-87EC-B55CC8A343CE}"/>
    <cellStyle name="Comma 7 3" xfId="21379" xr:uid="{3F10A061-6149-4EB7-94D8-48897A8FC2EC}"/>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2 2" xfId="17159" xr:uid="{EB0E6A7D-279A-442A-BBF7-960F0307A14A}"/>
    <cellStyle name="Currency 14 2 3" xfId="25596" xr:uid="{EE9B6ECA-B0E0-4DAF-945C-A4B8BBEC4462}"/>
    <cellStyle name="Currency 14 3" xfId="8720" xr:uid="{729B09A7-2394-4D7C-912C-1471FB3455A3}"/>
    <cellStyle name="Currency 14 3 2" xfId="8724" xr:uid="{1945FB0F-31EC-4D98-B64C-BAFBADA341A1}"/>
    <cellStyle name="Currency 14 3 2 2" xfId="8727" xr:uid="{03BA8DEE-11D2-406B-B26D-8EE163916FB0}"/>
    <cellStyle name="Currency 14 3 2 3" xfId="17165" xr:uid="{19E138FD-CA8B-485E-BEEA-18B55F3429A9}"/>
    <cellStyle name="Currency 14 3 2 4" xfId="25602" xr:uid="{6CEDBC5D-CE23-4BD1-A900-E20A46AA6608}"/>
    <cellStyle name="Currency 14 3 3" xfId="17162" xr:uid="{47EB61C8-9E8C-47DD-9136-364FFBE81987}"/>
    <cellStyle name="Currency 14 3 4" xfId="25599" xr:uid="{D1BAE08B-53B1-43ED-BE75-1A3DCFF49BA2}"/>
    <cellStyle name="Currency 14 4" xfId="12945" xr:uid="{51C95617-39E3-4EF0-8A88-EE75803314F5}"/>
    <cellStyle name="Currency 14 5" xfId="21382" xr:uid="{B2439208-2C70-4A44-ACCF-2DA40F66547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0 2 2" xfId="15458" xr:uid="{18FA191E-0375-4863-A0AB-AA55AF81D1F3}"/>
    <cellStyle name="Currency 3 2 2 10 2 3" xfId="23895" xr:uid="{28B2B957-B26E-4298-9D3B-F5E32AF619A0}"/>
    <cellStyle name="Currency 3 2 2 10 3" xfId="11240" xr:uid="{EAC30D6A-FE7D-4122-ACBA-8813CF30191D}"/>
    <cellStyle name="Currency 3 2 2 10 4" xfId="19678" xr:uid="{855A158C-9FCA-45B9-9373-9065D23E1522}"/>
    <cellStyle name="Currency 3 2 2 11" xfId="4633" xr:uid="{00000000-0005-0000-0000-0000A50A0000}"/>
    <cellStyle name="Currency 3 2 2 11 2" xfId="13075" xr:uid="{88137EAC-4AAC-482C-A356-8205E3E122E4}"/>
    <cellStyle name="Currency 3 2 2 11 3" xfId="21512" xr:uid="{0445CA8A-3B79-4755-94B2-5481CAE8BF0B}"/>
    <cellStyle name="Currency 3 2 2 12" xfId="8857" xr:uid="{FA5D479C-33FB-48AC-98B5-687D18BDD540}"/>
    <cellStyle name="Currency 3 2 2 13" xfId="17295" xr:uid="{BD17F236-9510-4166-8EA5-BC6F45A7FE2C}"/>
    <cellStyle name="Currency 3 2 2 2" xfId="179" xr:uid="{00000000-0005-0000-0000-0000A60A0000}"/>
    <cellStyle name="Currency 3 2 2 2 10" xfId="4634" xr:uid="{00000000-0005-0000-0000-0000A70A0000}"/>
    <cellStyle name="Currency 3 2 2 2 10 2" xfId="13076" xr:uid="{5E26167F-F30C-494C-8E56-B95B92DB58ED}"/>
    <cellStyle name="Currency 3 2 2 2 10 3" xfId="21513" xr:uid="{756D01E6-CA5D-4861-B463-75CF1224AD3F}"/>
    <cellStyle name="Currency 3 2 2 2 11" xfId="8858" xr:uid="{0EB95E0F-99CC-4E72-BEE7-F05A105CA082}"/>
    <cellStyle name="Currency 3 2 2 2 12" xfId="17296" xr:uid="{C24C1A79-23D3-4098-8CD7-B435103D5252}"/>
    <cellStyle name="Currency 3 2 2 2 2" xfId="180" xr:uid="{00000000-0005-0000-0000-0000A80A0000}"/>
    <cellStyle name="Currency 3 2 2 2 2 10" xfId="8859" xr:uid="{FB8AF799-FE0D-494F-9ADB-D276232729BA}"/>
    <cellStyle name="Currency 3 2 2 2 2 11" xfId="17297" xr:uid="{3E0994A7-28A8-473F-ABDC-732D1BAA4135}"/>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2 2 2" xfId="15636" xr:uid="{16ECBBB1-DE74-47FF-BC88-CB323646EC83}"/>
    <cellStyle name="Currency 3 2 2 2 2 2 2 2 3" xfId="24073" xr:uid="{D3A8274B-09D3-4CBA-87D9-B145AFA8B240}"/>
    <cellStyle name="Currency 3 2 2 2 2 2 2 3" xfId="11418" xr:uid="{0C9B7947-1065-4E0A-A21B-878CF8B298AB}"/>
    <cellStyle name="Currency 3 2 2 2 2 2 2 4" xfId="19856" xr:uid="{EC2F6B50-7952-4498-A504-E90B11E8AD92}"/>
    <cellStyle name="Currency 3 2 2 2 2 2 3" xfId="5049" xr:uid="{00000000-0005-0000-0000-0000AC0A0000}"/>
    <cellStyle name="Currency 3 2 2 2 2 2 3 2" xfId="13491" xr:uid="{93ABAF22-DE73-4F09-8C63-5E135D6DBF3C}"/>
    <cellStyle name="Currency 3 2 2 2 2 2 3 3" xfId="21928" xr:uid="{1BE48348-1880-46E9-9350-4DA248EF6754}"/>
    <cellStyle name="Currency 3 2 2 2 2 2 4" xfId="9273" xr:uid="{C80A1FEF-C8DB-498D-801C-035CC8F8A97F}"/>
    <cellStyle name="Currency 3 2 2 2 2 2 5" xfId="17711" xr:uid="{CEDA3CB3-5013-4D08-BD88-8B54ECB234CD}"/>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2 2 2" xfId="16049" xr:uid="{45687915-755E-48E0-948A-5320C491F548}"/>
    <cellStyle name="Currency 3 2 2 2 2 3 2 2 3" xfId="24486" xr:uid="{D798DE1E-B1C4-4814-84F9-3A8840121C14}"/>
    <cellStyle name="Currency 3 2 2 2 2 3 2 3" xfId="11831" xr:uid="{5D822E20-4561-43BD-8AE4-23B8C3BFD2A4}"/>
    <cellStyle name="Currency 3 2 2 2 2 3 2 4" xfId="20269" xr:uid="{C0D3B028-A061-4243-A20D-41A0C6A1DC76}"/>
    <cellStyle name="Currency 3 2 2 2 2 3 3" xfId="5462" xr:uid="{00000000-0005-0000-0000-0000B00A0000}"/>
    <cellStyle name="Currency 3 2 2 2 2 3 3 2" xfId="13904" xr:uid="{04CC8D8B-3D16-4099-AB8A-2996633D0BB6}"/>
    <cellStyle name="Currency 3 2 2 2 2 3 3 3" xfId="22341" xr:uid="{F214097D-2704-4ED9-8AC2-6C11C1E4664C}"/>
    <cellStyle name="Currency 3 2 2 2 2 3 4" xfId="9686" xr:uid="{B9225321-934D-406F-9825-7518C99ECF79}"/>
    <cellStyle name="Currency 3 2 2 2 2 3 5" xfId="18124" xr:uid="{26DEF6BD-559A-4B2D-A713-AA0796BE1CE9}"/>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2 2 2" xfId="16462" xr:uid="{7DCF106B-DA80-4563-9119-11007D1B9C53}"/>
    <cellStyle name="Currency 3 2 2 2 2 4 2 2 3" xfId="24899" xr:uid="{58D0ED4A-618A-4757-B69C-459F6EBEF68D}"/>
    <cellStyle name="Currency 3 2 2 2 2 4 2 3" xfId="12244" xr:uid="{0E77D793-B538-4637-A095-01A9BE08523B}"/>
    <cellStyle name="Currency 3 2 2 2 2 4 2 4" xfId="20682" xr:uid="{2208FE96-A88F-43D4-A970-DA5743EF0DC4}"/>
    <cellStyle name="Currency 3 2 2 2 2 4 3" xfId="5875" xr:uid="{00000000-0005-0000-0000-0000B40A0000}"/>
    <cellStyle name="Currency 3 2 2 2 2 4 3 2" xfId="14317" xr:uid="{57FD6401-1B0F-48CD-8194-0C21E7E45ED5}"/>
    <cellStyle name="Currency 3 2 2 2 2 4 3 3" xfId="22754" xr:uid="{D1CC9717-41DF-4339-B2A0-304272D3F8E2}"/>
    <cellStyle name="Currency 3 2 2 2 2 4 4" xfId="10099" xr:uid="{919D9273-2612-4EE6-B7AA-CAC4E2E69976}"/>
    <cellStyle name="Currency 3 2 2 2 2 4 5" xfId="18537" xr:uid="{976CAC00-C1F1-4B11-B53C-B597BF31C9A8}"/>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2 2 2" xfId="16875" xr:uid="{2BC21654-56C5-4332-B3FA-9A96BECD7F5A}"/>
    <cellStyle name="Currency 3 2 2 2 2 5 2 2 3" xfId="25312" xr:uid="{BEB18109-1BF5-4E9D-9122-95C67C120C67}"/>
    <cellStyle name="Currency 3 2 2 2 2 5 2 3" xfId="12657" xr:uid="{30B175DE-7B1F-4826-B6EB-692960DDFE52}"/>
    <cellStyle name="Currency 3 2 2 2 2 5 2 4" xfId="21095" xr:uid="{AF10CA2E-22BF-47E1-8BC2-7841FFDD03CD}"/>
    <cellStyle name="Currency 3 2 2 2 2 5 3" xfId="6288" xr:uid="{00000000-0005-0000-0000-0000B80A0000}"/>
    <cellStyle name="Currency 3 2 2 2 2 5 3 2" xfId="14730" xr:uid="{B566BE3E-CC70-44DD-AADB-4461DE9034E9}"/>
    <cellStyle name="Currency 3 2 2 2 2 5 3 3" xfId="23167" xr:uid="{199883AE-AEB1-40BE-98A2-E76222D946FB}"/>
    <cellStyle name="Currency 3 2 2 2 2 5 4" xfId="10512" xr:uid="{BFC84A8D-0AC1-40BB-986D-2D095FDF7F2B}"/>
    <cellStyle name="Currency 3 2 2 2 2 5 5" xfId="18950" xr:uid="{51E48BB4-5D00-4569-8A6E-7180D0C187E8}"/>
    <cellStyle name="Currency 3 2 2 2 2 6" xfId="2416" xr:uid="{00000000-0005-0000-0000-0000B90A0000}"/>
    <cellStyle name="Currency 3 2 2 2 2 6 2" xfId="6701" xr:uid="{00000000-0005-0000-0000-0000BA0A0000}"/>
    <cellStyle name="Currency 3 2 2 2 2 6 2 2" xfId="15143" xr:uid="{6B69585B-1C2C-4CD8-914C-D87EEE70804E}"/>
    <cellStyle name="Currency 3 2 2 2 2 6 2 3" xfId="23580" xr:uid="{4D220106-9E52-44E7-97F7-5F8E9E23A2EC}"/>
    <cellStyle name="Currency 3 2 2 2 2 6 3" xfId="10925" xr:uid="{57D92840-20F7-4278-88D7-4C08FBA5978F}"/>
    <cellStyle name="Currency 3 2 2 2 2 6 4" xfId="19363" xr:uid="{17321BCD-C3AB-44CC-ADA2-6822994EEDB2}"/>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8 2 2" xfId="15460" xr:uid="{970449B2-B145-4D01-8A4D-9F162128A315}"/>
    <cellStyle name="Currency 3 2 2 2 2 8 2 3" xfId="23897" xr:uid="{81B4258B-3A84-4B9F-86B7-626E6340268C}"/>
    <cellStyle name="Currency 3 2 2 2 2 8 3" xfId="11242" xr:uid="{4ABB2298-F69B-47C0-96C0-788AB5E57624}"/>
    <cellStyle name="Currency 3 2 2 2 2 8 4" xfId="19680" xr:uid="{C65587D9-6B1F-486C-9F9B-438E5A255CAA}"/>
    <cellStyle name="Currency 3 2 2 2 2 9" xfId="4635" xr:uid="{00000000-0005-0000-0000-0000BE0A0000}"/>
    <cellStyle name="Currency 3 2 2 2 2 9 2" xfId="13077" xr:uid="{742E2AA0-C33D-4AAB-9B00-BB654CAF2EE0}"/>
    <cellStyle name="Currency 3 2 2 2 2 9 3" xfId="21514" xr:uid="{094CFCA5-F5EC-46CA-9DBC-BD41D38CCFB6}"/>
    <cellStyle name="Currency 3 2 2 2 3" xfId="709" xr:uid="{00000000-0005-0000-0000-0000BF0A0000}"/>
    <cellStyle name="Currency 3 2 2 2 3 2" xfId="2970" xr:uid="{00000000-0005-0000-0000-0000C00A0000}"/>
    <cellStyle name="Currency 3 2 2 2 3 2 2" xfId="7193" xr:uid="{00000000-0005-0000-0000-0000C10A0000}"/>
    <cellStyle name="Currency 3 2 2 2 3 2 2 2" xfId="15635" xr:uid="{1A4C4370-CEA2-4D87-87AD-F00BDC8D5FA7}"/>
    <cellStyle name="Currency 3 2 2 2 3 2 2 3" xfId="24072" xr:uid="{6C02FD8A-0B62-43FE-9E19-3382FF385554}"/>
    <cellStyle name="Currency 3 2 2 2 3 2 3" xfId="11417" xr:uid="{236AC0D2-A940-4802-B0A0-016DBE308AE7}"/>
    <cellStyle name="Currency 3 2 2 2 3 2 4" xfId="19855" xr:uid="{DA9DA767-FE68-49E5-B62A-DACC5C852E9A}"/>
    <cellStyle name="Currency 3 2 2 2 3 3" xfId="5048" xr:uid="{00000000-0005-0000-0000-0000C20A0000}"/>
    <cellStyle name="Currency 3 2 2 2 3 3 2" xfId="13490" xr:uid="{F0688721-DDD3-4198-9404-39DCD68C0F28}"/>
    <cellStyle name="Currency 3 2 2 2 3 3 3" xfId="21927" xr:uid="{BEEAA4AA-E696-46B0-8833-3D539C00B82D}"/>
    <cellStyle name="Currency 3 2 2 2 3 4" xfId="9272" xr:uid="{E4A96D47-7D2F-418F-B62C-50260D158D90}"/>
    <cellStyle name="Currency 3 2 2 2 3 5" xfId="17710" xr:uid="{6C2D5B46-AF8B-41AF-80AF-93EB193757F1}"/>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2 2 2" xfId="16048" xr:uid="{DB16D15E-F650-411C-8F21-53ADC296F76A}"/>
    <cellStyle name="Currency 3 2 2 2 4 2 2 3" xfId="24485" xr:uid="{FE5EDA09-3EF5-471D-9A3C-16F2FC283BF6}"/>
    <cellStyle name="Currency 3 2 2 2 4 2 3" xfId="11830" xr:uid="{54DF877E-E08C-452A-8D72-16790B91899E}"/>
    <cellStyle name="Currency 3 2 2 2 4 2 4" xfId="20268" xr:uid="{B0450509-3093-465E-B17E-34F647A60272}"/>
    <cellStyle name="Currency 3 2 2 2 4 3" xfId="5461" xr:uid="{00000000-0005-0000-0000-0000C60A0000}"/>
    <cellStyle name="Currency 3 2 2 2 4 3 2" xfId="13903" xr:uid="{00EFBF0A-74CF-409A-AE0C-4F6C169969D1}"/>
    <cellStyle name="Currency 3 2 2 2 4 3 3" xfId="22340" xr:uid="{DD8A29BC-2C6F-4685-9547-9358FD89DEFE}"/>
    <cellStyle name="Currency 3 2 2 2 4 4" xfId="9685" xr:uid="{1FD4F646-51B2-48B2-8BE4-63DB27FF16FB}"/>
    <cellStyle name="Currency 3 2 2 2 4 5" xfId="18123" xr:uid="{A834B547-1D6B-41FD-A486-073E06313385}"/>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2 2 2" xfId="16461" xr:uid="{72A0E253-0FCC-49EC-AC30-7749FD9BC432}"/>
    <cellStyle name="Currency 3 2 2 2 5 2 2 3" xfId="24898" xr:uid="{D452F907-EB02-4807-99C3-242EE09D3EB6}"/>
    <cellStyle name="Currency 3 2 2 2 5 2 3" xfId="12243" xr:uid="{3305B94D-CA3A-46CB-9145-6FD89A642B82}"/>
    <cellStyle name="Currency 3 2 2 2 5 2 4" xfId="20681" xr:uid="{9F111ACD-E07D-4690-84E2-7924E2E4BFEB}"/>
    <cellStyle name="Currency 3 2 2 2 5 3" xfId="5874" xr:uid="{00000000-0005-0000-0000-0000CA0A0000}"/>
    <cellStyle name="Currency 3 2 2 2 5 3 2" xfId="14316" xr:uid="{CC89344A-6E3E-421D-B5ED-73D366BFEA74}"/>
    <cellStyle name="Currency 3 2 2 2 5 3 3" xfId="22753" xr:uid="{C285CAE9-1D9A-4450-AB36-C12AF7F368C3}"/>
    <cellStyle name="Currency 3 2 2 2 5 4" xfId="10098" xr:uid="{AA4C4F9A-140E-46A0-B319-6CC28EEEF119}"/>
    <cellStyle name="Currency 3 2 2 2 5 5" xfId="18536" xr:uid="{E4FC4301-029F-43B5-8B6B-D2EAF7AE009B}"/>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2 2 2" xfId="16874" xr:uid="{DCF95FB8-EBC3-4238-B6B6-353578A3CE7B}"/>
    <cellStyle name="Currency 3 2 2 2 6 2 2 3" xfId="25311" xr:uid="{A7AAE824-B859-4EB7-B8E6-47376CD6635A}"/>
    <cellStyle name="Currency 3 2 2 2 6 2 3" xfId="12656" xr:uid="{3FC46AB4-D7C4-4A65-AC50-C871CE7DFBCB}"/>
    <cellStyle name="Currency 3 2 2 2 6 2 4" xfId="21094" xr:uid="{26F7367E-6BB3-4E78-8013-50C0BBACFE86}"/>
    <cellStyle name="Currency 3 2 2 2 6 3" xfId="6287" xr:uid="{00000000-0005-0000-0000-0000CE0A0000}"/>
    <cellStyle name="Currency 3 2 2 2 6 3 2" xfId="14729" xr:uid="{90DCE54D-209A-4AC0-A8EB-F0AB56C2A3F8}"/>
    <cellStyle name="Currency 3 2 2 2 6 3 3" xfId="23166" xr:uid="{AF6A33E0-CA22-4A7D-A6CC-1FC2E7616BD9}"/>
    <cellStyle name="Currency 3 2 2 2 6 4" xfId="10511" xr:uid="{720909BC-5B00-44EA-926A-78AFC863FFF9}"/>
    <cellStyle name="Currency 3 2 2 2 6 5" xfId="18949" xr:uid="{CAA106E8-14CA-4D34-BA50-03AE05A059DB}"/>
    <cellStyle name="Currency 3 2 2 2 7" xfId="2415" xr:uid="{00000000-0005-0000-0000-0000CF0A0000}"/>
    <cellStyle name="Currency 3 2 2 2 7 2" xfId="6700" xr:uid="{00000000-0005-0000-0000-0000D00A0000}"/>
    <cellStyle name="Currency 3 2 2 2 7 2 2" xfId="15142" xr:uid="{A8DD564E-EE7B-4A89-9029-A52D438F1814}"/>
    <cellStyle name="Currency 3 2 2 2 7 2 3" xfId="23579" xr:uid="{316CA0C5-C558-48F4-BB09-867B1C153A58}"/>
    <cellStyle name="Currency 3 2 2 2 7 3" xfId="10924" xr:uid="{829AFCE2-08F0-47E6-B323-D995C1467546}"/>
    <cellStyle name="Currency 3 2 2 2 7 4" xfId="19362" xr:uid="{0A58AAA4-C1FC-4575-8222-3CA3807621C5}"/>
    <cellStyle name="Currency 3 2 2 2 8" xfId="2712" xr:uid="{00000000-0005-0000-0000-0000D10A0000}"/>
    <cellStyle name="Currency 3 2 2 2 9" xfId="2793" xr:uid="{00000000-0005-0000-0000-0000D20A0000}"/>
    <cellStyle name="Currency 3 2 2 2 9 2" xfId="7017" xr:uid="{00000000-0005-0000-0000-0000D30A0000}"/>
    <cellStyle name="Currency 3 2 2 2 9 2 2" xfId="15459" xr:uid="{E56DF8C6-07D4-4B8D-83ED-83585EA5335B}"/>
    <cellStyle name="Currency 3 2 2 2 9 2 3" xfId="23896" xr:uid="{68B1B668-11DE-40AE-9716-F66381545CC8}"/>
    <cellStyle name="Currency 3 2 2 2 9 3" xfId="11241" xr:uid="{C7A2F72D-75AE-41B7-86C2-A10ED8903BFE}"/>
    <cellStyle name="Currency 3 2 2 2 9 4" xfId="19679" xr:uid="{02B62CCB-DF9A-4836-8AC1-AB13FB97573B}"/>
    <cellStyle name="Currency 3 2 2 3" xfId="181" xr:uid="{00000000-0005-0000-0000-0000D40A0000}"/>
    <cellStyle name="Currency 3 2 2 3 10" xfId="8860" xr:uid="{0A7BEB3F-99E9-4C86-94E7-FAB4A6844168}"/>
    <cellStyle name="Currency 3 2 2 3 11" xfId="17298" xr:uid="{2A6582FF-4493-4B8A-8F12-8DA5D8B4E765}"/>
    <cellStyle name="Currency 3 2 2 3 2" xfId="711" xr:uid="{00000000-0005-0000-0000-0000D50A0000}"/>
    <cellStyle name="Currency 3 2 2 3 2 2" xfId="2972" xr:uid="{00000000-0005-0000-0000-0000D60A0000}"/>
    <cellStyle name="Currency 3 2 2 3 2 2 2" xfId="7195" xr:uid="{00000000-0005-0000-0000-0000D70A0000}"/>
    <cellStyle name="Currency 3 2 2 3 2 2 2 2" xfId="15637" xr:uid="{C967BD57-F669-4668-B9A4-3D61E0B370E0}"/>
    <cellStyle name="Currency 3 2 2 3 2 2 2 3" xfId="24074" xr:uid="{6AAAD220-7016-491E-AFC8-7135CCC4A841}"/>
    <cellStyle name="Currency 3 2 2 3 2 2 3" xfId="11419" xr:uid="{C87FFBBF-AF9F-4E8D-ACBD-ACE911605277}"/>
    <cellStyle name="Currency 3 2 2 3 2 2 4" xfId="19857" xr:uid="{C5C35E7F-A6F8-4D1C-91D0-6B8799D1D832}"/>
    <cellStyle name="Currency 3 2 2 3 2 3" xfId="5050" xr:uid="{00000000-0005-0000-0000-0000D80A0000}"/>
    <cellStyle name="Currency 3 2 2 3 2 3 2" xfId="13492" xr:uid="{C9E21491-A09D-42CC-A54E-D37948AF74AD}"/>
    <cellStyle name="Currency 3 2 2 3 2 3 3" xfId="21929" xr:uid="{72445140-B753-4723-A264-31C0E04587AB}"/>
    <cellStyle name="Currency 3 2 2 3 2 4" xfId="9274" xr:uid="{FD22945F-AAAE-4F8E-B933-FF9E42DC1917}"/>
    <cellStyle name="Currency 3 2 2 3 2 5" xfId="17712" xr:uid="{D26559DC-1F96-455D-9BB0-F48126AFC2EE}"/>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2 2 2" xfId="16050" xr:uid="{F0245486-F9F6-4E7E-A6F1-DA2BCD64AD62}"/>
    <cellStyle name="Currency 3 2 2 3 3 2 2 3" xfId="24487" xr:uid="{ABE7E8D6-3E6C-4C44-8833-FA0FDE2BFBB4}"/>
    <cellStyle name="Currency 3 2 2 3 3 2 3" xfId="11832" xr:uid="{A64D1A5B-D1C4-4CA6-90E9-BC1678448B4C}"/>
    <cellStyle name="Currency 3 2 2 3 3 2 4" xfId="20270" xr:uid="{293E4EFF-5A11-42B3-85F6-4DDF39B772D5}"/>
    <cellStyle name="Currency 3 2 2 3 3 3" xfId="5463" xr:uid="{00000000-0005-0000-0000-0000DC0A0000}"/>
    <cellStyle name="Currency 3 2 2 3 3 3 2" xfId="13905" xr:uid="{BC1787FA-7812-4689-8B42-FC680108D3F1}"/>
    <cellStyle name="Currency 3 2 2 3 3 3 3" xfId="22342" xr:uid="{50E8D307-11A1-476A-9718-D41FBED4B47D}"/>
    <cellStyle name="Currency 3 2 2 3 3 4" xfId="9687" xr:uid="{E3ED52D2-15AE-407A-BC70-36D0DDC8C9D3}"/>
    <cellStyle name="Currency 3 2 2 3 3 5" xfId="18125" xr:uid="{ECC2ABFE-35E1-41CD-82AB-3A855585D4A5}"/>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2 2 2" xfId="16463" xr:uid="{79315231-1409-45C5-BFA2-0873DAD274E6}"/>
    <cellStyle name="Currency 3 2 2 3 4 2 2 3" xfId="24900" xr:uid="{7429075D-383E-4BD4-9D43-45656B779B07}"/>
    <cellStyle name="Currency 3 2 2 3 4 2 3" xfId="12245" xr:uid="{8D2963B5-636D-419A-9799-BC3FB0BD7CC2}"/>
    <cellStyle name="Currency 3 2 2 3 4 2 4" xfId="20683" xr:uid="{43C715B0-4EEC-4760-8028-47F127978B9A}"/>
    <cellStyle name="Currency 3 2 2 3 4 3" xfId="5876" xr:uid="{00000000-0005-0000-0000-0000E00A0000}"/>
    <cellStyle name="Currency 3 2 2 3 4 3 2" xfId="14318" xr:uid="{60DF6691-906D-4B2F-AEBF-6F630063264C}"/>
    <cellStyle name="Currency 3 2 2 3 4 3 3" xfId="22755" xr:uid="{ED4492F9-0525-4223-8381-228D658DB452}"/>
    <cellStyle name="Currency 3 2 2 3 4 4" xfId="10100" xr:uid="{D8892D96-76B2-4C05-A00B-C9ADFB7CD194}"/>
    <cellStyle name="Currency 3 2 2 3 4 5" xfId="18538" xr:uid="{425E0D9E-FA3F-42F8-BE68-2E244DC34515}"/>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2 2 2" xfId="16876" xr:uid="{63B28E60-7828-4E67-9B00-B7DD4F0727CA}"/>
    <cellStyle name="Currency 3 2 2 3 5 2 2 3" xfId="25313" xr:uid="{706DB096-57A4-47F4-ADC0-4C61414190B9}"/>
    <cellStyle name="Currency 3 2 2 3 5 2 3" xfId="12658" xr:uid="{9B978AC0-44BA-4BDE-97A6-D41149C7A65B}"/>
    <cellStyle name="Currency 3 2 2 3 5 2 4" xfId="21096" xr:uid="{DD73B1A0-10BF-4E5B-93FF-D336C8C13DA9}"/>
    <cellStyle name="Currency 3 2 2 3 5 3" xfId="6289" xr:uid="{00000000-0005-0000-0000-0000E40A0000}"/>
    <cellStyle name="Currency 3 2 2 3 5 3 2" xfId="14731" xr:uid="{32DB7441-D702-4E23-A712-8E2238077AA1}"/>
    <cellStyle name="Currency 3 2 2 3 5 3 3" xfId="23168" xr:uid="{1DBFEEC6-00FF-47D1-ABAD-C88602007E9C}"/>
    <cellStyle name="Currency 3 2 2 3 5 4" xfId="10513" xr:uid="{A96A2841-0B97-4D2E-8F37-F84D129A1C9F}"/>
    <cellStyle name="Currency 3 2 2 3 5 5" xfId="18951" xr:uid="{83D5271C-B90F-43B8-8BF3-09DFBB3F4C6C}"/>
    <cellStyle name="Currency 3 2 2 3 6" xfId="2417" xr:uid="{00000000-0005-0000-0000-0000E50A0000}"/>
    <cellStyle name="Currency 3 2 2 3 6 2" xfId="6702" xr:uid="{00000000-0005-0000-0000-0000E60A0000}"/>
    <cellStyle name="Currency 3 2 2 3 6 2 2" xfId="15144" xr:uid="{6B192CC5-28E3-44B2-BAE2-DEC87EDCFDAC}"/>
    <cellStyle name="Currency 3 2 2 3 6 2 3" xfId="23581" xr:uid="{E5DF2333-8B0A-4D3E-AC0E-D7103545F1FA}"/>
    <cellStyle name="Currency 3 2 2 3 6 3" xfId="10926" xr:uid="{DD72198B-B43B-40AA-88FB-9B430DAA18D0}"/>
    <cellStyle name="Currency 3 2 2 3 6 4" xfId="19364" xr:uid="{5D5EB418-B150-41D1-BD30-C0A996FA1B6A}"/>
    <cellStyle name="Currency 3 2 2 3 7" xfId="2714" xr:uid="{00000000-0005-0000-0000-0000E70A0000}"/>
    <cellStyle name="Currency 3 2 2 3 8" xfId="2795" xr:uid="{00000000-0005-0000-0000-0000E80A0000}"/>
    <cellStyle name="Currency 3 2 2 3 8 2" xfId="7019" xr:uid="{00000000-0005-0000-0000-0000E90A0000}"/>
    <cellStyle name="Currency 3 2 2 3 8 2 2" xfId="15461" xr:uid="{89E02600-B72A-46AA-9D57-A93D39DC51F3}"/>
    <cellStyle name="Currency 3 2 2 3 8 2 3" xfId="23898" xr:uid="{5A4405B4-853F-4159-A48B-58F088D17BE2}"/>
    <cellStyle name="Currency 3 2 2 3 8 3" xfId="11243" xr:uid="{717220A3-121F-4B8B-B9F1-2041411AA3E5}"/>
    <cellStyle name="Currency 3 2 2 3 8 4" xfId="19681" xr:uid="{98C113FE-86FE-415C-835B-2E436DAAE5B4}"/>
    <cellStyle name="Currency 3 2 2 3 9" xfId="4636" xr:uid="{00000000-0005-0000-0000-0000EA0A0000}"/>
    <cellStyle name="Currency 3 2 2 3 9 2" xfId="13078" xr:uid="{37FB7B6D-BC5C-4002-A62E-99B44E6DA36C}"/>
    <cellStyle name="Currency 3 2 2 3 9 3" xfId="21515" xr:uid="{35D3626D-8A96-4766-9DE2-79C28C7005C7}"/>
    <cellStyle name="Currency 3 2 2 4" xfId="708" xr:uid="{00000000-0005-0000-0000-0000EB0A0000}"/>
    <cellStyle name="Currency 3 2 2 4 2" xfId="2969" xr:uid="{00000000-0005-0000-0000-0000EC0A0000}"/>
    <cellStyle name="Currency 3 2 2 4 2 2" xfId="7192" xr:uid="{00000000-0005-0000-0000-0000ED0A0000}"/>
    <cellStyle name="Currency 3 2 2 4 2 2 2" xfId="15634" xr:uid="{35400AEE-443E-4081-913F-8C1E78C7FBE9}"/>
    <cellStyle name="Currency 3 2 2 4 2 2 3" xfId="24071" xr:uid="{697F68C7-525B-49CD-99DA-1B51A09ED3C7}"/>
    <cellStyle name="Currency 3 2 2 4 2 3" xfId="11416" xr:uid="{C9012426-A117-4F7C-9D39-A87CC0413E0D}"/>
    <cellStyle name="Currency 3 2 2 4 2 4" xfId="19854" xr:uid="{E967BB33-133C-4C98-BCB0-83663CA2C874}"/>
    <cellStyle name="Currency 3 2 2 4 3" xfId="5047" xr:uid="{00000000-0005-0000-0000-0000EE0A0000}"/>
    <cellStyle name="Currency 3 2 2 4 3 2" xfId="13489" xr:uid="{F7D81224-96A7-4847-BB1C-27B4E61397B2}"/>
    <cellStyle name="Currency 3 2 2 4 3 3" xfId="21926" xr:uid="{3B077AD8-A3B7-4A37-9919-2B89FDFD0C61}"/>
    <cellStyle name="Currency 3 2 2 4 4" xfId="9271" xr:uid="{F5F01DF6-6F01-4F2A-8D0C-2E519D1EE856}"/>
    <cellStyle name="Currency 3 2 2 4 5" xfId="17709" xr:uid="{52F864FD-10D2-4A35-BED1-2F4580ADFC3D}"/>
    <cellStyle name="Currency 3 2 2 5" xfId="1151" xr:uid="{00000000-0005-0000-0000-0000EF0A0000}"/>
    <cellStyle name="Currency 3 2 2 5 2" xfId="3382" xr:uid="{00000000-0005-0000-0000-0000F00A0000}"/>
    <cellStyle name="Currency 3 2 2 5 2 2" xfId="7605" xr:uid="{00000000-0005-0000-0000-0000F10A0000}"/>
    <cellStyle name="Currency 3 2 2 5 2 2 2" xfId="16047" xr:uid="{AD608E85-6D02-4C4F-B84A-79A77C688CDE}"/>
    <cellStyle name="Currency 3 2 2 5 2 2 3" xfId="24484" xr:uid="{4D92DE6C-D59D-417D-933A-D470481A53E1}"/>
    <cellStyle name="Currency 3 2 2 5 2 3" xfId="11829" xr:uid="{7DE85527-B0EF-494F-9C32-33A059E0E69A}"/>
    <cellStyle name="Currency 3 2 2 5 2 4" xfId="20267" xr:uid="{A46C6CFD-3C8A-4F2E-9550-5DD93D3EA8C4}"/>
    <cellStyle name="Currency 3 2 2 5 3" xfId="5460" xr:uid="{00000000-0005-0000-0000-0000F20A0000}"/>
    <cellStyle name="Currency 3 2 2 5 3 2" xfId="13902" xr:uid="{ACCB96D7-C6D8-477C-AD21-C510F67F0344}"/>
    <cellStyle name="Currency 3 2 2 5 3 3" xfId="22339" xr:uid="{84326DAE-30AC-47F8-8CBD-403D3770A8E6}"/>
    <cellStyle name="Currency 3 2 2 5 4" xfId="9684" xr:uid="{E39369E6-61FF-4C53-BEC3-2842DC314DBC}"/>
    <cellStyle name="Currency 3 2 2 5 5" xfId="18122" xr:uid="{2E398D38-DD41-44B1-B6CF-6783C2524D93}"/>
    <cellStyle name="Currency 3 2 2 6" xfId="1565" xr:uid="{00000000-0005-0000-0000-0000F30A0000}"/>
    <cellStyle name="Currency 3 2 2 6 2" xfId="3795" xr:uid="{00000000-0005-0000-0000-0000F40A0000}"/>
    <cellStyle name="Currency 3 2 2 6 2 2" xfId="8018" xr:uid="{00000000-0005-0000-0000-0000F50A0000}"/>
    <cellStyle name="Currency 3 2 2 6 2 2 2" xfId="16460" xr:uid="{C18D3064-D227-4303-A69F-2E2EE91858B7}"/>
    <cellStyle name="Currency 3 2 2 6 2 2 3" xfId="24897" xr:uid="{76521107-8729-4531-9FDD-768C31114A90}"/>
    <cellStyle name="Currency 3 2 2 6 2 3" xfId="12242" xr:uid="{0496A398-AF89-4541-BBE1-550B22CAFA7B}"/>
    <cellStyle name="Currency 3 2 2 6 2 4" xfId="20680" xr:uid="{CA159432-6ACB-4388-950B-A0557F4B2E06}"/>
    <cellStyle name="Currency 3 2 2 6 3" xfId="5873" xr:uid="{00000000-0005-0000-0000-0000F60A0000}"/>
    <cellStyle name="Currency 3 2 2 6 3 2" xfId="14315" xr:uid="{7EC13973-C9CC-41E8-86F2-82A542CA65ED}"/>
    <cellStyle name="Currency 3 2 2 6 3 3" xfId="22752" xr:uid="{A01A1C0B-9B2A-4B42-9B90-8A9CB1C72D63}"/>
    <cellStyle name="Currency 3 2 2 6 4" xfId="10097" xr:uid="{38F34567-5736-48D9-AA85-46B6DA138E9F}"/>
    <cellStyle name="Currency 3 2 2 6 5" xfId="18535" xr:uid="{4969E194-28BF-4FA8-8B04-AA8428D555DF}"/>
    <cellStyle name="Currency 3 2 2 7" xfId="1979" xr:uid="{00000000-0005-0000-0000-0000F70A0000}"/>
    <cellStyle name="Currency 3 2 2 7 2" xfId="4208" xr:uid="{00000000-0005-0000-0000-0000F80A0000}"/>
    <cellStyle name="Currency 3 2 2 7 2 2" xfId="8431" xr:uid="{00000000-0005-0000-0000-0000F90A0000}"/>
    <cellStyle name="Currency 3 2 2 7 2 2 2" xfId="16873" xr:uid="{8A2289A5-B9B3-4A8A-AD7F-5074E3BB0607}"/>
    <cellStyle name="Currency 3 2 2 7 2 2 3" xfId="25310" xr:uid="{348BDABB-1DC0-4272-9572-2DAC9F61E9C0}"/>
    <cellStyle name="Currency 3 2 2 7 2 3" xfId="12655" xr:uid="{FFC81D51-D0C3-488B-BEF7-1208D41BB614}"/>
    <cellStyle name="Currency 3 2 2 7 2 4" xfId="21093" xr:uid="{BEC9A5F2-0FF0-4B3E-9C88-80A1D8050276}"/>
    <cellStyle name="Currency 3 2 2 7 3" xfId="6286" xr:uid="{00000000-0005-0000-0000-0000FA0A0000}"/>
    <cellStyle name="Currency 3 2 2 7 3 2" xfId="14728" xr:uid="{9ED1C934-55E0-4D77-BF37-60D5358A47C3}"/>
    <cellStyle name="Currency 3 2 2 7 3 3" xfId="23165" xr:uid="{9EFD6A4C-0915-4D6E-A7E5-1424A152F596}"/>
    <cellStyle name="Currency 3 2 2 7 4" xfId="10510" xr:uid="{D197BBC9-E839-4517-8F30-60073700A852}"/>
    <cellStyle name="Currency 3 2 2 7 5" xfId="18948" xr:uid="{07946DF0-DA8D-4C59-B6BB-CF7D9E393ACA}"/>
    <cellStyle name="Currency 3 2 2 8" xfId="2414" xr:uid="{00000000-0005-0000-0000-0000FB0A0000}"/>
    <cellStyle name="Currency 3 2 2 8 2" xfId="6699" xr:uid="{00000000-0005-0000-0000-0000FC0A0000}"/>
    <cellStyle name="Currency 3 2 2 8 2 2" xfId="15141" xr:uid="{B8EC59ED-CE34-48B1-B8B7-3803DB0CCA48}"/>
    <cellStyle name="Currency 3 2 2 8 2 3" xfId="23578" xr:uid="{B8C4F2D2-3E8D-4133-81EE-6EE0F1A38B2F}"/>
    <cellStyle name="Currency 3 2 2 8 3" xfId="10923" xr:uid="{EAB8D4A2-336C-460D-A44B-54716354F610}"/>
    <cellStyle name="Currency 3 2 2 8 4" xfId="19361" xr:uid="{716EAC30-FD4A-46CC-9B3C-5C5B007A2486}"/>
    <cellStyle name="Currency 3 2 2 9" xfId="2711" xr:uid="{00000000-0005-0000-0000-0000FD0A0000}"/>
    <cellStyle name="Currency 3 2 3" xfId="182" xr:uid="{00000000-0005-0000-0000-0000FE0A0000}"/>
    <cellStyle name="Currency 3 2 3 10" xfId="4637" xr:uid="{00000000-0005-0000-0000-0000FF0A0000}"/>
    <cellStyle name="Currency 3 2 3 10 2" xfId="13079" xr:uid="{A0896BDD-6DC2-470F-9C7C-729360434F0D}"/>
    <cellStyle name="Currency 3 2 3 10 3" xfId="21516" xr:uid="{4BD632EA-3D9B-4D0E-A146-D7E924C3FEB4}"/>
    <cellStyle name="Currency 3 2 3 11" xfId="8861" xr:uid="{74688853-ECA3-419A-A124-7603B917C55C}"/>
    <cellStyle name="Currency 3 2 3 12" xfId="17299" xr:uid="{39FF507F-7D0E-4D7D-81AC-EDEB05D8180C}"/>
    <cellStyle name="Currency 3 2 3 2" xfId="183" xr:uid="{00000000-0005-0000-0000-0000000B0000}"/>
    <cellStyle name="Currency 3 2 3 2 10" xfId="8862" xr:uid="{ECFE632F-35E6-420B-9FAE-E5DA9A7FF1B3}"/>
    <cellStyle name="Currency 3 2 3 2 11" xfId="17300" xr:uid="{1EA018A3-313F-4631-8354-B9A6DD252BAF}"/>
    <cellStyle name="Currency 3 2 3 2 2" xfId="713" xr:uid="{00000000-0005-0000-0000-0000010B0000}"/>
    <cellStyle name="Currency 3 2 3 2 2 2" xfId="2974" xr:uid="{00000000-0005-0000-0000-0000020B0000}"/>
    <cellStyle name="Currency 3 2 3 2 2 2 2" xfId="7197" xr:uid="{00000000-0005-0000-0000-0000030B0000}"/>
    <cellStyle name="Currency 3 2 3 2 2 2 2 2" xfId="15639" xr:uid="{E0D71EA4-695D-43C9-81AC-5343AC145D88}"/>
    <cellStyle name="Currency 3 2 3 2 2 2 2 3" xfId="24076" xr:uid="{DFE93434-9371-4078-B2A0-EB250B4D6041}"/>
    <cellStyle name="Currency 3 2 3 2 2 2 3" xfId="11421" xr:uid="{3CB94137-E61B-4F54-ADED-B77E80DF781D}"/>
    <cellStyle name="Currency 3 2 3 2 2 2 4" xfId="19859" xr:uid="{5759759D-5A2A-4CA6-A3A3-51F2115FD354}"/>
    <cellStyle name="Currency 3 2 3 2 2 3" xfId="5052" xr:uid="{00000000-0005-0000-0000-0000040B0000}"/>
    <cellStyle name="Currency 3 2 3 2 2 3 2" xfId="13494" xr:uid="{FD36E384-5226-4315-A6CC-627E1AA817F2}"/>
    <cellStyle name="Currency 3 2 3 2 2 3 3" xfId="21931" xr:uid="{4C019A62-3A98-4EAE-931C-855CE16F2FA5}"/>
    <cellStyle name="Currency 3 2 3 2 2 4" xfId="9276" xr:uid="{915A3CAB-F7E6-4155-8E72-03ACCB2276E8}"/>
    <cellStyle name="Currency 3 2 3 2 2 5" xfId="17714" xr:uid="{28C244ED-4E89-457E-B872-5CCA7643EA34}"/>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2 2 2" xfId="16052" xr:uid="{A2D40B10-0B2E-4EF8-A0A4-AA83C0059D0A}"/>
    <cellStyle name="Currency 3 2 3 2 3 2 2 3" xfId="24489" xr:uid="{9832F7D4-E4AD-46C1-A594-D0DCE8A1DD25}"/>
    <cellStyle name="Currency 3 2 3 2 3 2 3" xfId="11834" xr:uid="{C211DA05-6EEF-4B45-94A7-0575AD1EB752}"/>
    <cellStyle name="Currency 3 2 3 2 3 2 4" xfId="20272" xr:uid="{58D24DCB-471F-40CD-97D4-465BCD49FABF}"/>
    <cellStyle name="Currency 3 2 3 2 3 3" xfId="5465" xr:uid="{00000000-0005-0000-0000-0000080B0000}"/>
    <cellStyle name="Currency 3 2 3 2 3 3 2" xfId="13907" xr:uid="{B2DD26E6-7C74-4C94-9882-D4B3EF1E3F33}"/>
    <cellStyle name="Currency 3 2 3 2 3 3 3" xfId="22344" xr:uid="{5DC12A95-6945-415E-ADE3-03C2C0C0CC4C}"/>
    <cellStyle name="Currency 3 2 3 2 3 4" xfId="9689" xr:uid="{BC1F0C0F-710B-45E4-9A3A-29E30CC6A105}"/>
    <cellStyle name="Currency 3 2 3 2 3 5" xfId="18127" xr:uid="{AA74BEEB-07FE-4884-9B5F-D352F8337DA9}"/>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2 2 2" xfId="16465" xr:uid="{0A68C7FC-584A-4E42-AEE7-46F4CC045CEC}"/>
    <cellStyle name="Currency 3 2 3 2 4 2 2 3" xfId="24902" xr:uid="{48770B92-A0B6-4218-8FF8-25C688440195}"/>
    <cellStyle name="Currency 3 2 3 2 4 2 3" xfId="12247" xr:uid="{B74A50A2-FFFC-450E-A77C-115AEF51A776}"/>
    <cellStyle name="Currency 3 2 3 2 4 2 4" xfId="20685" xr:uid="{7A9C2A84-71AB-4D22-AB25-3E48C578CE82}"/>
    <cellStyle name="Currency 3 2 3 2 4 3" xfId="5878" xr:uid="{00000000-0005-0000-0000-00000C0B0000}"/>
    <cellStyle name="Currency 3 2 3 2 4 3 2" xfId="14320" xr:uid="{7581076D-FBF4-455F-A3BD-F5F6CEF26532}"/>
    <cellStyle name="Currency 3 2 3 2 4 3 3" xfId="22757" xr:uid="{B3259FDA-529A-4333-9BA3-82C465D1C645}"/>
    <cellStyle name="Currency 3 2 3 2 4 4" xfId="10102" xr:uid="{4E6FF410-BBB8-4691-8291-AF0A0F4B7E94}"/>
    <cellStyle name="Currency 3 2 3 2 4 5" xfId="18540" xr:uid="{0D762857-7B9F-47F5-B142-948059FE77CE}"/>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2 2 2" xfId="16878" xr:uid="{44765708-F053-480A-BB7C-6AE5437E5707}"/>
    <cellStyle name="Currency 3 2 3 2 5 2 2 3" xfId="25315" xr:uid="{2611C282-AFDE-4866-BCCE-1020103C51C5}"/>
    <cellStyle name="Currency 3 2 3 2 5 2 3" xfId="12660" xr:uid="{B79E6F65-21D4-4531-ACBD-450129F6C2F5}"/>
    <cellStyle name="Currency 3 2 3 2 5 2 4" xfId="21098" xr:uid="{832085AF-8F3A-4992-BB25-06F6BDFFB395}"/>
    <cellStyle name="Currency 3 2 3 2 5 3" xfId="6291" xr:uid="{00000000-0005-0000-0000-0000100B0000}"/>
    <cellStyle name="Currency 3 2 3 2 5 3 2" xfId="14733" xr:uid="{346F9DDD-1065-4300-A3D9-36BFF8A0F87B}"/>
    <cellStyle name="Currency 3 2 3 2 5 3 3" xfId="23170" xr:uid="{408AAC5F-C978-4BAB-B3C5-09649910AD5B}"/>
    <cellStyle name="Currency 3 2 3 2 5 4" xfId="10515" xr:uid="{1D7EEFAB-F06E-4BE2-AB31-E1306F4ADBCF}"/>
    <cellStyle name="Currency 3 2 3 2 5 5" xfId="18953" xr:uid="{0385E375-8660-4B52-9F79-E6F7E736F5D0}"/>
    <cellStyle name="Currency 3 2 3 2 6" xfId="2419" xr:uid="{00000000-0005-0000-0000-0000110B0000}"/>
    <cellStyle name="Currency 3 2 3 2 6 2" xfId="6704" xr:uid="{00000000-0005-0000-0000-0000120B0000}"/>
    <cellStyle name="Currency 3 2 3 2 6 2 2" xfId="15146" xr:uid="{E09C1F18-337A-421F-8674-D1F444944FA1}"/>
    <cellStyle name="Currency 3 2 3 2 6 2 3" xfId="23583" xr:uid="{9EADBE2C-31FD-43D1-ABA3-67FC9C49C2F7}"/>
    <cellStyle name="Currency 3 2 3 2 6 3" xfId="10928" xr:uid="{21066770-E975-489D-AB66-8177BEF25C1D}"/>
    <cellStyle name="Currency 3 2 3 2 6 4" xfId="19366" xr:uid="{862A041D-21BB-4B6C-A164-E89A24735BC9}"/>
    <cellStyle name="Currency 3 2 3 2 7" xfId="2716" xr:uid="{00000000-0005-0000-0000-0000130B0000}"/>
    <cellStyle name="Currency 3 2 3 2 8" xfId="2797" xr:uid="{00000000-0005-0000-0000-0000140B0000}"/>
    <cellStyle name="Currency 3 2 3 2 8 2" xfId="7021" xr:uid="{00000000-0005-0000-0000-0000150B0000}"/>
    <cellStyle name="Currency 3 2 3 2 8 2 2" xfId="15463" xr:uid="{BA1F3029-C12E-4C4B-BAF7-907890258C74}"/>
    <cellStyle name="Currency 3 2 3 2 8 2 3" xfId="23900" xr:uid="{F46E0BC1-D696-4F92-9AED-8C3749FA0B06}"/>
    <cellStyle name="Currency 3 2 3 2 8 3" xfId="11245" xr:uid="{6E2A673F-95D9-4308-86BE-9AE3206B674D}"/>
    <cellStyle name="Currency 3 2 3 2 8 4" xfId="19683" xr:uid="{03F0BB5E-67E9-42A5-885D-C83358C25C93}"/>
    <cellStyle name="Currency 3 2 3 2 9" xfId="4638" xr:uid="{00000000-0005-0000-0000-0000160B0000}"/>
    <cellStyle name="Currency 3 2 3 2 9 2" xfId="13080" xr:uid="{DC6700E1-F53B-4766-B169-D1CEBE71BBC9}"/>
    <cellStyle name="Currency 3 2 3 2 9 3" xfId="21517" xr:uid="{1813D131-F4D8-4741-A262-EF25891B8A73}"/>
    <cellStyle name="Currency 3 2 3 3" xfId="712" xr:uid="{00000000-0005-0000-0000-0000170B0000}"/>
    <cellStyle name="Currency 3 2 3 3 2" xfId="2973" xr:uid="{00000000-0005-0000-0000-0000180B0000}"/>
    <cellStyle name="Currency 3 2 3 3 2 2" xfId="7196" xr:uid="{00000000-0005-0000-0000-0000190B0000}"/>
    <cellStyle name="Currency 3 2 3 3 2 2 2" xfId="15638" xr:uid="{DB64DC89-018A-46F7-8433-EFE33F4B84E4}"/>
    <cellStyle name="Currency 3 2 3 3 2 2 3" xfId="24075" xr:uid="{371A749A-CD07-4158-944F-0F695E8B08D9}"/>
    <cellStyle name="Currency 3 2 3 3 2 3" xfId="11420" xr:uid="{AADA0DB6-D569-437A-8465-B0F5734DC074}"/>
    <cellStyle name="Currency 3 2 3 3 2 4" xfId="19858" xr:uid="{4F11F8EF-0F6D-489C-9B76-BF30F5A61269}"/>
    <cellStyle name="Currency 3 2 3 3 3" xfId="5051" xr:uid="{00000000-0005-0000-0000-00001A0B0000}"/>
    <cellStyle name="Currency 3 2 3 3 3 2" xfId="13493" xr:uid="{4C23A1F6-256A-4F6B-A17A-BFC3317486B5}"/>
    <cellStyle name="Currency 3 2 3 3 3 3" xfId="21930" xr:uid="{3863DE5F-7FF2-4E14-A8C0-A171068C0B74}"/>
    <cellStyle name="Currency 3 2 3 3 4" xfId="9275" xr:uid="{147F35F4-0374-4252-AFBF-2795620EDDB7}"/>
    <cellStyle name="Currency 3 2 3 3 5" xfId="17713" xr:uid="{3238AC5B-9B78-46BB-96B2-D49BC3B5F306}"/>
    <cellStyle name="Currency 3 2 3 4" xfId="1155" xr:uid="{00000000-0005-0000-0000-00001B0B0000}"/>
    <cellStyle name="Currency 3 2 3 4 2" xfId="3386" xr:uid="{00000000-0005-0000-0000-00001C0B0000}"/>
    <cellStyle name="Currency 3 2 3 4 2 2" xfId="7609" xr:uid="{00000000-0005-0000-0000-00001D0B0000}"/>
    <cellStyle name="Currency 3 2 3 4 2 2 2" xfId="16051" xr:uid="{ACEFF880-8F42-495C-86AF-442C7C63BBBF}"/>
    <cellStyle name="Currency 3 2 3 4 2 2 3" xfId="24488" xr:uid="{144D2BCE-B8E6-4AF5-A95E-80B0FE32D1EE}"/>
    <cellStyle name="Currency 3 2 3 4 2 3" xfId="11833" xr:uid="{1D2C156C-CA98-4A9C-8814-DBA7C8042E34}"/>
    <cellStyle name="Currency 3 2 3 4 2 4" xfId="20271" xr:uid="{ABAB4F36-1B9A-4F73-966D-BF24BE9F6C05}"/>
    <cellStyle name="Currency 3 2 3 4 3" xfId="5464" xr:uid="{00000000-0005-0000-0000-00001E0B0000}"/>
    <cellStyle name="Currency 3 2 3 4 3 2" xfId="13906" xr:uid="{CDE60177-EF3C-4105-BD65-590A3F4200D2}"/>
    <cellStyle name="Currency 3 2 3 4 3 3" xfId="22343" xr:uid="{1470F7E5-5D98-4D41-B9EA-C1DCDDEED9CD}"/>
    <cellStyle name="Currency 3 2 3 4 4" xfId="9688" xr:uid="{21A0731A-DBBB-41E8-BC28-78F3CE08E14A}"/>
    <cellStyle name="Currency 3 2 3 4 5" xfId="18126" xr:uid="{54F01CAD-0930-4910-BC49-8CE90DFBF13F}"/>
    <cellStyle name="Currency 3 2 3 5" xfId="1569" xr:uid="{00000000-0005-0000-0000-00001F0B0000}"/>
    <cellStyle name="Currency 3 2 3 5 2" xfId="3799" xr:uid="{00000000-0005-0000-0000-0000200B0000}"/>
    <cellStyle name="Currency 3 2 3 5 2 2" xfId="8022" xr:uid="{00000000-0005-0000-0000-0000210B0000}"/>
    <cellStyle name="Currency 3 2 3 5 2 2 2" xfId="16464" xr:uid="{0BFE084A-95E2-4CAB-900D-92CA8B84D353}"/>
    <cellStyle name="Currency 3 2 3 5 2 2 3" xfId="24901" xr:uid="{F8AAABA4-1986-44B2-BB52-E5A3EC4842AF}"/>
    <cellStyle name="Currency 3 2 3 5 2 3" xfId="12246" xr:uid="{8496E7CA-0740-4A00-9866-39032E7811AC}"/>
    <cellStyle name="Currency 3 2 3 5 2 4" xfId="20684" xr:uid="{15025E9E-99FA-4B56-B228-E08E314F099C}"/>
    <cellStyle name="Currency 3 2 3 5 3" xfId="5877" xr:uid="{00000000-0005-0000-0000-0000220B0000}"/>
    <cellStyle name="Currency 3 2 3 5 3 2" xfId="14319" xr:uid="{5B4B1B49-DAB0-4B57-8489-115D6DC9F566}"/>
    <cellStyle name="Currency 3 2 3 5 3 3" xfId="22756" xr:uid="{6A3E550C-A721-41BD-9388-5C1B0EF84912}"/>
    <cellStyle name="Currency 3 2 3 5 4" xfId="10101" xr:uid="{BBE46059-6A2A-4AC5-8BDE-48ABF282CDF0}"/>
    <cellStyle name="Currency 3 2 3 5 5" xfId="18539" xr:uid="{ED096FCA-3D79-43E1-A569-D17C2EC6C43A}"/>
    <cellStyle name="Currency 3 2 3 6" xfId="1983" xr:uid="{00000000-0005-0000-0000-0000230B0000}"/>
    <cellStyle name="Currency 3 2 3 6 2" xfId="4212" xr:uid="{00000000-0005-0000-0000-0000240B0000}"/>
    <cellStyle name="Currency 3 2 3 6 2 2" xfId="8435" xr:uid="{00000000-0005-0000-0000-0000250B0000}"/>
    <cellStyle name="Currency 3 2 3 6 2 2 2" xfId="16877" xr:uid="{B595CB3D-645F-4898-95DD-9ACF8D282374}"/>
    <cellStyle name="Currency 3 2 3 6 2 2 3" xfId="25314" xr:uid="{AC247F1F-21CD-4407-B5DC-64EA6065F5B2}"/>
    <cellStyle name="Currency 3 2 3 6 2 3" xfId="12659" xr:uid="{622F13C4-6A08-4492-B81D-78655E031EF4}"/>
    <cellStyle name="Currency 3 2 3 6 2 4" xfId="21097" xr:uid="{C44CDEAF-0660-472C-A0B9-68BD92187955}"/>
    <cellStyle name="Currency 3 2 3 6 3" xfId="6290" xr:uid="{00000000-0005-0000-0000-0000260B0000}"/>
    <cellStyle name="Currency 3 2 3 6 3 2" xfId="14732" xr:uid="{13440124-C84B-4215-9083-F01F613CD18B}"/>
    <cellStyle name="Currency 3 2 3 6 3 3" xfId="23169" xr:uid="{4FC2D113-5D36-4274-BA33-C4CE335A9294}"/>
    <cellStyle name="Currency 3 2 3 6 4" xfId="10514" xr:uid="{C293AE0A-B057-4119-9CF3-6A85C1260D7F}"/>
    <cellStyle name="Currency 3 2 3 6 5" xfId="18952" xr:uid="{1FBE522C-80CD-4D13-82A8-0F3846D94110}"/>
    <cellStyle name="Currency 3 2 3 7" xfId="2418" xr:uid="{00000000-0005-0000-0000-0000270B0000}"/>
    <cellStyle name="Currency 3 2 3 7 2" xfId="6703" xr:uid="{00000000-0005-0000-0000-0000280B0000}"/>
    <cellStyle name="Currency 3 2 3 7 2 2" xfId="15145" xr:uid="{32E44B80-3C34-48D4-B6E4-E538A8980894}"/>
    <cellStyle name="Currency 3 2 3 7 2 3" xfId="23582" xr:uid="{E84B1B64-71C9-4AD7-A6D9-C7505500269A}"/>
    <cellStyle name="Currency 3 2 3 7 3" xfId="10927" xr:uid="{329D5288-01AD-46B5-A7C4-4A064F001800}"/>
    <cellStyle name="Currency 3 2 3 7 4" xfId="19365" xr:uid="{69886EC4-9CA8-485E-AD80-384D24D864C5}"/>
    <cellStyle name="Currency 3 2 3 8" xfId="2715" xr:uid="{00000000-0005-0000-0000-0000290B0000}"/>
    <cellStyle name="Currency 3 2 3 9" xfId="2796" xr:uid="{00000000-0005-0000-0000-00002A0B0000}"/>
    <cellStyle name="Currency 3 2 3 9 2" xfId="7020" xr:uid="{00000000-0005-0000-0000-00002B0B0000}"/>
    <cellStyle name="Currency 3 2 3 9 2 2" xfId="15462" xr:uid="{12591B26-700E-4568-94E1-281B0F2362CD}"/>
    <cellStyle name="Currency 3 2 3 9 2 3" xfId="23899" xr:uid="{834BBDB5-292F-4BE8-8FDF-F66C5903592B}"/>
    <cellStyle name="Currency 3 2 3 9 3" xfId="11244" xr:uid="{C107A048-265A-4568-863C-8B481DBFB1EC}"/>
    <cellStyle name="Currency 3 2 3 9 4" xfId="19682" xr:uid="{63A6B8F8-3F8E-4E3A-A08F-10A76FD6F44C}"/>
    <cellStyle name="Currency 3 2 4" xfId="184" xr:uid="{00000000-0005-0000-0000-00002C0B0000}"/>
    <cellStyle name="Currency 3 2 4 10" xfId="8863" xr:uid="{A415692F-4D76-4129-B783-DFA63426D56A}"/>
    <cellStyle name="Currency 3 2 4 11" xfId="17301" xr:uid="{6A193273-CA2D-4C53-B973-554F663D8443}"/>
    <cellStyle name="Currency 3 2 4 2" xfId="714" xr:uid="{00000000-0005-0000-0000-00002D0B0000}"/>
    <cellStyle name="Currency 3 2 4 2 2" xfId="2975" xr:uid="{00000000-0005-0000-0000-00002E0B0000}"/>
    <cellStyle name="Currency 3 2 4 2 2 2" xfId="7198" xr:uid="{00000000-0005-0000-0000-00002F0B0000}"/>
    <cellStyle name="Currency 3 2 4 2 2 2 2" xfId="15640" xr:uid="{0E9F3127-7385-444B-AD75-4EA412C218F1}"/>
    <cellStyle name="Currency 3 2 4 2 2 2 3" xfId="24077" xr:uid="{E80D1A50-63D9-49AB-8BB7-6682B4457E81}"/>
    <cellStyle name="Currency 3 2 4 2 2 3" xfId="11422" xr:uid="{FE91E521-7623-4E4F-A0A9-2B24AC709F12}"/>
    <cellStyle name="Currency 3 2 4 2 2 4" xfId="19860" xr:uid="{46FAA96D-3F48-4B48-958C-50C70FF34E0E}"/>
    <cellStyle name="Currency 3 2 4 2 3" xfId="5053" xr:uid="{00000000-0005-0000-0000-0000300B0000}"/>
    <cellStyle name="Currency 3 2 4 2 3 2" xfId="13495" xr:uid="{C29AF482-2789-4ADE-A145-295D7C8CCFE9}"/>
    <cellStyle name="Currency 3 2 4 2 3 3" xfId="21932" xr:uid="{4847EC83-D3E4-49A5-A79F-261C9CD66E3E}"/>
    <cellStyle name="Currency 3 2 4 2 4" xfId="9277" xr:uid="{9B5E939C-CF27-4686-B1E3-A00535EA5853}"/>
    <cellStyle name="Currency 3 2 4 2 5" xfId="17715" xr:uid="{E7A9DA6B-2457-41B3-A6DD-8F08A065F1A8}"/>
    <cellStyle name="Currency 3 2 4 3" xfId="1157" xr:uid="{00000000-0005-0000-0000-0000310B0000}"/>
    <cellStyle name="Currency 3 2 4 3 2" xfId="3388" xr:uid="{00000000-0005-0000-0000-0000320B0000}"/>
    <cellStyle name="Currency 3 2 4 3 2 2" xfId="7611" xr:uid="{00000000-0005-0000-0000-0000330B0000}"/>
    <cellStyle name="Currency 3 2 4 3 2 2 2" xfId="16053" xr:uid="{CC96BF3A-8DB3-47A6-A8EB-AA599910DAD9}"/>
    <cellStyle name="Currency 3 2 4 3 2 2 3" xfId="24490" xr:uid="{E692AD98-FEC1-434B-8C86-87AE4D8D4002}"/>
    <cellStyle name="Currency 3 2 4 3 2 3" xfId="11835" xr:uid="{F92B7E8D-40C4-4604-93A7-7D903A52CE6B}"/>
    <cellStyle name="Currency 3 2 4 3 2 4" xfId="20273" xr:uid="{8C1D42CF-C504-4010-918A-4A935169A51C}"/>
    <cellStyle name="Currency 3 2 4 3 3" xfId="5466" xr:uid="{00000000-0005-0000-0000-0000340B0000}"/>
    <cellStyle name="Currency 3 2 4 3 3 2" xfId="13908" xr:uid="{B95F1B07-8A5C-445E-8653-83EB99F0878A}"/>
    <cellStyle name="Currency 3 2 4 3 3 3" xfId="22345" xr:uid="{FD5BA873-2BC3-454E-9A7C-F193A1F2D59B}"/>
    <cellStyle name="Currency 3 2 4 3 4" xfId="9690" xr:uid="{C8AF55E6-A66E-42A4-95BD-14C802BF0BAD}"/>
    <cellStyle name="Currency 3 2 4 3 5" xfId="18128" xr:uid="{8FE0BF35-0506-4E9C-919E-6D03C4522063}"/>
    <cellStyle name="Currency 3 2 4 4" xfId="1571" xr:uid="{00000000-0005-0000-0000-0000350B0000}"/>
    <cellStyle name="Currency 3 2 4 4 2" xfId="3801" xr:uid="{00000000-0005-0000-0000-0000360B0000}"/>
    <cellStyle name="Currency 3 2 4 4 2 2" xfId="8024" xr:uid="{00000000-0005-0000-0000-0000370B0000}"/>
    <cellStyle name="Currency 3 2 4 4 2 2 2" xfId="16466" xr:uid="{1E2A3573-6A45-478E-8AED-01D1D9133930}"/>
    <cellStyle name="Currency 3 2 4 4 2 2 3" xfId="24903" xr:uid="{5200D772-B0BC-4087-AA4E-B0C76284B37B}"/>
    <cellStyle name="Currency 3 2 4 4 2 3" xfId="12248" xr:uid="{7EF6965F-FFF6-4B20-A9F9-68EFDF2BBB8D}"/>
    <cellStyle name="Currency 3 2 4 4 2 4" xfId="20686" xr:uid="{0E3E5B5C-62C7-4FEF-B4FC-36537AAFE684}"/>
    <cellStyle name="Currency 3 2 4 4 3" xfId="5879" xr:uid="{00000000-0005-0000-0000-0000380B0000}"/>
    <cellStyle name="Currency 3 2 4 4 3 2" xfId="14321" xr:uid="{AC73B778-2DC2-4824-8E0E-8D0548948632}"/>
    <cellStyle name="Currency 3 2 4 4 3 3" xfId="22758" xr:uid="{75FC2100-A28D-407C-89A5-603C0BA0BB6F}"/>
    <cellStyle name="Currency 3 2 4 4 4" xfId="10103" xr:uid="{52B96798-AF97-495B-A6FE-E746C329DE7E}"/>
    <cellStyle name="Currency 3 2 4 4 5" xfId="18541" xr:uid="{605990D3-0855-4C1A-9A35-9FA8BDF6233A}"/>
    <cellStyle name="Currency 3 2 4 5" xfId="1985" xr:uid="{00000000-0005-0000-0000-0000390B0000}"/>
    <cellStyle name="Currency 3 2 4 5 2" xfId="4214" xr:uid="{00000000-0005-0000-0000-00003A0B0000}"/>
    <cellStyle name="Currency 3 2 4 5 2 2" xfId="8437" xr:uid="{00000000-0005-0000-0000-00003B0B0000}"/>
    <cellStyle name="Currency 3 2 4 5 2 2 2" xfId="16879" xr:uid="{39A70CA4-B7FC-4B56-BDB5-88530160F5A6}"/>
    <cellStyle name="Currency 3 2 4 5 2 2 3" xfId="25316" xr:uid="{F1720679-43EA-4DFE-866E-BC9D06D3803B}"/>
    <cellStyle name="Currency 3 2 4 5 2 3" xfId="12661" xr:uid="{E56EB046-221E-4AA2-AC24-A14BB5D3348B}"/>
    <cellStyle name="Currency 3 2 4 5 2 4" xfId="21099" xr:uid="{2FD602C5-9BAF-428D-8E9B-1B410C93E983}"/>
    <cellStyle name="Currency 3 2 4 5 3" xfId="6292" xr:uid="{00000000-0005-0000-0000-00003C0B0000}"/>
    <cellStyle name="Currency 3 2 4 5 3 2" xfId="14734" xr:uid="{7C8A0AFD-65DB-4951-ACD2-FC1060213621}"/>
    <cellStyle name="Currency 3 2 4 5 3 3" xfId="23171" xr:uid="{1576A756-CA48-40EA-A518-A56B961F4D6E}"/>
    <cellStyle name="Currency 3 2 4 5 4" xfId="10516" xr:uid="{5670053A-A7C8-4240-92D9-437F5571F156}"/>
    <cellStyle name="Currency 3 2 4 5 5" xfId="18954" xr:uid="{AE1BAEF5-6600-414B-B255-C7A789FB806D}"/>
    <cellStyle name="Currency 3 2 4 6" xfId="2420" xr:uid="{00000000-0005-0000-0000-00003D0B0000}"/>
    <cellStyle name="Currency 3 2 4 6 2" xfId="6705" xr:uid="{00000000-0005-0000-0000-00003E0B0000}"/>
    <cellStyle name="Currency 3 2 4 6 2 2" xfId="15147" xr:uid="{9A26DC5F-87C6-4106-A6D0-DD812A7D746B}"/>
    <cellStyle name="Currency 3 2 4 6 2 3" xfId="23584" xr:uid="{9AC5A4A8-33F5-40B6-9288-9FE1107C41A4}"/>
    <cellStyle name="Currency 3 2 4 6 3" xfId="10929" xr:uid="{B2EB5C82-06D7-47D6-918D-41568EE9C6B5}"/>
    <cellStyle name="Currency 3 2 4 6 4" xfId="19367" xr:uid="{00FE419B-71F7-485C-9931-F2E791311620}"/>
    <cellStyle name="Currency 3 2 4 7" xfId="2717" xr:uid="{00000000-0005-0000-0000-00003F0B0000}"/>
    <cellStyle name="Currency 3 2 4 8" xfId="2798" xr:uid="{00000000-0005-0000-0000-0000400B0000}"/>
    <cellStyle name="Currency 3 2 4 8 2" xfId="7022" xr:uid="{00000000-0005-0000-0000-0000410B0000}"/>
    <cellStyle name="Currency 3 2 4 8 2 2" xfId="15464" xr:uid="{6A5465A1-545C-43A8-BF5B-808858EB4E4F}"/>
    <cellStyle name="Currency 3 2 4 8 2 3" xfId="23901" xr:uid="{8EDDCC84-BC2B-439A-9D15-E7BB9677631B}"/>
    <cellStyle name="Currency 3 2 4 8 3" xfId="11246" xr:uid="{C407EDA6-2354-4E58-B2F9-6B66A5917D90}"/>
    <cellStyle name="Currency 3 2 4 8 4" xfId="19684" xr:uid="{1564FAE7-B3FB-4E51-89B6-E6FA7C6631FE}"/>
    <cellStyle name="Currency 3 2 4 9" xfId="4639" xr:uid="{00000000-0005-0000-0000-0000420B0000}"/>
    <cellStyle name="Currency 3 2 4 9 2" xfId="13081" xr:uid="{68998881-AD7D-4962-B709-65E2F10229F1}"/>
    <cellStyle name="Currency 3 2 4 9 3" xfId="21518" xr:uid="{4DF66AB7-9A1E-4F04-9507-B5AC68AF0429}"/>
    <cellStyle name="Currency 3 2 5" xfId="185" xr:uid="{00000000-0005-0000-0000-0000430B0000}"/>
    <cellStyle name="Currency 3 2 5 10" xfId="8864" xr:uid="{7CDB8AF7-C959-4540-B621-CFBE2A9C76F5}"/>
    <cellStyle name="Currency 3 2 5 11" xfId="17302" xr:uid="{E4277E6B-C286-4CF6-B1A2-18697DE942A9}"/>
    <cellStyle name="Currency 3 2 5 2" xfId="715" xr:uid="{00000000-0005-0000-0000-0000440B0000}"/>
    <cellStyle name="Currency 3 2 5 2 2" xfId="2976" xr:uid="{00000000-0005-0000-0000-0000450B0000}"/>
    <cellStyle name="Currency 3 2 5 2 2 2" xfId="7199" xr:uid="{00000000-0005-0000-0000-0000460B0000}"/>
    <cellStyle name="Currency 3 2 5 2 2 2 2" xfId="15641" xr:uid="{06AB0D28-54E2-4951-B2EF-62B39F044124}"/>
    <cellStyle name="Currency 3 2 5 2 2 2 3" xfId="24078" xr:uid="{7BFBED2B-97F9-4C7E-8A7E-CEF2E769E133}"/>
    <cellStyle name="Currency 3 2 5 2 2 3" xfId="11423" xr:uid="{D3BBE9FB-2363-4722-9884-9A3F846CD57C}"/>
    <cellStyle name="Currency 3 2 5 2 2 4" xfId="19861" xr:uid="{D7976A2F-72CD-4FBA-BB97-7EA4AC98B7F1}"/>
    <cellStyle name="Currency 3 2 5 2 3" xfId="5054" xr:uid="{00000000-0005-0000-0000-0000470B0000}"/>
    <cellStyle name="Currency 3 2 5 2 3 2" xfId="13496" xr:uid="{0A61A31E-87DF-4145-B4EB-D73931F40CA7}"/>
    <cellStyle name="Currency 3 2 5 2 3 3" xfId="21933" xr:uid="{24182992-808D-43D2-952B-BDE1767D9571}"/>
    <cellStyle name="Currency 3 2 5 2 4" xfId="9278" xr:uid="{D29EC7DA-2FC4-4F0D-AC6E-449293858730}"/>
    <cellStyle name="Currency 3 2 5 2 5" xfId="17716" xr:uid="{EE997989-AC4F-4CAA-BDB8-D313E8F1CF38}"/>
    <cellStyle name="Currency 3 2 5 3" xfId="1158" xr:uid="{00000000-0005-0000-0000-0000480B0000}"/>
    <cellStyle name="Currency 3 2 5 3 2" xfId="3389" xr:uid="{00000000-0005-0000-0000-0000490B0000}"/>
    <cellStyle name="Currency 3 2 5 3 2 2" xfId="7612" xr:uid="{00000000-0005-0000-0000-00004A0B0000}"/>
    <cellStyle name="Currency 3 2 5 3 2 2 2" xfId="16054" xr:uid="{3FBCC651-0290-42A8-88BF-26AB35B6AE0C}"/>
    <cellStyle name="Currency 3 2 5 3 2 2 3" xfId="24491" xr:uid="{F92B7697-629F-4539-AA9E-8EA0D179F98C}"/>
    <cellStyle name="Currency 3 2 5 3 2 3" xfId="11836" xr:uid="{0F18C45A-F87B-4A83-954D-5F3775B881DE}"/>
    <cellStyle name="Currency 3 2 5 3 2 4" xfId="20274" xr:uid="{D4B8431F-C08D-4DC1-88E3-0B52F7D9A8DF}"/>
    <cellStyle name="Currency 3 2 5 3 3" xfId="5467" xr:uid="{00000000-0005-0000-0000-00004B0B0000}"/>
    <cellStyle name="Currency 3 2 5 3 3 2" xfId="13909" xr:uid="{412F5990-C769-4EA6-B5AF-6ACC47390A9C}"/>
    <cellStyle name="Currency 3 2 5 3 3 3" xfId="22346" xr:uid="{9AEBCFA9-982D-4C19-97AC-13CF4BE11C0E}"/>
    <cellStyle name="Currency 3 2 5 3 4" xfId="9691" xr:uid="{9D6244EC-5DE8-49DB-8C6D-31679AD828A7}"/>
    <cellStyle name="Currency 3 2 5 3 5" xfId="18129" xr:uid="{174A11B6-07E8-4540-B8CE-E41CC24F4302}"/>
    <cellStyle name="Currency 3 2 5 4" xfId="1572" xr:uid="{00000000-0005-0000-0000-00004C0B0000}"/>
    <cellStyle name="Currency 3 2 5 4 2" xfId="3802" xr:uid="{00000000-0005-0000-0000-00004D0B0000}"/>
    <cellStyle name="Currency 3 2 5 4 2 2" xfId="8025" xr:uid="{00000000-0005-0000-0000-00004E0B0000}"/>
    <cellStyle name="Currency 3 2 5 4 2 2 2" xfId="16467" xr:uid="{78C1DCCB-ED90-4E32-B268-663CD167A697}"/>
    <cellStyle name="Currency 3 2 5 4 2 2 3" xfId="24904" xr:uid="{99A1D2EB-F0E0-4636-9094-FE9B79DA7FFB}"/>
    <cellStyle name="Currency 3 2 5 4 2 3" xfId="12249" xr:uid="{B11439F6-D0F8-4B96-BCEC-365379104EBC}"/>
    <cellStyle name="Currency 3 2 5 4 2 4" xfId="20687" xr:uid="{905397CE-DE09-4A1D-A693-759D5057302A}"/>
    <cellStyle name="Currency 3 2 5 4 3" xfId="5880" xr:uid="{00000000-0005-0000-0000-00004F0B0000}"/>
    <cellStyle name="Currency 3 2 5 4 3 2" xfId="14322" xr:uid="{BEFAD4CB-83CA-4C16-9204-11C722BB6D84}"/>
    <cellStyle name="Currency 3 2 5 4 3 3" xfId="22759" xr:uid="{F88373FA-D4D7-407A-948B-7A42B4ACF819}"/>
    <cellStyle name="Currency 3 2 5 4 4" xfId="10104" xr:uid="{F813BA14-11B4-4AF4-BBA3-278A87F03C11}"/>
    <cellStyle name="Currency 3 2 5 4 5" xfId="18542" xr:uid="{0F930023-B160-43AB-BD5C-F709F80742FC}"/>
    <cellStyle name="Currency 3 2 5 5" xfId="1986" xr:uid="{00000000-0005-0000-0000-0000500B0000}"/>
    <cellStyle name="Currency 3 2 5 5 2" xfId="4215" xr:uid="{00000000-0005-0000-0000-0000510B0000}"/>
    <cellStyle name="Currency 3 2 5 5 2 2" xfId="8438" xr:uid="{00000000-0005-0000-0000-0000520B0000}"/>
    <cellStyle name="Currency 3 2 5 5 2 2 2" xfId="16880" xr:uid="{A509AEDB-1587-4A3D-9818-B8ADD040EA53}"/>
    <cellStyle name="Currency 3 2 5 5 2 2 3" xfId="25317" xr:uid="{4ACD0D9D-3831-405C-8FA8-083CE484FF04}"/>
    <cellStyle name="Currency 3 2 5 5 2 3" xfId="12662" xr:uid="{99DA079D-C664-439D-AE28-A70CD0C64579}"/>
    <cellStyle name="Currency 3 2 5 5 2 4" xfId="21100" xr:uid="{BF7AE655-0275-49F9-A776-80BE54485553}"/>
    <cellStyle name="Currency 3 2 5 5 3" xfId="6293" xr:uid="{00000000-0005-0000-0000-0000530B0000}"/>
    <cellStyle name="Currency 3 2 5 5 3 2" xfId="14735" xr:uid="{5ECC6336-EF96-448B-92D6-A5B0207198BB}"/>
    <cellStyle name="Currency 3 2 5 5 3 3" xfId="23172" xr:uid="{5951AED7-24F5-4425-8F5B-5AC9128E4506}"/>
    <cellStyle name="Currency 3 2 5 5 4" xfId="10517" xr:uid="{7A4F20BA-A9E0-42F5-B3F6-CF25731A1523}"/>
    <cellStyle name="Currency 3 2 5 5 5" xfId="18955" xr:uid="{16106C05-651F-40DF-8234-1C6B9F36345B}"/>
    <cellStyle name="Currency 3 2 5 6" xfId="2421" xr:uid="{00000000-0005-0000-0000-0000540B0000}"/>
    <cellStyle name="Currency 3 2 5 6 2" xfId="6706" xr:uid="{00000000-0005-0000-0000-0000550B0000}"/>
    <cellStyle name="Currency 3 2 5 6 2 2" xfId="15148" xr:uid="{A0779327-8C80-4C6A-AAB8-DEB36566634E}"/>
    <cellStyle name="Currency 3 2 5 6 2 3" xfId="23585" xr:uid="{E1482FB4-EC95-474B-BC93-2C11573B207E}"/>
    <cellStyle name="Currency 3 2 5 6 3" xfId="10930" xr:uid="{422EFBBF-53EA-4FE3-9D49-286A0C68BB49}"/>
    <cellStyle name="Currency 3 2 5 6 4" xfId="19368" xr:uid="{969336C5-E450-4E42-8966-5191CAA2E630}"/>
    <cellStyle name="Currency 3 2 5 7" xfId="2718" xr:uid="{00000000-0005-0000-0000-0000560B0000}"/>
    <cellStyle name="Currency 3 2 5 8" xfId="2799" xr:uid="{00000000-0005-0000-0000-0000570B0000}"/>
    <cellStyle name="Currency 3 2 5 8 2" xfId="7023" xr:uid="{00000000-0005-0000-0000-0000580B0000}"/>
    <cellStyle name="Currency 3 2 5 8 2 2" xfId="15465" xr:uid="{31E2E73D-F3CA-4CFB-A08D-426844D5FD11}"/>
    <cellStyle name="Currency 3 2 5 8 2 3" xfId="23902" xr:uid="{1DCD47D0-D10B-4FDF-B824-1B3B9FC0A639}"/>
    <cellStyle name="Currency 3 2 5 8 3" xfId="11247" xr:uid="{4A3C4C40-64CD-4F2C-BA21-D2670CD81166}"/>
    <cellStyle name="Currency 3 2 5 8 4" xfId="19685" xr:uid="{6B2B4E80-2F4D-41D2-A828-89954885DB48}"/>
    <cellStyle name="Currency 3 2 5 9" xfId="4640" xr:uid="{00000000-0005-0000-0000-0000590B0000}"/>
    <cellStyle name="Currency 3 2 5 9 2" xfId="13082" xr:uid="{39CC1288-492D-4C72-9A4A-0D5FE76091EF}"/>
    <cellStyle name="Currency 3 2 5 9 3" xfId="21519" xr:uid="{5ADC99AD-40C2-4B22-A754-B359132B71F3}"/>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0 2 2" xfId="15466" xr:uid="{DFB8F902-3F9D-49B4-B3C2-F29A1E1A21A6}"/>
    <cellStyle name="Currency 5 2 2 2 10 2 3" xfId="23903" xr:uid="{2DEE892E-B084-439B-9679-6494AFA0F1FC}"/>
    <cellStyle name="Currency 5 2 2 2 10 3" xfId="11248" xr:uid="{2815E32C-6F79-4839-8012-814E2DAC1F5B}"/>
    <cellStyle name="Currency 5 2 2 2 10 4" xfId="19686" xr:uid="{E512E36A-008A-4178-B533-5C601D47A0B9}"/>
    <cellStyle name="Currency 5 2 2 2 11" xfId="4641" xr:uid="{00000000-0005-0000-0000-00006C0B0000}"/>
    <cellStyle name="Currency 5 2 2 2 11 2" xfId="13083" xr:uid="{BDE4FC91-3A48-4A70-892D-548899FFA39E}"/>
    <cellStyle name="Currency 5 2 2 2 11 3" xfId="21520" xr:uid="{F6145BA3-8D5F-4A90-BE65-BA6887B1BCC2}"/>
    <cellStyle name="Currency 5 2 2 2 12" xfId="8865" xr:uid="{266820E9-5E52-4AD5-83B1-645803730512}"/>
    <cellStyle name="Currency 5 2 2 2 13" xfId="17303" xr:uid="{73E7CEA8-67B6-4E2F-BB7B-88161C741894}"/>
    <cellStyle name="Currency 5 2 2 2 2" xfId="197" xr:uid="{00000000-0005-0000-0000-00006D0B0000}"/>
    <cellStyle name="Currency 5 2 2 2 2 10" xfId="4642" xr:uid="{00000000-0005-0000-0000-00006E0B0000}"/>
    <cellStyle name="Currency 5 2 2 2 2 10 2" xfId="13084" xr:uid="{A1982FE8-A4D2-4418-B86D-91EACB9EC854}"/>
    <cellStyle name="Currency 5 2 2 2 2 10 3" xfId="21521" xr:uid="{6B1F60D5-BEEE-400F-87BB-CAA2A138076D}"/>
    <cellStyle name="Currency 5 2 2 2 2 11" xfId="8866" xr:uid="{36ECC60C-B5A3-46D2-9BB5-A43D39B40D5F}"/>
    <cellStyle name="Currency 5 2 2 2 2 12" xfId="17304" xr:uid="{BC49F6FF-B4F2-4511-8EF1-B5AF5FF52090}"/>
    <cellStyle name="Currency 5 2 2 2 2 2" xfId="198" xr:uid="{00000000-0005-0000-0000-00006F0B0000}"/>
    <cellStyle name="Currency 5 2 2 2 2 2 10" xfId="8867" xr:uid="{CA0678B7-820C-4F1B-B7C4-41355B2393D5}"/>
    <cellStyle name="Currency 5 2 2 2 2 2 11" xfId="17305" xr:uid="{2FD9473D-60C2-4474-B039-A1612FE6DF8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2 2 2" xfId="15644" xr:uid="{677CF899-C658-45DC-8756-EFB5E086DE89}"/>
    <cellStyle name="Currency 5 2 2 2 2 2 2 2 2 3" xfId="24081" xr:uid="{C74B7E6A-7AD0-4316-818A-946954F965C3}"/>
    <cellStyle name="Currency 5 2 2 2 2 2 2 2 3" xfId="11426" xr:uid="{5F027574-3E56-4C63-9FCE-DA9436E72A15}"/>
    <cellStyle name="Currency 5 2 2 2 2 2 2 2 4" xfId="19864" xr:uid="{51483832-E29D-4422-874C-41C719C48181}"/>
    <cellStyle name="Currency 5 2 2 2 2 2 2 3" xfId="5057" xr:uid="{00000000-0005-0000-0000-0000730B0000}"/>
    <cellStyle name="Currency 5 2 2 2 2 2 2 3 2" xfId="13499" xr:uid="{327A5FA5-751E-4C20-8700-A21C6D0C8D72}"/>
    <cellStyle name="Currency 5 2 2 2 2 2 2 3 3" xfId="21936" xr:uid="{86B4D9BF-BA58-4595-B422-C73005C11067}"/>
    <cellStyle name="Currency 5 2 2 2 2 2 2 4" xfId="9281" xr:uid="{C027B60B-1661-49C8-A001-445A45DF9D87}"/>
    <cellStyle name="Currency 5 2 2 2 2 2 2 5" xfId="17719" xr:uid="{425278D2-6A20-4713-A5E9-7F2F4505D5A3}"/>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2 2 2" xfId="16057" xr:uid="{8FB5FD09-2DDC-40A9-89D2-8841C57688B4}"/>
    <cellStyle name="Currency 5 2 2 2 2 2 3 2 2 3" xfId="24494" xr:uid="{3EFBB155-E297-4261-BA9A-4F03FC3172BD}"/>
    <cellStyle name="Currency 5 2 2 2 2 2 3 2 3" xfId="11839" xr:uid="{C639E9A8-B97A-47F5-B677-C8BBFDE79474}"/>
    <cellStyle name="Currency 5 2 2 2 2 2 3 2 4" xfId="20277" xr:uid="{FB9621CF-509D-46B9-B514-76507821FE52}"/>
    <cellStyle name="Currency 5 2 2 2 2 2 3 3" xfId="5470" xr:uid="{00000000-0005-0000-0000-0000770B0000}"/>
    <cellStyle name="Currency 5 2 2 2 2 2 3 3 2" xfId="13912" xr:uid="{9869CF4E-DF09-46AD-A290-C630D51FBCBB}"/>
    <cellStyle name="Currency 5 2 2 2 2 2 3 3 3" xfId="22349" xr:uid="{F0FB3962-E364-4956-A18D-6FDAF4921D5E}"/>
    <cellStyle name="Currency 5 2 2 2 2 2 3 4" xfId="9694" xr:uid="{B79C0608-B963-49BE-B0B6-F600D801CB10}"/>
    <cellStyle name="Currency 5 2 2 2 2 2 3 5" xfId="18132" xr:uid="{BCDCB3B1-4612-42C8-9984-49A9648384B7}"/>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2 2 2" xfId="16470" xr:uid="{8064BCE6-447F-4896-B33F-39AB1813A6F4}"/>
    <cellStyle name="Currency 5 2 2 2 2 2 4 2 2 3" xfId="24907" xr:uid="{B551A48A-4225-4914-9D0D-F8FB49172E12}"/>
    <cellStyle name="Currency 5 2 2 2 2 2 4 2 3" xfId="12252" xr:uid="{58B38C93-F30B-4409-B3DC-EC31EE589BC9}"/>
    <cellStyle name="Currency 5 2 2 2 2 2 4 2 4" xfId="20690" xr:uid="{9574B6CA-4615-49A4-9FB1-A4F56F8006F5}"/>
    <cellStyle name="Currency 5 2 2 2 2 2 4 3" xfId="5883" xr:uid="{00000000-0005-0000-0000-00007B0B0000}"/>
    <cellStyle name="Currency 5 2 2 2 2 2 4 3 2" xfId="14325" xr:uid="{5917401A-321A-4B9E-81CB-60FD7B7D022D}"/>
    <cellStyle name="Currency 5 2 2 2 2 2 4 3 3" xfId="22762" xr:uid="{C15F4461-5D4B-4E1B-95FB-E5C2A3B35F27}"/>
    <cellStyle name="Currency 5 2 2 2 2 2 4 4" xfId="10107" xr:uid="{ADAAA58A-1260-4038-A532-3A280645E410}"/>
    <cellStyle name="Currency 5 2 2 2 2 2 4 5" xfId="18545" xr:uid="{DCF513A4-6A9D-4FF2-95C7-79D9723479DC}"/>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2 2 2" xfId="16883" xr:uid="{7DBAA97C-7784-4F6C-9905-9A38F6664058}"/>
    <cellStyle name="Currency 5 2 2 2 2 2 5 2 2 3" xfId="25320" xr:uid="{6099230C-CE1C-44B0-936D-43DDF0F78C00}"/>
    <cellStyle name="Currency 5 2 2 2 2 2 5 2 3" xfId="12665" xr:uid="{82FB0219-3A5A-4E38-9075-2E4C3AE0E2AB}"/>
    <cellStyle name="Currency 5 2 2 2 2 2 5 2 4" xfId="21103" xr:uid="{A325EEC9-B100-42D8-AC70-8DDC6BFBDFD6}"/>
    <cellStyle name="Currency 5 2 2 2 2 2 5 3" xfId="6296" xr:uid="{00000000-0005-0000-0000-00007F0B0000}"/>
    <cellStyle name="Currency 5 2 2 2 2 2 5 3 2" xfId="14738" xr:uid="{C1373EE9-28E0-4354-BE04-1B8EB80805C5}"/>
    <cellStyle name="Currency 5 2 2 2 2 2 5 3 3" xfId="23175" xr:uid="{F22DCCA5-C8D0-4319-82C4-C556CD08C2F4}"/>
    <cellStyle name="Currency 5 2 2 2 2 2 5 4" xfId="10520" xr:uid="{57B17491-ED5D-4265-A68F-D773589D8EF3}"/>
    <cellStyle name="Currency 5 2 2 2 2 2 5 5" xfId="18958" xr:uid="{3A903AB0-8607-409B-B203-167ACA3FB04C}"/>
    <cellStyle name="Currency 5 2 2 2 2 2 6" xfId="2424" xr:uid="{00000000-0005-0000-0000-0000800B0000}"/>
    <cellStyle name="Currency 5 2 2 2 2 2 6 2" xfId="6709" xr:uid="{00000000-0005-0000-0000-0000810B0000}"/>
    <cellStyle name="Currency 5 2 2 2 2 2 6 2 2" xfId="15151" xr:uid="{1A4397A5-B641-42C5-BE4E-13CDB1E142B4}"/>
    <cellStyle name="Currency 5 2 2 2 2 2 6 2 3" xfId="23588" xr:uid="{760E5B78-93A9-40D3-A4E0-E59C039178EA}"/>
    <cellStyle name="Currency 5 2 2 2 2 2 6 3" xfId="10933" xr:uid="{6651D611-C435-43BC-A1B3-564E51AD0D79}"/>
    <cellStyle name="Currency 5 2 2 2 2 2 6 4" xfId="19371" xr:uid="{271135A1-151C-453C-954A-158C6B1D38C2}"/>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8 2 2" xfId="15468" xr:uid="{D4A709D2-6AFD-426E-AF76-B09B62B854B5}"/>
    <cellStyle name="Currency 5 2 2 2 2 2 8 2 3" xfId="23905" xr:uid="{94D463C7-4D87-460A-A96C-F0CECF80C7CA}"/>
    <cellStyle name="Currency 5 2 2 2 2 2 8 3" xfId="11250" xr:uid="{B68DD127-279F-45C4-8C47-6BCB2B2498B4}"/>
    <cellStyle name="Currency 5 2 2 2 2 2 8 4" xfId="19688" xr:uid="{A22266D4-6095-45F8-892F-660265743528}"/>
    <cellStyle name="Currency 5 2 2 2 2 2 9" xfId="4643" xr:uid="{00000000-0005-0000-0000-0000850B0000}"/>
    <cellStyle name="Currency 5 2 2 2 2 2 9 2" xfId="13085" xr:uid="{C5DA4B54-1A85-4C70-AEC4-7927F389F771}"/>
    <cellStyle name="Currency 5 2 2 2 2 2 9 3" xfId="21522" xr:uid="{026BF17C-D520-4E24-9D0B-95A0C01D948B}"/>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2 2 2" xfId="15643" xr:uid="{BB65990E-6098-4535-ACDC-20C111CB56CC}"/>
    <cellStyle name="Currency 5 2 2 2 2 3 2 2 3" xfId="24080" xr:uid="{6A20E4AC-04C6-4200-A68A-F23978D34909}"/>
    <cellStyle name="Currency 5 2 2 2 2 3 2 3" xfId="11425" xr:uid="{FBB75F9F-6327-4615-8A14-66B7243B3D11}"/>
    <cellStyle name="Currency 5 2 2 2 2 3 2 4" xfId="19863" xr:uid="{560142B2-4461-4D36-9632-E2DE83BF9974}"/>
    <cellStyle name="Currency 5 2 2 2 2 3 3" xfId="5056" xr:uid="{00000000-0005-0000-0000-0000890B0000}"/>
    <cellStyle name="Currency 5 2 2 2 2 3 3 2" xfId="13498" xr:uid="{D90BFF32-950C-499A-8F24-2A33E84B44CF}"/>
    <cellStyle name="Currency 5 2 2 2 2 3 3 3" xfId="21935" xr:uid="{66C206B0-FE90-449C-935E-D589697EE9AC}"/>
    <cellStyle name="Currency 5 2 2 2 2 3 4" xfId="9280" xr:uid="{ABFD97ED-F101-4D46-8FAD-B164A9F398AF}"/>
    <cellStyle name="Currency 5 2 2 2 2 3 5" xfId="17718" xr:uid="{BB15E8FA-0AC6-4799-B310-055C94D8011D}"/>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2 2 2" xfId="16056" xr:uid="{DB35FA83-79B3-403E-B455-A227EBB1B719}"/>
    <cellStyle name="Currency 5 2 2 2 2 4 2 2 3" xfId="24493" xr:uid="{464248AB-6B98-4A34-A142-2762E6930B37}"/>
    <cellStyle name="Currency 5 2 2 2 2 4 2 3" xfId="11838" xr:uid="{54084F4D-CE24-4CCE-9E66-7F3E42297DBA}"/>
    <cellStyle name="Currency 5 2 2 2 2 4 2 4" xfId="20276" xr:uid="{CD3844F9-A387-4A8D-AC99-C17F1731930D}"/>
    <cellStyle name="Currency 5 2 2 2 2 4 3" xfId="5469" xr:uid="{00000000-0005-0000-0000-00008D0B0000}"/>
    <cellStyle name="Currency 5 2 2 2 2 4 3 2" xfId="13911" xr:uid="{1B61444D-6CB5-4345-B71E-38C9B4AE4C32}"/>
    <cellStyle name="Currency 5 2 2 2 2 4 3 3" xfId="22348" xr:uid="{CCAB4EC7-FF97-4C8A-A109-5F6D35ED16A4}"/>
    <cellStyle name="Currency 5 2 2 2 2 4 4" xfId="9693" xr:uid="{38963313-2B56-44BE-AAA4-A40ACF6CD7C0}"/>
    <cellStyle name="Currency 5 2 2 2 2 4 5" xfId="18131" xr:uid="{8987E487-0112-4FB3-86FC-F49D2021208A}"/>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2 2 2" xfId="16469" xr:uid="{33F90E11-9051-4346-B505-ABC7855EF8B9}"/>
    <cellStyle name="Currency 5 2 2 2 2 5 2 2 3" xfId="24906" xr:uid="{0F5EC561-FCC0-4794-B1C1-DE8151AD84E7}"/>
    <cellStyle name="Currency 5 2 2 2 2 5 2 3" xfId="12251" xr:uid="{75E6D5F4-90AF-4C3B-855B-9BF32D0BB507}"/>
    <cellStyle name="Currency 5 2 2 2 2 5 2 4" xfId="20689" xr:uid="{829B3201-D603-49A4-9A79-DA8AE6223A55}"/>
    <cellStyle name="Currency 5 2 2 2 2 5 3" xfId="5882" xr:uid="{00000000-0005-0000-0000-0000910B0000}"/>
    <cellStyle name="Currency 5 2 2 2 2 5 3 2" xfId="14324" xr:uid="{BD63ACCB-22C3-4727-82B5-C7FA72BCF12E}"/>
    <cellStyle name="Currency 5 2 2 2 2 5 3 3" xfId="22761" xr:uid="{C178A3CC-82B8-4619-BFD3-1125C72C3665}"/>
    <cellStyle name="Currency 5 2 2 2 2 5 4" xfId="10106" xr:uid="{2060E12B-F380-41F3-AF2E-CA192733BAE7}"/>
    <cellStyle name="Currency 5 2 2 2 2 5 5" xfId="18544" xr:uid="{7470EB84-0401-44FC-967B-F8F9350F8A89}"/>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2 2 2" xfId="16882" xr:uid="{7CF79989-ECA4-4A66-8B8C-E921AAF1C562}"/>
    <cellStyle name="Currency 5 2 2 2 2 6 2 2 3" xfId="25319" xr:uid="{F2318940-B388-482D-BE04-A365C574EF2E}"/>
    <cellStyle name="Currency 5 2 2 2 2 6 2 3" xfId="12664" xr:uid="{74B12CEA-1E49-4736-AFFD-2B444EEA5462}"/>
    <cellStyle name="Currency 5 2 2 2 2 6 2 4" xfId="21102" xr:uid="{B855AA7A-374C-4A8D-B744-999A8BB45F89}"/>
    <cellStyle name="Currency 5 2 2 2 2 6 3" xfId="6295" xr:uid="{00000000-0005-0000-0000-0000950B0000}"/>
    <cellStyle name="Currency 5 2 2 2 2 6 3 2" xfId="14737" xr:uid="{67650D85-2D69-41FF-A826-CAB8E8EC1AC1}"/>
    <cellStyle name="Currency 5 2 2 2 2 6 3 3" xfId="23174" xr:uid="{33B5E5D7-F798-4532-B7A0-597A25B9B1AA}"/>
    <cellStyle name="Currency 5 2 2 2 2 6 4" xfId="10519" xr:uid="{D890E542-A047-4532-B46F-39B6F3EFF6BF}"/>
    <cellStyle name="Currency 5 2 2 2 2 6 5" xfId="18957" xr:uid="{6BE41EB7-5BFF-4BB2-9CD6-E21876008D83}"/>
    <cellStyle name="Currency 5 2 2 2 2 7" xfId="2423" xr:uid="{00000000-0005-0000-0000-0000960B0000}"/>
    <cellStyle name="Currency 5 2 2 2 2 7 2" xfId="6708" xr:uid="{00000000-0005-0000-0000-0000970B0000}"/>
    <cellStyle name="Currency 5 2 2 2 2 7 2 2" xfId="15150" xr:uid="{1FE63798-4913-4C03-BCB9-9DD6C4A9894F}"/>
    <cellStyle name="Currency 5 2 2 2 2 7 2 3" xfId="23587" xr:uid="{01EF0B07-495C-4225-ACDC-20AFDCF996D9}"/>
    <cellStyle name="Currency 5 2 2 2 2 7 3" xfId="10932" xr:uid="{BB31C18B-D4C4-415D-87FA-044B7C26A0EF}"/>
    <cellStyle name="Currency 5 2 2 2 2 7 4" xfId="19370" xr:uid="{FAE31F20-FE5F-4AC4-8F9F-61AC15191F77}"/>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2 9 2 2" xfId="15467" xr:uid="{BEB95B73-75A0-4C9C-ACFB-54BB756A02AA}"/>
    <cellStyle name="Currency 5 2 2 2 2 9 2 3" xfId="23904" xr:uid="{8DB51E27-D0CE-49A3-A051-7AFDA2A7BA6E}"/>
    <cellStyle name="Currency 5 2 2 2 2 9 3" xfId="11249" xr:uid="{1EA2CA92-DFB1-4913-9BDA-A2CDF953F4E7}"/>
    <cellStyle name="Currency 5 2 2 2 2 9 4" xfId="19687" xr:uid="{C2C4EB14-1B3D-45A7-A598-3EA923243BA7}"/>
    <cellStyle name="Currency 5 2 2 2 3" xfId="199" xr:uid="{00000000-0005-0000-0000-00009B0B0000}"/>
    <cellStyle name="Currency 5 2 2 2 3 10" xfId="8868" xr:uid="{A55CD34D-2719-4FD3-9AB2-E3CFDB12365A}"/>
    <cellStyle name="Currency 5 2 2 2 3 11" xfId="17306" xr:uid="{36CC2552-B89A-40C2-9E28-D3664A61EB1E}"/>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2 2 2" xfId="15645" xr:uid="{19E0320E-A4FB-40DB-A8A0-D3282CDB7E79}"/>
    <cellStyle name="Currency 5 2 2 2 3 2 2 2 3" xfId="24082" xr:uid="{C5E17958-A8B0-4288-9982-B26DD3A6127D}"/>
    <cellStyle name="Currency 5 2 2 2 3 2 2 3" xfId="11427" xr:uid="{C865B32B-A258-4AB9-8E20-BEDDFFF9C243}"/>
    <cellStyle name="Currency 5 2 2 2 3 2 2 4" xfId="19865" xr:uid="{68BE0471-ED46-41C9-8632-9CEB8DBC1A2B}"/>
    <cellStyle name="Currency 5 2 2 2 3 2 3" xfId="5058" xr:uid="{00000000-0005-0000-0000-00009F0B0000}"/>
    <cellStyle name="Currency 5 2 2 2 3 2 3 2" xfId="13500" xr:uid="{0BD6D7B1-E68E-4C2F-AB04-8A72814382A8}"/>
    <cellStyle name="Currency 5 2 2 2 3 2 3 3" xfId="21937" xr:uid="{BA3ED842-227C-4198-B749-5BFB12041756}"/>
    <cellStyle name="Currency 5 2 2 2 3 2 4" xfId="9282" xr:uid="{84427113-ED60-4A3B-B2BC-273F4EBC6CD8}"/>
    <cellStyle name="Currency 5 2 2 2 3 2 5" xfId="17720" xr:uid="{5C1B63E9-893A-459A-B7A1-CCA0572A3A3C}"/>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2 2 2" xfId="16058" xr:uid="{4F162E65-31B4-4873-8FCB-363F6A821334}"/>
    <cellStyle name="Currency 5 2 2 2 3 3 2 2 3" xfId="24495" xr:uid="{4ADA0629-F679-4A2C-BEE0-79158DE79595}"/>
    <cellStyle name="Currency 5 2 2 2 3 3 2 3" xfId="11840" xr:uid="{377F30A1-FE26-4CF0-90A0-591C19D3976A}"/>
    <cellStyle name="Currency 5 2 2 2 3 3 2 4" xfId="20278" xr:uid="{E130FC35-D59B-4A86-96D2-D90BC7B4D18B}"/>
    <cellStyle name="Currency 5 2 2 2 3 3 3" xfId="5471" xr:uid="{00000000-0005-0000-0000-0000A30B0000}"/>
    <cellStyle name="Currency 5 2 2 2 3 3 3 2" xfId="13913" xr:uid="{707F2244-9951-4C03-A8F4-FA81940A7B2E}"/>
    <cellStyle name="Currency 5 2 2 2 3 3 3 3" xfId="22350" xr:uid="{29219BB2-A3CB-435F-86DA-385FE5FFDB73}"/>
    <cellStyle name="Currency 5 2 2 2 3 3 4" xfId="9695" xr:uid="{B8F217D1-49EA-406A-B92E-0926729068E1}"/>
    <cellStyle name="Currency 5 2 2 2 3 3 5" xfId="18133" xr:uid="{35BE1A9A-80D2-437E-B009-576B8D3CC566}"/>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2 2 2" xfId="16471" xr:uid="{5A8EFE7F-B972-48C2-A6BA-48AFBE9D4C45}"/>
    <cellStyle name="Currency 5 2 2 2 3 4 2 2 3" xfId="24908" xr:uid="{DF199245-1285-4227-9416-E9A4CA61B88C}"/>
    <cellStyle name="Currency 5 2 2 2 3 4 2 3" xfId="12253" xr:uid="{E2C5D441-15E1-4C7E-9935-A344049B6C90}"/>
    <cellStyle name="Currency 5 2 2 2 3 4 2 4" xfId="20691" xr:uid="{BB6CF149-3A12-4153-9F3E-103EC91585DD}"/>
    <cellStyle name="Currency 5 2 2 2 3 4 3" xfId="5884" xr:uid="{00000000-0005-0000-0000-0000A70B0000}"/>
    <cellStyle name="Currency 5 2 2 2 3 4 3 2" xfId="14326" xr:uid="{C92BCA65-D921-4D1D-91BF-E04DD1BBFC25}"/>
    <cellStyle name="Currency 5 2 2 2 3 4 3 3" xfId="22763" xr:uid="{F684B3BA-8BEC-492D-B9CF-7E32218C4236}"/>
    <cellStyle name="Currency 5 2 2 2 3 4 4" xfId="10108" xr:uid="{EAB5C7D1-3506-4436-A0B3-F26BD90B9201}"/>
    <cellStyle name="Currency 5 2 2 2 3 4 5" xfId="18546" xr:uid="{54544C69-D1D1-4FFF-8D7E-188801F07F46}"/>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2 2 2" xfId="16884" xr:uid="{26EAE6B7-CF4A-4FD7-BAB3-5B9A8F42B15E}"/>
    <cellStyle name="Currency 5 2 2 2 3 5 2 2 3" xfId="25321" xr:uid="{F99A66C4-7905-4D54-9D67-9DBC3BD61A86}"/>
    <cellStyle name="Currency 5 2 2 2 3 5 2 3" xfId="12666" xr:uid="{6200530B-81A1-4392-9B16-A7E24BE2B1C0}"/>
    <cellStyle name="Currency 5 2 2 2 3 5 2 4" xfId="21104" xr:uid="{59764C64-9698-4649-935E-BC2949859598}"/>
    <cellStyle name="Currency 5 2 2 2 3 5 3" xfId="6297" xr:uid="{00000000-0005-0000-0000-0000AB0B0000}"/>
    <cellStyle name="Currency 5 2 2 2 3 5 3 2" xfId="14739" xr:uid="{C5939A5F-ACB6-44AF-8A54-8ED0DC597959}"/>
    <cellStyle name="Currency 5 2 2 2 3 5 3 3" xfId="23176" xr:uid="{C347C928-75E9-41EF-A8EE-FB28EF8BE636}"/>
    <cellStyle name="Currency 5 2 2 2 3 5 4" xfId="10521" xr:uid="{838DFC50-A8BE-4979-A5F6-A84B3BB3A887}"/>
    <cellStyle name="Currency 5 2 2 2 3 5 5" xfId="18959" xr:uid="{B595937A-4E9E-4BC1-ACDB-63E693112F2D}"/>
    <cellStyle name="Currency 5 2 2 2 3 6" xfId="2425" xr:uid="{00000000-0005-0000-0000-0000AC0B0000}"/>
    <cellStyle name="Currency 5 2 2 2 3 6 2" xfId="6710" xr:uid="{00000000-0005-0000-0000-0000AD0B0000}"/>
    <cellStyle name="Currency 5 2 2 2 3 6 2 2" xfId="15152" xr:uid="{88CF6407-AC77-427C-94C0-13154F8118FD}"/>
    <cellStyle name="Currency 5 2 2 2 3 6 2 3" xfId="23589" xr:uid="{BBF1A386-2507-4DB9-90F3-281C5F8973B6}"/>
    <cellStyle name="Currency 5 2 2 2 3 6 3" xfId="10934" xr:uid="{909E1B1E-4554-48F4-BB55-02751556D41D}"/>
    <cellStyle name="Currency 5 2 2 2 3 6 4" xfId="19372" xr:uid="{060BB8D9-4C9C-4F61-9A6E-ED808A211B72}"/>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8 2 2" xfId="15469" xr:uid="{C6999B55-D842-4BC6-BDB7-5570172B77BB}"/>
    <cellStyle name="Currency 5 2 2 2 3 8 2 3" xfId="23906" xr:uid="{15B03FA9-64BB-4DFD-92F5-2B53A1C639AC}"/>
    <cellStyle name="Currency 5 2 2 2 3 8 3" xfId="11251" xr:uid="{4827CC7C-8EBF-4244-9A67-ED47B7452F50}"/>
    <cellStyle name="Currency 5 2 2 2 3 8 4" xfId="19689" xr:uid="{FB712416-9A69-4A90-9033-30B77EDC96AB}"/>
    <cellStyle name="Currency 5 2 2 2 3 9" xfId="4644" xr:uid="{00000000-0005-0000-0000-0000B10B0000}"/>
    <cellStyle name="Currency 5 2 2 2 3 9 2" xfId="13086" xr:uid="{FEC9F487-BE5C-4BAF-BDB3-A3BB18FCC384}"/>
    <cellStyle name="Currency 5 2 2 2 3 9 3" xfId="21523" xr:uid="{E2706792-B21F-4079-9E1B-A0009C2DCB4C}"/>
    <cellStyle name="Currency 5 2 2 2 4" xfId="723" xr:uid="{00000000-0005-0000-0000-0000B20B0000}"/>
    <cellStyle name="Currency 5 2 2 2 4 2" xfId="2977" xr:uid="{00000000-0005-0000-0000-0000B30B0000}"/>
    <cellStyle name="Currency 5 2 2 2 4 2 2" xfId="7200" xr:uid="{00000000-0005-0000-0000-0000B40B0000}"/>
    <cellStyle name="Currency 5 2 2 2 4 2 2 2" xfId="15642" xr:uid="{38C11186-0070-4309-B806-49FE9131A30C}"/>
    <cellStyle name="Currency 5 2 2 2 4 2 2 3" xfId="24079" xr:uid="{7366469E-F360-44EE-89B6-A3E883A1EAA0}"/>
    <cellStyle name="Currency 5 2 2 2 4 2 3" xfId="11424" xr:uid="{616E5555-A183-4AD6-9BF0-9D72E04416E6}"/>
    <cellStyle name="Currency 5 2 2 2 4 2 4" xfId="19862" xr:uid="{E7181D66-B5A8-4923-B448-CC109811D4B9}"/>
    <cellStyle name="Currency 5 2 2 2 4 3" xfId="5055" xr:uid="{00000000-0005-0000-0000-0000B50B0000}"/>
    <cellStyle name="Currency 5 2 2 2 4 3 2" xfId="13497" xr:uid="{3B771DAA-2700-4E31-B608-48EC0F88EC1B}"/>
    <cellStyle name="Currency 5 2 2 2 4 3 3" xfId="21934" xr:uid="{EAC1C603-3974-460B-B092-C08A700BF8A2}"/>
    <cellStyle name="Currency 5 2 2 2 4 4" xfId="9279" xr:uid="{E6375510-99F4-423F-AC8D-5A4455405902}"/>
    <cellStyle name="Currency 5 2 2 2 4 5" xfId="17717" xr:uid="{C8747FA7-B8EC-41A0-B110-14235EBF63A7}"/>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2 2 2" xfId="16055" xr:uid="{1D2930F5-57F7-40B6-A0D6-4E325C5EA75A}"/>
    <cellStyle name="Currency 5 2 2 2 5 2 2 3" xfId="24492" xr:uid="{31BB7D27-711E-48BC-8202-F27F73BA1280}"/>
    <cellStyle name="Currency 5 2 2 2 5 2 3" xfId="11837" xr:uid="{6ABC959F-F166-445C-83AB-182EA4FB9912}"/>
    <cellStyle name="Currency 5 2 2 2 5 2 4" xfId="20275" xr:uid="{257DF4BB-93DE-444D-8B76-0BA406FBC056}"/>
    <cellStyle name="Currency 5 2 2 2 5 3" xfId="5468" xr:uid="{00000000-0005-0000-0000-0000B90B0000}"/>
    <cellStyle name="Currency 5 2 2 2 5 3 2" xfId="13910" xr:uid="{14F80B05-407C-4CBF-B981-5D9843068ED8}"/>
    <cellStyle name="Currency 5 2 2 2 5 3 3" xfId="22347" xr:uid="{F96489FF-F803-4EB8-B424-75674439D68B}"/>
    <cellStyle name="Currency 5 2 2 2 5 4" xfId="9692" xr:uid="{4EE992CD-5F0C-43B2-B249-2CAB61A368B0}"/>
    <cellStyle name="Currency 5 2 2 2 5 5" xfId="18130" xr:uid="{8E65A4D2-D00A-427A-8F20-CA57FC6D58B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2 2 2" xfId="16468" xr:uid="{80DB39A3-0126-43AB-9746-85E843DFA1D9}"/>
    <cellStyle name="Currency 5 2 2 2 6 2 2 3" xfId="24905" xr:uid="{6DA478AD-D61D-42FC-8660-8D254E615BE9}"/>
    <cellStyle name="Currency 5 2 2 2 6 2 3" xfId="12250" xr:uid="{0AFD6CB9-8A81-408C-9F0B-000642F88084}"/>
    <cellStyle name="Currency 5 2 2 2 6 2 4" xfId="20688" xr:uid="{543AC01E-42FA-4FBE-A561-A37F24388198}"/>
    <cellStyle name="Currency 5 2 2 2 6 3" xfId="5881" xr:uid="{00000000-0005-0000-0000-0000BD0B0000}"/>
    <cellStyle name="Currency 5 2 2 2 6 3 2" xfId="14323" xr:uid="{040B9BE7-DEDC-4A0A-B4C7-6B2BD714AA5D}"/>
    <cellStyle name="Currency 5 2 2 2 6 3 3" xfId="22760" xr:uid="{ABA3E4C6-6A3B-450A-98F8-BCA7DC527CD2}"/>
    <cellStyle name="Currency 5 2 2 2 6 4" xfId="10105" xr:uid="{E9E92185-0249-4E54-AE56-0125FCBEE815}"/>
    <cellStyle name="Currency 5 2 2 2 6 5" xfId="18543" xr:uid="{9F900DA0-F7A9-4FC5-8BB5-1B81D53BF1AD}"/>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2 2 2" xfId="16881" xr:uid="{9E435FCB-127E-46C4-9438-3BB640574895}"/>
    <cellStyle name="Currency 5 2 2 2 7 2 2 3" xfId="25318" xr:uid="{DC8DCDA0-FB43-4395-917A-3885483FD824}"/>
    <cellStyle name="Currency 5 2 2 2 7 2 3" xfId="12663" xr:uid="{09B82434-D657-49E2-8D95-939DA06DF591}"/>
    <cellStyle name="Currency 5 2 2 2 7 2 4" xfId="21101" xr:uid="{1ED410AC-9641-4312-B8CC-0354B430374A}"/>
    <cellStyle name="Currency 5 2 2 2 7 3" xfId="6294" xr:uid="{00000000-0005-0000-0000-0000C10B0000}"/>
    <cellStyle name="Currency 5 2 2 2 7 3 2" xfId="14736" xr:uid="{52132E50-9A78-4220-8A48-59B7A8D0784A}"/>
    <cellStyle name="Currency 5 2 2 2 7 3 3" xfId="23173" xr:uid="{554F0C5A-FF80-4F8F-A108-A01782639B6B}"/>
    <cellStyle name="Currency 5 2 2 2 7 4" xfId="10518" xr:uid="{995D9575-C188-4913-A7D9-F45BEF7F57B3}"/>
    <cellStyle name="Currency 5 2 2 2 7 5" xfId="18956" xr:uid="{B3061699-6DC0-451C-832F-F7BB82A6B641}"/>
    <cellStyle name="Currency 5 2 2 2 8" xfId="2422" xr:uid="{00000000-0005-0000-0000-0000C20B0000}"/>
    <cellStyle name="Currency 5 2 2 2 8 2" xfId="6707" xr:uid="{00000000-0005-0000-0000-0000C30B0000}"/>
    <cellStyle name="Currency 5 2 2 2 8 2 2" xfId="15149" xr:uid="{02DCF7B0-7509-4483-AE07-774CD8A03190}"/>
    <cellStyle name="Currency 5 2 2 2 8 2 3" xfId="23586" xr:uid="{72029043-A37A-4C37-B6DF-462ADB20C0CD}"/>
    <cellStyle name="Currency 5 2 2 2 8 3" xfId="10931" xr:uid="{CFA0A85A-1C9D-4390-AE83-02970DAE442F}"/>
    <cellStyle name="Currency 5 2 2 2 8 4" xfId="19369" xr:uid="{698FFECC-52F6-44B5-B03B-A2EA15085FE9}"/>
    <cellStyle name="Currency 5 2 2 2 9" xfId="2719" xr:uid="{00000000-0005-0000-0000-0000C40B0000}"/>
    <cellStyle name="Currency 5 2 2 3" xfId="200" xr:uid="{00000000-0005-0000-0000-0000C50B0000}"/>
    <cellStyle name="Currency 5 2 2 3 10" xfId="4645" xr:uid="{00000000-0005-0000-0000-0000C60B0000}"/>
    <cellStyle name="Currency 5 2 2 3 10 2" xfId="13087" xr:uid="{359E61A5-74A5-46F9-9F50-DA00D9DB3F62}"/>
    <cellStyle name="Currency 5 2 2 3 10 3" xfId="21524" xr:uid="{AC31665D-3C35-4CCD-836B-B4A3926BA6D0}"/>
    <cellStyle name="Currency 5 2 2 3 11" xfId="8869" xr:uid="{5E06A76B-E286-4C09-A39A-735D85C206D9}"/>
    <cellStyle name="Currency 5 2 2 3 12" xfId="17307" xr:uid="{C825F53A-5CFC-4611-9B68-C8AE888E513B}"/>
    <cellStyle name="Currency 5 2 2 3 2" xfId="201" xr:uid="{00000000-0005-0000-0000-0000C70B0000}"/>
    <cellStyle name="Currency 5 2 2 3 2 10" xfId="8870" xr:uid="{7346CBD6-A5E1-474E-87DE-50868809B51A}"/>
    <cellStyle name="Currency 5 2 2 3 2 11" xfId="17308" xr:uid="{5DFC9BD1-97A0-41B9-B92C-56B250DA832E}"/>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2 2 2" xfId="15647" xr:uid="{BC841ABA-3992-4969-8A19-0BDF3ECE8656}"/>
    <cellStyle name="Currency 5 2 2 3 2 2 2 2 3" xfId="24084" xr:uid="{844FCB2D-253E-4A12-B20A-9D7E114C35A0}"/>
    <cellStyle name="Currency 5 2 2 3 2 2 2 3" xfId="11429" xr:uid="{3531A2D6-AEE1-423B-9238-70EBA2114330}"/>
    <cellStyle name="Currency 5 2 2 3 2 2 2 4" xfId="19867" xr:uid="{B9141005-D2F3-42AC-9585-5B89EBFED46D}"/>
    <cellStyle name="Currency 5 2 2 3 2 2 3" xfId="5060" xr:uid="{00000000-0005-0000-0000-0000CB0B0000}"/>
    <cellStyle name="Currency 5 2 2 3 2 2 3 2" xfId="13502" xr:uid="{787C3B71-215B-47BF-AFCC-3111EE3E385E}"/>
    <cellStyle name="Currency 5 2 2 3 2 2 3 3" xfId="21939" xr:uid="{DACF0370-D2BF-4F1B-8C3D-63E444CBDF90}"/>
    <cellStyle name="Currency 5 2 2 3 2 2 4" xfId="9284" xr:uid="{113DCA63-20CC-4A03-B10D-DC62F01177FA}"/>
    <cellStyle name="Currency 5 2 2 3 2 2 5" xfId="17722" xr:uid="{00B92143-B578-4902-8B8E-AACC5F3ABBF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2 2 2" xfId="16060" xr:uid="{A863DAA9-0754-42D4-A211-434DA6FB154E}"/>
    <cellStyle name="Currency 5 2 2 3 2 3 2 2 3" xfId="24497" xr:uid="{4B74DB92-F9D7-42DA-8C2B-240EA3EAEBEA}"/>
    <cellStyle name="Currency 5 2 2 3 2 3 2 3" xfId="11842" xr:uid="{9F6B6B2C-E488-4F97-99AF-4D56DC2A9370}"/>
    <cellStyle name="Currency 5 2 2 3 2 3 2 4" xfId="20280" xr:uid="{B750FE1C-7624-4F95-A9B7-EC1B7384E85A}"/>
    <cellStyle name="Currency 5 2 2 3 2 3 3" xfId="5473" xr:uid="{00000000-0005-0000-0000-0000CF0B0000}"/>
    <cellStyle name="Currency 5 2 2 3 2 3 3 2" xfId="13915" xr:uid="{3513B161-F13A-4E75-B74F-FB602519B5DD}"/>
    <cellStyle name="Currency 5 2 2 3 2 3 3 3" xfId="22352" xr:uid="{781A54D1-36CC-420B-BE79-439D6C11E229}"/>
    <cellStyle name="Currency 5 2 2 3 2 3 4" xfId="9697" xr:uid="{D34F5EF0-3631-4108-BCC6-B1AD487DFD4E}"/>
    <cellStyle name="Currency 5 2 2 3 2 3 5" xfId="18135" xr:uid="{286CC562-D123-40DB-8726-02B4DCA9B1E8}"/>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2 2 2" xfId="16473" xr:uid="{C28ED8AC-1157-4EF8-B693-67D7F7D689D6}"/>
    <cellStyle name="Currency 5 2 2 3 2 4 2 2 3" xfId="24910" xr:uid="{01D5B769-914C-4C57-B74C-5CE7FE0E2720}"/>
    <cellStyle name="Currency 5 2 2 3 2 4 2 3" xfId="12255" xr:uid="{153AF249-B0C9-430A-A1B3-30EF467CFBA1}"/>
    <cellStyle name="Currency 5 2 2 3 2 4 2 4" xfId="20693" xr:uid="{90C3D6DF-E8E9-4D95-AA05-E69DEB7AE03E}"/>
    <cellStyle name="Currency 5 2 2 3 2 4 3" xfId="5886" xr:uid="{00000000-0005-0000-0000-0000D30B0000}"/>
    <cellStyle name="Currency 5 2 2 3 2 4 3 2" xfId="14328" xr:uid="{4B83690A-F24F-4EB1-A462-11F6043EBC17}"/>
    <cellStyle name="Currency 5 2 2 3 2 4 3 3" xfId="22765" xr:uid="{518A8078-5381-4EF1-AA7B-50CF41CAA7F3}"/>
    <cellStyle name="Currency 5 2 2 3 2 4 4" xfId="10110" xr:uid="{959068A9-75A9-46DC-92A7-872AA1729724}"/>
    <cellStyle name="Currency 5 2 2 3 2 4 5" xfId="18548" xr:uid="{8C4C974A-725A-43BD-B275-F9F902A38048}"/>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2 2 2" xfId="16886" xr:uid="{28FFA51F-3792-4FCC-A8E4-2F8FBCE7477A}"/>
    <cellStyle name="Currency 5 2 2 3 2 5 2 2 3" xfId="25323" xr:uid="{9C8A9049-8497-414E-963E-EFE87CBE29A0}"/>
    <cellStyle name="Currency 5 2 2 3 2 5 2 3" xfId="12668" xr:uid="{39E21AF9-208E-4E5B-A9E9-C559290B3990}"/>
    <cellStyle name="Currency 5 2 2 3 2 5 2 4" xfId="21106" xr:uid="{BEBFD9A7-9718-46F6-8C85-B37DE3E2E358}"/>
    <cellStyle name="Currency 5 2 2 3 2 5 3" xfId="6299" xr:uid="{00000000-0005-0000-0000-0000D70B0000}"/>
    <cellStyle name="Currency 5 2 2 3 2 5 3 2" xfId="14741" xr:uid="{F9E2790A-D634-4E9C-B633-07CA0DA6CB64}"/>
    <cellStyle name="Currency 5 2 2 3 2 5 3 3" xfId="23178" xr:uid="{F618D819-8CA7-4D85-BC90-1929C1792C0F}"/>
    <cellStyle name="Currency 5 2 2 3 2 5 4" xfId="10523" xr:uid="{8D22D2C5-C0CD-433C-A90B-1C9BCC891019}"/>
    <cellStyle name="Currency 5 2 2 3 2 5 5" xfId="18961" xr:uid="{58B0E9B8-34CD-4B53-BCF6-5BF95FD8CE81}"/>
    <cellStyle name="Currency 5 2 2 3 2 6" xfId="2427" xr:uid="{00000000-0005-0000-0000-0000D80B0000}"/>
    <cellStyle name="Currency 5 2 2 3 2 6 2" xfId="6712" xr:uid="{00000000-0005-0000-0000-0000D90B0000}"/>
    <cellStyle name="Currency 5 2 2 3 2 6 2 2" xfId="15154" xr:uid="{52249495-63AE-4F41-81DA-08CB92989DFD}"/>
    <cellStyle name="Currency 5 2 2 3 2 6 2 3" xfId="23591" xr:uid="{4D84E226-65DD-42A3-BBDF-76D10BDD8786}"/>
    <cellStyle name="Currency 5 2 2 3 2 6 3" xfId="10936" xr:uid="{B62FB432-9F23-4322-8405-03380E87AEAA}"/>
    <cellStyle name="Currency 5 2 2 3 2 6 4" xfId="19374" xr:uid="{9573B77E-60F2-4B9D-8221-6B629317198F}"/>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8 2 2" xfId="15471" xr:uid="{869B2B0E-FB91-4382-B076-666A847AC8E4}"/>
    <cellStyle name="Currency 5 2 2 3 2 8 2 3" xfId="23908" xr:uid="{41415EE6-2AF9-4EC7-B8F3-434B60729F6F}"/>
    <cellStyle name="Currency 5 2 2 3 2 8 3" xfId="11253" xr:uid="{E8A2D6C1-378C-433E-AF29-584A61914AE6}"/>
    <cellStyle name="Currency 5 2 2 3 2 8 4" xfId="19691" xr:uid="{5AC79400-250B-401F-9435-C4E275304096}"/>
    <cellStyle name="Currency 5 2 2 3 2 9" xfId="4646" xr:uid="{00000000-0005-0000-0000-0000DD0B0000}"/>
    <cellStyle name="Currency 5 2 2 3 2 9 2" xfId="13088" xr:uid="{FC3E0E80-D1F0-46EA-BA9A-3B27F167A381}"/>
    <cellStyle name="Currency 5 2 2 3 2 9 3" xfId="21525" xr:uid="{63F2DC65-8D7A-43A0-8F59-07C77E68B9C9}"/>
    <cellStyle name="Currency 5 2 2 3 3" xfId="727" xr:uid="{00000000-0005-0000-0000-0000DE0B0000}"/>
    <cellStyle name="Currency 5 2 2 3 3 2" xfId="2981" xr:uid="{00000000-0005-0000-0000-0000DF0B0000}"/>
    <cellStyle name="Currency 5 2 2 3 3 2 2" xfId="7204" xr:uid="{00000000-0005-0000-0000-0000E00B0000}"/>
    <cellStyle name="Currency 5 2 2 3 3 2 2 2" xfId="15646" xr:uid="{222419CD-9DC0-4B01-9013-26F49CEBE57F}"/>
    <cellStyle name="Currency 5 2 2 3 3 2 2 3" xfId="24083" xr:uid="{D4762712-C822-4207-80E3-F94F01D03E20}"/>
    <cellStyle name="Currency 5 2 2 3 3 2 3" xfId="11428" xr:uid="{363D7E4B-979B-4A16-AE5C-32016F889C0D}"/>
    <cellStyle name="Currency 5 2 2 3 3 2 4" xfId="19866" xr:uid="{770D57AD-7379-419F-8083-C17B7605C125}"/>
    <cellStyle name="Currency 5 2 2 3 3 3" xfId="5059" xr:uid="{00000000-0005-0000-0000-0000E10B0000}"/>
    <cellStyle name="Currency 5 2 2 3 3 3 2" xfId="13501" xr:uid="{859A201F-5D67-4020-AB91-CAEC8FB2C4F9}"/>
    <cellStyle name="Currency 5 2 2 3 3 3 3" xfId="21938" xr:uid="{71941826-8385-46C4-B6B8-962D431BDC69}"/>
    <cellStyle name="Currency 5 2 2 3 3 4" xfId="9283" xr:uid="{60E5E733-78A0-400A-837D-6ECD8E3FB813}"/>
    <cellStyle name="Currency 5 2 2 3 3 5" xfId="17721" xr:uid="{60F2291B-55F4-4108-A15E-4C7BCD6F29EE}"/>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2 2 2" xfId="16059" xr:uid="{6CBF509D-CE04-423A-90E2-29FE26389106}"/>
    <cellStyle name="Currency 5 2 2 3 4 2 2 3" xfId="24496" xr:uid="{1F039FE0-C35B-4E73-B74A-4021D2AD5D1C}"/>
    <cellStyle name="Currency 5 2 2 3 4 2 3" xfId="11841" xr:uid="{AA9639ED-8F69-4287-953D-2D54F516FEC2}"/>
    <cellStyle name="Currency 5 2 2 3 4 2 4" xfId="20279" xr:uid="{FA6F429E-22D0-430E-8886-3228431CDF2C}"/>
    <cellStyle name="Currency 5 2 2 3 4 3" xfId="5472" xr:uid="{00000000-0005-0000-0000-0000E50B0000}"/>
    <cellStyle name="Currency 5 2 2 3 4 3 2" xfId="13914" xr:uid="{7A9ACF33-A0CB-48F8-BC95-C8E458DCC6B5}"/>
    <cellStyle name="Currency 5 2 2 3 4 3 3" xfId="22351" xr:uid="{B9D41752-620E-4BC8-868C-8C188EB108D5}"/>
    <cellStyle name="Currency 5 2 2 3 4 4" xfId="9696" xr:uid="{39C053EF-8DCB-4826-B98A-C3E954F85F95}"/>
    <cellStyle name="Currency 5 2 2 3 4 5" xfId="18134" xr:uid="{CEF79125-D0D8-4C44-9DF0-C65B87CA7FCC}"/>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2 2 2" xfId="16472" xr:uid="{6B915E33-DF14-4676-9441-50DD19F9B6FC}"/>
    <cellStyle name="Currency 5 2 2 3 5 2 2 3" xfId="24909" xr:uid="{82B086FC-7B64-419D-A017-A15776BB9166}"/>
    <cellStyle name="Currency 5 2 2 3 5 2 3" xfId="12254" xr:uid="{2B09A960-407A-42BE-9421-3A7078FF72B6}"/>
    <cellStyle name="Currency 5 2 2 3 5 2 4" xfId="20692" xr:uid="{86F459D7-0D1A-4527-ADB3-EA174C18C456}"/>
    <cellStyle name="Currency 5 2 2 3 5 3" xfId="5885" xr:uid="{00000000-0005-0000-0000-0000E90B0000}"/>
    <cellStyle name="Currency 5 2 2 3 5 3 2" xfId="14327" xr:uid="{6D7B6C09-63C1-48B0-B4F0-53981A6CCBA9}"/>
    <cellStyle name="Currency 5 2 2 3 5 3 3" xfId="22764" xr:uid="{2AAD5769-1771-4AFF-B135-C10A67202C17}"/>
    <cellStyle name="Currency 5 2 2 3 5 4" xfId="10109" xr:uid="{7738882C-337D-4F76-9843-5B569746AE64}"/>
    <cellStyle name="Currency 5 2 2 3 5 5" xfId="18547" xr:uid="{9CE399BB-1D47-4E74-8C40-9763CDC653CD}"/>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2 2 2" xfId="16885" xr:uid="{BA52ABDB-A7B1-4673-ADAD-E5709CBF5749}"/>
    <cellStyle name="Currency 5 2 2 3 6 2 2 3" xfId="25322" xr:uid="{1F077F99-F17D-46F6-8233-9688E25EC0A7}"/>
    <cellStyle name="Currency 5 2 2 3 6 2 3" xfId="12667" xr:uid="{F2859EFA-D78E-4FCF-9C7F-D74162ABFD82}"/>
    <cellStyle name="Currency 5 2 2 3 6 2 4" xfId="21105" xr:uid="{CC02A86E-F61B-44B9-A562-A02614A840C9}"/>
    <cellStyle name="Currency 5 2 2 3 6 3" xfId="6298" xr:uid="{00000000-0005-0000-0000-0000ED0B0000}"/>
    <cellStyle name="Currency 5 2 2 3 6 3 2" xfId="14740" xr:uid="{EDC3CDFB-6D2D-45F0-B9A8-E5431C508D0F}"/>
    <cellStyle name="Currency 5 2 2 3 6 3 3" xfId="23177" xr:uid="{17B471E5-5B60-4E01-BCEB-D7CB397F90C3}"/>
    <cellStyle name="Currency 5 2 2 3 6 4" xfId="10522" xr:uid="{D132FBF9-999A-4A55-BD58-2DA761925F3E}"/>
    <cellStyle name="Currency 5 2 2 3 6 5" xfId="18960" xr:uid="{A825B9F2-95C2-4DC1-ABCC-D812B383D643}"/>
    <cellStyle name="Currency 5 2 2 3 7" xfId="2426" xr:uid="{00000000-0005-0000-0000-0000EE0B0000}"/>
    <cellStyle name="Currency 5 2 2 3 7 2" xfId="6711" xr:uid="{00000000-0005-0000-0000-0000EF0B0000}"/>
    <cellStyle name="Currency 5 2 2 3 7 2 2" xfId="15153" xr:uid="{98046424-F2CE-4D8D-94D4-2F6C7422AF9E}"/>
    <cellStyle name="Currency 5 2 2 3 7 2 3" xfId="23590" xr:uid="{282B951F-E3D7-4752-B3D3-466981A06B8E}"/>
    <cellStyle name="Currency 5 2 2 3 7 3" xfId="10935" xr:uid="{3A55CA5A-47D8-4DD6-91CA-1AE81D37C97E}"/>
    <cellStyle name="Currency 5 2 2 3 7 4" xfId="19373" xr:uid="{65F1E727-8D22-4F3D-A8A6-E3CE17A5D68E}"/>
    <cellStyle name="Currency 5 2 2 3 8" xfId="2723" xr:uid="{00000000-0005-0000-0000-0000F00B0000}"/>
    <cellStyle name="Currency 5 2 2 3 9" xfId="2804" xr:uid="{00000000-0005-0000-0000-0000F10B0000}"/>
    <cellStyle name="Currency 5 2 2 3 9 2" xfId="7028" xr:uid="{00000000-0005-0000-0000-0000F20B0000}"/>
    <cellStyle name="Currency 5 2 2 3 9 2 2" xfId="15470" xr:uid="{769E908F-6161-4808-A5FA-19C0633ED473}"/>
    <cellStyle name="Currency 5 2 2 3 9 2 3" xfId="23907" xr:uid="{C31C2EF5-ADB8-4BF3-B481-47B83CCB9C52}"/>
    <cellStyle name="Currency 5 2 2 3 9 3" xfId="11252" xr:uid="{BA07A472-0C34-4901-AF95-2B0B007F606D}"/>
    <cellStyle name="Currency 5 2 2 3 9 4" xfId="19690" xr:uid="{55624FF7-0DAF-470B-9235-A31F2742B95A}"/>
    <cellStyle name="Currency 5 2 2 4" xfId="202" xr:uid="{00000000-0005-0000-0000-0000F30B0000}"/>
    <cellStyle name="Currency 5 2 2 4 10" xfId="8871" xr:uid="{DB1492DC-6A11-4276-B9EC-3CCF7EB22AE1}"/>
    <cellStyle name="Currency 5 2 2 4 11" xfId="17309" xr:uid="{9897BD4D-6295-425B-803C-7FE1D4E59A1E}"/>
    <cellStyle name="Currency 5 2 2 4 2" xfId="729" xr:uid="{00000000-0005-0000-0000-0000F40B0000}"/>
    <cellStyle name="Currency 5 2 2 4 2 2" xfId="2983" xr:uid="{00000000-0005-0000-0000-0000F50B0000}"/>
    <cellStyle name="Currency 5 2 2 4 2 2 2" xfId="7206" xr:uid="{00000000-0005-0000-0000-0000F60B0000}"/>
    <cellStyle name="Currency 5 2 2 4 2 2 2 2" xfId="15648" xr:uid="{6CCE08A2-8E11-46DE-83B7-74B0A9E1B76E}"/>
    <cellStyle name="Currency 5 2 2 4 2 2 2 3" xfId="24085" xr:uid="{2985B2B5-1F64-4A80-98EA-B2DA970A8146}"/>
    <cellStyle name="Currency 5 2 2 4 2 2 3" xfId="11430" xr:uid="{CB5CE3AD-239F-4A8B-B8AE-C08752394959}"/>
    <cellStyle name="Currency 5 2 2 4 2 2 4" xfId="19868" xr:uid="{DDFA683A-ED18-4224-B366-8CA63E14E2BC}"/>
    <cellStyle name="Currency 5 2 2 4 2 3" xfId="5061" xr:uid="{00000000-0005-0000-0000-0000F70B0000}"/>
    <cellStyle name="Currency 5 2 2 4 2 3 2" xfId="13503" xr:uid="{A45D000C-4168-43F4-B7F7-C64AAAA41109}"/>
    <cellStyle name="Currency 5 2 2 4 2 3 3" xfId="21940" xr:uid="{C9C27BC6-DDA0-4F24-A819-54247E5EF5E0}"/>
    <cellStyle name="Currency 5 2 2 4 2 4" xfId="9285" xr:uid="{8262B770-9FB6-4EAB-AC40-858A9AEADD1B}"/>
    <cellStyle name="Currency 5 2 2 4 2 5" xfId="17723" xr:uid="{9AFB3820-38F3-415C-AF3C-D18342462926}"/>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2 2 2" xfId="16061" xr:uid="{19B02151-637E-44F9-878A-F455F4FD04A5}"/>
    <cellStyle name="Currency 5 2 2 4 3 2 2 3" xfId="24498" xr:uid="{915945F8-9061-445B-8590-BAD07CC90121}"/>
    <cellStyle name="Currency 5 2 2 4 3 2 3" xfId="11843" xr:uid="{9DBB0A62-E255-40B7-8776-42F55B6EFE4F}"/>
    <cellStyle name="Currency 5 2 2 4 3 2 4" xfId="20281" xr:uid="{EDB5F83F-3C75-49BC-90BE-D133ECBF70F1}"/>
    <cellStyle name="Currency 5 2 2 4 3 3" xfId="5474" xr:uid="{00000000-0005-0000-0000-0000FB0B0000}"/>
    <cellStyle name="Currency 5 2 2 4 3 3 2" xfId="13916" xr:uid="{AE95F4B2-09FF-405A-92DD-635364CE597B}"/>
    <cellStyle name="Currency 5 2 2 4 3 3 3" xfId="22353" xr:uid="{24FCA435-E8B1-4859-B9A0-0A081C713269}"/>
    <cellStyle name="Currency 5 2 2 4 3 4" xfId="9698" xr:uid="{77BDAB57-CFC4-4DB8-B437-99860652BF5E}"/>
    <cellStyle name="Currency 5 2 2 4 3 5" xfId="18136" xr:uid="{40A4A810-7D35-4D31-9483-D9F66D577A3C}"/>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2 2 2" xfId="16474" xr:uid="{8EC71A5D-8687-4F80-88D7-334869F9D956}"/>
    <cellStyle name="Currency 5 2 2 4 4 2 2 3" xfId="24911" xr:uid="{AD14D09D-61BF-444D-899B-1AD51A1137C2}"/>
    <cellStyle name="Currency 5 2 2 4 4 2 3" xfId="12256" xr:uid="{9B6790DD-BDFA-4E10-A354-771F49DFEA0A}"/>
    <cellStyle name="Currency 5 2 2 4 4 2 4" xfId="20694" xr:uid="{C869EC69-E5AE-4E85-BD70-F4C368415258}"/>
    <cellStyle name="Currency 5 2 2 4 4 3" xfId="5887" xr:uid="{00000000-0005-0000-0000-0000FF0B0000}"/>
    <cellStyle name="Currency 5 2 2 4 4 3 2" xfId="14329" xr:uid="{E197D8EB-E243-4975-AE87-8D50B6DBA1A4}"/>
    <cellStyle name="Currency 5 2 2 4 4 3 3" xfId="22766" xr:uid="{E8994860-D3BE-4BC0-8F4D-74BA0FB99204}"/>
    <cellStyle name="Currency 5 2 2 4 4 4" xfId="10111" xr:uid="{4901B008-1F60-4F31-A671-F96464B46E37}"/>
    <cellStyle name="Currency 5 2 2 4 4 5" xfId="18549" xr:uid="{1D4A7C58-0500-411B-9513-9306B18D4684}"/>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2 2 2" xfId="16887" xr:uid="{38DE5199-56A3-4C18-95C6-B593EC7F0BBD}"/>
    <cellStyle name="Currency 5 2 2 4 5 2 2 3" xfId="25324" xr:uid="{7B56E00B-12DF-42B5-A821-30C4B316B31D}"/>
    <cellStyle name="Currency 5 2 2 4 5 2 3" xfId="12669" xr:uid="{F02E8AA9-4B51-4A75-A0CA-E52268E0847B}"/>
    <cellStyle name="Currency 5 2 2 4 5 2 4" xfId="21107" xr:uid="{34D8C9F9-EE94-4F80-B4B6-D16106D215E3}"/>
    <cellStyle name="Currency 5 2 2 4 5 3" xfId="6300" xr:uid="{00000000-0005-0000-0000-0000030C0000}"/>
    <cellStyle name="Currency 5 2 2 4 5 3 2" xfId="14742" xr:uid="{954ABBC8-7093-46CF-AF8C-2B8556DF2C8D}"/>
    <cellStyle name="Currency 5 2 2 4 5 3 3" xfId="23179" xr:uid="{A85ED0BE-9948-448D-BD0E-2936C15AE487}"/>
    <cellStyle name="Currency 5 2 2 4 5 4" xfId="10524" xr:uid="{1772D6B2-2CC6-4761-A084-A06126734374}"/>
    <cellStyle name="Currency 5 2 2 4 5 5" xfId="18962" xr:uid="{10DCC5CA-FCD0-4743-86B9-02411E93D305}"/>
    <cellStyle name="Currency 5 2 2 4 6" xfId="2428" xr:uid="{00000000-0005-0000-0000-0000040C0000}"/>
    <cellStyle name="Currency 5 2 2 4 6 2" xfId="6713" xr:uid="{00000000-0005-0000-0000-0000050C0000}"/>
    <cellStyle name="Currency 5 2 2 4 6 2 2" xfId="15155" xr:uid="{CC027B3E-B2DC-4D0B-9AAD-237A2816A4D2}"/>
    <cellStyle name="Currency 5 2 2 4 6 2 3" xfId="23592" xr:uid="{11D6741D-D0C0-4A03-A9B9-378FDFC4E747}"/>
    <cellStyle name="Currency 5 2 2 4 6 3" xfId="10937" xr:uid="{9F200EA9-6CF6-4415-BC9E-88B089544D0C}"/>
    <cellStyle name="Currency 5 2 2 4 6 4" xfId="19375" xr:uid="{DECCED54-578D-4F3A-BDCA-0988C48704A6}"/>
    <cellStyle name="Currency 5 2 2 4 7" xfId="2725" xr:uid="{00000000-0005-0000-0000-0000060C0000}"/>
    <cellStyle name="Currency 5 2 2 4 8" xfId="2806" xr:uid="{00000000-0005-0000-0000-0000070C0000}"/>
    <cellStyle name="Currency 5 2 2 4 8 2" xfId="7030" xr:uid="{00000000-0005-0000-0000-0000080C0000}"/>
    <cellStyle name="Currency 5 2 2 4 8 2 2" xfId="15472" xr:uid="{3610C810-8CEA-4ED2-8539-18CDE5781CF2}"/>
    <cellStyle name="Currency 5 2 2 4 8 2 3" xfId="23909" xr:uid="{A9A933CB-0726-4FBB-9115-B33E38721152}"/>
    <cellStyle name="Currency 5 2 2 4 8 3" xfId="11254" xr:uid="{BF3E376C-6292-4D9C-9FCD-5121ECE5EE28}"/>
    <cellStyle name="Currency 5 2 2 4 8 4" xfId="19692" xr:uid="{BF7C16EA-1881-49BC-8FEE-2C86E0CFB677}"/>
    <cellStyle name="Currency 5 2 2 4 9" xfId="4647" xr:uid="{00000000-0005-0000-0000-0000090C0000}"/>
    <cellStyle name="Currency 5 2 2 4 9 2" xfId="13089" xr:uid="{EAEA67A4-2C3A-41A4-937A-D3D0336BAF8E}"/>
    <cellStyle name="Currency 5 2 2 4 9 3" xfId="21526" xr:uid="{54A1F9CA-6874-43F6-BB2D-AC0C624B47C4}"/>
    <cellStyle name="Currency 5 2 2 5" xfId="203" xr:uid="{00000000-0005-0000-0000-00000A0C0000}"/>
    <cellStyle name="Currency 5 2 2 5 10" xfId="8872" xr:uid="{098158EA-47FC-4C70-ACE6-B53BF195BDF2}"/>
    <cellStyle name="Currency 5 2 2 5 11" xfId="17310" xr:uid="{2AC5F272-43E7-4287-A3C5-C3FDC6831244}"/>
    <cellStyle name="Currency 5 2 2 5 2" xfId="730" xr:uid="{00000000-0005-0000-0000-00000B0C0000}"/>
    <cellStyle name="Currency 5 2 2 5 2 2" xfId="2984" xr:uid="{00000000-0005-0000-0000-00000C0C0000}"/>
    <cellStyle name="Currency 5 2 2 5 2 2 2" xfId="7207" xr:uid="{00000000-0005-0000-0000-00000D0C0000}"/>
    <cellStyle name="Currency 5 2 2 5 2 2 2 2" xfId="15649" xr:uid="{1C284F7B-C86E-4A2A-9083-6BD2BB4E0B21}"/>
    <cellStyle name="Currency 5 2 2 5 2 2 2 3" xfId="24086" xr:uid="{979DFB61-B95B-4C22-899F-F2C7A532C413}"/>
    <cellStyle name="Currency 5 2 2 5 2 2 3" xfId="11431" xr:uid="{3CA649AA-0B1E-418E-A122-32F7305EB72A}"/>
    <cellStyle name="Currency 5 2 2 5 2 2 4" xfId="19869" xr:uid="{AE3C87E5-AC36-434E-A3CC-78F1F0956857}"/>
    <cellStyle name="Currency 5 2 2 5 2 3" xfId="5062" xr:uid="{00000000-0005-0000-0000-00000E0C0000}"/>
    <cellStyle name="Currency 5 2 2 5 2 3 2" xfId="13504" xr:uid="{D61F8A80-5FA0-4478-9485-11A0CEAFE73B}"/>
    <cellStyle name="Currency 5 2 2 5 2 3 3" xfId="21941" xr:uid="{213ACD4D-4561-46DA-AE1D-867609D60D35}"/>
    <cellStyle name="Currency 5 2 2 5 2 4" xfId="9286" xr:uid="{9E5D7879-7340-4480-BC67-8112ECCCEEA1}"/>
    <cellStyle name="Currency 5 2 2 5 2 5" xfId="17724" xr:uid="{55668A34-E0DC-4E0F-9C66-90FF27753B5E}"/>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2 2 2" xfId="16062" xr:uid="{1F693C1C-7D8D-4E96-9F15-9CDE3D590919}"/>
    <cellStyle name="Currency 5 2 2 5 3 2 2 3" xfId="24499" xr:uid="{7663BD5E-C3EC-4E03-8304-06B83F149E07}"/>
    <cellStyle name="Currency 5 2 2 5 3 2 3" xfId="11844" xr:uid="{E21DD4E2-B935-43FC-8327-08CED9528424}"/>
    <cellStyle name="Currency 5 2 2 5 3 2 4" xfId="20282" xr:uid="{03711388-1056-4C51-8F2D-F51D16A44642}"/>
    <cellStyle name="Currency 5 2 2 5 3 3" xfId="5475" xr:uid="{00000000-0005-0000-0000-0000120C0000}"/>
    <cellStyle name="Currency 5 2 2 5 3 3 2" xfId="13917" xr:uid="{73640B71-3684-4871-AD78-32EACBEB3557}"/>
    <cellStyle name="Currency 5 2 2 5 3 3 3" xfId="22354" xr:uid="{4CB80347-995D-42E4-8BD0-C8D48461F5D7}"/>
    <cellStyle name="Currency 5 2 2 5 3 4" xfId="9699" xr:uid="{0432D7AA-57FF-4822-B02E-6FFF5E1393F2}"/>
    <cellStyle name="Currency 5 2 2 5 3 5" xfId="18137" xr:uid="{5BB930F1-6305-4A43-B177-F9397B580BA3}"/>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2 2 2" xfId="16475" xr:uid="{2FDE49C2-E72F-4823-916A-2A1DBADC6B9E}"/>
    <cellStyle name="Currency 5 2 2 5 4 2 2 3" xfId="24912" xr:uid="{5B1BAE2D-13AC-4E5E-A67C-045FE6C378DF}"/>
    <cellStyle name="Currency 5 2 2 5 4 2 3" xfId="12257" xr:uid="{7E866F75-D13D-4483-8ECA-EE85BF43DC06}"/>
    <cellStyle name="Currency 5 2 2 5 4 2 4" xfId="20695" xr:uid="{E39533B4-7350-4979-A102-C9325E85C97E}"/>
    <cellStyle name="Currency 5 2 2 5 4 3" xfId="5888" xr:uid="{00000000-0005-0000-0000-0000160C0000}"/>
    <cellStyle name="Currency 5 2 2 5 4 3 2" xfId="14330" xr:uid="{21F4CEDE-6A21-4C6F-AC73-6F48404F6F61}"/>
    <cellStyle name="Currency 5 2 2 5 4 3 3" xfId="22767" xr:uid="{E260C5B5-50CC-412E-A5EC-6D854C23E380}"/>
    <cellStyle name="Currency 5 2 2 5 4 4" xfId="10112" xr:uid="{D143EBC0-ADBD-4C81-9099-41FEA6AA7F6E}"/>
    <cellStyle name="Currency 5 2 2 5 4 5" xfId="18550" xr:uid="{C517FBA1-0315-4B02-9598-B4DF497E0EC9}"/>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2 2 2" xfId="16888" xr:uid="{B87A3435-CDC3-4C21-8395-7F50F992242E}"/>
    <cellStyle name="Currency 5 2 2 5 5 2 2 3" xfId="25325" xr:uid="{D1FEA7B4-B126-4C42-BCFB-06BBAF6501AD}"/>
    <cellStyle name="Currency 5 2 2 5 5 2 3" xfId="12670" xr:uid="{9E8BAAE2-1E6F-4A45-BF2E-6325CE444396}"/>
    <cellStyle name="Currency 5 2 2 5 5 2 4" xfId="21108" xr:uid="{57EC5481-0206-4607-B6F4-0CD792205FF8}"/>
    <cellStyle name="Currency 5 2 2 5 5 3" xfId="6301" xr:uid="{00000000-0005-0000-0000-00001A0C0000}"/>
    <cellStyle name="Currency 5 2 2 5 5 3 2" xfId="14743" xr:uid="{3E9EDF2B-F283-455F-A971-B66B394968D9}"/>
    <cellStyle name="Currency 5 2 2 5 5 3 3" xfId="23180" xr:uid="{F51D908B-CCE7-4E5F-9FAD-E73A7B84C64A}"/>
    <cellStyle name="Currency 5 2 2 5 5 4" xfId="10525" xr:uid="{22824BA7-5CD3-4238-9589-9F8FE6481086}"/>
    <cellStyle name="Currency 5 2 2 5 5 5" xfId="18963" xr:uid="{97C7C809-84B3-4FF1-9713-637302E8652D}"/>
    <cellStyle name="Currency 5 2 2 5 6" xfId="2429" xr:uid="{00000000-0005-0000-0000-00001B0C0000}"/>
    <cellStyle name="Currency 5 2 2 5 6 2" xfId="6714" xr:uid="{00000000-0005-0000-0000-00001C0C0000}"/>
    <cellStyle name="Currency 5 2 2 5 6 2 2" xfId="15156" xr:uid="{DC4F401B-9141-4635-8FA0-C39839531464}"/>
    <cellStyle name="Currency 5 2 2 5 6 2 3" xfId="23593" xr:uid="{040D6F34-4E32-40F7-B8C0-708C40D5D6A1}"/>
    <cellStyle name="Currency 5 2 2 5 6 3" xfId="10938" xr:uid="{FBD3C77C-6A2A-4DE5-945D-26D82B4E234F}"/>
    <cellStyle name="Currency 5 2 2 5 6 4" xfId="19376" xr:uid="{A7ED4FC7-5856-4641-B499-1B497CA7D5BF}"/>
    <cellStyle name="Currency 5 2 2 5 7" xfId="2726" xr:uid="{00000000-0005-0000-0000-00001D0C0000}"/>
    <cellStyle name="Currency 5 2 2 5 8" xfId="2807" xr:uid="{00000000-0005-0000-0000-00001E0C0000}"/>
    <cellStyle name="Currency 5 2 2 5 8 2" xfId="7031" xr:uid="{00000000-0005-0000-0000-00001F0C0000}"/>
    <cellStyle name="Currency 5 2 2 5 8 2 2" xfId="15473" xr:uid="{85D19CDA-16BD-4476-A17F-F8BAB650AA87}"/>
    <cellStyle name="Currency 5 2 2 5 8 2 3" xfId="23910" xr:uid="{26E1254A-ED51-49B3-A27E-10479DFBDC0B}"/>
    <cellStyle name="Currency 5 2 2 5 8 3" xfId="11255" xr:uid="{8F146872-8582-4D09-A283-EEC40F795744}"/>
    <cellStyle name="Currency 5 2 2 5 8 4" xfId="19693" xr:uid="{290ED937-C986-46BD-9EE0-2D448FD797F5}"/>
    <cellStyle name="Currency 5 2 2 5 9" xfId="4648" xr:uid="{00000000-0005-0000-0000-0000200C0000}"/>
    <cellStyle name="Currency 5 2 2 5 9 2" xfId="13090" xr:uid="{D1183FCB-93BB-4722-A621-94FDD7A8BA15}"/>
    <cellStyle name="Currency 5 2 2 5 9 3" xfId="21527" xr:uid="{B0CC4CF9-9C32-45AF-A236-A7E0A777E8FF}"/>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10 2" xfId="13091" xr:uid="{68DD8B19-C54A-4D15-9B51-AE9A6470FB25}"/>
    <cellStyle name="Currency 5 2 4 10 3" xfId="21528" xr:uid="{305B9647-6CDD-4772-A88D-C004E2C89671}"/>
    <cellStyle name="Currency 5 2 4 11" xfId="8873" xr:uid="{A04CF8D1-EA05-4556-9720-E85F49C74FE2}"/>
    <cellStyle name="Currency 5 2 4 12" xfId="17311" xr:uid="{1D2C0EAB-068D-4EAE-A1C8-422C790407B3}"/>
    <cellStyle name="Currency 5 2 4 2" xfId="206" xr:uid="{00000000-0005-0000-0000-0000250C0000}"/>
    <cellStyle name="Currency 5 2 4 2 10" xfId="8874" xr:uid="{9C1BFCDD-3D64-4425-8DE7-95585165EF58}"/>
    <cellStyle name="Currency 5 2 4 2 11" xfId="17312" xr:uid="{81EBDB2D-A201-42F2-BB93-78F6C28111A9}"/>
    <cellStyle name="Currency 5 2 4 2 2" xfId="733" xr:uid="{00000000-0005-0000-0000-0000260C0000}"/>
    <cellStyle name="Currency 5 2 4 2 2 2" xfId="2986" xr:uid="{00000000-0005-0000-0000-0000270C0000}"/>
    <cellStyle name="Currency 5 2 4 2 2 2 2" xfId="7209" xr:uid="{00000000-0005-0000-0000-0000280C0000}"/>
    <cellStyle name="Currency 5 2 4 2 2 2 2 2" xfId="15651" xr:uid="{CCCABCA4-AD6C-4E41-9438-F7AD82BD3CBF}"/>
    <cellStyle name="Currency 5 2 4 2 2 2 2 3" xfId="24088" xr:uid="{8DD16C05-7E91-4D20-BE67-814F69BAFAEB}"/>
    <cellStyle name="Currency 5 2 4 2 2 2 3" xfId="11433" xr:uid="{9783D121-3421-411A-B156-C761551B27F8}"/>
    <cellStyle name="Currency 5 2 4 2 2 2 4" xfId="19871" xr:uid="{1F368E3E-3908-4F6B-BB4F-C6D7AF8526B1}"/>
    <cellStyle name="Currency 5 2 4 2 2 3" xfId="5064" xr:uid="{00000000-0005-0000-0000-0000290C0000}"/>
    <cellStyle name="Currency 5 2 4 2 2 3 2" xfId="13506" xr:uid="{E8E3BCD0-22A4-4C55-AA60-DEB746E59601}"/>
    <cellStyle name="Currency 5 2 4 2 2 3 3" xfId="21943" xr:uid="{60DCF0BC-CC05-429E-B7B9-DF0CC21A7451}"/>
    <cellStyle name="Currency 5 2 4 2 2 4" xfId="9288" xr:uid="{D7E907D8-E708-4EF7-86E3-31B5C703581E}"/>
    <cellStyle name="Currency 5 2 4 2 2 5" xfId="17726" xr:uid="{16181AD4-CF97-499F-BFB8-C385A735B5E5}"/>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2 2 2" xfId="16064" xr:uid="{6014C8CD-C98C-4584-935B-EC8D50949A65}"/>
    <cellStyle name="Currency 5 2 4 2 3 2 2 3" xfId="24501" xr:uid="{59E2F373-6E0C-42CA-B68E-A151A08397D9}"/>
    <cellStyle name="Currency 5 2 4 2 3 2 3" xfId="11846" xr:uid="{837304F3-AA56-4BC6-8E1C-4731E1B1D070}"/>
    <cellStyle name="Currency 5 2 4 2 3 2 4" xfId="20284" xr:uid="{11285EDF-3AE0-4EC3-8837-2500EBE5F787}"/>
    <cellStyle name="Currency 5 2 4 2 3 3" xfId="5477" xr:uid="{00000000-0005-0000-0000-00002D0C0000}"/>
    <cellStyle name="Currency 5 2 4 2 3 3 2" xfId="13919" xr:uid="{A606047A-D7C9-4B0F-894A-D0D9A85EF2F8}"/>
    <cellStyle name="Currency 5 2 4 2 3 3 3" xfId="22356" xr:uid="{2DF8F053-9C5F-46F9-A2F2-2B9409B03FB2}"/>
    <cellStyle name="Currency 5 2 4 2 3 4" xfId="9701" xr:uid="{F5B7FF27-A7BF-476A-9AD2-B675CDCE0AD5}"/>
    <cellStyle name="Currency 5 2 4 2 3 5" xfId="18139" xr:uid="{C6AC72E3-87CC-457A-B69B-89A558B80C1E}"/>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2 2 2" xfId="16477" xr:uid="{DCC797A1-AAD6-4E71-AF25-F3C374DB2FFB}"/>
    <cellStyle name="Currency 5 2 4 2 4 2 2 3" xfId="24914" xr:uid="{7FC21BFB-67B6-43EC-97C1-D22DE538B84F}"/>
    <cellStyle name="Currency 5 2 4 2 4 2 3" xfId="12259" xr:uid="{472C8A9A-916E-4BEF-A25B-4C4DBDDD49D8}"/>
    <cellStyle name="Currency 5 2 4 2 4 2 4" xfId="20697" xr:uid="{1BB15B69-8116-4813-928A-EA6F14407D87}"/>
    <cellStyle name="Currency 5 2 4 2 4 3" xfId="5890" xr:uid="{00000000-0005-0000-0000-0000310C0000}"/>
    <cellStyle name="Currency 5 2 4 2 4 3 2" xfId="14332" xr:uid="{6EDC2433-0221-4599-BD44-D01FBE17A84A}"/>
    <cellStyle name="Currency 5 2 4 2 4 3 3" xfId="22769" xr:uid="{693DA62C-BBD9-4FC2-9354-72E808EB70D8}"/>
    <cellStyle name="Currency 5 2 4 2 4 4" xfId="10114" xr:uid="{4EBE3C72-4881-4B43-960F-0CF491722CF2}"/>
    <cellStyle name="Currency 5 2 4 2 4 5" xfId="18552" xr:uid="{5F658CF5-4DCE-4A0E-BCEF-C0E2B7991A1A}"/>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2 2 2" xfId="16890" xr:uid="{5174A2CF-9965-4368-A5FE-81EF166B6A0E}"/>
    <cellStyle name="Currency 5 2 4 2 5 2 2 3" xfId="25327" xr:uid="{D18D77EF-B866-4DA9-A1A0-49AE22466E27}"/>
    <cellStyle name="Currency 5 2 4 2 5 2 3" xfId="12672" xr:uid="{7EA360AE-8ED4-4BA5-9744-8036021BDB62}"/>
    <cellStyle name="Currency 5 2 4 2 5 2 4" xfId="21110" xr:uid="{53D46391-C8BB-4A65-893A-721CB0A17B84}"/>
    <cellStyle name="Currency 5 2 4 2 5 3" xfId="6303" xr:uid="{00000000-0005-0000-0000-0000350C0000}"/>
    <cellStyle name="Currency 5 2 4 2 5 3 2" xfId="14745" xr:uid="{ED1F4C0D-E0FD-434C-8CD4-799D3428E958}"/>
    <cellStyle name="Currency 5 2 4 2 5 3 3" xfId="23182" xr:uid="{302CE7A8-0C3A-4CDF-AB6B-11F8C229394E}"/>
    <cellStyle name="Currency 5 2 4 2 5 4" xfId="10527" xr:uid="{7A3F01D0-13FC-474A-A619-8731999D5E8D}"/>
    <cellStyle name="Currency 5 2 4 2 5 5" xfId="18965" xr:uid="{CA3A7E54-4336-459D-AC32-6D75F748C8F8}"/>
    <cellStyle name="Currency 5 2 4 2 6" xfId="2431" xr:uid="{00000000-0005-0000-0000-0000360C0000}"/>
    <cellStyle name="Currency 5 2 4 2 6 2" xfId="6716" xr:uid="{00000000-0005-0000-0000-0000370C0000}"/>
    <cellStyle name="Currency 5 2 4 2 6 2 2" xfId="15158" xr:uid="{1F40CF84-EBA6-49F9-A93D-DA0B8FD55CEB}"/>
    <cellStyle name="Currency 5 2 4 2 6 2 3" xfId="23595" xr:uid="{6546983C-66E8-426C-8290-D6E04E021FBF}"/>
    <cellStyle name="Currency 5 2 4 2 6 3" xfId="10940" xr:uid="{0FE06D33-4BFF-40EE-AC04-66115E8B5D59}"/>
    <cellStyle name="Currency 5 2 4 2 6 4" xfId="19378" xr:uid="{5F43DFF7-2FDF-477C-BEF9-D9E4E6A8E234}"/>
    <cellStyle name="Currency 5 2 4 2 7" xfId="2728" xr:uid="{00000000-0005-0000-0000-0000380C0000}"/>
    <cellStyle name="Currency 5 2 4 2 8" xfId="2809" xr:uid="{00000000-0005-0000-0000-0000390C0000}"/>
    <cellStyle name="Currency 5 2 4 2 8 2" xfId="7033" xr:uid="{00000000-0005-0000-0000-00003A0C0000}"/>
    <cellStyle name="Currency 5 2 4 2 8 2 2" xfId="15475" xr:uid="{371B3F20-11D6-41EB-B405-95C38BD0D6E1}"/>
    <cellStyle name="Currency 5 2 4 2 8 2 3" xfId="23912" xr:uid="{CBF47E0E-2DC6-42AE-97B1-0A5B46810104}"/>
    <cellStyle name="Currency 5 2 4 2 8 3" xfId="11257" xr:uid="{E8F6B13D-A92F-4DDF-AAB8-0223429318E3}"/>
    <cellStyle name="Currency 5 2 4 2 8 4" xfId="19695" xr:uid="{855EFFA0-D16D-4DAF-82D5-FC6FFB2BEC7D}"/>
    <cellStyle name="Currency 5 2 4 2 9" xfId="4650" xr:uid="{00000000-0005-0000-0000-00003B0C0000}"/>
    <cellStyle name="Currency 5 2 4 2 9 2" xfId="13092" xr:uid="{84541968-A87B-4F91-A58F-65F0544C7AFD}"/>
    <cellStyle name="Currency 5 2 4 2 9 3" xfId="21529" xr:uid="{459AA855-0BFB-439D-B26D-12B9454F041D}"/>
    <cellStyle name="Currency 5 2 4 3" xfId="732" xr:uid="{00000000-0005-0000-0000-00003C0C0000}"/>
    <cellStyle name="Currency 5 2 4 3 2" xfId="2985" xr:uid="{00000000-0005-0000-0000-00003D0C0000}"/>
    <cellStyle name="Currency 5 2 4 3 2 2" xfId="7208" xr:uid="{00000000-0005-0000-0000-00003E0C0000}"/>
    <cellStyle name="Currency 5 2 4 3 2 2 2" xfId="15650" xr:uid="{763FC3AF-AC41-413F-B01C-765875460FCB}"/>
    <cellStyle name="Currency 5 2 4 3 2 2 3" xfId="24087" xr:uid="{E4F8CEAF-C4C1-4B0A-A2FD-17001E2D1343}"/>
    <cellStyle name="Currency 5 2 4 3 2 3" xfId="11432" xr:uid="{68BFF076-3079-419E-9F41-C8FF2B2699B6}"/>
    <cellStyle name="Currency 5 2 4 3 2 4" xfId="19870" xr:uid="{FF6B3F2E-7E39-41EF-8991-B58A55FF6300}"/>
    <cellStyle name="Currency 5 2 4 3 3" xfId="5063" xr:uid="{00000000-0005-0000-0000-00003F0C0000}"/>
    <cellStyle name="Currency 5 2 4 3 3 2" xfId="13505" xr:uid="{19CF942C-2B76-4FDB-9696-67927595B2EF}"/>
    <cellStyle name="Currency 5 2 4 3 3 3" xfId="21942" xr:uid="{C15CC02B-8C7F-4F8A-9923-3BF886D92C51}"/>
    <cellStyle name="Currency 5 2 4 3 4" xfId="9287" xr:uid="{2C860E29-9238-4F53-B87C-122F8CD2D2C4}"/>
    <cellStyle name="Currency 5 2 4 3 5" xfId="17725" xr:uid="{BFF3590A-7701-4E5D-A158-5559A56218A3}"/>
    <cellStyle name="Currency 5 2 4 4" xfId="1167" xr:uid="{00000000-0005-0000-0000-0000400C0000}"/>
    <cellStyle name="Currency 5 2 4 4 2" xfId="3398" xr:uid="{00000000-0005-0000-0000-0000410C0000}"/>
    <cellStyle name="Currency 5 2 4 4 2 2" xfId="7621" xr:uid="{00000000-0005-0000-0000-0000420C0000}"/>
    <cellStyle name="Currency 5 2 4 4 2 2 2" xfId="16063" xr:uid="{324B7404-3CDA-41BF-8DE5-09F8AA59A07B}"/>
    <cellStyle name="Currency 5 2 4 4 2 2 3" xfId="24500" xr:uid="{B21982CF-CCF0-4C98-AA5C-D9836E4A032D}"/>
    <cellStyle name="Currency 5 2 4 4 2 3" xfId="11845" xr:uid="{30EE41E3-E2B4-4634-AB84-D65F63925116}"/>
    <cellStyle name="Currency 5 2 4 4 2 4" xfId="20283" xr:uid="{B2270F6F-FE78-4FAC-A7F1-7087E555F585}"/>
    <cellStyle name="Currency 5 2 4 4 3" xfId="5476" xr:uid="{00000000-0005-0000-0000-0000430C0000}"/>
    <cellStyle name="Currency 5 2 4 4 3 2" xfId="13918" xr:uid="{72F2C53F-5676-4916-BA0F-C734F070149F}"/>
    <cellStyle name="Currency 5 2 4 4 3 3" xfId="22355" xr:uid="{AD8B399B-EE7A-4E14-B3ED-CDBCCA9D7AAE}"/>
    <cellStyle name="Currency 5 2 4 4 4" xfId="9700" xr:uid="{6DAEA2DE-566F-4ECD-B955-5C79F063247C}"/>
    <cellStyle name="Currency 5 2 4 4 5" xfId="18138" xr:uid="{BA887340-2706-43CE-9CDB-21DE9C7DBD21}"/>
    <cellStyle name="Currency 5 2 4 5" xfId="1581" xr:uid="{00000000-0005-0000-0000-0000440C0000}"/>
    <cellStyle name="Currency 5 2 4 5 2" xfId="3811" xr:uid="{00000000-0005-0000-0000-0000450C0000}"/>
    <cellStyle name="Currency 5 2 4 5 2 2" xfId="8034" xr:uid="{00000000-0005-0000-0000-0000460C0000}"/>
    <cellStyle name="Currency 5 2 4 5 2 2 2" xfId="16476" xr:uid="{3800258C-17BC-4BB6-9D18-55653431C45D}"/>
    <cellStyle name="Currency 5 2 4 5 2 2 3" xfId="24913" xr:uid="{B850CE66-A16D-469B-9225-B6D932199A19}"/>
    <cellStyle name="Currency 5 2 4 5 2 3" xfId="12258" xr:uid="{947FE12E-E081-4163-8B28-7CDFE16CE5AE}"/>
    <cellStyle name="Currency 5 2 4 5 2 4" xfId="20696" xr:uid="{0C57F8FC-EA0B-42EF-8537-A2DDCACD7BE4}"/>
    <cellStyle name="Currency 5 2 4 5 3" xfId="5889" xr:uid="{00000000-0005-0000-0000-0000470C0000}"/>
    <cellStyle name="Currency 5 2 4 5 3 2" xfId="14331" xr:uid="{D0EAE8F5-E4E1-4056-A6BF-058092E78EC4}"/>
    <cellStyle name="Currency 5 2 4 5 3 3" xfId="22768" xr:uid="{CA9C4CE4-7EEE-430C-B380-4E685E776511}"/>
    <cellStyle name="Currency 5 2 4 5 4" xfId="10113" xr:uid="{F60F1297-CC21-4433-A054-6644EA286D28}"/>
    <cellStyle name="Currency 5 2 4 5 5" xfId="18551" xr:uid="{957CA59F-E71E-4444-97E0-BF8BF6148FD0}"/>
    <cellStyle name="Currency 5 2 4 6" xfId="1995" xr:uid="{00000000-0005-0000-0000-0000480C0000}"/>
    <cellStyle name="Currency 5 2 4 6 2" xfId="4224" xr:uid="{00000000-0005-0000-0000-0000490C0000}"/>
    <cellStyle name="Currency 5 2 4 6 2 2" xfId="8447" xr:uid="{00000000-0005-0000-0000-00004A0C0000}"/>
    <cellStyle name="Currency 5 2 4 6 2 2 2" xfId="16889" xr:uid="{1BAD3BBB-D126-4AAE-8998-AE583ABD7403}"/>
    <cellStyle name="Currency 5 2 4 6 2 2 3" xfId="25326" xr:uid="{A8F7C0A2-0559-4719-BE77-437F7082FE26}"/>
    <cellStyle name="Currency 5 2 4 6 2 3" xfId="12671" xr:uid="{2F037AD6-0772-4DC0-B312-D5A71D6F2031}"/>
    <cellStyle name="Currency 5 2 4 6 2 4" xfId="21109" xr:uid="{8114EF2F-B50C-4121-8691-F815D65B71B7}"/>
    <cellStyle name="Currency 5 2 4 6 3" xfId="6302" xr:uid="{00000000-0005-0000-0000-00004B0C0000}"/>
    <cellStyle name="Currency 5 2 4 6 3 2" xfId="14744" xr:uid="{FA72F3A1-DCDE-4DF6-894A-9425CBC0E39A}"/>
    <cellStyle name="Currency 5 2 4 6 3 3" xfId="23181" xr:uid="{BC0A32AD-AE00-435B-BB48-EBDA4BD4780F}"/>
    <cellStyle name="Currency 5 2 4 6 4" xfId="10526" xr:uid="{3AC26C83-D1EB-4122-A8E1-BF1C20653A67}"/>
    <cellStyle name="Currency 5 2 4 6 5" xfId="18964" xr:uid="{530D581D-98F5-4192-81C9-84E62BCCC790}"/>
    <cellStyle name="Currency 5 2 4 7" xfId="2430" xr:uid="{00000000-0005-0000-0000-00004C0C0000}"/>
    <cellStyle name="Currency 5 2 4 7 2" xfId="6715" xr:uid="{00000000-0005-0000-0000-00004D0C0000}"/>
    <cellStyle name="Currency 5 2 4 7 2 2" xfId="15157" xr:uid="{57EF1432-4A1B-47C5-8460-52249FF565BA}"/>
    <cellStyle name="Currency 5 2 4 7 2 3" xfId="23594" xr:uid="{BA87EB89-4388-4EF8-A99E-83B87F311B10}"/>
    <cellStyle name="Currency 5 2 4 7 3" xfId="10939" xr:uid="{CD1A10A1-19D7-4FA9-9BE7-E844D5133450}"/>
    <cellStyle name="Currency 5 2 4 7 4" xfId="19377" xr:uid="{FE975EC4-7E91-4CD9-A213-870E55A4B26F}"/>
    <cellStyle name="Currency 5 2 4 8" xfId="2727" xr:uid="{00000000-0005-0000-0000-00004E0C0000}"/>
    <cellStyle name="Currency 5 2 4 9" xfId="2808" xr:uid="{00000000-0005-0000-0000-00004F0C0000}"/>
    <cellStyle name="Currency 5 2 4 9 2" xfId="7032" xr:uid="{00000000-0005-0000-0000-0000500C0000}"/>
    <cellStyle name="Currency 5 2 4 9 2 2" xfId="15474" xr:uid="{2DAEDDE5-43F6-41E5-B6DB-69B83C072ABA}"/>
    <cellStyle name="Currency 5 2 4 9 2 3" xfId="23911" xr:uid="{6DE227B4-2353-480A-8C8C-22D99A82E7FF}"/>
    <cellStyle name="Currency 5 2 4 9 3" xfId="11256" xr:uid="{19A5ADB4-3488-4FE6-A7BE-8D81CC7157B6}"/>
    <cellStyle name="Currency 5 2 4 9 4" xfId="19694" xr:uid="{DA3DE228-E453-4A83-BBBA-94412EE939A6}"/>
    <cellStyle name="Currency 5 2 5" xfId="207" xr:uid="{00000000-0005-0000-0000-0000510C0000}"/>
    <cellStyle name="Currency 5 2 5 10" xfId="8875" xr:uid="{59142966-9FD7-4DF7-9424-960AA05AD459}"/>
    <cellStyle name="Currency 5 2 5 11" xfId="17313" xr:uid="{169E1061-AF75-4CC6-A804-0DB9195412E6}"/>
    <cellStyle name="Currency 5 2 5 2" xfId="734" xr:uid="{00000000-0005-0000-0000-0000520C0000}"/>
    <cellStyle name="Currency 5 2 5 2 2" xfId="2987" xr:uid="{00000000-0005-0000-0000-0000530C0000}"/>
    <cellStyle name="Currency 5 2 5 2 2 2" xfId="7210" xr:uid="{00000000-0005-0000-0000-0000540C0000}"/>
    <cellStyle name="Currency 5 2 5 2 2 2 2" xfId="15652" xr:uid="{A78B8ABD-4FC6-4E91-98B2-F34DD9F5784E}"/>
    <cellStyle name="Currency 5 2 5 2 2 2 3" xfId="24089" xr:uid="{10F247E8-2019-4D14-B096-283234433DA4}"/>
    <cellStyle name="Currency 5 2 5 2 2 3" xfId="11434" xr:uid="{178A6476-C3C9-4D2D-A1A5-9511DE3624A4}"/>
    <cellStyle name="Currency 5 2 5 2 2 4" xfId="19872" xr:uid="{F9AB0DEA-0307-42E6-9A52-23B90A579CAA}"/>
    <cellStyle name="Currency 5 2 5 2 3" xfId="5065" xr:uid="{00000000-0005-0000-0000-0000550C0000}"/>
    <cellStyle name="Currency 5 2 5 2 3 2" xfId="13507" xr:uid="{6828EB4E-8146-4E3C-83A3-E67A9C6E38DC}"/>
    <cellStyle name="Currency 5 2 5 2 3 3" xfId="21944" xr:uid="{3E66A1A7-D275-41C6-9690-C4FC4065DC04}"/>
    <cellStyle name="Currency 5 2 5 2 4" xfId="9289" xr:uid="{CDFA59CF-8DED-42C4-9ACA-844065B35FAE}"/>
    <cellStyle name="Currency 5 2 5 2 5" xfId="17727" xr:uid="{6814E569-C2C3-4EFF-916F-D8EA0DE56F4F}"/>
    <cellStyle name="Currency 5 2 5 3" xfId="1169" xr:uid="{00000000-0005-0000-0000-0000560C0000}"/>
    <cellStyle name="Currency 5 2 5 3 2" xfId="3400" xr:uid="{00000000-0005-0000-0000-0000570C0000}"/>
    <cellStyle name="Currency 5 2 5 3 2 2" xfId="7623" xr:uid="{00000000-0005-0000-0000-0000580C0000}"/>
    <cellStyle name="Currency 5 2 5 3 2 2 2" xfId="16065" xr:uid="{73A87662-CBA8-4462-A8F0-B19B35370122}"/>
    <cellStyle name="Currency 5 2 5 3 2 2 3" xfId="24502" xr:uid="{579413DF-BA8E-4164-88CD-5F9997F8CCF8}"/>
    <cellStyle name="Currency 5 2 5 3 2 3" xfId="11847" xr:uid="{7A5C4109-08D4-4BA9-8355-B977B4455340}"/>
    <cellStyle name="Currency 5 2 5 3 2 4" xfId="20285" xr:uid="{613A2C8A-B386-4AD5-BC2B-88F188DB776A}"/>
    <cellStyle name="Currency 5 2 5 3 3" xfId="5478" xr:uid="{00000000-0005-0000-0000-0000590C0000}"/>
    <cellStyle name="Currency 5 2 5 3 3 2" xfId="13920" xr:uid="{D07943BE-3A35-4B26-A352-3E0A2CE95C7F}"/>
    <cellStyle name="Currency 5 2 5 3 3 3" xfId="22357" xr:uid="{DA4E81B6-F3E5-4B32-AFF9-F1299B5539B2}"/>
    <cellStyle name="Currency 5 2 5 3 4" xfId="9702" xr:uid="{07612761-A837-46D7-ADC1-46FF59D0DBE3}"/>
    <cellStyle name="Currency 5 2 5 3 5" xfId="18140" xr:uid="{8D2550E4-F320-4058-BA74-409C2F16CD48}"/>
    <cellStyle name="Currency 5 2 5 4" xfId="1583" xr:uid="{00000000-0005-0000-0000-00005A0C0000}"/>
    <cellStyle name="Currency 5 2 5 4 2" xfId="3813" xr:uid="{00000000-0005-0000-0000-00005B0C0000}"/>
    <cellStyle name="Currency 5 2 5 4 2 2" xfId="8036" xr:uid="{00000000-0005-0000-0000-00005C0C0000}"/>
    <cellStyle name="Currency 5 2 5 4 2 2 2" xfId="16478" xr:uid="{554B5C35-BF54-4C1F-AB20-B5C849D3B478}"/>
    <cellStyle name="Currency 5 2 5 4 2 2 3" xfId="24915" xr:uid="{03E4218A-7FD6-4D04-9822-D92E69B6F71C}"/>
    <cellStyle name="Currency 5 2 5 4 2 3" xfId="12260" xr:uid="{F67448ED-5CEF-4D7B-9D3F-368F49C8323A}"/>
    <cellStyle name="Currency 5 2 5 4 2 4" xfId="20698" xr:uid="{C65CEF98-8AC7-4A01-A914-E8E72ECBDB50}"/>
    <cellStyle name="Currency 5 2 5 4 3" xfId="5891" xr:uid="{00000000-0005-0000-0000-00005D0C0000}"/>
    <cellStyle name="Currency 5 2 5 4 3 2" xfId="14333" xr:uid="{3DE2F3E0-68BB-43D2-969C-50355051F6A1}"/>
    <cellStyle name="Currency 5 2 5 4 3 3" xfId="22770" xr:uid="{F61BCE7C-615C-4331-8E5B-49A474792A91}"/>
    <cellStyle name="Currency 5 2 5 4 4" xfId="10115" xr:uid="{4B33B9B4-1A52-4701-982D-502973CA8A36}"/>
    <cellStyle name="Currency 5 2 5 4 5" xfId="18553" xr:uid="{0E101385-064F-4BD8-92E3-BAFF0E0CE9FA}"/>
    <cellStyle name="Currency 5 2 5 5" xfId="1997" xr:uid="{00000000-0005-0000-0000-00005E0C0000}"/>
    <cellStyle name="Currency 5 2 5 5 2" xfId="4226" xr:uid="{00000000-0005-0000-0000-00005F0C0000}"/>
    <cellStyle name="Currency 5 2 5 5 2 2" xfId="8449" xr:uid="{00000000-0005-0000-0000-0000600C0000}"/>
    <cellStyle name="Currency 5 2 5 5 2 2 2" xfId="16891" xr:uid="{F897B295-22C3-47D1-A896-E396F593EB28}"/>
    <cellStyle name="Currency 5 2 5 5 2 2 3" xfId="25328" xr:uid="{7F8B5110-6E8A-4569-9859-6AC8AFC31DFE}"/>
    <cellStyle name="Currency 5 2 5 5 2 3" xfId="12673" xr:uid="{57B0BF99-0745-4FDD-8151-8E34FEBCDEE7}"/>
    <cellStyle name="Currency 5 2 5 5 2 4" xfId="21111" xr:uid="{A920B812-5DB7-41AB-9206-D996CD0ED259}"/>
    <cellStyle name="Currency 5 2 5 5 3" xfId="6304" xr:uid="{00000000-0005-0000-0000-0000610C0000}"/>
    <cellStyle name="Currency 5 2 5 5 3 2" xfId="14746" xr:uid="{2DE4C094-146B-43D7-8AF4-DB31B2439066}"/>
    <cellStyle name="Currency 5 2 5 5 3 3" xfId="23183" xr:uid="{FB0CFA81-121D-4398-B0B1-527AC22B65EF}"/>
    <cellStyle name="Currency 5 2 5 5 4" xfId="10528" xr:uid="{6532609A-74DB-457B-AEDA-6D88D1C11621}"/>
    <cellStyle name="Currency 5 2 5 5 5" xfId="18966" xr:uid="{0DDDA45E-9792-4189-A83E-A646DE17F1D5}"/>
    <cellStyle name="Currency 5 2 5 6" xfId="2432" xr:uid="{00000000-0005-0000-0000-0000620C0000}"/>
    <cellStyle name="Currency 5 2 5 6 2" xfId="6717" xr:uid="{00000000-0005-0000-0000-0000630C0000}"/>
    <cellStyle name="Currency 5 2 5 6 2 2" xfId="15159" xr:uid="{0F99F71E-D57C-4721-AE67-1FB406584B0F}"/>
    <cellStyle name="Currency 5 2 5 6 2 3" xfId="23596" xr:uid="{D0593C78-1133-43E6-B4D3-DE74C6E41B4D}"/>
    <cellStyle name="Currency 5 2 5 6 3" xfId="10941" xr:uid="{CD5A1CC9-E732-46F9-9C89-587D16087315}"/>
    <cellStyle name="Currency 5 2 5 6 4" xfId="19379" xr:uid="{6A4F869A-D2A1-49FB-A9C3-5B7144184D0A}"/>
    <cellStyle name="Currency 5 2 5 7" xfId="2729" xr:uid="{00000000-0005-0000-0000-0000640C0000}"/>
    <cellStyle name="Currency 5 2 5 8" xfId="2810" xr:uid="{00000000-0005-0000-0000-0000650C0000}"/>
    <cellStyle name="Currency 5 2 5 8 2" xfId="7034" xr:uid="{00000000-0005-0000-0000-0000660C0000}"/>
    <cellStyle name="Currency 5 2 5 8 2 2" xfId="15476" xr:uid="{B4E9EAFE-20D8-447F-8A9F-5E683E1D13BB}"/>
    <cellStyle name="Currency 5 2 5 8 2 3" xfId="23913" xr:uid="{180F6032-3EF0-4E5E-921A-88AFAC4E9C45}"/>
    <cellStyle name="Currency 5 2 5 8 3" xfId="11258" xr:uid="{A4EEEA9A-3913-43A5-A213-607B8064F492}"/>
    <cellStyle name="Currency 5 2 5 8 4" xfId="19696" xr:uid="{A21E3F33-0C64-48E0-9BBB-4273E3B17448}"/>
    <cellStyle name="Currency 5 2 5 9" xfId="4651" xr:uid="{00000000-0005-0000-0000-0000670C0000}"/>
    <cellStyle name="Currency 5 2 5 9 2" xfId="13093" xr:uid="{EA75E342-4F63-4E6F-8ADF-54E53514B6F9}"/>
    <cellStyle name="Currency 5 2 5 9 3" xfId="21530" xr:uid="{ACB4A707-5F49-4E13-9F18-EA36BAF4E00A}"/>
    <cellStyle name="Currency 5 2 6" xfId="208" xr:uid="{00000000-0005-0000-0000-0000680C0000}"/>
    <cellStyle name="Currency 5 2 6 10" xfId="8876" xr:uid="{05F75DE3-CCFA-46D2-B2D8-6D1C7B6B9EAF}"/>
    <cellStyle name="Currency 5 2 6 11" xfId="17314" xr:uid="{F3EF9ADB-D409-4408-95CD-0AAAF0736B2B}"/>
    <cellStyle name="Currency 5 2 6 2" xfId="735" xr:uid="{00000000-0005-0000-0000-0000690C0000}"/>
    <cellStyle name="Currency 5 2 6 2 2" xfId="2988" xr:uid="{00000000-0005-0000-0000-00006A0C0000}"/>
    <cellStyle name="Currency 5 2 6 2 2 2" xfId="7211" xr:uid="{00000000-0005-0000-0000-00006B0C0000}"/>
    <cellStyle name="Currency 5 2 6 2 2 2 2" xfId="15653" xr:uid="{477761C5-C046-4105-9C0D-DDCA3A40F80C}"/>
    <cellStyle name="Currency 5 2 6 2 2 2 3" xfId="24090" xr:uid="{5EEB1252-654C-49F5-971F-82ECE22FB347}"/>
    <cellStyle name="Currency 5 2 6 2 2 3" xfId="11435" xr:uid="{F1F96597-DA2D-4E63-A9B9-2CC34E4DEE32}"/>
    <cellStyle name="Currency 5 2 6 2 2 4" xfId="19873" xr:uid="{9E42B5DD-176F-4116-8204-428301419862}"/>
    <cellStyle name="Currency 5 2 6 2 3" xfId="5066" xr:uid="{00000000-0005-0000-0000-00006C0C0000}"/>
    <cellStyle name="Currency 5 2 6 2 3 2" xfId="13508" xr:uid="{C1CC1EC7-B23B-41CB-8A90-1FD0D341653B}"/>
    <cellStyle name="Currency 5 2 6 2 3 3" xfId="21945" xr:uid="{36148CCC-4B06-416B-AD94-2B420F4A28D2}"/>
    <cellStyle name="Currency 5 2 6 2 4" xfId="9290" xr:uid="{E8446B13-D39C-49FF-94D4-9A8F01498D14}"/>
    <cellStyle name="Currency 5 2 6 2 5" xfId="17728" xr:uid="{CF619408-E663-4AD7-86F6-1BE314AF6EAA}"/>
    <cellStyle name="Currency 5 2 6 3" xfId="1170" xr:uid="{00000000-0005-0000-0000-00006D0C0000}"/>
    <cellStyle name="Currency 5 2 6 3 2" xfId="3401" xr:uid="{00000000-0005-0000-0000-00006E0C0000}"/>
    <cellStyle name="Currency 5 2 6 3 2 2" xfId="7624" xr:uid="{00000000-0005-0000-0000-00006F0C0000}"/>
    <cellStyle name="Currency 5 2 6 3 2 2 2" xfId="16066" xr:uid="{1AB87ED1-F26F-4180-A951-977450B0FAAC}"/>
    <cellStyle name="Currency 5 2 6 3 2 2 3" xfId="24503" xr:uid="{D9CA699C-2D06-4218-B12F-1148A415E22A}"/>
    <cellStyle name="Currency 5 2 6 3 2 3" xfId="11848" xr:uid="{154EC386-E63E-4FA5-BF19-479084E3BCF6}"/>
    <cellStyle name="Currency 5 2 6 3 2 4" xfId="20286" xr:uid="{732D0F79-568B-4E46-9DE9-D4A7E191F556}"/>
    <cellStyle name="Currency 5 2 6 3 3" xfId="5479" xr:uid="{00000000-0005-0000-0000-0000700C0000}"/>
    <cellStyle name="Currency 5 2 6 3 3 2" xfId="13921" xr:uid="{A7D3F068-7004-46FA-9A0C-0B37CD056A6F}"/>
    <cellStyle name="Currency 5 2 6 3 3 3" xfId="22358" xr:uid="{A2A6E50E-FB70-4A3B-B952-4CBFE7983FD3}"/>
    <cellStyle name="Currency 5 2 6 3 4" xfId="9703" xr:uid="{EC21D039-BF75-42AA-AFCB-9FC47DEB47F3}"/>
    <cellStyle name="Currency 5 2 6 3 5" xfId="18141" xr:uid="{27B30FC8-94BF-4C87-973C-F63CA0F496B3}"/>
    <cellStyle name="Currency 5 2 6 4" xfId="1584" xr:uid="{00000000-0005-0000-0000-0000710C0000}"/>
    <cellStyle name="Currency 5 2 6 4 2" xfId="3814" xr:uid="{00000000-0005-0000-0000-0000720C0000}"/>
    <cellStyle name="Currency 5 2 6 4 2 2" xfId="8037" xr:uid="{00000000-0005-0000-0000-0000730C0000}"/>
    <cellStyle name="Currency 5 2 6 4 2 2 2" xfId="16479" xr:uid="{C6D71D67-1E20-4EA3-8755-008B944B56DA}"/>
    <cellStyle name="Currency 5 2 6 4 2 2 3" xfId="24916" xr:uid="{8FFEF211-86D6-4274-84D1-135D76626C7F}"/>
    <cellStyle name="Currency 5 2 6 4 2 3" xfId="12261" xr:uid="{C896C17D-C509-4962-BBA9-E510300C1035}"/>
    <cellStyle name="Currency 5 2 6 4 2 4" xfId="20699" xr:uid="{1A7E4810-BD5C-4C1F-830E-81D854B62437}"/>
    <cellStyle name="Currency 5 2 6 4 3" xfId="5892" xr:uid="{00000000-0005-0000-0000-0000740C0000}"/>
    <cellStyle name="Currency 5 2 6 4 3 2" xfId="14334" xr:uid="{F7547E36-982B-48A8-B09A-F9184041FA6E}"/>
    <cellStyle name="Currency 5 2 6 4 3 3" xfId="22771" xr:uid="{0FCC02F3-21DD-4367-BEFB-C780F42BEE66}"/>
    <cellStyle name="Currency 5 2 6 4 4" xfId="10116" xr:uid="{76CDF7E1-488E-4B0B-B5D6-A140FD943BE0}"/>
    <cellStyle name="Currency 5 2 6 4 5" xfId="18554" xr:uid="{E6DB2712-8E60-41A1-B908-490064E1F7C0}"/>
    <cellStyle name="Currency 5 2 6 5" xfId="1998" xr:uid="{00000000-0005-0000-0000-0000750C0000}"/>
    <cellStyle name="Currency 5 2 6 5 2" xfId="4227" xr:uid="{00000000-0005-0000-0000-0000760C0000}"/>
    <cellStyle name="Currency 5 2 6 5 2 2" xfId="8450" xr:uid="{00000000-0005-0000-0000-0000770C0000}"/>
    <cellStyle name="Currency 5 2 6 5 2 2 2" xfId="16892" xr:uid="{F8BA3CC6-17CD-4A68-9503-9949BFBFC85E}"/>
    <cellStyle name="Currency 5 2 6 5 2 2 3" xfId="25329" xr:uid="{6F92B7F4-DDE6-48E2-88BF-9AAB74CB5BAC}"/>
    <cellStyle name="Currency 5 2 6 5 2 3" xfId="12674" xr:uid="{8023098A-AA0A-4801-A4FB-2FE5EC562C2E}"/>
    <cellStyle name="Currency 5 2 6 5 2 4" xfId="21112" xr:uid="{F95C2A3D-228A-43AF-A06E-044FE5E6E8CC}"/>
    <cellStyle name="Currency 5 2 6 5 3" xfId="6305" xr:uid="{00000000-0005-0000-0000-0000780C0000}"/>
    <cellStyle name="Currency 5 2 6 5 3 2" xfId="14747" xr:uid="{AC43487C-2459-4995-942A-D9CFB37430F6}"/>
    <cellStyle name="Currency 5 2 6 5 3 3" xfId="23184" xr:uid="{00545E64-5F52-48BD-9275-A3D74C179CE2}"/>
    <cellStyle name="Currency 5 2 6 5 4" xfId="10529" xr:uid="{2B73CC8B-35F2-4264-A17D-DAB2C56944B4}"/>
    <cellStyle name="Currency 5 2 6 5 5" xfId="18967" xr:uid="{F353F486-B742-443B-9DD4-C36A6493F09B}"/>
    <cellStyle name="Currency 5 2 6 6" xfId="2433" xr:uid="{00000000-0005-0000-0000-0000790C0000}"/>
    <cellStyle name="Currency 5 2 6 6 2" xfId="6718" xr:uid="{00000000-0005-0000-0000-00007A0C0000}"/>
    <cellStyle name="Currency 5 2 6 6 2 2" xfId="15160" xr:uid="{220058FF-5FDD-476C-A1B2-80847A0BDB84}"/>
    <cellStyle name="Currency 5 2 6 6 2 3" xfId="23597" xr:uid="{A8DEB65C-3E08-4CC1-BA72-A05A83EED39E}"/>
    <cellStyle name="Currency 5 2 6 6 3" xfId="10942" xr:uid="{40E42CBF-171C-4F77-9B4A-01B7FF6B2885}"/>
    <cellStyle name="Currency 5 2 6 6 4" xfId="19380" xr:uid="{FE398C6E-5D83-4436-9B75-25559F090CBE}"/>
    <cellStyle name="Currency 5 2 6 7" xfId="2730" xr:uid="{00000000-0005-0000-0000-00007B0C0000}"/>
    <cellStyle name="Currency 5 2 6 8" xfId="2811" xr:uid="{00000000-0005-0000-0000-00007C0C0000}"/>
    <cellStyle name="Currency 5 2 6 8 2" xfId="7035" xr:uid="{00000000-0005-0000-0000-00007D0C0000}"/>
    <cellStyle name="Currency 5 2 6 8 2 2" xfId="15477" xr:uid="{083E2BF9-E83E-4462-AAA3-F7FECE13E365}"/>
    <cellStyle name="Currency 5 2 6 8 2 3" xfId="23914" xr:uid="{BB5174D0-41A0-4539-BC4E-AE1BCEC56E1F}"/>
    <cellStyle name="Currency 5 2 6 8 3" xfId="11259" xr:uid="{6627AC91-F5A9-4A00-A1CA-BBE88A028FAC}"/>
    <cellStyle name="Currency 5 2 6 8 4" xfId="19697" xr:uid="{AD2E2B24-4A2F-46C5-90A1-FD4FB124E66B}"/>
    <cellStyle name="Currency 5 2 6 9" xfId="4652" xr:uid="{00000000-0005-0000-0000-00007E0C0000}"/>
    <cellStyle name="Currency 5 2 6 9 2" xfId="13094" xr:uid="{ECC2D9CF-F91C-421A-89E9-60A60ADFCB3A}"/>
    <cellStyle name="Currency 5 2 6 9 3" xfId="21531" xr:uid="{7D7EBB98-E055-4854-92C6-85479BDD17B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0 2 2" xfId="15478" xr:uid="{BEC156FE-1E82-4613-B105-EB077CCF6707}"/>
    <cellStyle name="Currency 5 3 2 10 2 3" xfId="23915" xr:uid="{9CD2D0EF-D43A-42A7-B85F-CE8A4B86A199}"/>
    <cellStyle name="Currency 5 3 2 10 3" xfId="11260" xr:uid="{2A0E338D-3F95-42CD-8B40-4BF086D8AF60}"/>
    <cellStyle name="Currency 5 3 2 10 4" xfId="19698" xr:uid="{1B7F16D2-992B-46CB-B244-FD9819A20C44}"/>
    <cellStyle name="Currency 5 3 2 11" xfId="4653" xr:uid="{00000000-0005-0000-0000-0000840C0000}"/>
    <cellStyle name="Currency 5 3 2 11 2" xfId="13095" xr:uid="{3172D651-382E-4E46-94DA-22782B082DF6}"/>
    <cellStyle name="Currency 5 3 2 11 3" xfId="21532" xr:uid="{B49C15A3-E1A3-470F-8503-5227AF8E9303}"/>
    <cellStyle name="Currency 5 3 2 12" xfId="8877" xr:uid="{6C425517-D249-4424-BECA-3F5D183D421F}"/>
    <cellStyle name="Currency 5 3 2 13" xfId="17315" xr:uid="{67337074-0B60-4C54-B83B-3ED3170DBACA}"/>
    <cellStyle name="Currency 5 3 2 2" xfId="211" xr:uid="{00000000-0005-0000-0000-0000850C0000}"/>
    <cellStyle name="Currency 5 3 2 2 10" xfId="4654" xr:uid="{00000000-0005-0000-0000-0000860C0000}"/>
    <cellStyle name="Currency 5 3 2 2 10 2" xfId="13096" xr:uid="{B5D36524-1515-4DE2-A1FD-F89FA0D8B404}"/>
    <cellStyle name="Currency 5 3 2 2 10 3" xfId="21533" xr:uid="{0A0F4009-17D9-4B29-8D91-55A5CF1BD6A3}"/>
    <cellStyle name="Currency 5 3 2 2 11" xfId="8878" xr:uid="{752E6C78-9DD2-4605-AAC5-5EC971A0F752}"/>
    <cellStyle name="Currency 5 3 2 2 12" xfId="17316" xr:uid="{74B91F32-117B-4AAE-BE1D-34B819486AB9}"/>
    <cellStyle name="Currency 5 3 2 2 2" xfId="212" xr:uid="{00000000-0005-0000-0000-0000870C0000}"/>
    <cellStyle name="Currency 5 3 2 2 2 10" xfId="8879" xr:uid="{A18CB809-3195-4033-A422-0F3E7B2854F5}"/>
    <cellStyle name="Currency 5 3 2 2 2 11" xfId="17317" xr:uid="{B72D84B5-DEC5-4B37-8723-411833F5FAA6}"/>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2 2 2" xfId="15656" xr:uid="{4AAFCA0D-24D5-4A60-AE05-F5D7E4429278}"/>
    <cellStyle name="Currency 5 3 2 2 2 2 2 2 3" xfId="24093" xr:uid="{7C81159E-457D-45D8-9867-05BF4B0DB856}"/>
    <cellStyle name="Currency 5 3 2 2 2 2 2 3" xfId="11438" xr:uid="{E879DF4B-10B3-4ECD-B55D-202E4C359E66}"/>
    <cellStyle name="Currency 5 3 2 2 2 2 2 4" xfId="19876" xr:uid="{4CE07408-39B3-4CF4-B59B-D5DDCCCA49D6}"/>
    <cellStyle name="Currency 5 3 2 2 2 2 3" xfId="5069" xr:uid="{00000000-0005-0000-0000-00008B0C0000}"/>
    <cellStyle name="Currency 5 3 2 2 2 2 3 2" xfId="13511" xr:uid="{85F5CFA7-3F85-42E5-B70B-BB5FD6E89CBE}"/>
    <cellStyle name="Currency 5 3 2 2 2 2 3 3" xfId="21948" xr:uid="{97DBC361-109E-4F5E-BE49-7CDCDEB5E76F}"/>
    <cellStyle name="Currency 5 3 2 2 2 2 4" xfId="9293" xr:uid="{228B2C8E-65AF-4C83-A986-6661B04C76FF}"/>
    <cellStyle name="Currency 5 3 2 2 2 2 5" xfId="17731" xr:uid="{FC40FE6F-1C38-47FF-9A1C-1568471AE65F}"/>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2 2 2" xfId="16069" xr:uid="{4E6B151D-357F-4DA5-B8FD-7CA0F61F8F30}"/>
    <cellStyle name="Currency 5 3 2 2 2 3 2 2 3" xfId="24506" xr:uid="{E778ACE8-BBB2-481C-9650-AA12D17BED46}"/>
    <cellStyle name="Currency 5 3 2 2 2 3 2 3" xfId="11851" xr:uid="{CCBC34B5-E171-4488-B0DB-920652E1DEAB}"/>
    <cellStyle name="Currency 5 3 2 2 2 3 2 4" xfId="20289" xr:uid="{39160D9C-DDB9-47F7-A807-8827CE974956}"/>
    <cellStyle name="Currency 5 3 2 2 2 3 3" xfId="5482" xr:uid="{00000000-0005-0000-0000-00008F0C0000}"/>
    <cellStyle name="Currency 5 3 2 2 2 3 3 2" xfId="13924" xr:uid="{FD93FDBD-C2ED-4ACC-B9DE-FD2992A528F9}"/>
    <cellStyle name="Currency 5 3 2 2 2 3 3 3" xfId="22361" xr:uid="{95C5C0B1-ED72-4A9E-8F42-7F896B2B3E5E}"/>
    <cellStyle name="Currency 5 3 2 2 2 3 4" xfId="9706" xr:uid="{8BA7BF20-33B1-43D5-AB74-CB2DCAC61262}"/>
    <cellStyle name="Currency 5 3 2 2 2 3 5" xfId="18144" xr:uid="{52CAFDE9-6F26-4F56-A0CC-134F8C2F686A}"/>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2 2 2" xfId="16482" xr:uid="{20C20EF8-265F-4E3D-B30A-75D8BCDDA81F}"/>
    <cellStyle name="Currency 5 3 2 2 2 4 2 2 3" xfId="24919" xr:uid="{7E5C249A-4D68-45C0-9C63-F0E8CCB5C3BC}"/>
    <cellStyle name="Currency 5 3 2 2 2 4 2 3" xfId="12264" xr:uid="{60AEEBA3-0BB7-416F-AFB4-6AFD064EB1BC}"/>
    <cellStyle name="Currency 5 3 2 2 2 4 2 4" xfId="20702" xr:uid="{59AE708F-4E36-4A8A-A2E1-CAE5A43A74AA}"/>
    <cellStyle name="Currency 5 3 2 2 2 4 3" xfId="5895" xr:uid="{00000000-0005-0000-0000-0000930C0000}"/>
    <cellStyle name="Currency 5 3 2 2 2 4 3 2" xfId="14337" xr:uid="{06348735-EDBD-498D-81EB-93DEA1D693EB}"/>
    <cellStyle name="Currency 5 3 2 2 2 4 3 3" xfId="22774" xr:uid="{87D2A219-97D5-4147-B2A6-40A01961AB59}"/>
    <cellStyle name="Currency 5 3 2 2 2 4 4" xfId="10119" xr:uid="{F0873D8D-63F4-43D5-8B71-3F282E2CA7E9}"/>
    <cellStyle name="Currency 5 3 2 2 2 4 5" xfId="18557" xr:uid="{0ABB58EE-AA67-4F67-8D6A-BCCB578424EB}"/>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2 2 2" xfId="16895" xr:uid="{0C18FDA6-490E-4FD3-BEEC-8F4289AAC8F5}"/>
    <cellStyle name="Currency 5 3 2 2 2 5 2 2 3" xfId="25332" xr:uid="{1054B83F-14E0-4276-BE8B-4FDD522CD1F5}"/>
    <cellStyle name="Currency 5 3 2 2 2 5 2 3" xfId="12677" xr:uid="{3C171C71-69CB-4D27-913A-56E0DB743B98}"/>
    <cellStyle name="Currency 5 3 2 2 2 5 2 4" xfId="21115" xr:uid="{81AF3C43-292F-4235-A2FB-EFE0ACFF0465}"/>
    <cellStyle name="Currency 5 3 2 2 2 5 3" xfId="6308" xr:uid="{00000000-0005-0000-0000-0000970C0000}"/>
    <cellStyle name="Currency 5 3 2 2 2 5 3 2" xfId="14750" xr:uid="{838C1072-FB34-4F7D-A42B-AFBDE60D2304}"/>
    <cellStyle name="Currency 5 3 2 2 2 5 3 3" xfId="23187" xr:uid="{EA92A357-A187-4F98-8AB9-CC98C69DAF32}"/>
    <cellStyle name="Currency 5 3 2 2 2 5 4" xfId="10532" xr:uid="{6D3D50EE-C753-452E-AD83-3D29DD3299EE}"/>
    <cellStyle name="Currency 5 3 2 2 2 5 5" xfId="18970" xr:uid="{1DB41FA4-6339-4F95-8CE4-6ED43F2468D2}"/>
    <cellStyle name="Currency 5 3 2 2 2 6" xfId="2436" xr:uid="{00000000-0005-0000-0000-0000980C0000}"/>
    <cellStyle name="Currency 5 3 2 2 2 6 2" xfId="6721" xr:uid="{00000000-0005-0000-0000-0000990C0000}"/>
    <cellStyle name="Currency 5 3 2 2 2 6 2 2" xfId="15163" xr:uid="{EBF64B9E-E9AC-4FA6-B945-BFFAE99EA64D}"/>
    <cellStyle name="Currency 5 3 2 2 2 6 2 3" xfId="23600" xr:uid="{9DE5748F-A2E8-4F3F-B438-1D214F2EC9C9}"/>
    <cellStyle name="Currency 5 3 2 2 2 6 3" xfId="10945" xr:uid="{39BEE5ED-0496-477A-B533-00C87FABF516}"/>
    <cellStyle name="Currency 5 3 2 2 2 6 4" xfId="19383" xr:uid="{DD2BBAFA-FD1E-4479-8A84-1F58F1D5AD6D}"/>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8 2 2" xfId="15480" xr:uid="{96DD7821-82E2-4EED-9536-02B3CC95D54D}"/>
    <cellStyle name="Currency 5 3 2 2 2 8 2 3" xfId="23917" xr:uid="{2AC3D51F-10FE-4B0B-89C5-F6CA124084CD}"/>
    <cellStyle name="Currency 5 3 2 2 2 8 3" xfId="11262" xr:uid="{86E7DFAD-D3C6-465C-BD7A-B2FEBE9633BD}"/>
    <cellStyle name="Currency 5 3 2 2 2 8 4" xfId="19700" xr:uid="{DC7D61F7-0913-4827-B2ED-8D6919AEA2D2}"/>
    <cellStyle name="Currency 5 3 2 2 2 9" xfId="4655" xr:uid="{00000000-0005-0000-0000-00009D0C0000}"/>
    <cellStyle name="Currency 5 3 2 2 2 9 2" xfId="13097" xr:uid="{1E16617C-1766-427A-A86F-9E32C61E684D}"/>
    <cellStyle name="Currency 5 3 2 2 2 9 3" xfId="21534" xr:uid="{5A99C9EB-7FC9-42F2-BB90-C0B6A0D0EAD4}"/>
    <cellStyle name="Currency 5 3 2 2 3" xfId="737" xr:uid="{00000000-0005-0000-0000-00009E0C0000}"/>
    <cellStyle name="Currency 5 3 2 2 3 2" xfId="2990" xr:uid="{00000000-0005-0000-0000-00009F0C0000}"/>
    <cellStyle name="Currency 5 3 2 2 3 2 2" xfId="7213" xr:uid="{00000000-0005-0000-0000-0000A00C0000}"/>
    <cellStyle name="Currency 5 3 2 2 3 2 2 2" xfId="15655" xr:uid="{D5816474-FD38-49D9-9B8B-645086BE5207}"/>
    <cellStyle name="Currency 5 3 2 2 3 2 2 3" xfId="24092" xr:uid="{ACD88FD4-04A7-4C14-A626-D0F00A7ED61F}"/>
    <cellStyle name="Currency 5 3 2 2 3 2 3" xfId="11437" xr:uid="{39AD20B5-CCF3-4F60-944E-5B228C63769B}"/>
    <cellStyle name="Currency 5 3 2 2 3 2 4" xfId="19875" xr:uid="{9388951E-3A95-4D68-BC8C-3BFAAE08EB4C}"/>
    <cellStyle name="Currency 5 3 2 2 3 3" xfId="5068" xr:uid="{00000000-0005-0000-0000-0000A10C0000}"/>
    <cellStyle name="Currency 5 3 2 2 3 3 2" xfId="13510" xr:uid="{7D58C606-2D14-4469-B1F4-A18943940DB8}"/>
    <cellStyle name="Currency 5 3 2 2 3 3 3" xfId="21947" xr:uid="{94378801-7EED-452A-ABD8-DF4ED3BE4ACA}"/>
    <cellStyle name="Currency 5 3 2 2 3 4" xfId="9292" xr:uid="{F2F4462D-A364-4862-9882-F5A941EB7E62}"/>
    <cellStyle name="Currency 5 3 2 2 3 5" xfId="17730" xr:uid="{7529B86E-FD8D-498B-8032-F15B1B685085}"/>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2 2 2" xfId="16068" xr:uid="{B0D9ADAE-0602-4022-B752-1FFD8A077D86}"/>
    <cellStyle name="Currency 5 3 2 2 4 2 2 3" xfId="24505" xr:uid="{595C3ADA-97D9-4C62-A03F-0CA8AD791F96}"/>
    <cellStyle name="Currency 5 3 2 2 4 2 3" xfId="11850" xr:uid="{4CD46C2C-4CF4-49D1-A6A1-839C35D31339}"/>
    <cellStyle name="Currency 5 3 2 2 4 2 4" xfId="20288" xr:uid="{D56C5A04-9CEF-4894-A92E-612839825A12}"/>
    <cellStyle name="Currency 5 3 2 2 4 3" xfId="5481" xr:uid="{00000000-0005-0000-0000-0000A50C0000}"/>
    <cellStyle name="Currency 5 3 2 2 4 3 2" xfId="13923" xr:uid="{F489F082-9D93-46B9-9874-10446085E6CB}"/>
    <cellStyle name="Currency 5 3 2 2 4 3 3" xfId="22360" xr:uid="{5C4AECD2-03F9-4096-ADE1-03C4B5CF1D28}"/>
    <cellStyle name="Currency 5 3 2 2 4 4" xfId="9705" xr:uid="{5FB6A12E-9F4B-4707-97A4-8E865A4B09B1}"/>
    <cellStyle name="Currency 5 3 2 2 4 5" xfId="18143" xr:uid="{FF91ABBA-E4AC-4CE6-9791-96AE81D12528}"/>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2 2 2" xfId="16481" xr:uid="{21790803-2D18-49AD-A38F-3E9D6DC08468}"/>
    <cellStyle name="Currency 5 3 2 2 5 2 2 3" xfId="24918" xr:uid="{4C02C11B-60A4-4F5C-B989-B765039A993E}"/>
    <cellStyle name="Currency 5 3 2 2 5 2 3" xfId="12263" xr:uid="{49D1BDEE-FDB4-4E4C-8B2F-5784F0BC01F3}"/>
    <cellStyle name="Currency 5 3 2 2 5 2 4" xfId="20701" xr:uid="{63BE6C84-5243-4F0A-9C8C-7BB40B9F01C4}"/>
    <cellStyle name="Currency 5 3 2 2 5 3" xfId="5894" xr:uid="{00000000-0005-0000-0000-0000A90C0000}"/>
    <cellStyle name="Currency 5 3 2 2 5 3 2" xfId="14336" xr:uid="{398D578D-BECB-4BD0-9D0F-F39FB6B969EE}"/>
    <cellStyle name="Currency 5 3 2 2 5 3 3" xfId="22773" xr:uid="{26CD8117-A089-4031-8367-04B50BB6A30A}"/>
    <cellStyle name="Currency 5 3 2 2 5 4" xfId="10118" xr:uid="{EEAAE64B-418D-45F9-9F55-0D6F8AA96811}"/>
    <cellStyle name="Currency 5 3 2 2 5 5" xfId="18556" xr:uid="{74D6F134-08A9-47C5-808D-4D349F51212A}"/>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2 2 2" xfId="16894" xr:uid="{97472731-6BB1-43AB-92D7-74902C1C8869}"/>
    <cellStyle name="Currency 5 3 2 2 6 2 2 3" xfId="25331" xr:uid="{7E6FEBE7-0088-4A16-8601-997BFFB1BACB}"/>
    <cellStyle name="Currency 5 3 2 2 6 2 3" xfId="12676" xr:uid="{EFA2274D-B1C2-4DB7-AE6A-2190613BC1BE}"/>
    <cellStyle name="Currency 5 3 2 2 6 2 4" xfId="21114" xr:uid="{6C629050-C252-42EA-8894-F9468FB5FC6E}"/>
    <cellStyle name="Currency 5 3 2 2 6 3" xfId="6307" xr:uid="{00000000-0005-0000-0000-0000AD0C0000}"/>
    <cellStyle name="Currency 5 3 2 2 6 3 2" xfId="14749" xr:uid="{D8610F32-CE8E-4D92-A390-F538E8BD19A8}"/>
    <cellStyle name="Currency 5 3 2 2 6 3 3" xfId="23186" xr:uid="{924CFBA4-E423-402D-92E0-CD248D4C6369}"/>
    <cellStyle name="Currency 5 3 2 2 6 4" xfId="10531" xr:uid="{D689C3F4-D9A8-4B1E-9688-6265CCA015AB}"/>
    <cellStyle name="Currency 5 3 2 2 6 5" xfId="18969" xr:uid="{0185EDD7-A153-4098-957D-EF806FFFF801}"/>
    <cellStyle name="Currency 5 3 2 2 7" xfId="2435" xr:uid="{00000000-0005-0000-0000-0000AE0C0000}"/>
    <cellStyle name="Currency 5 3 2 2 7 2" xfId="6720" xr:uid="{00000000-0005-0000-0000-0000AF0C0000}"/>
    <cellStyle name="Currency 5 3 2 2 7 2 2" xfId="15162" xr:uid="{94FDC6B3-A5E1-49E9-BF4B-01B8D85E204F}"/>
    <cellStyle name="Currency 5 3 2 2 7 2 3" xfId="23599" xr:uid="{4F3515E4-EA81-44D4-BBA2-DB3FEA597D02}"/>
    <cellStyle name="Currency 5 3 2 2 7 3" xfId="10944" xr:uid="{14B0001C-A972-48E9-8942-645E8D08B0CC}"/>
    <cellStyle name="Currency 5 3 2 2 7 4" xfId="19382" xr:uid="{47D28A86-4AFD-4F5F-9556-2942E2A1179F}"/>
    <cellStyle name="Currency 5 3 2 2 8" xfId="2732" xr:uid="{00000000-0005-0000-0000-0000B00C0000}"/>
    <cellStyle name="Currency 5 3 2 2 9" xfId="2813" xr:uid="{00000000-0005-0000-0000-0000B10C0000}"/>
    <cellStyle name="Currency 5 3 2 2 9 2" xfId="7037" xr:uid="{00000000-0005-0000-0000-0000B20C0000}"/>
    <cellStyle name="Currency 5 3 2 2 9 2 2" xfId="15479" xr:uid="{7C1F16D8-C108-4A31-9FC4-969B019BA0D9}"/>
    <cellStyle name="Currency 5 3 2 2 9 2 3" xfId="23916" xr:uid="{E3DBC39B-0D6F-4685-988E-85F66E79FDC3}"/>
    <cellStyle name="Currency 5 3 2 2 9 3" xfId="11261" xr:uid="{744F5170-25C6-4CF5-AB04-88EB10034D89}"/>
    <cellStyle name="Currency 5 3 2 2 9 4" xfId="19699" xr:uid="{3FA01162-6977-4CF1-96D9-6A3F2613DD9F}"/>
    <cellStyle name="Currency 5 3 2 3" xfId="213" xr:uid="{00000000-0005-0000-0000-0000B30C0000}"/>
    <cellStyle name="Currency 5 3 2 3 10" xfId="8880" xr:uid="{94E3E2B0-051B-4CC1-8E0B-82DD73A165D3}"/>
    <cellStyle name="Currency 5 3 2 3 11" xfId="17318" xr:uid="{24D299A3-8EC0-4CEC-A81B-0D9389E0D22F}"/>
    <cellStyle name="Currency 5 3 2 3 2" xfId="739" xr:uid="{00000000-0005-0000-0000-0000B40C0000}"/>
    <cellStyle name="Currency 5 3 2 3 2 2" xfId="2992" xr:uid="{00000000-0005-0000-0000-0000B50C0000}"/>
    <cellStyle name="Currency 5 3 2 3 2 2 2" xfId="7215" xr:uid="{00000000-0005-0000-0000-0000B60C0000}"/>
    <cellStyle name="Currency 5 3 2 3 2 2 2 2" xfId="15657" xr:uid="{B9A2474D-1A12-4717-9CB6-F244AA4D46E7}"/>
    <cellStyle name="Currency 5 3 2 3 2 2 2 3" xfId="24094" xr:uid="{E0A77332-CE5D-46E4-B887-BCF88E70C111}"/>
    <cellStyle name="Currency 5 3 2 3 2 2 3" xfId="11439" xr:uid="{7C92282F-8848-4196-866D-2F8DA1DF5F4C}"/>
    <cellStyle name="Currency 5 3 2 3 2 2 4" xfId="19877" xr:uid="{4A7672BA-9C33-44DC-B521-72F564C5041D}"/>
    <cellStyle name="Currency 5 3 2 3 2 3" xfId="5070" xr:uid="{00000000-0005-0000-0000-0000B70C0000}"/>
    <cellStyle name="Currency 5 3 2 3 2 3 2" xfId="13512" xr:uid="{EC3237EF-0513-44FB-8C84-79CF3677B904}"/>
    <cellStyle name="Currency 5 3 2 3 2 3 3" xfId="21949" xr:uid="{DAE93292-B7CC-4001-838D-60F4F80818C1}"/>
    <cellStyle name="Currency 5 3 2 3 2 4" xfId="9294" xr:uid="{97615FD6-E899-47B4-BD70-EADC933F56BB}"/>
    <cellStyle name="Currency 5 3 2 3 2 5" xfId="17732" xr:uid="{C5764169-E201-4899-BA88-C2E795BBE788}"/>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2 2 2" xfId="16070" xr:uid="{5CB61FD8-28A8-49F7-91F1-3351433828D3}"/>
    <cellStyle name="Currency 5 3 2 3 3 2 2 3" xfId="24507" xr:uid="{0396EB85-2BC7-4CA3-8B61-B9E591185592}"/>
    <cellStyle name="Currency 5 3 2 3 3 2 3" xfId="11852" xr:uid="{931EEAFB-F729-4960-B64C-1430A830958D}"/>
    <cellStyle name="Currency 5 3 2 3 3 2 4" xfId="20290" xr:uid="{93491669-0028-40EB-A7A5-0890B1FEFD20}"/>
    <cellStyle name="Currency 5 3 2 3 3 3" xfId="5483" xr:uid="{00000000-0005-0000-0000-0000BB0C0000}"/>
    <cellStyle name="Currency 5 3 2 3 3 3 2" xfId="13925" xr:uid="{E85F2A72-3D91-4C75-BDDB-F412F0155B6C}"/>
    <cellStyle name="Currency 5 3 2 3 3 3 3" xfId="22362" xr:uid="{24537194-DAD4-4279-B0E8-8A1A4F15BE79}"/>
    <cellStyle name="Currency 5 3 2 3 3 4" xfId="9707" xr:uid="{CBDB8381-D196-407C-9192-6C21C8572D18}"/>
    <cellStyle name="Currency 5 3 2 3 3 5" xfId="18145" xr:uid="{91575936-35E8-4126-A4BA-1DD4AD85CE01}"/>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2 2 2" xfId="16483" xr:uid="{D4DA08F7-F9EE-4D65-9C01-34E04E7ABD2F}"/>
    <cellStyle name="Currency 5 3 2 3 4 2 2 3" xfId="24920" xr:uid="{6A010A51-7370-4A7E-91E4-B08968488B30}"/>
    <cellStyle name="Currency 5 3 2 3 4 2 3" xfId="12265" xr:uid="{73938649-C154-41BC-AD5F-C8DAAB23BA58}"/>
    <cellStyle name="Currency 5 3 2 3 4 2 4" xfId="20703" xr:uid="{CF552C77-D72A-48CF-90EC-FCAB50A4A912}"/>
    <cellStyle name="Currency 5 3 2 3 4 3" xfId="5896" xr:uid="{00000000-0005-0000-0000-0000BF0C0000}"/>
    <cellStyle name="Currency 5 3 2 3 4 3 2" xfId="14338" xr:uid="{8B00677F-73B2-447E-A8C8-2FB6256DBAC9}"/>
    <cellStyle name="Currency 5 3 2 3 4 3 3" xfId="22775" xr:uid="{52C48108-8396-4FCF-83A7-C9FBCE1974D2}"/>
    <cellStyle name="Currency 5 3 2 3 4 4" xfId="10120" xr:uid="{B3C8F70F-95A3-4626-8413-BB4C3DE088F9}"/>
    <cellStyle name="Currency 5 3 2 3 4 5" xfId="18558" xr:uid="{9A1BC5E0-4F37-40C6-A486-9A3D5BD166B9}"/>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2 2 2" xfId="16896" xr:uid="{3FEF50E7-2EB0-4065-9465-7BCC74F9FB42}"/>
    <cellStyle name="Currency 5 3 2 3 5 2 2 3" xfId="25333" xr:uid="{1905FE14-1F55-4EF0-815A-C8BB9868DC49}"/>
    <cellStyle name="Currency 5 3 2 3 5 2 3" xfId="12678" xr:uid="{4A6A9C40-AAC3-4F45-BBC4-5994F1647017}"/>
    <cellStyle name="Currency 5 3 2 3 5 2 4" xfId="21116" xr:uid="{299ADFA3-5923-4384-8F4F-8E9E220312EA}"/>
    <cellStyle name="Currency 5 3 2 3 5 3" xfId="6309" xr:uid="{00000000-0005-0000-0000-0000C30C0000}"/>
    <cellStyle name="Currency 5 3 2 3 5 3 2" xfId="14751" xr:uid="{7071225E-0F1B-45F1-BE25-6AFDD96270F0}"/>
    <cellStyle name="Currency 5 3 2 3 5 3 3" xfId="23188" xr:uid="{2C7623E8-78DE-4CF0-B0F1-A7B2D607E300}"/>
    <cellStyle name="Currency 5 3 2 3 5 4" xfId="10533" xr:uid="{74536604-E330-49EE-9515-0BD2DB0F343D}"/>
    <cellStyle name="Currency 5 3 2 3 5 5" xfId="18971" xr:uid="{6E6B8EA6-AB35-4081-A673-3641709C4270}"/>
    <cellStyle name="Currency 5 3 2 3 6" xfId="2437" xr:uid="{00000000-0005-0000-0000-0000C40C0000}"/>
    <cellStyle name="Currency 5 3 2 3 6 2" xfId="6722" xr:uid="{00000000-0005-0000-0000-0000C50C0000}"/>
    <cellStyle name="Currency 5 3 2 3 6 2 2" xfId="15164" xr:uid="{0B73E517-866C-4F1A-B649-FEDEAB5ECD84}"/>
    <cellStyle name="Currency 5 3 2 3 6 2 3" xfId="23601" xr:uid="{1DF4A732-859C-4033-9B31-1496D37BEB89}"/>
    <cellStyle name="Currency 5 3 2 3 6 3" xfId="10946" xr:uid="{17E854B2-48A5-4AB0-9235-EEC4AC843DFF}"/>
    <cellStyle name="Currency 5 3 2 3 6 4" xfId="19384" xr:uid="{FD1DA05C-B49B-4F42-AA9C-F3E2A3FDA853}"/>
    <cellStyle name="Currency 5 3 2 3 7" xfId="2734" xr:uid="{00000000-0005-0000-0000-0000C60C0000}"/>
    <cellStyle name="Currency 5 3 2 3 8" xfId="2815" xr:uid="{00000000-0005-0000-0000-0000C70C0000}"/>
    <cellStyle name="Currency 5 3 2 3 8 2" xfId="7039" xr:uid="{00000000-0005-0000-0000-0000C80C0000}"/>
    <cellStyle name="Currency 5 3 2 3 8 2 2" xfId="15481" xr:uid="{F4FD3E1A-24E2-4E7C-9046-F0333EBF755C}"/>
    <cellStyle name="Currency 5 3 2 3 8 2 3" xfId="23918" xr:uid="{29F6BE48-15EB-42C2-989E-547783BBCF38}"/>
    <cellStyle name="Currency 5 3 2 3 8 3" xfId="11263" xr:uid="{249916D1-AF8F-4887-9569-0F140529E266}"/>
    <cellStyle name="Currency 5 3 2 3 8 4" xfId="19701" xr:uid="{9E6A23AF-F317-450A-BC51-DE4D0B83BF9C}"/>
    <cellStyle name="Currency 5 3 2 3 9" xfId="4656" xr:uid="{00000000-0005-0000-0000-0000C90C0000}"/>
    <cellStyle name="Currency 5 3 2 3 9 2" xfId="13098" xr:uid="{53EBEB5B-0EF5-4955-8162-51ADD4795E21}"/>
    <cellStyle name="Currency 5 3 2 3 9 3" xfId="21535" xr:uid="{069F4FF8-CDA0-4AAF-8280-62914160F759}"/>
    <cellStyle name="Currency 5 3 2 4" xfId="736" xr:uid="{00000000-0005-0000-0000-0000CA0C0000}"/>
    <cellStyle name="Currency 5 3 2 4 2" xfId="2989" xr:uid="{00000000-0005-0000-0000-0000CB0C0000}"/>
    <cellStyle name="Currency 5 3 2 4 2 2" xfId="7212" xr:uid="{00000000-0005-0000-0000-0000CC0C0000}"/>
    <cellStyle name="Currency 5 3 2 4 2 2 2" xfId="15654" xr:uid="{7F64FB14-F392-45BF-9EEB-48D9C13CC20C}"/>
    <cellStyle name="Currency 5 3 2 4 2 2 3" xfId="24091" xr:uid="{A2778DC2-FD08-4265-BB58-A1306906E103}"/>
    <cellStyle name="Currency 5 3 2 4 2 3" xfId="11436" xr:uid="{BC05D113-2CFC-48CC-8D11-9B4B0AEA55F1}"/>
    <cellStyle name="Currency 5 3 2 4 2 4" xfId="19874" xr:uid="{7C93ACB8-D011-4DBB-933A-4FEB07C15840}"/>
    <cellStyle name="Currency 5 3 2 4 3" xfId="5067" xr:uid="{00000000-0005-0000-0000-0000CD0C0000}"/>
    <cellStyle name="Currency 5 3 2 4 3 2" xfId="13509" xr:uid="{ABB0EF10-2F06-4670-A492-3AB991529E26}"/>
    <cellStyle name="Currency 5 3 2 4 3 3" xfId="21946" xr:uid="{9AC62C8D-FBA0-4D62-A032-3C022182EAF1}"/>
    <cellStyle name="Currency 5 3 2 4 4" xfId="9291" xr:uid="{E07C8D61-89ED-419F-B853-0B1C505BDE91}"/>
    <cellStyle name="Currency 5 3 2 4 5" xfId="17729" xr:uid="{101121C0-B178-4D02-955A-51DCB57C2EBB}"/>
    <cellStyle name="Currency 5 3 2 5" xfId="1171" xr:uid="{00000000-0005-0000-0000-0000CE0C0000}"/>
    <cellStyle name="Currency 5 3 2 5 2" xfId="3402" xr:uid="{00000000-0005-0000-0000-0000CF0C0000}"/>
    <cellStyle name="Currency 5 3 2 5 2 2" xfId="7625" xr:uid="{00000000-0005-0000-0000-0000D00C0000}"/>
    <cellStyle name="Currency 5 3 2 5 2 2 2" xfId="16067" xr:uid="{43408B4A-6D63-4223-80CD-B2AB0B9238A9}"/>
    <cellStyle name="Currency 5 3 2 5 2 2 3" xfId="24504" xr:uid="{C7B6A86E-FEC1-44F4-B1EE-B082270F54EF}"/>
    <cellStyle name="Currency 5 3 2 5 2 3" xfId="11849" xr:uid="{0D5663E9-2676-42F8-AF67-E5DC5EBBA135}"/>
    <cellStyle name="Currency 5 3 2 5 2 4" xfId="20287" xr:uid="{11B1FDE6-733C-4B61-B461-933ADFD2C74A}"/>
    <cellStyle name="Currency 5 3 2 5 3" xfId="5480" xr:uid="{00000000-0005-0000-0000-0000D10C0000}"/>
    <cellStyle name="Currency 5 3 2 5 3 2" xfId="13922" xr:uid="{BCBBBB40-A7F2-4E5F-A004-7D042E87C749}"/>
    <cellStyle name="Currency 5 3 2 5 3 3" xfId="22359" xr:uid="{17A83C51-E970-4C4D-9037-A7C79618DAEF}"/>
    <cellStyle name="Currency 5 3 2 5 4" xfId="9704" xr:uid="{B2C1B55E-2585-4E97-8F66-A8A404A657DC}"/>
    <cellStyle name="Currency 5 3 2 5 5" xfId="18142" xr:uid="{BD13819E-BE15-4708-94E8-A0977D29124A}"/>
    <cellStyle name="Currency 5 3 2 6" xfId="1585" xr:uid="{00000000-0005-0000-0000-0000D20C0000}"/>
    <cellStyle name="Currency 5 3 2 6 2" xfId="3815" xr:uid="{00000000-0005-0000-0000-0000D30C0000}"/>
    <cellStyle name="Currency 5 3 2 6 2 2" xfId="8038" xr:uid="{00000000-0005-0000-0000-0000D40C0000}"/>
    <cellStyle name="Currency 5 3 2 6 2 2 2" xfId="16480" xr:uid="{FD32DEAE-E4F6-4765-A665-C87755953D44}"/>
    <cellStyle name="Currency 5 3 2 6 2 2 3" xfId="24917" xr:uid="{EA171867-8490-4D36-838E-37F7EF521AB1}"/>
    <cellStyle name="Currency 5 3 2 6 2 3" xfId="12262" xr:uid="{020462FD-991D-4A64-A713-EECA4CE07590}"/>
    <cellStyle name="Currency 5 3 2 6 2 4" xfId="20700" xr:uid="{AFF3039B-4870-4C9A-8976-C9E4CDEF0246}"/>
    <cellStyle name="Currency 5 3 2 6 3" xfId="5893" xr:uid="{00000000-0005-0000-0000-0000D50C0000}"/>
    <cellStyle name="Currency 5 3 2 6 3 2" xfId="14335" xr:uid="{24023D25-6DA4-40F2-9BFD-F0EED54E1CEC}"/>
    <cellStyle name="Currency 5 3 2 6 3 3" xfId="22772" xr:uid="{FA37A55A-1F49-48E2-9E4D-7EA246302063}"/>
    <cellStyle name="Currency 5 3 2 6 4" xfId="10117" xr:uid="{DF9D771F-6779-4247-8B23-DC734700A231}"/>
    <cellStyle name="Currency 5 3 2 6 5" xfId="18555" xr:uid="{6681E064-67EF-42B1-B304-7D1848941D15}"/>
    <cellStyle name="Currency 5 3 2 7" xfId="1999" xr:uid="{00000000-0005-0000-0000-0000D60C0000}"/>
    <cellStyle name="Currency 5 3 2 7 2" xfId="4228" xr:uid="{00000000-0005-0000-0000-0000D70C0000}"/>
    <cellStyle name="Currency 5 3 2 7 2 2" xfId="8451" xr:uid="{00000000-0005-0000-0000-0000D80C0000}"/>
    <cellStyle name="Currency 5 3 2 7 2 2 2" xfId="16893" xr:uid="{5A9D249D-FB64-4FFF-A5C8-A5F402BBE11E}"/>
    <cellStyle name="Currency 5 3 2 7 2 2 3" xfId="25330" xr:uid="{0601634D-9FE1-49E2-88EE-3276FEDECE83}"/>
    <cellStyle name="Currency 5 3 2 7 2 3" xfId="12675" xr:uid="{844C3208-02BD-41CD-8B56-9E89742ED712}"/>
    <cellStyle name="Currency 5 3 2 7 2 4" xfId="21113" xr:uid="{C365248B-FEF8-48AE-A84E-23EE4015B43D}"/>
    <cellStyle name="Currency 5 3 2 7 3" xfId="6306" xr:uid="{00000000-0005-0000-0000-0000D90C0000}"/>
    <cellStyle name="Currency 5 3 2 7 3 2" xfId="14748" xr:uid="{E35202E2-B4CE-4F96-BCDE-A69AD5197F3A}"/>
    <cellStyle name="Currency 5 3 2 7 3 3" xfId="23185" xr:uid="{AFAF2374-4A7C-4CA4-9561-43D826AA5BD1}"/>
    <cellStyle name="Currency 5 3 2 7 4" xfId="10530" xr:uid="{07D642D1-8B3E-44D6-A4EC-676A10A48BA5}"/>
    <cellStyle name="Currency 5 3 2 7 5" xfId="18968" xr:uid="{11E7FE72-4AD1-4F0C-BFD7-0F3B888E9A12}"/>
    <cellStyle name="Currency 5 3 2 8" xfId="2434" xr:uid="{00000000-0005-0000-0000-0000DA0C0000}"/>
    <cellStyle name="Currency 5 3 2 8 2" xfId="6719" xr:uid="{00000000-0005-0000-0000-0000DB0C0000}"/>
    <cellStyle name="Currency 5 3 2 8 2 2" xfId="15161" xr:uid="{0C27A1E6-0D00-4C6B-ACBD-5F58738963FD}"/>
    <cellStyle name="Currency 5 3 2 8 2 3" xfId="23598" xr:uid="{A1E5D4EF-52C8-491E-A335-D006657E7330}"/>
    <cellStyle name="Currency 5 3 2 8 3" xfId="10943" xr:uid="{13637F29-7FC2-47B4-9B3D-DD54BE65A769}"/>
    <cellStyle name="Currency 5 3 2 8 4" xfId="19381" xr:uid="{C6D29379-46B9-45EC-BF5C-93E3212941BC}"/>
    <cellStyle name="Currency 5 3 2 9" xfId="2731" xr:uid="{00000000-0005-0000-0000-0000DC0C0000}"/>
    <cellStyle name="Currency 5 3 3" xfId="214" xr:uid="{00000000-0005-0000-0000-0000DD0C0000}"/>
    <cellStyle name="Currency 5 3 3 10" xfId="4657" xr:uid="{00000000-0005-0000-0000-0000DE0C0000}"/>
    <cellStyle name="Currency 5 3 3 10 2" xfId="13099" xr:uid="{A5928264-B297-4DEF-8F10-DE7814033216}"/>
    <cellStyle name="Currency 5 3 3 10 3" xfId="21536" xr:uid="{9D894EEE-0351-451E-8FC8-6AAFF7C1772C}"/>
    <cellStyle name="Currency 5 3 3 11" xfId="8881" xr:uid="{1CAE5F30-024E-4B4E-BA48-A209FB3E0081}"/>
    <cellStyle name="Currency 5 3 3 12" xfId="17319" xr:uid="{3E2A6710-1716-484A-A00E-487B132CDEBD}"/>
    <cellStyle name="Currency 5 3 3 2" xfId="215" xr:uid="{00000000-0005-0000-0000-0000DF0C0000}"/>
    <cellStyle name="Currency 5 3 3 2 10" xfId="8882" xr:uid="{2B66FBFC-405F-4A89-90E1-26A32732ADA5}"/>
    <cellStyle name="Currency 5 3 3 2 11" xfId="17320" xr:uid="{B758645B-2461-4388-AE33-AF7853643889}"/>
    <cellStyle name="Currency 5 3 3 2 2" xfId="741" xr:uid="{00000000-0005-0000-0000-0000E00C0000}"/>
    <cellStyle name="Currency 5 3 3 2 2 2" xfId="2994" xr:uid="{00000000-0005-0000-0000-0000E10C0000}"/>
    <cellStyle name="Currency 5 3 3 2 2 2 2" xfId="7217" xr:uid="{00000000-0005-0000-0000-0000E20C0000}"/>
    <cellStyle name="Currency 5 3 3 2 2 2 2 2" xfId="15659" xr:uid="{1DCEB67C-4679-4DD1-A51D-142AEEDAB9C8}"/>
    <cellStyle name="Currency 5 3 3 2 2 2 2 3" xfId="24096" xr:uid="{BAB557C9-7C34-4102-9E31-F6162115135A}"/>
    <cellStyle name="Currency 5 3 3 2 2 2 3" xfId="11441" xr:uid="{8617D978-8C95-4D01-A750-CD05BDE618C4}"/>
    <cellStyle name="Currency 5 3 3 2 2 2 4" xfId="19879" xr:uid="{E0DEBBDD-65A9-4581-92E3-B869E57A9BB0}"/>
    <cellStyle name="Currency 5 3 3 2 2 3" xfId="5072" xr:uid="{00000000-0005-0000-0000-0000E30C0000}"/>
    <cellStyle name="Currency 5 3 3 2 2 3 2" xfId="13514" xr:uid="{9EE7BE00-A0F9-4DFC-B7F4-715B57A9A610}"/>
    <cellStyle name="Currency 5 3 3 2 2 3 3" xfId="21951" xr:uid="{96F1809E-17AC-46DF-AC06-99BC5687BB1F}"/>
    <cellStyle name="Currency 5 3 3 2 2 4" xfId="9296" xr:uid="{75F09896-AEA6-4049-A037-259C2C409718}"/>
    <cellStyle name="Currency 5 3 3 2 2 5" xfId="17734" xr:uid="{839B99A2-23DB-4002-95F8-EAFF622ECD5E}"/>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2 2 2" xfId="16072" xr:uid="{F621A2CA-B1AA-47AF-95BC-2E6D6F912161}"/>
    <cellStyle name="Currency 5 3 3 2 3 2 2 3" xfId="24509" xr:uid="{52A4148D-7BC3-4B6B-9DC2-BECFAD414B59}"/>
    <cellStyle name="Currency 5 3 3 2 3 2 3" xfId="11854" xr:uid="{B9F75BB9-4674-40B1-A809-619BF4441AE9}"/>
    <cellStyle name="Currency 5 3 3 2 3 2 4" xfId="20292" xr:uid="{29395CD3-317E-4334-BB25-7826219FABDE}"/>
    <cellStyle name="Currency 5 3 3 2 3 3" xfId="5485" xr:uid="{00000000-0005-0000-0000-0000E70C0000}"/>
    <cellStyle name="Currency 5 3 3 2 3 3 2" xfId="13927" xr:uid="{7485DB9E-FA6A-455B-AABD-EA072A813E2D}"/>
    <cellStyle name="Currency 5 3 3 2 3 3 3" xfId="22364" xr:uid="{37B8B703-B4F5-43B1-8B4E-82AEF34DEC73}"/>
    <cellStyle name="Currency 5 3 3 2 3 4" xfId="9709" xr:uid="{F116CD18-4B68-4B4E-91ED-47144299B9F3}"/>
    <cellStyle name="Currency 5 3 3 2 3 5" xfId="18147" xr:uid="{8EBD72AA-6831-4946-9076-472362A3EADA}"/>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2 2 2" xfId="16485" xr:uid="{AFD898B4-EC5C-428D-9FE1-F10D55B7EE42}"/>
    <cellStyle name="Currency 5 3 3 2 4 2 2 3" xfId="24922" xr:uid="{F4E3894C-A3FB-442A-8E60-040AC661E7DE}"/>
    <cellStyle name="Currency 5 3 3 2 4 2 3" xfId="12267" xr:uid="{4CBE6E6B-88A6-462C-B430-00479A458044}"/>
    <cellStyle name="Currency 5 3 3 2 4 2 4" xfId="20705" xr:uid="{A5035DD1-8872-4365-AE67-A12433ABD45C}"/>
    <cellStyle name="Currency 5 3 3 2 4 3" xfId="5898" xr:uid="{00000000-0005-0000-0000-0000EB0C0000}"/>
    <cellStyle name="Currency 5 3 3 2 4 3 2" xfId="14340" xr:uid="{079B7E17-2E3C-4B5E-AAFD-AABB2F2BC275}"/>
    <cellStyle name="Currency 5 3 3 2 4 3 3" xfId="22777" xr:uid="{EA5B89A5-D013-49FF-B17C-57439C0B9FB8}"/>
    <cellStyle name="Currency 5 3 3 2 4 4" xfId="10122" xr:uid="{C3599021-6A77-407F-B7B4-D68B378473C7}"/>
    <cellStyle name="Currency 5 3 3 2 4 5" xfId="18560" xr:uid="{B46DEE10-5700-4BB7-B5F7-083699D0521C}"/>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2 2 2" xfId="16898" xr:uid="{9941E231-6172-4C65-A2FB-43B4AEF50555}"/>
    <cellStyle name="Currency 5 3 3 2 5 2 2 3" xfId="25335" xr:uid="{94752326-E8BF-4483-8871-1F1173FA7254}"/>
    <cellStyle name="Currency 5 3 3 2 5 2 3" xfId="12680" xr:uid="{0B82EA22-4565-4640-8BBC-851E960F52A4}"/>
    <cellStyle name="Currency 5 3 3 2 5 2 4" xfId="21118" xr:uid="{2E427C04-790C-45E7-977B-C66C67BA250F}"/>
    <cellStyle name="Currency 5 3 3 2 5 3" xfId="6311" xr:uid="{00000000-0005-0000-0000-0000EF0C0000}"/>
    <cellStyle name="Currency 5 3 3 2 5 3 2" xfId="14753" xr:uid="{0D078DCC-F90D-4649-8564-5C75295737C4}"/>
    <cellStyle name="Currency 5 3 3 2 5 3 3" xfId="23190" xr:uid="{5678B715-CE76-41D4-AF02-069B3728E0F1}"/>
    <cellStyle name="Currency 5 3 3 2 5 4" xfId="10535" xr:uid="{1310EFEC-C3D9-405A-A77D-6518B41107E8}"/>
    <cellStyle name="Currency 5 3 3 2 5 5" xfId="18973" xr:uid="{B60F13C1-BA20-4588-BFA6-9B6AE731FCA1}"/>
    <cellStyle name="Currency 5 3 3 2 6" xfId="2439" xr:uid="{00000000-0005-0000-0000-0000F00C0000}"/>
    <cellStyle name="Currency 5 3 3 2 6 2" xfId="6724" xr:uid="{00000000-0005-0000-0000-0000F10C0000}"/>
    <cellStyle name="Currency 5 3 3 2 6 2 2" xfId="15166" xr:uid="{14FE7C65-50EA-4046-BCBA-4C3D8BDCF978}"/>
    <cellStyle name="Currency 5 3 3 2 6 2 3" xfId="23603" xr:uid="{28301AFF-1C49-43F9-91D1-4ED6C1625BBF}"/>
    <cellStyle name="Currency 5 3 3 2 6 3" xfId="10948" xr:uid="{4B1C9B99-23BC-4355-88C5-3A8352DDF582}"/>
    <cellStyle name="Currency 5 3 3 2 6 4" xfId="19386" xr:uid="{A39A384E-587A-4485-B1D8-2DD00EEDC8C6}"/>
    <cellStyle name="Currency 5 3 3 2 7" xfId="2736" xr:uid="{00000000-0005-0000-0000-0000F20C0000}"/>
    <cellStyle name="Currency 5 3 3 2 8" xfId="2817" xr:uid="{00000000-0005-0000-0000-0000F30C0000}"/>
    <cellStyle name="Currency 5 3 3 2 8 2" xfId="7041" xr:uid="{00000000-0005-0000-0000-0000F40C0000}"/>
    <cellStyle name="Currency 5 3 3 2 8 2 2" xfId="15483" xr:uid="{F40AF797-68E3-4DD2-8CC2-6FAA4ACCE113}"/>
    <cellStyle name="Currency 5 3 3 2 8 2 3" xfId="23920" xr:uid="{686AE1B6-1C65-4B80-8B04-EE0DBFAA700C}"/>
    <cellStyle name="Currency 5 3 3 2 8 3" xfId="11265" xr:uid="{70417CE2-ADBF-4500-86C9-1D31DF43E094}"/>
    <cellStyle name="Currency 5 3 3 2 8 4" xfId="19703" xr:uid="{3B1CC648-FA32-4682-ADD7-FD20B379ADD4}"/>
    <cellStyle name="Currency 5 3 3 2 9" xfId="4658" xr:uid="{00000000-0005-0000-0000-0000F50C0000}"/>
    <cellStyle name="Currency 5 3 3 2 9 2" xfId="13100" xr:uid="{F35CC49C-C211-43CE-8A6A-83B1D646D486}"/>
    <cellStyle name="Currency 5 3 3 2 9 3" xfId="21537" xr:uid="{69F191E9-B497-4CF7-9471-130956EF0F23}"/>
    <cellStyle name="Currency 5 3 3 3" xfId="740" xr:uid="{00000000-0005-0000-0000-0000F60C0000}"/>
    <cellStyle name="Currency 5 3 3 3 2" xfId="2993" xr:uid="{00000000-0005-0000-0000-0000F70C0000}"/>
    <cellStyle name="Currency 5 3 3 3 2 2" xfId="7216" xr:uid="{00000000-0005-0000-0000-0000F80C0000}"/>
    <cellStyle name="Currency 5 3 3 3 2 2 2" xfId="15658" xr:uid="{72F5EEFC-6DDE-48DB-9EB8-788E911F6938}"/>
    <cellStyle name="Currency 5 3 3 3 2 2 3" xfId="24095" xr:uid="{223AF6B7-0E1B-4667-808A-1FC8AD5A7428}"/>
    <cellStyle name="Currency 5 3 3 3 2 3" xfId="11440" xr:uid="{849A7C74-0B2E-4D9C-8DCB-F45A7A282F47}"/>
    <cellStyle name="Currency 5 3 3 3 2 4" xfId="19878" xr:uid="{4AB05A38-DD7C-4875-B5FD-316EA4209C9F}"/>
    <cellStyle name="Currency 5 3 3 3 3" xfId="5071" xr:uid="{00000000-0005-0000-0000-0000F90C0000}"/>
    <cellStyle name="Currency 5 3 3 3 3 2" xfId="13513" xr:uid="{B22108B9-78BE-40C9-8D52-B9A1860B3599}"/>
    <cellStyle name="Currency 5 3 3 3 3 3" xfId="21950" xr:uid="{3AB512AB-B2DC-44E7-8730-E20DD0E88CBC}"/>
    <cellStyle name="Currency 5 3 3 3 4" xfId="9295" xr:uid="{3E9772D1-B258-4918-BB28-B260A16F6243}"/>
    <cellStyle name="Currency 5 3 3 3 5" xfId="17733" xr:uid="{A4C0880F-A80A-46A5-B95A-087B6FC07394}"/>
    <cellStyle name="Currency 5 3 3 4" xfId="1175" xr:uid="{00000000-0005-0000-0000-0000FA0C0000}"/>
    <cellStyle name="Currency 5 3 3 4 2" xfId="3406" xr:uid="{00000000-0005-0000-0000-0000FB0C0000}"/>
    <cellStyle name="Currency 5 3 3 4 2 2" xfId="7629" xr:uid="{00000000-0005-0000-0000-0000FC0C0000}"/>
    <cellStyle name="Currency 5 3 3 4 2 2 2" xfId="16071" xr:uid="{034E5D6F-6702-41DE-AFF6-B1962628BAE3}"/>
    <cellStyle name="Currency 5 3 3 4 2 2 3" xfId="24508" xr:uid="{478E7233-F8B0-4D44-934A-FA1B21483034}"/>
    <cellStyle name="Currency 5 3 3 4 2 3" xfId="11853" xr:uid="{7B7ED5DE-EC35-45DC-8E79-BB66264269A1}"/>
    <cellStyle name="Currency 5 3 3 4 2 4" xfId="20291" xr:uid="{DA4BA680-46CF-4672-A6C5-B6B7DFC4901E}"/>
    <cellStyle name="Currency 5 3 3 4 3" xfId="5484" xr:uid="{00000000-0005-0000-0000-0000FD0C0000}"/>
    <cellStyle name="Currency 5 3 3 4 3 2" xfId="13926" xr:uid="{77965847-96B9-45B4-BCC9-7AD8813BD5FF}"/>
    <cellStyle name="Currency 5 3 3 4 3 3" xfId="22363" xr:uid="{714F6C5C-1E51-4664-8E9B-9CFE316B88ED}"/>
    <cellStyle name="Currency 5 3 3 4 4" xfId="9708" xr:uid="{572612A8-5F83-4E65-AE0E-D86C6E4F32B0}"/>
    <cellStyle name="Currency 5 3 3 4 5" xfId="18146" xr:uid="{EB976FDD-320F-46B8-849A-38F856013133}"/>
    <cellStyle name="Currency 5 3 3 5" xfId="1589" xr:uid="{00000000-0005-0000-0000-0000FE0C0000}"/>
    <cellStyle name="Currency 5 3 3 5 2" xfId="3819" xr:uid="{00000000-0005-0000-0000-0000FF0C0000}"/>
    <cellStyle name="Currency 5 3 3 5 2 2" xfId="8042" xr:uid="{00000000-0005-0000-0000-0000000D0000}"/>
    <cellStyle name="Currency 5 3 3 5 2 2 2" xfId="16484" xr:uid="{0C4C9B98-4707-4841-A119-462196B098B0}"/>
    <cellStyle name="Currency 5 3 3 5 2 2 3" xfId="24921" xr:uid="{025F3B22-8179-46CC-BCDB-82073E3619F2}"/>
    <cellStyle name="Currency 5 3 3 5 2 3" xfId="12266" xr:uid="{EFDFE6D0-8E01-4C5C-98AD-05D825C35383}"/>
    <cellStyle name="Currency 5 3 3 5 2 4" xfId="20704" xr:uid="{2E73E7E1-9906-4E9F-883F-0E481474D12D}"/>
    <cellStyle name="Currency 5 3 3 5 3" xfId="5897" xr:uid="{00000000-0005-0000-0000-0000010D0000}"/>
    <cellStyle name="Currency 5 3 3 5 3 2" xfId="14339" xr:uid="{F98413A5-7E7E-446C-B4A5-F3ADCD99A0E6}"/>
    <cellStyle name="Currency 5 3 3 5 3 3" xfId="22776" xr:uid="{34FDECA3-E77B-4E9D-A1D3-E2CF2B7033A1}"/>
    <cellStyle name="Currency 5 3 3 5 4" xfId="10121" xr:uid="{BDEDABA1-BBCA-473A-AD83-8F8F9DF1B513}"/>
    <cellStyle name="Currency 5 3 3 5 5" xfId="18559" xr:uid="{8E91CD03-B8DA-4C54-B772-F50516BACC98}"/>
    <cellStyle name="Currency 5 3 3 6" xfId="2003" xr:uid="{00000000-0005-0000-0000-0000020D0000}"/>
    <cellStyle name="Currency 5 3 3 6 2" xfId="4232" xr:uid="{00000000-0005-0000-0000-0000030D0000}"/>
    <cellStyle name="Currency 5 3 3 6 2 2" xfId="8455" xr:uid="{00000000-0005-0000-0000-0000040D0000}"/>
    <cellStyle name="Currency 5 3 3 6 2 2 2" xfId="16897" xr:uid="{A93864DE-0368-4054-AFDE-25415462752A}"/>
    <cellStyle name="Currency 5 3 3 6 2 2 3" xfId="25334" xr:uid="{D4F63A11-E242-4093-9AE0-252EEA2D72DF}"/>
    <cellStyle name="Currency 5 3 3 6 2 3" xfId="12679" xr:uid="{2D8AFE0E-5A98-4785-9EC5-0A30E80BF955}"/>
    <cellStyle name="Currency 5 3 3 6 2 4" xfId="21117" xr:uid="{99F8D191-BD4F-4C8F-BAE7-D12A68F8ED5E}"/>
    <cellStyle name="Currency 5 3 3 6 3" xfId="6310" xr:uid="{00000000-0005-0000-0000-0000050D0000}"/>
    <cellStyle name="Currency 5 3 3 6 3 2" xfId="14752" xr:uid="{CA2EAF36-48B5-47F1-8F3B-B483BC4967A2}"/>
    <cellStyle name="Currency 5 3 3 6 3 3" xfId="23189" xr:uid="{08E348C8-970C-4951-9D8B-9B6AFF3F8FF1}"/>
    <cellStyle name="Currency 5 3 3 6 4" xfId="10534" xr:uid="{D951BE85-C81F-46E7-8A6A-C6F0E9D8BC3F}"/>
    <cellStyle name="Currency 5 3 3 6 5" xfId="18972" xr:uid="{C33A5FF8-0B6E-44D2-9524-C35B0BEFA089}"/>
    <cellStyle name="Currency 5 3 3 7" xfId="2438" xr:uid="{00000000-0005-0000-0000-0000060D0000}"/>
    <cellStyle name="Currency 5 3 3 7 2" xfId="6723" xr:uid="{00000000-0005-0000-0000-0000070D0000}"/>
    <cellStyle name="Currency 5 3 3 7 2 2" xfId="15165" xr:uid="{A865B5BA-F0EA-4DFC-8011-71F26B0B208F}"/>
    <cellStyle name="Currency 5 3 3 7 2 3" xfId="23602" xr:uid="{834792C3-184E-4650-91A8-CE83393116E8}"/>
    <cellStyle name="Currency 5 3 3 7 3" xfId="10947" xr:uid="{A32E12BE-107C-495B-B7E6-963DBCB6604F}"/>
    <cellStyle name="Currency 5 3 3 7 4" xfId="19385" xr:uid="{084009A8-D563-4D04-B4A4-AAD3A15352CF}"/>
    <cellStyle name="Currency 5 3 3 8" xfId="2735" xr:uid="{00000000-0005-0000-0000-0000080D0000}"/>
    <cellStyle name="Currency 5 3 3 9" xfId="2816" xr:uid="{00000000-0005-0000-0000-0000090D0000}"/>
    <cellStyle name="Currency 5 3 3 9 2" xfId="7040" xr:uid="{00000000-0005-0000-0000-00000A0D0000}"/>
    <cellStyle name="Currency 5 3 3 9 2 2" xfId="15482" xr:uid="{E663F2AD-6D32-47F9-93C2-43770B311A67}"/>
    <cellStyle name="Currency 5 3 3 9 2 3" xfId="23919" xr:uid="{64FB76F9-84F7-49E4-B79C-8D11C777B8BF}"/>
    <cellStyle name="Currency 5 3 3 9 3" xfId="11264" xr:uid="{70B4FF6B-313C-4E67-B7FC-01963CD1CEDB}"/>
    <cellStyle name="Currency 5 3 3 9 4" xfId="19702" xr:uid="{42D382E1-F60A-4895-A4F2-E9A1F4E309C5}"/>
    <cellStyle name="Currency 5 3 4" xfId="216" xr:uid="{00000000-0005-0000-0000-00000B0D0000}"/>
    <cellStyle name="Currency 5 3 4 10" xfId="8883" xr:uid="{064AFDAF-5985-4148-967D-4E8446343002}"/>
    <cellStyle name="Currency 5 3 4 11" xfId="17321" xr:uid="{B7E39405-3AF1-4688-BE15-027EEFC79306}"/>
    <cellStyle name="Currency 5 3 4 2" xfId="742" xr:uid="{00000000-0005-0000-0000-00000C0D0000}"/>
    <cellStyle name="Currency 5 3 4 2 2" xfId="2995" xr:uid="{00000000-0005-0000-0000-00000D0D0000}"/>
    <cellStyle name="Currency 5 3 4 2 2 2" xfId="7218" xr:uid="{00000000-0005-0000-0000-00000E0D0000}"/>
    <cellStyle name="Currency 5 3 4 2 2 2 2" xfId="15660" xr:uid="{1D4F732B-8C25-4A70-8CF9-635734DEF429}"/>
    <cellStyle name="Currency 5 3 4 2 2 2 3" xfId="24097" xr:uid="{EF450F9E-4114-47E3-BFE8-10EFF5E22A36}"/>
    <cellStyle name="Currency 5 3 4 2 2 3" xfId="11442" xr:uid="{8E13D667-6449-4172-8E8A-E2CA53FE0896}"/>
    <cellStyle name="Currency 5 3 4 2 2 4" xfId="19880" xr:uid="{A37400D0-16CB-4767-A426-C762B610D669}"/>
    <cellStyle name="Currency 5 3 4 2 3" xfId="5073" xr:uid="{00000000-0005-0000-0000-00000F0D0000}"/>
    <cellStyle name="Currency 5 3 4 2 3 2" xfId="13515" xr:uid="{B1AFE513-FA11-4B7C-88C2-5C9BA8403761}"/>
    <cellStyle name="Currency 5 3 4 2 3 3" xfId="21952" xr:uid="{2F96CEE1-7849-4019-B4B1-A7115B22753B}"/>
    <cellStyle name="Currency 5 3 4 2 4" xfId="9297" xr:uid="{72999C9F-BDAA-476F-B18D-A85015CD84C1}"/>
    <cellStyle name="Currency 5 3 4 2 5" xfId="17735" xr:uid="{51550548-63E5-432C-A543-25EC7E573F83}"/>
    <cellStyle name="Currency 5 3 4 3" xfId="1177" xr:uid="{00000000-0005-0000-0000-0000100D0000}"/>
    <cellStyle name="Currency 5 3 4 3 2" xfId="3408" xr:uid="{00000000-0005-0000-0000-0000110D0000}"/>
    <cellStyle name="Currency 5 3 4 3 2 2" xfId="7631" xr:uid="{00000000-0005-0000-0000-0000120D0000}"/>
    <cellStyle name="Currency 5 3 4 3 2 2 2" xfId="16073" xr:uid="{10B4D364-A831-4600-B508-C2585FF695E6}"/>
    <cellStyle name="Currency 5 3 4 3 2 2 3" xfId="24510" xr:uid="{A50C6110-1132-424C-9CC0-A5CCA4AF0353}"/>
    <cellStyle name="Currency 5 3 4 3 2 3" xfId="11855" xr:uid="{CB2F5A9E-E5DF-4964-8DBE-59B935118A4D}"/>
    <cellStyle name="Currency 5 3 4 3 2 4" xfId="20293" xr:uid="{301BEB8A-4112-4E6C-AAC4-7DB3B8470B21}"/>
    <cellStyle name="Currency 5 3 4 3 3" xfId="5486" xr:uid="{00000000-0005-0000-0000-0000130D0000}"/>
    <cellStyle name="Currency 5 3 4 3 3 2" xfId="13928" xr:uid="{B7268E88-6836-4FD8-A1F3-9E6FC24DF758}"/>
    <cellStyle name="Currency 5 3 4 3 3 3" xfId="22365" xr:uid="{77E0D3BA-0FB4-4FD0-B734-DAF37AF412D1}"/>
    <cellStyle name="Currency 5 3 4 3 4" xfId="9710" xr:uid="{175E4EE4-579B-4783-BEA3-C05714FB846E}"/>
    <cellStyle name="Currency 5 3 4 3 5" xfId="18148" xr:uid="{35508E6A-77CE-47F5-8EE7-0454CCAD8346}"/>
    <cellStyle name="Currency 5 3 4 4" xfId="1591" xr:uid="{00000000-0005-0000-0000-0000140D0000}"/>
    <cellStyle name="Currency 5 3 4 4 2" xfId="3821" xr:uid="{00000000-0005-0000-0000-0000150D0000}"/>
    <cellStyle name="Currency 5 3 4 4 2 2" xfId="8044" xr:uid="{00000000-0005-0000-0000-0000160D0000}"/>
    <cellStyle name="Currency 5 3 4 4 2 2 2" xfId="16486" xr:uid="{3D413AC9-3984-4135-9BAA-135D1DB69C79}"/>
    <cellStyle name="Currency 5 3 4 4 2 2 3" xfId="24923" xr:uid="{6A2E5480-BFAB-404A-AE7B-AF4A19BE9930}"/>
    <cellStyle name="Currency 5 3 4 4 2 3" xfId="12268" xr:uid="{CDC15435-AFD3-46FA-970A-353B4EC61DAB}"/>
    <cellStyle name="Currency 5 3 4 4 2 4" xfId="20706" xr:uid="{BFE41A02-47EF-4B68-BCF1-7F06C9424119}"/>
    <cellStyle name="Currency 5 3 4 4 3" xfId="5899" xr:uid="{00000000-0005-0000-0000-0000170D0000}"/>
    <cellStyle name="Currency 5 3 4 4 3 2" xfId="14341" xr:uid="{898CF5EB-3D67-40AF-A5C0-D427AB92E9B8}"/>
    <cellStyle name="Currency 5 3 4 4 3 3" xfId="22778" xr:uid="{58C3F72F-9BAE-4153-A23D-EF26C80DAEAB}"/>
    <cellStyle name="Currency 5 3 4 4 4" xfId="10123" xr:uid="{5D60A233-EA94-4B5B-AEB7-046DFF649185}"/>
    <cellStyle name="Currency 5 3 4 4 5" xfId="18561" xr:uid="{7D5DC69E-78B8-4AB8-829E-D9BE9140B68B}"/>
    <cellStyle name="Currency 5 3 4 5" xfId="2005" xr:uid="{00000000-0005-0000-0000-0000180D0000}"/>
    <cellStyle name="Currency 5 3 4 5 2" xfId="4234" xr:uid="{00000000-0005-0000-0000-0000190D0000}"/>
    <cellStyle name="Currency 5 3 4 5 2 2" xfId="8457" xr:uid="{00000000-0005-0000-0000-00001A0D0000}"/>
    <cellStyle name="Currency 5 3 4 5 2 2 2" xfId="16899" xr:uid="{348E45DB-7919-4C97-9A18-7F91064975EA}"/>
    <cellStyle name="Currency 5 3 4 5 2 2 3" xfId="25336" xr:uid="{544336F2-FEB9-47A8-A46F-EDDEEC1A5284}"/>
    <cellStyle name="Currency 5 3 4 5 2 3" xfId="12681" xr:uid="{275F0A00-D3F8-4379-AFA7-1F5517F93B15}"/>
    <cellStyle name="Currency 5 3 4 5 2 4" xfId="21119" xr:uid="{9CE00D16-337F-432E-B137-CE24043B222C}"/>
    <cellStyle name="Currency 5 3 4 5 3" xfId="6312" xr:uid="{00000000-0005-0000-0000-00001B0D0000}"/>
    <cellStyle name="Currency 5 3 4 5 3 2" xfId="14754" xr:uid="{676D2A28-4FF1-4B66-BA39-92DE2B8ABFE0}"/>
    <cellStyle name="Currency 5 3 4 5 3 3" xfId="23191" xr:uid="{93D82D97-B5C6-4065-85E6-ECBC99691ED8}"/>
    <cellStyle name="Currency 5 3 4 5 4" xfId="10536" xr:uid="{477E9E8C-FBC7-4605-9EA8-8F6C9A286DA6}"/>
    <cellStyle name="Currency 5 3 4 5 5" xfId="18974" xr:uid="{A22C4B43-B82F-423F-85CE-7308B1714F55}"/>
    <cellStyle name="Currency 5 3 4 6" xfId="2440" xr:uid="{00000000-0005-0000-0000-00001C0D0000}"/>
    <cellStyle name="Currency 5 3 4 6 2" xfId="6725" xr:uid="{00000000-0005-0000-0000-00001D0D0000}"/>
    <cellStyle name="Currency 5 3 4 6 2 2" xfId="15167" xr:uid="{B8502115-63B1-4500-BA4A-8D47D12594AE}"/>
    <cellStyle name="Currency 5 3 4 6 2 3" xfId="23604" xr:uid="{7B5F594B-942A-47DD-ADFA-DF4A7C3D5B86}"/>
    <cellStyle name="Currency 5 3 4 6 3" xfId="10949" xr:uid="{3AF235FA-485B-4E95-8D3D-B2BAAD44910A}"/>
    <cellStyle name="Currency 5 3 4 6 4" xfId="19387" xr:uid="{4DF08C3C-5C3D-4EE4-AA5D-699E657B0A4C}"/>
    <cellStyle name="Currency 5 3 4 7" xfId="2737" xr:uid="{00000000-0005-0000-0000-00001E0D0000}"/>
    <cellStyle name="Currency 5 3 4 8" xfId="2818" xr:uid="{00000000-0005-0000-0000-00001F0D0000}"/>
    <cellStyle name="Currency 5 3 4 8 2" xfId="7042" xr:uid="{00000000-0005-0000-0000-0000200D0000}"/>
    <cellStyle name="Currency 5 3 4 8 2 2" xfId="15484" xr:uid="{8140D587-DE95-41C8-A788-BCFD5E8CC769}"/>
    <cellStyle name="Currency 5 3 4 8 2 3" xfId="23921" xr:uid="{B086B427-5FBA-410D-9E47-46E41C5915EC}"/>
    <cellStyle name="Currency 5 3 4 8 3" xfId="11266" xr:uid="{1E71349C-283B-426C-91A3-92D4F72277F6}"/>
    <cellStyle name="Currency 5 3 4 8 4" xfId="19704" xr:uid="{26B68FC3-AD55-4706-AA11-6FC195EA1255}"/>
    <cellStyle name="Currency 5 3 4 9" xfId="4659" xr:uid="{00000000-0005-0000-0000-0000210D0000}"/>
    <cellStyle name="Currency 5 3 4 9 2" xfId="13101" xr:uid="{24A17750-C1E2-4F75-B0B7-F4BD603AA577}"/>
    <cellStyle name="Currency 5 3 4 9 3" xfId="21538" xr:uid="{7740E9C9-64F1-4939-B076-86AFEB3F94FC}"/>
    <cellStyle name="Currency 5 3 5" xfId="217" xr:uid="{00000000-0005-0000-0000-0000220D0000}"/>
    <cellStyle name="Currency 5 3 5 10" xfId="8884" xr:uid="{4F401667-6F65-4DD8-A730-BBFC829380E9}"/>
    <cellStyle name="Currency 5 3 5 11" xfId="17322" xr:uid="{B6CBD4FC-1788-4D77-B490-821F3F6B1277}"/>
    <cellStyle name="Currency 5 3 5 2" xfId="743" xr:uid="{00000000-0005-0000-0000-0000230D0000}"/>
    <cellStyle name="Currency 5 3 5 2 2" xfId="2996" xr:uid="{00000000-0005-0000-0000-0000240D0000}"/>
    <cellStyle name="Currency 5 3 5 2 2 2" xfId="7219" xr:uid="{00000000-0005-0000-0000-0000250D0000}"/>
    <cellStyle name="Currency 5 3 5 2 2 2 2" xfId="15661" xr:uid="{7ADDE056-A548-4250-8941-0D2A8B4EB407}"/>
    <cellStyle name="Currency 5 3 5 2 2 2 3" xfId="24098" xr:uid="{2AAB127A-FD18-4CD8-83F9-919F2FD2543D}"/>
    <cellStyle name="Currency 5 3 5 2 2 3" xfId="11443" xr:uid="{C6A289E0-D7CB-4E02-8895-8C3E432F6383}"/>
    <cellStyle name="Currency 5 3 5 2 2 4" xfId="19881" xr:uid="{DBC03A68-6DD0-4B2C-914E-CDC7E3C845CC}"/>
    <cellStyle name="Currency 5 3 5 2 3" xfId="5074" xr:uid="{00000000-0005-0000-0000-0000260D0000}"/>
    <cellStyle name="Currency 5 3 5 2 3 2" xfId="13516" xr:uid="{E5C8E7FC-9BEC-4F83-9EEA-5665C9E243DC}"/>
    <cellStyle name="Currency 5 3 5 2 3 3" xfId="21953" xr:uid="{F1C058BB-DD40-41D9-B8C0-0FEBBAAD2D24}"/>
    <cellStyle name="Currency 5 3 5 2 4" xfId="9298" xr:uid="{F440F128-B2FC-4083-A210-11EBE2305A78}"/>
    <cellStyle name="Currency 5 3 5 2 5" xfId="17736" xr:uid="{44B6D799-0B83-47C4-8497-9C032EC89457}"/>
    <cellStyle name="Currency 5 3 5 3" xfId="1178" xr:uid="{00000000-0005-0000-0000-0000270D0000}"/>
    <cellStyle name="Currency 5 3 5 3 2" xfId="3409" xr:uid="{00000000-0005-0000-0000-0000280D0000}"/>
    <cellStyle name="Currency 5 3 5 3 2 2" xfId="7632" xr:uid="{00000000-0005-0000-0000-0000290D0000}"/>
    <cellStyle name="Currency 5 3 5 3 2 2 2" xfId="16074" xr:uid="{BC668DBE-D404-42F5-B752-E7E084FA1650}"/>
    <cellStyle name="Currency 5 3 5 3 2 2 3" xfId="24511" xr:uid="{3EF8EBF8-482E-43B2-8C6E-B28C2DC97648}"/>
    <cellStyle name="Currency 5 3 5 3 2 3" xfId="11856" xr:uid="{228FBA8E-10E9-423B-909A-62EE608AE50A}"/>
    <cellStyle name="Currency 5 3 5 3 2 4" xfId="20294" xr:uid="{AA07179C-1202-4C54-B770-B9E8D648CA50}"/>
    <cellStyle name="Currency 5 3 5 3 3" xfId="5487" xr:uid="{00000000-0005-0000-0000-00002A0D0000}"/>
    <cellStyle name="Currency 5 3 5 3 3 2" xfId="13929" xr:uid="{56E61392-ACD3-44B5-9EAE-C03A27A10710}"/>
    <cellStyle name="Currency 5 3 5 3 3 3" xfId="22366" xr:uid="{2744BC27-AFF0-4128-986C-9AC37A2207FE}"/>
    <cellStyle name="Currency 5 3 5 3 4" xfId="9711" xr:uid="{6FBA0794-F813-4B99-8754-5406E5E77C1B}"/>
    <cellStyle name="Currency 5 3 5 3 5" xfId="18149" xr:uid="{7ECE5663-FF66-4AAE-869C-18645AE2E5C6}"/>
    <cellStyle name="Currency 5 3 5 4" xfId="1592" xr:uid="{00000000-0005-0000-0000-00002B0D0000}"/>
    <cellStyle name="Currency 5 3 5 4 2" xfId="3822" xr:uid="{00000000-0005-0000-0000-00002C0D0000}"/>
    <cellStyle name="Currency 5 3 5 4 2 2" xfId="8045" xr:uid="{00000000-0005-0000-0000-00002D0D0000}"/>
    <cellStyle name="Currency 5 3 5 4 2 2 2" xfId="16487" xr:uid="{125B10BF-96C8-4CF5-B5E6-62A0B94238D5}"/>
    <cellStyle name="Currency 5 3 5 4 2 2 3" xfId="24924" xr:uid="{D88D145D-B6B0-43DB-B7FF-225E6ABF7D51}"/>
    <cellStyle name="Currency 5 3 5 4 2 3" xfId="12269" xr:uid="{1BF194CF-BC68-4EA6-A684-E97644D94603}"/>
    <cellStyle name="Currency 5 3 5 4 2 4" xfId="20707" xr:uid="{F3C08FF5-D378-4E0F-A1FF-5AC9FA09970A}"/>
    <cellStyle name="Currency 5 3 5 4 3" xfId="5900" xr:uid="{00000000-0005-0000-0000-00002E0D0000}"/>
    <cellStyle name="Currency 5 3 5 4 3 2" xfId="14342" xr:uid="{A2D20C6E-8373-495A-8338-2C49BD46DE71}"/>
    <cellStyle name="Currency 5 3 5 4 3 3" xfId="22779" xr:uid="{1823748A-8301-4329-954F-35CD29928107}"/>
    <cellStyle name="Currency 5 3 5 4 4" xfId="10124" xr:uid="{8866B367-820D-4A92-A1AD-44526A20DE08}"/>
    <cellStyle name="Currency 5 3 5 4 5" xfId="18562" xr:uid="{B3709F15-23C5-471C-A698-AE5EE8A30637}"/>
    <cellStyle name="Currency 5 3 5 5" xfId="2006" xr:uid="{00000000-0005-0000-0000-00002F0D0000}"/>
    <cellStyle name="Currency 5 3 5 5 2" xfId="4235" xr:uid="{00000000-0005-0000-0000-0000300D0000}"/>
    <cellStyle name="Currency 5 3 5 5 2 2" xfId="8458" xr:uid="{00000000-0005-0000-0000-0000310D0000}"/>
    <cellStyle name="Currency 5 3 5 5 2 2 2" xfId="16900" xr:uid="{FD628B54-DA61-4F33-B9B7-501DF01C1107}"/>
    <cellStyle name="Currency 5 3 5 5 2 2 3" xfId="25337" xr:uid="{43528487-26D0-465C-BF98-0A9291C76FF3}"/>
    <cellStyle name="Currency 5 3 5 5 2 3" xfId="12682" xr:uid="{5D7DD05D-08E8-4DA9-B227-698E003B60AC}"/>
    <cellStyle name="Currency 5 3 5 5 2 4" xfId="21120" xr:uid="{EFCA6CB2-2AAA-467C-A6A5-9EC14B9C7A32}"/>
    <cellStyle name="Currency 5 3 5 5 3" xfId="6313" xr:uid="{00000000-0005-0000-0000-0000320D0000}"/>
    <cellStyle name="Currency 5 3 5 5 3 2" xfId="14755" xr:uid="{AF7F14C6-9577-4B87-994A-352BFFAAAC24}"/>
    <cellStyle name="Currency 5 3 5 5 3 3" xfId="23192" xr:uid="{2F0AA162-AF19-4754-A309-CB4010677430}"/>
    <cellStyle name="Currency 5 3 5 5 4" xfId="10537" xr:uid="{3AD508BF-A118-47F2-AD75-74C9B3BE8851}"/>
    <cellStyle name="Currency 5 3 5 5 5" xfId="18975" xr:uid="{2C043CFE-97D4-4C66-8CAF-0CA98A552D46}"/>
    <cellStyle name="Currency 5 3 5 6" xfId="2441" xr:uid="{00000000-0005-0000-0000-0000330D0000}"/>
    <cellStyle name="Currency 5 3 5 6 2" xfId="6726" xr:uid="{00000000-0005-0000-0000-0000340D0000}"/>
    <cellStyle name="Currency 5 3 5 6 2 2" xfId="15168" xr:uid="{874736A2-2EE0-467F-A150-0837EC8D0307}"/>
    <cellStyle name="Currency 5 3 5 6 2 3" xfId="23605" xr:uid="{6E8C234F-0A0F-49FF-8729-D8EC76869078}"/>
    <cellStyle name="Currency 5 3 5 6 3" xfId="10950" xr:uid="{74A371E2-1C63-4116-AA30-42746F6BC636}"/>
    <cellStyle name="Currency 5 3 5 6 4" xfId="19388" xr:uid="{5FF4B134-7624-4B6E-855A-36227C2CFA3C}"/>
    <cellStyle name="Currency 5 3 5 7" xfId="2738" xr:uid="{00000000-0005-0000-0000-0000350D0000}"/>
    <cellStyle name="Currency 5 3 5 8" xfId="2819" xr:uid="{00000000-0005-0000-0000-0000360D0000}"/>
    <cellStyle name="Currency 5 3 5 8 2" xfId="7043" xr:uid="{00000000-0005-0000-0000-0000370D0000}"/>
    <cellStyle name="Currency 5 3 5 8 2 2" xfId="15485" xr:uid="{0A5BBB76-4FBA-4EF9-B713-48D5F1053EE7}"/>
    <cellStyle name="Currency 5 3 5 8 2 3" xfId="23922" xr:uid="{7DC49B06-81AB-4891-99F7-1C7B0E440DA0}"/>
    <cellStyle name="Currency 5 3 5 8 3" xfId="11267" xr:uid="{D451F8BE-5427-4878-92A2-E5163F58D1CB}"/>
    <cellStyle name="Currency 5 3 5 8 4" xfId="19705" xr:uid="{A112E7D1-E4B5-4773-8B97-8A0DF6F76872}"/>
    <cellStyle name="Currency 5 3 5 9" xfId="4660" xr:uid="{00000000-0005-0000-0000-0000380D0000}"/>
    <cellStyle name="Currency 5 3 5 9 2" xfId="13102" xr:uid="{7B1FAD06-8FFF-41DB-B556-9B110E6467BB}"/>
    <cellStyle name="Currency 5 3 5 9 3" xfId="21539" xr:uid="{ECE5D0FA-32EE-4583-A533-B9281F0E267C}"/>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10 2" xfId="13103" xr:uid="{C69417D9-99BC-402D-AAE5-7F941F884F9D}"/>
    <cellStyle name="Currency 5 5 10 3" xfId="21540" xr:uid="{320EB1BE-B17F-4DE6-8DD2-F552683F4ED3}"/>
    <cellStyle name="Currency 5 5 11" xfId="8885" xr:uid="{B307D760-8599-44E1-9E77-6D99EF7A9B38}"/>
    <cellStyle name="Currency 5 5 12" xfId="17323" xr:uid="{04FA3809-B48A-4E12-82A4-9009B4C944B4}"/>
    <cellStyle name="Currency 5 5 2" xfId="220" xr:uid="{00000000-0005-0000-0000-00003D0D0000}"/>
    <cellStyle name="Currency 5 5 2 10" xfId="8886" xr:uid="{6DF14137-498C-4C79-BD15-2CA95CCC1F0B}"/>
    <cellStyle name="Currency 5 5 2 11" xfId="17324" xr:uid="{A34FB7A9-891A-4FD2-AA66-14BD559F78CB}"/>
    <cellStyle name="Currency 5 5 2 2" xfId="746" xr:uid="{00000000-0005-0000-0000-00003E0D0000}"/>
    <cellStyle name="Currency 5 5 2 2 2" xfId="2998" xr:uid="{00000000-0005-0000-0000-00003F0D0000}"/>
    <cellStyle name="Currency 5 5 2 2 2 2" xfId="7221" xr:uid="{00000000-0005-0000-0000-0000400D0000}"/>
    <cellStyle name="Currency 5 5 2 2 2 2 2" xfId="15663" xr:uid="{6CB7F505-C742-4FBD-9043-065FA4B49C3D}"/>
    <cellStyle name="Currency 5 5 2 2 2 2 3" xfId="24100" xr:uid="{E29674A4-85CE-408E-AFC7-AA1E5BC963E9}"/>
    <cellStyle name="Currency 5 5 2 2 2 3" xfId="11445" xr:uid="{6A84A323-5736-448C-9F14-3E4EBCE2BD13}"/>
    <cellStyle name="Currency 5 5 2 2 2 4" xfId="19883" xr:uid="{5043B198-EB1F-41FC-B77C-52835E7DA92F}"/>
    <cellStyle name="Currency 5 5 2 2 3" xfId="5076" xr:uid="{00000000-0005-0000-0000-0000410D0000}"/>
    <cellStyle name="Currency 5 5 2 2 3 2" xfId="13518" xr:uid="{9CEB5DEB-2614-4C65-AF39-6F0149C7B1BC}"/>
    <cellStyle name="Currency 5 5 2 2 3 3" xfId="21955" xr:uid="{32B09CEA-25CA-456D-B7B4-C193F0AAF5D1}"/>
    <cellStyle name="Currency 5 5 2 2 4" xfId="9300" xr:uid="{1F9B1CEB-30EE-4467-B5C6-780D43A0EF39}"/>
    <cellStyle name="Currency 5 5 2 2 5" xfId="17738" xr:uid="{3BA5AD94-619A-409F-BA3C-44C3480FEAD6}"/>
    <cellStyle name="Currency 5 5 2 3" xfId="1180" xr:uid="{00000000-0005-0000-0000-0000420D0000}"/>
    <cellStyle name="Currency 5 5 2 3 2" xfId="3411" xr:uid="{00000000-0005-0000-0000-0000430D0000}"/>
    <cellStyle name="Currency 5 5 2 3 2 2" xfId="7634" xr:uid="{00000000-0005-0000-0000-0000440D0000}"/>
    <cellStyle name="Currency 5 5 2 3 2 2 2" xfId="16076" xr:uid="{018FD57A-B2D9-45AC-9F1B-E8F10D805875}"/>
    <cellStyle name="Currency 5 5 2 3 2 2 3" xfId="24513" xr:uid="{5881CE0F-6B62-4402-8BFF-5B07DEB050BF}"/>
    <cellStyle name="Currency 5 5 2 3 2 3" xfId="11858" xr:uid="{03D6F894-D2D1-4022-ACA6-137A37BA10D3}"/>
    <cellStyle name="Currency 5 5 2 3 2 4" xfId="20296" xr:uid="{23979EF9-302F-4C15-904B-D1016961AF48}"/>
    <cellStyle name="Currency 5 5 2 3 3" xfId="5489" xr:uid="{00000000-0005-0000-0000-0000450D0000}"/>
    <cellStyle name="Currency 5 5 2 3 3 2" xfId="13931" xr:uid="{00B04DF6-4016-478D-8729-DF38DAD62E20}"/>
    <cellStyle name="Currency 5 5 2 3 3 3" xfId="22368" xr:uid="{6C44B058-79D0-46E2-9222-111C28872925}"/>
    <cellStyle name="Currency 5 5 2 3 4" xfId="9713" xr:uid="{9AD909EE-DBCD-480C-92B7-D6EE9E3E6F83}"/>
    <cellStyle name="Currency 5 5 2 3 5" xfId="18151" xr:uid="{2B294A27-7498-4935-A892-0BBE42BC2FF7}"/>
    <cellStyle name="Currency 5 5 2 4" xfId="1594" xr:uid="{00000000-0005-0000-0000-0000460D0000}"/>
    <cellStyle name="Currency 5 5 2 4 2" xfId="3824" xr:uid="{00000000-0005-0000-0000-0000470D0000}"/>
    <cellStyle name="Currency 5 5 2 4 2 2" xfId="8047" xr:uid="{00000000-0005-0000-0000-0000480D0000}"/>
    <cellStyle name="Currency 5 5 2 4 2 2 2" xfId="16489" xr:uid="{55FEAF43-6C9B-4D05-B124-E81ECFC0F3B8}"/>
    <cellStyle name="Currency 5 5 2 4 2 2 3" xfId="24926" xr:uid="{25E62A24-069A-4B23-BE83-5205EBE214B4}"/>
    <cellStyle name="Currency 5 5 2 4 2 3" xfId="12271" xr:uid="{0E2ADE36-CBF0-4AED-8A17-147D5B63F26B}"/>
    <cellStyle name="Currency 5 5 2 4 2 4" xfId="20709" xr:uid="{5574A0AE-913E-47C9-96A6-A6562D798883}"/>
    <cellStyle name="Currency 5 5 2 4 3" xfId="5902" xr:uid="{00000000-0005-0000-0000-0000490D0000}"/>
    <cellStyle name="Currency 5 5 2 4 3 2" xfId="14344" xr:uid="{FAEE5281-D59E-4899-BBD8-646026E20894}"/>
    <cellStyle name="Currency 5 5 2 4 3 3" xfId="22781" xr:uid="{3B261E03-C51F-4D80-96B9-D159B05CD914}"/>
    <cellStyle name="Currency 5 5 2 4 4" xfId="10126" xr:uid="{5BEDBA80-0A4F-48CF-A198-6AA26E2B9A02}"/>
    <cellStyle name="Currency 5 5 2 4 5" xfId="18564" xr:uid="{51EE2AFC-C8F5-4143-A9B4-EBD631548340}"/>
    <cellStyle name="Currency 5 5 2 5" xfId="2008" xr:uid="{00000000-0005-0000-0000-00004A0D0000}"/>
    <cellStyle name="Currency 5 5 2 5 2" xfId="4237" xr:uid="{00000000-0005-0000-0000-00004B0D0000}"/>
    <cellStyle name="Currency 5 5 2 5 2 2" xfId="8460" xr:uid="{00000000-0005-0000-0000-00004C0D0000}"/>
    <cellStyle name="Currency 5 5 2 5 2 2 2" xfId="16902" xr:uid="{D305BE2D-62AD-423A-8BF5-3982099C2AA8}"/>
    <cellStyle name="Currency 5 5 2 5 2 2 3" xfId="25339" xr:uid="{E219DA15-C83B-4E01-A224-E6841A370D3A}"/>
    <cellStyle name="Currency 5 5 2 5 2 3" xfId="12684" xr:uid="{2CFF3B15-D053-466A-B957-9607D62E3D1B}"/>
    <cellStyle name="Currency 5 5 2 5 2 4" xfId="21122" xr:uid="{6E84BA14-368E-4DEF-B259-F28F7D91CB0B}"/>
    <cellStyle name="Currency 5 5 2 5 3" xfId="6315" xr:uid="{00000000-0005-0000-0000-00004D0D0000}"/>
    <cellStyle name="Currency 5 5 2 5 3 2" xfId="14757" xr:uid="{55E4E1F4-163A-4006-BFD0-F6C9713D1865}"/>
    <cellStyle name="Currency 5 5 2 5 3 3" xfId="23194" xr:uid="{C45D9427-D05A-4C2A-96FF-45F34F333B70}"/>
    <cellStyle name="Currency 5 5 2 5 4" xfId="10539" xr:uid="{F55BD5DB-1FE9-475B-9F82-7559B4C7BBC0}"/>
    <cellStyle name="Currency 5 5 2 5 5" xfId="18977" xr:uid="{3038114B-816A-4D4B-B83C-3E01A72F257D}"/>
    <cellStyle name="Currency 5 5 2 6" xfId="2443" xr:uid="{00000000-0005-0000-0000-00004E0D0000}"/>
    <cellStyle name="Currency 5 5 2 6 2" xfId="6728" xr:uid="{00000000-0005-0000-0000-00004F0D0000}"/>
    <cellStyle name="Currency 5 5 2 6 2 2" xfId="15170" xr:uid="{AE916BFF-639F-4654-B285-7180881F52FB}"/>
    <cellStyle name="Currency 5 5 2 6 2 3" xfId="23607" xr:uid="{D22E8CAC-3081-4D52-AE20-7C561C97A9ED}"/>
    <cellStyle name="Currency 5 5 2 6 3" xfId="10952" xr:uid="{A9CF17C2-61C2-4DCA-90FB-0A8D267F9F9E}"/>
    <cellStyle name="Currency 5 5 2 6 4" xfId="19390" xr:uid="{E66B6E81-E717-4F83-90EC-3560C2D71B92}"/>
    <cellStyle name="Currency 5 5 2 7" xfId="2740" xr:uid="{00000000-0005-0000-0000-0000500D0000}"/>
    <cellStyle name="Currency 5 5 2 8" xfId="2821" xr:uid="{00000000-0005-0000-0000-0000510D0000}"/>
    <cellStyle name="Currency 5 5 2 8 2" xfId="7045" xr:uid="{00000000-0005-0000-0000-0000520D0000}"/>
    <cellStyle name="Currency 5 5 2 8 2 2" xfId="15487" xr:uid="{8B55858E-8AC3-46B8-A308-8AB21D8C25F9}"/>
    <cellStyle name="Currency 5 5 2 8 2 3" xfId="23924" xr:uid="{2A28031E-E774-4DF1-A85B-84DCBFEF47FA}"/>
    <cellStyle name="Currency 5 5 2 8 3" xfId="11269" xr:uid="{E2A629BE-9E3C-4C06-87C4-233FDA367E33}"/>
    <cellStyle name="Currency 5 5 2 8 4" xfId="19707" xr:uid="{643C29A4-0101-43E6-8C6B-6B290A591286}"/>
    <cellStyle name="Currency 5 5 2 9" xfId="4662" xr:uid="{00000000-0005-0000-0000-0000530D0000}"/>
    <cellStyle name="Currency 5 5 2 9 2" xfId="13104" xr:uid="{1573951B-B58A-4AA4-8787-7BFE452779B5}"/>
    <cellStyle name="Currency 5 5 2 9 3" xfId="21541" xr:uid="{32621773-FD3E-420F-A162-BF4C538E17A9}"/>
    <cellStyle name="Currency 5 5 3" xfId="745" xr:uid="{00000000-0005-0000-0000-0000540D0000}"/>
    <cellStyle name="Currency 5 5 3 2" xfId="2997" xr:uid="{00000000-0005-0000-0000-0000550D0000}"/>
    <cellStyle name="Currency 5 5 3 2 2" xfId="7220" xr:uid="{00000000-0005-0000-0000-0000560D0000}"/>
    <cellStyle name="Currency 5 5 3 2 2 2" xfId="15662" xr:uid="{92FDEEF9-E35E-4171-B130-7E8DF87460E5}"/>
    <cellStyle name="Currency 5 5 3 2 2 3" xfId="24099" xr:uid="{AA111031-9014-4AC2-9619-072A9CD906F3}"/>
    <cellStyle name="Currency 5 5 3 2 3" xfId="11444" xr:uid="{90F815B1-79E5-4B70-A955-FE8351EAD033}"/>
    <cellStyle name="Currency 5 5 3 2 4" xfId="19882" xr:uid="{4BF9F56A-3491-4260-A78F-F56CF5534D8A}"/>
    <cellStyle name="Currency 5 5 3 3" xfId="5075" xr:uid="{00000000-0005-0000-0000-0000570D0000}"/>
    <cellStyle name="Currency 5 5 3 3 2" xfId="13517" xr:uid="{27FB4FF9-CE81-444A-8DDE-1ADF7459A435}"/>
    <cellStyle name="Currency 5 5 3 3 3" xfId="21954" xr:uid="{A62ADD9B-0370-4795-9130-032FD19C0B89}"/>
    <cellStyle name="Currency 5 5 3 4" xfId="9299" xr:uid="{0CA4710D-A146-466A-A238-2D836EC0CB1F}"/>
    <cellStyle name="Currency 5 5 3 5" xfId="17737" xr:uid="{FCFA94D4-FD52-4FAA-87B2-A04EC70CEFCB}"/>
    <cellStyle name="Currency 5 5 4" xfId="1179" xr:uid="{00000000-0005-0000-0000-0000580D0000}"/>
    <cellStyle name="Currency 5 5 4 2" xfId="3410" xr:uid="{00000000-0005-0000-0000-0000590D0000}"/>
    <cellStyle name="Currency 5 5 4 2 2" xfId="7633" xr:uid="{00000000-0005-0000-0000-00005A0D0000}"/>
    <cellStyle name="Currency 5 5 4 2 2 2" xfId="16075" xr:uid="{40181AD7-BB40-415D-91CB-5C5086E75913}"/>
    <cellStyle name="Currency 5 5 4 2 2 3" xfId="24512" xr:uid="{56845E5E-55AC-4A7B-A092-8076217FCC17}"/>
    <cellStyle name="Currency 5 5 4 2 3" xfId="11857" xr:uid="{16539319-A52E-4F10-BD67-9A742DACF723}"/>
    <cellStyle name="Currency 5 5 4 2 4" xfId="20295" xr:uid="{185E948B-08A2-4B75-8B4A-89886CA064DF}"/>
    <cellStyle name="Currency 5 5 4 3" xfId="5488" xr:uid="{00000000-0005-0000-0000-00005B0D0000}"/>
    <cellStyle name="Currency 5 5 4 3 2" xfId="13930" xr:uid="{9811BB63-2BAE-427B-99B3-4E17ABD80E4B}"/>
    <cellStyle name="Currency 5 5 4 3 3" xfId="22367" xr:uid="{ED78F792-A227-4BA5-8A35-CFE481DD8344}"/>
    <cellStyle name="Currency 5 5 4 4" xfId="9712" xr:uid="{71083515-6CD7-4F30-86DA-8372992D1828}"/>
    <cellStyle name="Currency 5 5 4 5" xfId="18150" xr:uid="{C157F670-8147-43E0-A44C-34A17BBCDDE2}"/>
    <cellStyle name="Currency 5 5 5" xfId="1593" xr:uid="{00000000-0005-0000-0000-00005C0D0000}"/>
    <cellStyle name="Currency 5 5 5 2" xfId="3823" xr:uid="{00000000-0005-0000-0000-00005D0D0000}"/>
    <cellStyle name="Currency 5 5 5 2 2" xfId="8046" xr:uid="{00000000-0005-0000-0000-00005E0D0000}"/>
    <cellStyle name="Currency 5 5 5 2 2 2" xfId="16488" xr:uid="{FEEA0EDD-DA69-4F48-A869-3FCADC04262C}"/>
    <cellStyle name="Currency 5 5 5 2 2 3" xfId="24925" xr:uid="{CB48CCC7-3263-48B3-9AE8-405CD28092B4}"/>
    <cellStyle name="Currency 5 5 5 2 3" xfId="12270" xr:uid="{0E595ADA-AF4B-4A0C-85BE-D94627041645}"/>
    <cellStyle name="Currency 5 5 5 2 4" xfId="20708" xr:uid="{9EADB723-FADC-480D-82AD-594E86FF1ED4}"/>
    <cellStyle name="Currency 5 5 5 3" xfId="5901" xr:uid="{00000000-0005-0000-0000-00005F0D0000}"/>
    <cellStyle name="Currency 5 5 5 3 2" xfId="14343" xr:uid="{EB047745-6C02-4E8D-9DA4-39B001FBF045}"/>
    <cellStyle name="Currency 5 5 5 3 3" xfId="22780" xr:uid="{C58ECE85-794D-4556-8C4F-45E1D43B619D}"/>
    <cellStyle name="Currency 5 5 5 4" xfId="10125" xr:uid="{BC1FB3E3-8FC0-4438-8451-0D99217FFBBD}"/>
    <cellStyle name="Currency 5 5 5 5" xfId="18563" xr:uid="{8C68092C-42F1-4B1A-AA92-549B10A2B00A}"/>
    <cellStyle name="Currency 5 5 6" xfId="2007" xr:uid="{00000000-0005-0000-0000-0000600D0000}"/>
    <cellStyle name="Currency 5 5 6 2" xfId="4236" xr:uid="{00000000-0005-0000-0000-0000610D0000}"/>
    <cellStyle name="Currency 5 5 6 2 2" xfId="8459" xr:uid="{00000000-0005-0000-0000-0000620D0000}"/>
    <cellStyle name="Currency 5 5 6 2 2 2" xfId="16901" xr:uid="{B4C86EEF-FCCD-4B30-8B5A-E5C70B6B25CC}"/>
    <cellStyle name="Currency 5 5 6 2 2 3" xfId="25338" xr:uid="{6A778F3E-C85B-4AD2-887C-4EBF995B5996}"/>
    <cellStyle name="Currency 5 5 6 2 3" xfId="12683" xr:uid="{4EEE0FCC-6A1E-46B8-B450-8A48018D8CE5}"/>
    <cellStyle name="Currency 5 5 6 2 4" xfId="21121" xr:uid="{BE5CD7D6-64F0-487C-B8BC-AF1CB8BCFF7E}"/>
    <cellStyle name="Currency 5 5 6 3" xfId="6314" xr:uid="{00000000-0005-0000-0000-0000630D0000}"/>
    <cellStyle name="Currency 5 5 6 3 2" xfId="14756" xr:uid="{88A9364D-7A19-4E50-9DC5-F7212EBCFCDC}"/>
    <cellStyle name="Currency 5 5 6 3 3" xfId="23193" xr:uid="{A616AE8F-88CA-4BB3-B52E-4690E05A3B1C}"/>
    <cellStyle name="Currency 5 5 6 4" xfId="10538" xr:uid="{4D052598-933B-4C1A-BB08-C0474E3DC62E}"/>
    <cellStyle name="Currency 5 5 6 5" xfId="18976" xr:uid="{5EF20579-A8E0-414C-8D50-E39DB9543B2F}"/>
    <cellStyle name="Currency 5 5 7" xfId="2442" xr:uid="{00000000-0005-0000-0000-0000640D0000}"/>
    <cellStyle name="Currency 5 5 7 2" xfId="6727" xr:uid="{00000000-0005-0000-0000-0000650D0000}"/>
    <cellStyle name="Currency 5 5 7 2 2" xfId="15169" xr:uid="{FC56DC2F-95C8-45FB-A05A-047CDED3B8E8}"/>
    <cellStyle name="Currency 5 5 7 2 3" xfId="23606" xr:uid="{12F51309-97EE-471F-9AD2-096456203528}"/>
    <cellStyle name="Currency 5 5 7 3" xfId="10951" xr:uid="{DA2A1C0B-79B8-459E-988E-394B3EC73326}"/>
    <cellStyle name="Currency 5 5 7 4" xfId="19389" xr:uid="{B06BAB95-5A4A-493B-9D83-4F68E2FBF721}"/>
    <cellStyle name="Currency 5 5 8" xfId="2739" xr:uid="{00000000-0005-0000-0000-0000660D0000}"/>
    <cellStyle name="Currency 5 5 9" xfId="2820" xr:uid="{00000000-0005-0000-0000-0000670D0000}"/>
    <cellStyle name="Currency 5 5 9 2" xfId="7044" xr:uid="{00000000-0005-0000-0000-0000680D0000}"/>
    <cellStyle name="Currency 5 5 9 2 2" xfId="15486" xr:uid="{374C9266-6EEE-4CAE-A6B4-2D40F4DB344B}"/>
    <cellStyle name="Currency 5 5 9 2 3" xfId="23923" xr:uid="{FC0E04C0-8C16-4198-A9FF-12D8A0820EFC}"/>
    <cellStyle name="Currency 5 5 9 3" xfId="11268" xr:uid="{C9336F22-8ECA-4844-9149-EC9DAFA327A5}"/>
    <cellStyle name="Currency 5 5 9 4" xfId="19706" xr:uid="{72BE65BE-9893-4DCB-876B-608994F6D720}"/>
    <cellStyle name="Currency 5 6" xfId="221" xr:uid="{00000000-0005-0000-0000-0000690D0000}"/>
    <cellStyle name="Currency 5 6 10" xfId="8887" xr:uid="{77BC85D5-05F1-4F83-859F-C8CA3503B690}"/>
    <cellStyle name="Currency 5 6 11" xfId="17325" xr:uid="{B96E8E74-D1D6-4C9E-8B48-2AA1414752EE}"/>
    <cellStyle name="Currency 5 6 2" xfId="747" xr:uid="{00000000-0005-0000-0000-00006A0D0000}"/>
    <cellStyle name="Currency 5 6 2 2" xfId="2999" xr:uid="{00000000-0005-0000-0000-00006B0D0000}"/>
    <cellStyle name="Currency 5 6 2 2 2" xfId="7222" xr:uid="{00000000-0005-0000-0000-00006C0D0000}"/>
    <cellStyle name="Currency 5 6 2 2 2 2" xfId="15664" xr:uid="{DC75BDBC-53D4-499F-AA9A-E6D065709015}"/>
    <cellStyle name="Currency 5 6 2 2 2 3" xfId="24101" xr:uid="{CD3F1288-09ED-4A7C-9847-BAB0F3A0DD41}"/>
    <cellStyle name="Currency 5 6 2 2 3" xfId="11446" xr:uid="{308233B7-9AA1-49DA-8A90-D7EC5BD4A222}"/>
    <cellStyle name="Currency 5 6 2 2 4" xfId="19884" xr:uid="{BDA366FA-013C-493E-A8D9-1D745DE56F07}"/>
    <cellStyle name="Currency 5 6 2 3" xfId="5077" xr:uid="{00000000-0005-0000-0000-00006D0D0000}"/>
    <cellStyle name="Currency 5 6 2 3 2" xfId="13519" xr:uid="{51839F4A-1B99-4D98-8C46-3FD8B53BB6CE}"/>
    <cellStyle name="Currency 5 6 2 3 3" xfId="21956" xr:uid="{81C2E6CB-6E8A-40B6-9495-64590E6D2FA6}"/>
    <cellStyle name="Currency 5 6 2 4" xfId="9301" xr:uid="{4D0D382C-6D70-4E1D-884B-D0E427EF8B98}"/>
    <cellStyle name="Currency 5 6 2 5" xfId="17739" xr:uid="{F887BFFF-327A-47E3-91F8-68B2D954BA62}"/>
    <cellStyle name="Currency 5 6 3" xfId="1181" xr:uid="{00000000-0005-0000-0000-00006E0D0000}"/>
    <cellStyle name="Currency 5 6 3 2" xfId="3412" xr:uid="{00000000-0005-0000-0000-00006F0D0000}"/>
    <cellStyle name="Currency 5 6 3 2 2" xfId="7635" xr:uid="{00000000-0005-0000-0000-0000700D0000}"/>
    <cellStyle name="Currency 5 6 3 2 2 2" xfId="16077" xr:uid="{0C2B4B03-9539-430B-B9E5-698B676D2E51}"/>
    <cellStyle name="Currency 5 6 3 2 2 3" xfId="24514" xr:uid="{4EE3BCFE-4102-4BDE-8706-8FDEC93876B3}"/>
    <cellStyle name="Currency 5 6 3 2 3" xfId="11859" xr:uid="{4289256E-DC97-443B-A939-794897CB79ED}"/>
    <cellStyle name="Currency 5 6 3 2 4" xfId="20297" xr:uid="{5667EE4D-5637-459A-8A0A-B3D3155011E5}"/>
    <cellStyle name="Currency 5 6 3 3" xfId="5490" xr:uid="{00000000-0005-0000-0000-0000710D0000}"/>
    <cellStyle name="Currency 5 6 3 3 2" xfId="13932" xr:uid="{32FFEC96-B85B-4648-8A78-50EEB913FB16}"/>
    <cellStyle name="Currency 5 6 3 3 3" xfId="22369" xr:uid="{9A1F41C7-4357-4331-A230-A0FE81B77C73}"/>
    <cellStyle name="Currency 5 6 3 4" xfId="9714" xr:uid="{D236371B-831B-40D4-9A0E-E397E8A7ED37}"/>
    <cellStyle name="Currency 5 6 3 5" xfId="18152" xr:uid="{24BD56BA-36A0-4AFF-990B-3B392630E33B}"/>
    <cellStyle name="Currency 5 6 4" xfId="1595" xr:uid="{00000000-0005-0000-0000-0000720D0000}"/>
    <cellStyle name="Currency 5 6 4 2" xfId="3825" xr:uid="{00000000-0005-0000-0000-0000730D0000}"/>
    <cellStyle name="Currency 5 6 4 2 2" xfId="8048" xr:uid="{00000000-0005-0000-0000-0000740D0000}"/>
    <cellStyle name="Currency 5 6 4 2 2 2" xfId="16490" xr:uid="{15A7514C-BAD3-409B-BB3B-CFC073B8C7D6}"/>
    <cellStyle name="Currency 5 6 4 2 2 3" xfId="24927" xr:uid="{482E33E6-C002-4FA4-9824-5CBC42A8A4E1}"/>
    <cellStyle name="Currency 5 6 4 2 3" xfId="12272" xr:uid="{CA74D34D-2452-412E-9333-D7F583AACE76}"/>
    <cellStyle name="Currency 5 6 4 2 4" xfId="20710" xr:uid="{7215BDD9-27CB-40B8-B119-28D92D868C6B}"/>
    <cellStyle name="Currency 5 6 4 3" xfId="5903" xr:uid="{00000000-0005-0000-0000-0000750D0000}"/>
    <cellStyle name="Currency 5 6 4 3 2" xfId="14345" xr:uid="{76DB7805-5C99-482F-840D-2B8566AF78CC}"/>
    <cellStyle name="Currency 5 6 4 3 3" xfId="22782" xr:uid="{7AB49C4E-133A-4AD5-83B2-0CF95A803671}"/>
    <cellStyle name="Currency 5 6 4 4" xfId="10127" xr:uid="{4262C248-C531-4B35-8687-1B3981F0E597}"/>
    <cellStyle name="Currency 5 6 4 5" xfId="18565" xr:uid="{4CC05A10-CC2A-4EBB-ACF7-0E2A4311A10F}"/>
    <cellStyle name="Currency 5 6 5" xfId="2009" xr:uid="{00000000-0005-0000-0000-0000760D0000}"/>
    <cellStyle name="Currency 5 6 5 2" xfId="4238" xr:uid="{00000000-0005-0000-0000-0000770D0000}"/>
    <cellStyle name="Currency 5 6 5 2 2" xfId="8461" xr:uid="{00000000-0005-0000-0000-0000780D0000}"/>
    <cellStyle name="Currency 5 6 5 2 2 2" xfId="16903" xr:uid="{4D1E1105-1C73-4781-B1AB-5C3CDEBF1DC2}"/>
    <cellStyle name="Currency 5 6 5 2 2 3" xfId="25340" xr:uid="{9C08D911-8FB0-4DF4-9EED-153E8D5BD24D}"/>
    <cellStyle name="Currency 5 6 5 2 3" xfId="12685" xr:uid="{0F5C6332-5358-48EF-9BE1-23887A4B6F1D}"/>
    <cellStyle name="Currency 5 6 5 2 4" xfId="21123" xr:uid="{782805E0-A980-442F-BC42-686C592DA5A1}"/>
    <cellStyle name="Currency 5 6 5 3" xfId="6316" xr:uid="{00000000-0005-0000-0000-0000790D0000}"/>
    <cellStyle name="Currency 5 6 5 3 2" xfId="14758" xr:uid="{6C6DBC01-1545-47D5-A436-C303EC3E4186}"/>
    <cellStyle name="Currency 5 6 5 3 3" xfId="23195" xr:uid="{DA0E8261-177E-4ED0-91DD-AD73C1EFC73F}"/>
    <cellStyle name="Currency 5 6 5 4" xfId="10540" xr:uid="{8089452C-ED0D-4EA2-B1A9-11BCA55D4734}"/>
    <cellStyle name="Currency 5 6 5 5" xfId="18978" xr:uid="{55499D5B-5EA7-4DAB-881E-33DF72B11EE9}"/>
    <cellStyle name="Currency 5 6 6" xfId="2444" xr:uid="{00000000-0005-0000-0000-00007A0D0000}"/>
    <cellStyle name="Currency 5 6 6 2" xfId="6729" xr:uid="{00000000-0005-0000-0000-00007B0D0000}"/>
    <cellStyle name="Currency 5 6 6 2 2" xfId="15171" xr:uid="{52049AFC-00A7-4476-AB43-E397FF4E7B36}"/>
    <cellStyle name="Currency 5 6 6 2 3" xfId="23608" xr:uid="{75AEE236-E2DC-4A41-A7BF-8988F01295CE}"/>
    <cellStyle name="Currency 5 6 6 3" xfId="10953" xr:uid="{EF99D8B4-C6F7-46DC-A750-B66893B9AF6C}"/>
    <cellStyle name="Currency 5 6 6 4" xfId="19391" xr:uid="{E3491AE0-98C7-4CBB-AABF-5FB2A2BDA20D}"/>
    <cellStyle name="Currency 5 6 7" xfId="2741" xr:uid="{00000000-0005-0000-0000-00007C0D0000}"/>
    <cellStyle name="Currency 5 6 8" xfId="2822" xr:uid="{00000000-0005-0000-0000-00007D0D0000}"/>
    <cellStyle name="Currency 5 6 8 2" xfId="7046" xr:uid="{00000000-0005-0000-0000-00007E0D0000}"/>
    <cellStyle name="Currency 5 6 8 2 2" xfId="15488" xr:uid="{603A6788-03F5-4F56-820C-C39661E6DA6C}"/>
    <cellStyle name="Currency 5 6 8 2 3" xfId="23925" xr:uid="{A74FD42D-A17C-433B-8DB8-905168E707D3}"/>
    <cellStyle name="Currency 5 6 8 3" xfId="11270" xr:uid="{5C570F2D-B222-406D-9533-910DEEB9E0C3}"/>
    <cellStyle name="Currency 5 6 8 4" xfId="19708" xr:uid="{F7CCF438-030E-48D9-8BD1-C079F18F038F}"/>
    <cellStyle name="Currency 5 6 9" xfId="4663" xr:uid="{00000000-0005-0000-0000-00007F0D0000}"/>
    <cellStyle name="Currency 5 6 9 2" xfId="13105" xr:uid="{17B6C4C8-1C95-4464-AB13-EB99E04C3F45}"/>
    <cellStyle name="Currency 5 6 9 3" xfId="21542" xr:uid="{DE87C539-E1E5-4EE5-8008-4D907690908C}"/>
    <cellStyle name="Currency 5 7" xfId="222" xr:uid="{00000000-0005-0000-0000-0000800D0000}"/>
    <cellStyle name="Currency 5 7 10" xfId="8888" xr:uid="{6A7FB907-39E8-4D45-8BCE-B5C357EDA006}"/>
    <cellStyle name="Currency 5 7 11" xfId="17326" xr:uid="{69BBD7D7-5304-46B4-8747-D9BA88AB700F}"/>
    <cellStyle name="Currency 5 7 2" xfId="748" xr:uid="{00000000-0005-0000-0000-0000810D0000}"/>
    <cellStyle name="Currency 5 7 2 2" xfId="3000" xr:uid="{00000000-0005-0000-0000-0000820D0000}"/>
    <cellStyle name="Currency 5 7 2 2 2" xfId="7223" xr:uid="{00000000-0005-0000-0000-0000830D0000}"/>
    <cellStyle name="Currency 5 7 2 2 2 2" xfId="15665" xr:uid="{DB0923AE-4A66-47AB-91ED-BF8507FCBB8D}"/>
    <cellStyle name="Currency 5 7 2 2 2 3" xfId="24102" xr:uid="{4A7EDEC9-C28E-4518-80D8-E6BACB1E4370}"/>
    <cellStyle name="Currency 5 7 2 2 3" xfId="11447" xr:uid="{C151EB2F-552E-4409-8111-388CE2E511AA}"/>
    <cellStyle name="Currency 5 7 2 2 4" xfId="19885" xr:uid="{65A05B19-BAA9-4FF6-BE93-5026C268C28B}"/>
    <cellStyle name="Currency 5 7 2 3" xfId="5078" xr:uid="{00000000-0005-0000-0000-0000840D0000}"/>
    <cellStyle name="Currency 5 7 2 3 2" xfId="13520" xr:uid="{5C0EDAC2-AA0B-4040-88DE-6FE4C62AB2C8}"/>
    <cellStyle name="Currency 5 7 2 3 3" xfId="21957" xr:uid="{1785CC87-FDD7-4A99-9C61-D5822EA735B9}"/>
    <cellStyle name="Currency 5 7 2 4" xfId="9302" xr:uid="{AB613567-E539-4B65-962E-5856134797CC}"/>
    <cellStyle name="Currency 5 7 2 5" xfId="17740" xr:uid="{3F8D4B7D-363B-46BF-8538-63FD267A09C0}"/>
    <cellStyle name="Currency 5 7 3" xfId="1182" xr:uid="{00000000-0005-0000-0000-0000850D0000}"/>
    <cellStyle name="Currency 5 7 3 2" xfId="3413" xr:uid="{00000000-0005-0000-0000-0000860D0000}"/>
    <cellStyle name="Currency 5 7 3 2 2" xfId="7636" xr:uid="{00000000-0005-0000-0000-0000870D0000}"/>
    <cellStyle name="Currency 5 7 3 2 2 2" xfId="16078" xr:uid="{7F70ABE1-3669-4BF7-9D10-832A3F51A8D5}"/>
    <cellStyle name="Currency 5 7 3 2 2 3" xfId="24515" xr:uid="{A3067D52-2280-42EE-8257-9FCB562DBBD6}"/>
    <cellStyle name="Currency 5 7 3 2 3" xfId="11860" xr:uid="{7D1656F9-6D5B-472C-BABF-783A082112CD}"/>
    <cellStyle name="Currency 5 7 3 2 4" xfId="20298" xr:uid="{047641FB-D763-4E81-ACC3-0C91C7FB6E8C}"/>
    <cellStyle name="Currency 5 7 3 3" xfId="5491" xr:uid="{00000000-0005-0000-0000-0000880D0000}"/>
    <cellStyle name="Currency 5 7 3 3 2" xfId="13933" xr:uid="{75B501A4-418F-4B52-B011-BB667FF1E899}"/>
    <cellStyle name="Currency 5 7 3 3 3" xfId="22370" xr:uid="{DFE93DF2-AF45-48A7-8D47-B690846EF1EA}"/>
    <cellStyle name="Currency 5 7 3 4" xfId="9715" xr:uid="{16CF454A-484D-42F6-8C56-3AB69FE699A2}"/>
    <cellStyle name="Currency 5 7 3 5" xfId="18153" xr:uid="{D2E8EEE6-D28B-43B9-8EB1-E7037FF7555B}"/>
    <cellStyle name="Currency 5 7 4" xfId="1596" xr:uid="{00000000-0005-0000-0000-0000890D0000}"/>
    <cellStyle name="Currency 5 7 4 2" xfId="3826" xr:uid="{00000000-0005-0000-0000-00008A0D0000}"/>
    <cellStyle name="Currency 5 7 4 2 2" xfId="8049" xr:uid="{00000000-0005-0000-0000-00008B0D0000}"/>
    <cellStyle name="Currency 5 7 4 2 2 2" xfId="16491" xr:uid="{1AAADFFA-6D17-4159-9346-EA31F7E6A760}"/>
    <cellStyle name="Currency 5 7 4 2 2 3" xfId="24928" xr:uid="{BE15ACA6-4B41-41F7-AB66-813DF9AD7B87}"/>
    <cellStyle name="Currency 5 7 4 2 3" xfId="12273" xr:uid="{A3952E47-9FC8-44B2-BAEC-CC1948ECBC18}"/>
    <cellStyle name="Currency 5 7 4 2 4" xfId="20711" xr:uid="{741FCAFD-181C-4E9D-A5C6-0F91F4C23F6A}"/>
    <cellStyle name="Currency 5 7 4 3" xfId="5904" xr:uid="{00000000-0005-0000-0000-00008C0D0000}"/>
    <cellStyle name="Currency 5 7 4 3 2" xfId="14346" xr:uid="{D65C2F28-229E-4FD5-AD8D-11EFB5AD398D}"/>
    <cellStyle name="Currency 5 7 4 3 3" xfId="22783" xr:uid="{F2838FA1-1CE4-41BB-8AF5-D3A8A4B39821}"/>
    <cellStyle name="Currency 5 7 4 4" xfId="10128" xr:uid="{849F6324-4F6F-4153-B626-6D0E3AA976B3}"/>
    <cellStyle name="Currency 5 7 4 5" xfId="18566" xr:uid="{8F5C8CBE-5E6D-4D39-942F-210195FD4AA6}"/>
    <cellStyle name="Currency 5 7 5" xfId="2010" xr:uid="{00000000-0005-0000-0000-00008D0D0000}"/>
    <cellStyle name="Currency 5 7 5 2" xfId="4239" xr:uid="{00000000-0005-0000-0000-00008E0D0000}"/>
    <cellStyle name="Currency 5 7 5 2 2" xfId="8462" xr:uid="{00000000-0005-0000-0000-00008F0D0000}"/>
    <cellStyle name="Currency 5 7 5 2 2 2" xfId="16904" xr:uid="{F54F165A-46BC-42BE-BBE7-1BEA01F9A70A}"/>
    <cellStyle name="Currency 5 7 5 2 2 3" xfId="25341" xr:uid="{DA429BE2-0EE3-469F-8924-A96F74BCA025}"/>
    <cellStyle name="Currency 5 7 5 2 3" xfId="12686" xr:uid="{A650BB6B-8432-4BBA-A33B-26A7D40963F4}"/>
    <cellStyle name="Currency 5 7 5 2 4" xfId="21124" xr:uid="{CC398452-3B6A-43F6-9C40-61A763317A70}"/>
    <cellStyle name="Currency 5 7 5 3" xfId="6317" xr:uid="{00000000-0005-0000-0000-0000900D0000}"/>
    <cellStyle name="Currency 5 7 5 3 2" xfId="14759" xr:uid="{A38C3DDF-BED3-4F59-832D-C49788295793}"/>
    <cellStyle name="Currency 5 7 5 3 3" xfId="23196" xr:uid="{57346EC2-6615-44D7-A08E-E22307369B4D}"/>
    <cellStyle name="Currency 5 7 5 4" xfId="10541" xr:uid="{33DFC79F-B3E6-4E99-88DC-18F07C35EEBD}"/>
    <cellStyle name="Currency 5 7 5 5" xfId="18979" xr:uid="{DAC987A1-DA7E-4CE5-8174-8B3011B184C6}"/>
    <cellStyle name="Currency 5 7 6" xfId="2445" xr:uid="{00000000-0005-0000-0000-0000910D0000}"/>
    <cellStyle name="Currency 5 7 6 2" xfId="6730" xr:uid="{00000000-0005-0000-0000-0000920D0000}"/>
    <cellStyle name="Currency 5 7 6 2 2" xfId="15172" xr:uid="{DC4201DD-F1FE-4C0A-8F74-A5A5CA98E0DA}"/>
    <cellStyle name="Currency 5 7 6 2 3" xfId="23609" xr:uid="{FB4D5E60-CF91-431E-8E1E-A7A30CCE4685}"/>
    <cellStyle name="Currency 5 7 6 3" xfId="10954" xr:uid="{0E188036-31DE-429E-9911-3F376FDD1846}"/>
    <cellStyle name="Currency 5 7 6 4" xfId="19392" xr:uid="{B83B1F7B-A170-4C55-A5CC-1E22C205EE93}"/>
    <cellStyle name="Currency 5 7 7" xfId="2742" xr:uid="{00000000-0005-0000-0000-0000930D0000}"/>
    <cellStyle name="Currency 5 7 8" xfId="2823" xr:uid="{00000000-0005-0000-0000-0000940D0000}"/>
    <cellStyle name="Currency 5 7 8 2" xfId="7047" xr:uid="{00000000-0005-0000-0000-0000950D0000}"/>
    <cellStyle name="Currency 5 7 8 2 2" xfId="15489" xr:uid="{99E0353E-0FB4-4A33-85B9-569961BE2397}"/>
    <cellStyle name="Currency 5 7 8 2 3" xfId="23926" xr:uid="{F21F9E2C-E115-489D-A026-51668237D75C}"/>
    <cellStyle name="Currency 5 7 8 3" xfId="11271" xr:uid="{AE505586-8124-4B29-8654-DFF3101DEACD}"/>
    <cellStyle name="Currency 5 7 8 4" xfId="19709" xr:uid="{DB6275D2-BAF7-4F03-ADC0-FE701018884B}"/>
    <cellStyle name="Currency 5 7 9" xfId="4664" xr:uid="{00000000-0005-0000-0000-0000960D0000}"/>
    <cellStyle name="Currency 5 7 9 2" xfId="13106" xr:uid="{33CCDA5F-8307-42A5-8871-1E89D011337B}"/>
    <cellStyle name="Currency 5 7 9 3" xfId="21543" xr:uid="{2A2B9994-8848-43E0-A0E7-BFE1E5F38F5B}"/>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0 2 2" xfId="15173" xr:uid="{D2059D27-5711-4C96-9F31-5CABC68E998E}"/>
    <cellStyle name="Normal 12 10 2 3" xfId="23610" xr:uid="{EAF9EF5E-73FC-462A-9518-9D22921F844A}"/>
    <cellStyle name="Normal 12 10 3" xfId="10955" xr:uid="{3723EA96-E918-42A1-8E20-2E09079DA871}"/>
    <cellStyle name="Normal 12 10 4" xfId="19393" xr:uid="{81E92F12-3187-4427-8D1E-D9276C276576}"/>
    <cellStyle name="Normal 12 11" xfId="4665" xr:uid="{00000000-0005-0000-0000-0000CC0D0000}"/>
    <cellStyle name="Normal 12 11 2" xfId="13107" xr:uid="{C6411367-B865-4A07-8330-B139CE2BB4D0}"/>
    <cellStyle name="Normal 12 11 3" xfId="21544" xr:uid="{B27C17BE-EDD0-4083-BBB3-EA682F84A544}"/>
    <cellStyle name="Normal 12 12" xfId="8889" xr:uid="{B682A602-970E-461D-A35A-5939D7C95330}"/>
    <cellStyle name="Normal 12 13" xfId="17327" xr:uid="{F3DABB14-FFC1-4DAB-A801-4241A3C7CF6D}"/>
    <cellStyle name="Normal 12 2" xfId="260" xr:uid="{00000000-0005-0000-0000-0000CD0D0000}"/>
    <cellStyle name="Normal 12 2 10" xfId="8890" xr:uid="{D7897528-1DD1-4BB3-A417-2A6002B88DEE}"/>
    <cellStyle name="Normal 12 2 11" xfId="17328" xr:uid="{C99D803E-A103-4FA1-AE02-81F6FF2F3CCE}"/>
    <cellStyle name="Normal 12 2 2" xfId="261" xr:uid="{00000000-0005-0000-0000-0000CE0D0000}"/>
    <cellStyle name="Normal 12 2 2 10" xfId="17329" xr:uid="{60CCA0F7-51F9-4EC3-84B5-FF283BCC5779}"/>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2 2 2" xfId="15669" xr:uid="{5C448497-0405-400B-A9AB-C191718E3438}"/>
    <cellStyle name="Normal 12 2 2 2 2 2 2 3" xfId="24106" xr:uid="{3E1898E2-E6F4-4F26-88C0-88CE22A402CC}"/>
    <cellStyle name="Normal 12 2 2 2 2 2 3" xfId="11451" xr:uid="{2BA47FCE-0429-4682-B7C2-7D4D80F10AED}"/>
    <cellStyle name="Normal 12 2 2 2 2 2 4" xfId="19889" xr:uid="{B884D689-DD37-4B44-8B06-07CC2521BB17}"/>
    <cellStyle name="Normal 12 2 2 2 2 3" xfId="5082" xr:uid="{00000000-0005-0000-0000-0000D30D0000}"/>
    <cellStyle name="Normal 12 2 2 2 2 3 2" xfId="13524" xr:uid="{291C8AFD-AC14-4F72-B199-A6A781291FE0}"/>
    <cellStyle name="Normal 12 2 2 2 2 3 3" xfId="21961" xr:uid="{50BA0F8C-17C1-4EC4-8444-E722D36827CE}"/>
    <cellStyle name="Normal 12 2 2 2 2 4" xfId="9306" xr:uid="{9B889BD8-4B91-45F6-8DD8-0B2AE5694531}"/>
    <cellStyle name="Normal 12 2 2 2 2 5" xfId="17744" xr:uid="{620756B7-12F2-460C-98E6-860FBB23CF4E}"/>
    <cellStyle name="Normal 12 2 2 2 3" xfId="1186" xr:uid="{00000000-0005-0000-0000-0000D40D0000}"/>
    <cellStyle name="Normal 12 2 2 2 3 2" xfId="3417" xr:uid="{00000000-0005-0000-0000-0000D50D0000}"/>
    <cellStyle name="Normal 12 2 2 2 3 2 2" xfId="7640" xr:uid="{00000000-0005-0000-0000-0000D60D0000}"/>
    <cellStyle name="Normal 12 2 2 2 3 2 2 2" xfId="16082" xr:uid="{446E5946-3257-4377-A144-9641FE001F83}"/>
    <cellStyle name="Normal 12 2 2 2 3 2 2 3" xfId="24519" xr:uid="{9FFB495C-F931-46F9-9A1E-13F094C3DD75}"/>
    <cellStyle name="Normal 12 2 2 2 3 2 3" xfId="11864" xr:uid="{61F28BD0-C670-4EBE-90FC-95C6022632F1}"/>
    <cellStyle name="Normal 12 2 2 2 3 2 4" xfId="20302" xr:uid="{CC315BDE-A419-4EF3-ACC5-AA26A118E56D}"/>
    <cellStyle name="Normal 12 2 2 2 3 3" xfId="5495" xr:uid="{00000000-0005-0000-0000-0000D70D0000}"/>
    <cellStyle name="Normal 12 2 2 2 3 3 2" xfId="13937" xr:uid="{1F39E9E9-8FF2-4007-9238-0AF339CFE5CB}"/>
    <cellStyle name="Normal 12 2 2 2 3 3 3" xfId="22374" xr:uid="{EB3B0F40-FE23-43D0-85BE-F9601EA5F06E}"/>
    <cellStyle name="Normal 12 2 2 2 3 4" xfId="9719" xr:uid="{978C6F4F-AE7B-49DA-903D-1AFDFF81F7AF}"/>
    <cellStyle name="Normal 12 2 2 2 3 5" xfId="18157" xr:uid="{AF14FCA6-5AB1-426F-9D75-CCC2D4D1CA4E}"/>
    <cellStyle name="Normal 12 2 2 2 4" xfId="1600" xr:uid="{00000000-0005-0000-0000-0000D80D0000}"/>
    <cellStyle name="Normal 12 2 2 2 4 2" xfId="3830" xr:uid="{00000000-0005-0000-0000-0000D90D0000}"/>
    <cellStyle name="Normal 12 2 2 2 4 2 2" xfId="8053" xr:uid="{00000000-0005-0000-0000-0000DA0D0000}"/>
    <cellStyle name="Normal 12 2 2 2 4 2 2 2" xfId="16495" xr:uid="{D093377D-150C-4B60-AD53-E6E5B9550A26}"/>
    <cellStyle name="Normal 12 2 2 2 4 2 2 3" xfId="24932" xr:uid="{199EA3C2-C860-4FCE-8FD7-DD3B1AF02072}"/>
    <cellStyle name="Normal 12 2 2 2 4 2 3" xfId="12277" xr:uid="{A320A4E5-9388-49E7-9061-3B0B3A25AA81}"/>
    <cellStyle name="Normal 12 2 2 2 4 2 4" xfId="20715" xr:uid="{7A7AE6A9-3870-4BC6-B953-F23A95F66F0C}"/>
    <cellStyle name="Normal 12 2 2 2 4 3" xfId="5908" xr:uid="{00000000-0005-0000-0000-0000DB0D0000}"/>
    <cellStyle name="Normal 12 2 2 2 4 3 2" xfId="14350" xr:uid="{85ADECC2-9D6B-45DB-9B68-54A26F15C505}"/>
    <cellStyle name="Normal 12 2 2 2 4 3 3" xfId="22787" xr:uid="{EFE3D1EC-8263-4A54-9AC4-2715C050C571}"/>
    <cellStyle name="Normal 12 2 2 2 4 4" xfId="10132" xr:uid="{13F7A536-EBCE-46CF-BD14-5C4A0F834415}"/>
    <cellStyle name="Normal 12 2 2 2 4 5" xfId="18570" xr:uid="{98D6A74C-C3E7-4FEC-B13F-DC6282474895}"/>
    <cellStyle name="Normal 12 2 2 2 5" xfId="2014" xr:uid="{00000000-0005-0000-0000-0000DC0D0000}"/>
    <cellStyle name="Normal 12 2 2 2 5 2" xfId="4243" xr:uid="{00000000-0005-0000-0000-0000DD0D0000}"/>
    <cellStyle name="Normal 12 2 2 2 5 2 2" xfId="8466" xr:uid="{00000000-0005-0000-0000-0000DE0D0000}"/>
    <cellStyle name="Normal 12 2 2 2 5 2 2 2" xfId="16908" xr:uid="{F732EF0F-2057-40A0-95EC-AFDBF2B9EA4D}"/>
    <cellStyle name="Normal 12 2 2 2 5 2 2 3" xfId="25345" xr:uid="{95574B8A-53C6-41AC-8C05-CF3935AC73E0}"/>
    <cellStyle name="Normal 12 2 2 2 5 2 3" xfId="12690" xr:uid="{A4C06169-09E5-4C99-A3F6-4B1EC29966FD}"/>
    <cellStyle name="Normal 12 2 2 2 5 2 4" xfId="21128" xr:uid="{7B3DB987-AF5D-4B73-9E6C-776D509E419F}"/>
    <cellStyle name="Normal 12 2 2 2 5 3" xfId="6321" xr:uid="{00000000-0005-0000-0000-0000DF0D0000}"/>
    <cellStyle name="Normal 12 2 2 2 5 3 2" xfId="14763" xr:uid="{AFDA55ED-E274-450B-86FB-8C98F9308E21}"/>
    <cellStyle name="Normal 12 2 2 2 5 3 3" xfId="23200" xr:uid="{94DBBB95-8489-4341-BFF6-30004DEAC255}"/>
    <cellStyle name="Normal 12 2 2 2 5 4" xfId="10545" xr:uid="{E10202BB-6D0F-4E41-B4B1-BA2DAE0A3998}"/>
    <cellStyle name="Normal 12 2 2 2 5 5" xfId="18983" xr:uid="{E2299B00-84F8-4488-89CD-B2B208B488B5}"/>
    <cellStyle name="Normal 12 2 2 2 6" xfId="2450" xr:uid="{00000000-0005-0000-0000-0000E00D0000}"/>
    <cellStyle name="Normal 12 2 2 2 6 2" xfId="6734" xr:uid="{00000000-0005-0000-0000-0000E10D0000}"/>
    <cellStyle name="Normal 12 2 2 2 6 2 2" xfId="15176" xr:uid="{73FF1046-5BB0-41D9-B815-F1A7F9BA9491}"/>
    <cellStyle name="Normal 12 2 2 2 6 2 3" xfId="23613" xr:uid="{DFD2592B-9508-4C2E-A84A-18C5B67A3545}"/>
    <cellStyle name="Normal 12 2 2 2 6 3" xfId="10958" xr:uid="{2C5DA8D2-CFDF-43B5-9F1F-B98D74EE836E}"/>
    <cellStyle name="Normal 12 2 2 2 6 4" xfId="19396" xr:uid="{72DC88AA-69D2-4809-91A5-E2D891DDB892}"/>
    <cellStyle name="Normal 12 2 2 2 7" xfId="4668" xr:uid="{00000000-0005-0000-0000-0000E20D0000}"/>
    <cellStyle name="Normal 12 2 2 2 7 2" xfId="13110" xr:uid="{4C75B925-428B-4973-A697-BCDB5BD328D1}"/>
    <cellStyle name="Normal 12 2 2 2 7 3" xfId="21547" xr:uid="{0C67BB0F-D051-4DFB-BFDE-013C9DB69919}"/>
    <cellStyle name="Normal 12 2 2 2 8" xfId="8892" xr:uid="{F2C85F5B-3F63-4FB8-AD4A-7DAADE5B65A8}"/>
    <cellStyle name="Normal 12 2 2 2 9" xfId="17330" xr:uid="{9200AA73-8B90-4275-9B36-7F7B3ABACB24}"/>
    <cellStyle name="Normal 12 2 2 3" xfId="762" xr:uid="{00000000-0005-0000-0000-0000E30D0000}"/>
    <cellStyle name="Normal 12 2 2 3 2" xfId="3003" xr:uid="{00000000-0005-0000-0000-0000E40D0000}"/>
    <cellStyle name="Normal 12 2 2 3 2 2" xfId="7226" xr:uid="{00000000-0005-0000-0000-0000E50D0000}"/>
    <cellStyle name="Normal 12 2 2 3 2 2 2" xfId="15668" xr:uid="{F91E4DC4-BB83-43B4-807D-9515D6633043}"/>
    <cellStyle name="Normal 12 2 2 3 2 2 3" xfId="24105" xr:uid="{525DFD80-1EDC-4B2E-B0AC-30008512688D}"/>
    <cellStyle name="Normal 12 2 2 3 2 3" xfId="11450" xr:uid="{9E94B702-2357-4083-9548-E5DDCA2F4326}"/>
    <cellStyle name="Normal 12 2 2 3 2 4" xfId="19888" xr:uid="{209AFCEC-ADC9-4B2A-933F-3F02AC8E75CC}"/>
    <cellStyle name="Normal 12 2 2 3 3" xfId="5081" xr:uid="{00000000-0005-0000-0000-0000E60D0000}"/>
    <cellStyle name="Normal 12 2 2 3 3 2" xfId="13523" xr:uid="{67E0BDA4-10CE-479C-B26D-4E4072E11927}"/>
    <cellStyle name="Normal 12 2 2 3 3 3" xfId="21960" xr:uid="{1EB0407B-7E09-430D-A96D-2C1CD9717657}"/>
    <cellStyle name="Normal 12 2 2 3 4" xfId="9305" xr:uid="{BA430316-86DC-46E2-9963-C0741F65F22E}"/>
    <cellStyle name="Normal 12 2 2 3 5" xfId="17743" xr:uid="{D5803FC6-1807-47BE-A4B2-F491F9550408}"/>
    <cellStyle name="Normal 12 2 2 4" xfId="1185" xr:uid="{00000000-0005-0000-0000-0000E70D0000}"/>
    <cellStyle name="Normal 12 2 2 4 2" xfId="3416" xr:uid="{00000000-0005-0000-0000-0000E80D0000}"/>
    <cellStyle name="Normal 12 2 2 4 2 2" xfId="7639" xr:uid="{00000000-0005-0000-0000-0000E90D0000}"/>
    <cellStyle name="Normal 12 2 2 4 2 2 2" xfId="16081" xr:uid="{186A22BA-A274-4D44-8346-AB747BB3154C}"/>
    <cellStyle name="Normal 12 2 2 4 2 2 3" xfId="24518" xr:uid="{BF8C13F7-4EF8-43C7-9772-973C8779026D}"/>
    <cellStyle name="Normal 12 2 2 4 2 3" xfId="11863" xr:uid="{749A241D-CF5D-4B50-927E-8EAF5F901618}"/>
    <cellStyle name="Normal 12 2 2 4 2 4" xfId="20301" xr:uid="{721CB794-05F8-4FA2-B9BE-463C6694F3AD}"/>
    <cellStyle name="Normal 12 2 2 4 3" xfId="5494" xr:uid="{00000000-0005-0000-0000-0000EA0D0000}"/>
    <cellStyle name="Normal 12 2 2 4 3 2" xfId="13936" xr:uid="{72FFCE27-3610-4D92-9585-9006F3B80495}"/>
    <cellStyle name="Normal 12 2 2 4 3 3" xfId="22373" xr:uid="{45692F7C-9CC5-4173-903B-C81BF47CC5B6}"/>
    <cellStyle name="Normal 12 2 2 4 4" xfId="9718" xr:uid="{1141DE2F-13FF-49CA-99C3-44373730E93D}"/>
    <cellStyle name="Normal 12 2 2 4 5" xfId="18156" xr:uid="{A6EA69D1-9E8D-4BF8-AD32-5DC6B93F09BF}"/>
    <cellStyle name="Normal 12 2 2 5" xfId="1599" xr:uid="{00000000-0005-0000-0000-0000EB0D0000}"/>
    <cellStyle name="Normal 12 2 2 5 2" xfId="3829" xr:uid="{00000000-0005-0000-0000-0000EC0D0000}"/>
    <cellStyle name="Normal 12 2 2 5 2 2" xfId="8052" xr:uid="{00000000-0005-0000-0000-0000ED0D0000}"/>
    <cellStyle name="Normal 12 2 2 5 2 2 2" xfId="16494" xr:uid="{735B8E88-FAD2-4443-A903-200182755128}"/>
    <cellStyle name="Normal 12 2 2 5 2 2 3" xfId="24931" xr:uid="{87051350-2001-4AA7-A4F3-9D6C0B51BE51}"/>
    <cellStyle name="Normal 12 2 2 5 2 3" xfId="12276" xr:uid="{7915F886-E971-4747-B94D-A18747D751D0}"/>
    <cellStyle name="Normal 12 2 2 5 2 4" xfId="20714" xr:uid="{AEC84992-8143-46C0-A671-6779050AE3D2}"/>
    <cellStyle name="Normal 12 2 2 5 3" xfId="5907" xr:uid="{00000000-0005-0000-0000-0000EE0D0000}"/>
    <cellStyle name="Normal 12 2 2 5 3 2" xfId="14349" xr:uid="{1A6DA9BB-BCF2-4CAB-BA8A-60701F1F6A7D}"/>
    <cellStyle name="Normal 12 2 2 5 3 3" xfId="22786" xr:uid="{23F1C1DC-CFA6-44ED-BA7D-F9AD999A97FA}"/>
    <cellStyle name="Normal 12 2 2 5 4" xfId="10131" xr:uid="{D32F1FB1-ACF2-4B7B-A516-840033CC738B}"/>
    <cellStyle name="Normal 12 2 2 5 5" xfId="18569" xr:uid="{D21A690B-30A1-45A3-AD04-5DF0F5DBCCB5}"/>
    <cellStyle name="Normal 12 2 2 6" xfId="2013" xr:uid="{00000000-0005-0000-0000-0000EF0D0000}"/>
    <cellStyle name="Normal 12 2 2 6 2" xfId="4242" xr:uid="{00000000-0005-0000-0000-0000F00D0000}"/>
    <cellStyle name="Normal 12 2 2 6 2 2" xfId="8465" xr:uid="{00000000-0005-0000-0000-0000F10D0000}"/>
    <cellStyle name="Normal 12 2 2 6 2 2 2" xfId="16907" xr:uid="{6A560C12-39F1-4CC4-B3E4-BE54233DA1CF}"/>
    <cellStyle name="Normal 12 2 2 6 2 2 3" xfId="25344" xr:uid="{E7445C4A-2988-475B-8FC0-C3D3DB60F285}"/>
    <cellStyle name="Normal 12 2 2 6 2 3" xfId="12689" xr:uid="{C1918410-60E1-4AEA-B482-3B8DAA0ADB9B}"/>
    <cellStyle name="Normal 12 2 2 6 2 4" xfId="21127" xr:uid="{D0A5C74E-130B-4E82-A3E0-9E1B88573CB2}"/>
    <cellStyle name="Normal 12 2 2 6 3" xfId="6320" xr:uid="{00000000-0005-0000-0000-0000F20D0000}"/>
    <cellStyle name="Normal 12 2 2 6 3 2" xfId="14762" xr:uid="{EEC71D60-25BD-4926-B64F-5D5ED3CE4DC8}"/>
    <cellStyle name="Normal 12 2 2 6 3 3" xfId="23199" xr:uid="{C883138A-2889-464C-B773-BC5EE7C4A61B}"/>
    <cellStyle name="Normal 12 2 2 6 4" xfId="10544" xr:uid="{4459BBE8-6AFC-4320-88B0-74BB6C6EFF0C}"/>
    <cellStyle name="Normal 12 2 2 6 5" xfId="18982" xr:uid="{D628A246-1077-48B9-A7A8-8C5709F4BA54}"/>
    <cellStyle name="Normal 12 2 2 7" xfId="2449" xr:uid="{00000000-0005-0000-0000-0000F30D0000}"/>
    <cellStyle name="Normal 12 2 2 7 2" xfId="6733" xr:uid="{00000000-0005-0000-0000-0000F40D0000}"/>
    <cellStyle name="Normal 12 2 2 7 2 2" xfId="15175" xr:uid="{CCB739CB-CC62-439A-B1D9-3FD9EE900E9A}"/>
    <cellStyle name="Normal 12 2 2 7 2 3" xfId="23612" xr:uid="{F863A2B2-8B70-4A20-B9D4-8599658E4A5B}"/>
    <cellStyle name="Normal 12 2 2 7 3" xfId="10957" xr:uid="{9FE7FF91-B58B-4A35-9939-832544CB2B6F}"/>
    <cellStyle name="Normal 12 2 2 7 4" xfId="19395" xr:uid="{2FC2213E-A8C5-4554-AC56-B1C0BEAD18F5}"/>
    <cellStyle name="Normal 12 2 2 8" xfId="4667" xr:uid="{00000000-0005-0000-0000-0000F50D0000}"/>
    <cellStyle name="Normal 12 2 2 8 2" xfId="13109" xr:uid="{CE5CF916-6CF7-4C5F-A612-7AEC600A45EC}"/>
    <cellStyle name="Normal 12 2 2 8 3" xfId="21546" xr:uid="{B0A08EE1-770B-43E2-8EFD-DD84A7A0F75F}"/>
    <cellStyle name="Normal 12 2 2 9" xfId="8891" xr:uid="{ECCE855B-4D63-4B1C-B183-FC6E8C2B9F78}"/>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2 2 2" xfId="15670" xr:uid="{70E93220-6F79-497B-B462-1D138911D1B3}"/>
    <cellStyle name="Normal 12 2 3 2 2 2 3" xfId="24107" xr:uid="{4C31ADFC-6AFF-4980-BF0E-8056CC9A81D2}"/>
    <cellStyle name="Normal 12 2 3 2 2 3" xfId="11452" xr:uid="{59076CD6-660C-4B4C-BCC6-3D369D6B7DFA}"/>
    <cellStyle name="Normal 12 2 3 2 2 4" xfId="19890" xr:uid="{F976F467-AC3D-494B-8B82-6951257A76CF}"/>
    <cellStyle name="Normal 12 2 3 2 3" xfId="5083" xr:uid="{00000000-0005-0000-0000-0000FA0D0000}"/>
    <cellStyle name="Normal 12 2 3 2 3 2" xfId="13525" xr:uid="{D75C1CA5-B988-4425-8277-255822451C6B}"/>
    <cellStyle name="Normal 12 2 3 2 3 3" xfId="21962" xr:uid="{B3F61C48-6C92-474D-86D2-6D5F3582BAC2}"/>
    <cellStyle name="Normal 12 2 3 2 4" xfId="9307" xr:uid="{39AD77D3-73D3-4E7F-9DDE-FB7239021F66}"/>
    <cellStyle name="Normal 12 2 3 2 5" xfId="17745" xr:uid="{26699F2E-4681-4282-8461-A2C717FAC8E4}"/>
    <cellStyle name="Normal 12 2 3 3" xfId="1187" xr:uid="{00000000-0005-0000-0000-0000FB0D0000}"/>
    <cellStyle name="Normal 12 2 3 3 2" xfId="3418" xr:uid="{00000000-0005-0000-0000-0000FC0D0000}"/>
    <cellStyle name="Normal 12 2 3 3 2 2" xfId="7641" xr:uid="{00000000-0005-0000-0000-0000FD0D0000}"/>
    <cellStyle name="Normal 12 2 3 3 2 2 2" xfId="16083" xr:uid="{7D6C5CCC-82EB-440D-AEDC-8898F736DF49}"/>
    <cellStyle name="Normal 12 2 3 3 2 2 3" xfId="24520" xr:uid="{5A610192-CB9F-49C5-BFCF-AD533F7F9382}"/>
    <cellStyle name="Normal 12 2 3 3 2 3" xfId="11865" xr:uid="{0F363EBA-DF00-477E-A2F2-EC3778D9D5B1}"/>
    <cellStyle name="Normal 12 2 3 3 2 4" xfId="20303" xr:uid="{C9273E25-AC24-4A74-ABA5-1235906C3094}"/>
    <cellStyle name="Normal 12 2 3 3 3" xfId="5496" xr:uid="{00000000-0005-0000-0000-0000FE0D0000}"/>
    <cellStyle name="Normal 12 2 3 3 3 2" xfId="13938" xr:uid="{BBE88FB9-26DF-4B0A-92E6-0952DB61CE0A}"/>
    <cellStyle name="Normal 12 2 3 3 3 3" xfId="22375" xr:uid="{34AA3808-8A7B-40D5-A03F-CE5AF351DDB2}"/>
    <cellStyle name="Normal 12 2 3 3 4" xfId="9720" xr:uid="{64EB0681-634B-47D2-91B2-E41C679E033D}"/>
    <cellStyle name="Normal 12 2 3 3 5" xfId="18158" xr:uid="{0CF5063E-9C2E-4998-9D1C-DD5D9E0C8409}"/>
    <cellStyle name="Normal 12 2 3 4" xfId="1601" xr:uid="{00000000-0005-0000-0000-0000FF0D0000}"/>
    <cellStyle name="Normal 12 2 3 4 2" xfId="3831" xr:uid="{00000000-0005-0000-0000-0000000E0000}"/>
    <cellStyle name="Normal 12 2 3 4 2 2" xfId="8054" xr:uid="{00000000-0005-0000-0000-0000010E0000}"/>
    <cellStyle name="Normal 12 2 3 4 2 2 2" xfId="16496" xr:uid="{F63A4834-FACC-4E90-BEED-154A9CBA31AF}"/>
    <cellStyle name="Normal 12 2 3 4 2 2 3" xfId="24933" xr:uid="{F7A74F94-DA6E-4775-8D9A-51887F099075}"/>
    <cellStyle name="Normal 12 2 3 4 2 3" xfId="12278" xr:uid="{55E25BC2-7E03-4A0D-9347-2B637031F79C}"/>
    <cellStyle name="Normal 12 2 3 4 2 4" xfId="20716" xr:uid="{EDE5F4A4-153B-431E-A8EA-E71C0B8E53A5}"/>
    <cellStyle name="Normal 12 2 3 4 3" xfId="5909" xr:uid="{00000000-0005-0000-0000-0000020E0000}"/>
    <cellStyle name="Normal 12 2 3 4 3 2" xfId="14351" xr:uid="{97B03412-4D72-4FF9-BB2F-FD4787F7F3E7}"/>
    <cellStyle name="Normal 12 2 3 4 3 3" xfId="22788" xr:uid="{21727C60-F0B8-4682-96DB-F5619D57C31E}"/>
    <cellStyle name="Normal 12 2 3 4 4" xfId="10133" xr:uid="{39465223-2CA9-4496-A9C6-365949865271}"/>
    <cellStyle name="Normal 12 2 3 4 5" xfId="18571" xr:uid="{921D9442-91CA-4EED-9292-977AEC6C2686}"/>
    <cellStyle name="Normal 12 2 3 5" xfId="2015" xr:uid="{00000000-0005-0000-0000-0000030E0000}"/>
    <cellStyle name="Normal 12 2 3 5 2" xfId="4244" xr:uid="{00000000-0005-0000-0000-0000040E0000}"/>
    <cellStyle name="Normal 12 2 3 5 2 2" xfId="8467" xr:uid="{00000000-0005-0000-0000-0000050E0000}"/>
    <cellStyle name="Normal 12 2 3 5 2 2 2" xfId="16909" xr:uid="{95365491-A094-42D8-967A-F60A433118FF}"/>
    <cellStyle name="Normal 12 2 3 5 2 2 3" xfId="25346" xr:uid="{08D98DBD-88F1-49EE-9AA4-6C0C28DD3BDF}"/>
    <cellStyle name="Normal 12 2 3 5 2 3" xfId="12691" xr:uid="{16C28C2A-6B87-4909-A713-9A38890D7540}"/>
    <cellStyle name="Normal 12 2 3 5 2 4" xfId="21129" xr:uid="{9473AF05-0180-48EC-A9CB-2D272EB6DE8B}"/>
    <cellStyle name="Normal 12 2 3 5 3" xfId="6322" xr:uid="{00000000-0005-0000-0000-0000060E0000}"/>
    <cellStyle name="Normal 12 2 3 5 3 2" xfId="14764" xr:uid="{CC9E1574-4484-45D4-B9FD-6B0B9D46BBCD}"/>
    <cellStyle name="Normal 12 2 3 5 3 3" xfId="23201" xr:uid="{AEA72751-B719-45BA-9C7C-479E692A6752}"/>
    <cellStyle name="Normal 12 2 3 5 4" xfId="10546" xr:uid="{FCCB9061-C975-49BC-9CE0-758BAE8BA53E}"/>
    <cellStyle name="Normal 12 2 3 5 5" xfId="18984" xr:uid="{D8986BA5-4565-44EA-841F-BA479BE91E42}"/>
    <cellStyle name="Normal 12 2 3 6" xfId="2451" xr:uid="{00000000-0005-0000-0000-0000070E0000}"/>
    <cellStyle name="Normal 12 2 3 6 2" xfId="6735" xr:uid="{00000000-0005-0000-0000-0000080E0000}"/>
    <cellStyle name="Normal 12 2 3 6 2 2" xfId="15177" xr:uid="{D355EDE0-8C97-4AFB-9904-5790CE30271B}"/>
    <cellStyle name="Normal 12 2 3 6 2 3" xfId="23614" xr:uid="{497490C6-10C8-4240-B588-C1E400A26F9C}"/>
    <cellStyle name="Normal 12 2 3 6 3" xfId="10959" xr:uid="{89F5646E-A0DA-4CCB-8C3A-526CD4976D1A}"/>
    <cellStyle name="Normal 12 2 3 6 4" xfId="19397" xr:uid="{DCD7FDE0-4F63-453B-81D8-858485525532}"/>
    <cellStyle name="Normal 12 2 3 7" xfId="4669" xr:uid="{00000000-0005-0000-0000-0000090E0000}"/>
    <cellStyle name="Normal 12 2 3 7 2" xfId="13111" xr:uid="{946A5946-F113-4C18-AC9F-420AB2A447EC}"/>
    <cellStyle name="Normal 12 2 3 7 3" xfId="21548" xr:uid="{7E19668A-D553-4226-AD66-5BBD0CF0EB9B}"/>
    <cellStyle name="Normal 12 2 3 8" xfId="8893" xr:uid="{43C5AB0D-1512-44D4-B473-D4925E8A8468}"/>
    <cellStyle name="Normal 12 2 3 9" xfId="17331" xr:uid="{646E9865-3C66-44C8-9AA5-0076A469C67F}"/>
    <cellStyle name="Normal 12 2 4" xfId="761" xr:uid="{00000000-0005-0000-0000-00000A0E0000}"/>
    <cellStyle name="Normal 12 2 4 2" xfId="3002" xr:uid="{00000000-0005-0000-0000-00000B0E0000}"/>
    <cellStyle name="Normal 12 2 4 2 2" xfId="7225" xr:uid="{00000000-0005-0000-0000-00000C0E0000}"/>
    <cellStyle name="Normal 12 2 4 2 2 2" xfId="15667" xr:uid="{DEB0BC37-97F4-4629-8202-C437C2151841}"/>
    <cellStyle name="Normal 12 2 4 2 2 3" xfId="24104" xr:uid="{FCA6604A-92AF-42DE-8E21-CF7A0AEE4694}"/>
    <cellStyle name="Normal 12 2 4 2 3" xfId="11449" xr:uid="{36B10BDE-BABC-4376-B82C-C493DB6C44D6}"/>
    <cellStyle name="Normal 12 2 4 2 4" xfId="19887" xr:uid="{E02CE1F1-8373-4D08-8CB8-6CD1A59D0A46}"/>
    <cellStyle name="Normal 12 2 4 3" xfId="5080" xr:uid="{00000000-0005-0000-0000-00000D0E0000}"/>
    <cellStyle name="Normal 12 2 4 3 2" xfId="13522" xr:uid="{F14B99F6-239E-4C9C-A887-3BB16D70CC79}"/>
    <cellStyle name="Normal 12 2 4 3 3" xfId="21959" xr:uid="{C2165BE2-F43F-409C-8B63-FD1F6D471153}"/>
    <cellStyle name="Normal 12 2 4 4" xfId="9304" xr:uid="{82593763-E35A-4A46-B3CA-730E657C552E}"/>
    <cellStyle name="Normal 12 2 4 5" xfId="17742" xr:uid="{4420A45D-995D-4BDA-9A0E-44A65C5B5D14}"/>
    <cellStyle name="Normal 12 2 5" xfId="1184" xr:uid="{00000000-0005-0000-0000-00000E0E0000}"/>
    <cellStyle name="Normal 12 2 5 2" xfId="3415" xr:uid="{00000000-0005-0000-0000-00000F0E0000}"/>
    <cellStyle name="Normal 12 2 5 2 2" xfId="7638" xr:uid="{00000000-0005-0000-0000-0000100E0000}"/>
    <cellStyle name="Normal 12 2 5 2 2 2" xfId="16080" xr:uid="{ADF54AB2-0059-4908-80C9-C3EA2D1FDA72}"/>
    <cellStyle name="Normal 12 2 5 2 2 3" xfId="24517" xr:uid="{CA4C75FC-EB58-4440-ADDE-573953D49371}"/>
    <cellStyle name="Normal 12 2 5 2 3" xfId="11862" xr:uid="{27937561-E6B2-4404-AE89-ADE627AFDC40}"/>
    <cellStyle name="Normal 12 2 5 2 4" xfId="20300" xr:uid="{5D7692AA-904B-464A-A3C7-AA6F8765584F}"/>
    <cellStyle name="Normal 12 2 5 3" xfId="5493" xr:uid="{00000000-0005-0000-0000-0000110E0000}"/>
    <cellStyle name="Normal 12 2 5 3 2" xfId="13935" xr:uid="{D769E054-23A7-4A92-8BDD-27C3E300FDDF}"/>
    <cellStyle name="Normal 12 2 5 3 3" xfId="22372" xr:uid="{1D518F24-03AE-4246-ADFF-4D47282E16C3}"/>
    <cellStyle name="Normal 12 2 5 4" xfId="9717" xr:uid="{2CAA89A5-EBB8-4AA8-A4FF-3691E835B3DB}"/>
    <cellStyle name="Normal 12 2 5 5" xfId="18155" xr:uid="{9B7E12F6-B2BC-4A9A-8F39-4F560AABB4D0}"/>
    <cellStyle name="Normal 12 2 6" xfId="1598" xr:uid="{00000000-0005-0000-0000-0000120E0000}"/>
    <cellStyle name="Normal 12 2 6 2" xfId="3828" xr:uid="{00000000-0005-0000-0000-0000130E0000}"/>
    <cellStyle name="Normal 12 2 6 2 2" xfId="8051" xr:uid="{00000000-0005-0000-0000-0000140E0000}"/>
    <cellStyle name="Normal 12 2 6 2 2 2" xfId="16493" xr:uid="{048CB32D-DD34-452B-989F-29BDD175F5AE}"/>
    <cellStyle name="Normal 12 2 6 2 2 3" xfId="24930" xr:uid="{B9E97281-F8B9-498E-A90C-1E6E8C1B9FDD}"/>
    <cellStyle name="Normal 12 2 6 2 3" xfId="12275" xr:uid="{6CBE74A6-C13C-4024-88E7-0465763A0B21}"/>
    <cellStyle name="Normal 12 2 6 2 4" xfId="20713" xr:uid="{645CC12F-3D6F-49D4-9676-B6CE6252F7C6}"/>
    <cellStyle name="Normal 12 2 6 3" xfId="5906" xr:uid="{00000000-0005-0000-0000-0000150E0000}"/>
    <cellStyle name="Normal 12 2 6 3 2" xfId="14348" xr:uid="{9FD9592C-4713-4EA9-BBC6-2F2E1BF86F2D}"/>
    <cellStyle name="Normal 12 2 6 3 3" xfId="22785" xr:uid="{3D4A0447-C81D-42FC-AECD-57D29C30ED00}"/>
    <cellStyle name="Normal 12 2 6 4" xfId="10130" xr:uid="{406F1B21-E38D-47E5-9D36-20240E159E9C}"/>
    <cellStyle name="Normal 12 2 6 5" xfId="18568" xr:uid="{6E04BA6B-B276-4B32-BF31-0E75295B6588}"/>
    <cellStyle name="Normal 12 2 7" xfId="2012" xr:uid="{00000000-0005-0000-0000-0000160E0000}"/>
    <cellStyle name="Normal 12 2 7 2" xfId="4241" xr:uid="{00000000-0005-0000-0000-0000170E0000}"/>
    <cellStyle name="Normal 12 2 7 2 2" xfId="8464" xr:uid="{00000000-0005-0000-0000-0000180E0000}"/>
    <cellStyle name="Normal 12 2 7 2 2 2" xfId="16906" xr:uid="{78B1DDC8-B953-45F4-94EF-D5C35C3F5DC1}"/>
    <cellStyle name="Normal 12 2 7 2 2 3" xfId="25343" xr:uid="{BB1685DC-F89C-41B3-B0CD-768AAA9771C1}"/>
    <cellStyle name="Normal 12 2 7 2 3" xfId="12688" xr:uid="{F2D53FC5-2FDD-4A6D-9881-78AD2B6ED821}"/>
    <cellStyle name="Normal 12 2 7 2 4" xfId="21126" xr:uid="{FADC2614-B4D2-4848-AA62-762064123AE5}"/>
    <cellStyle name="Normal 12 2 7 3" xfId="6319" xr:uid="{00000000-0005-0000-0000-0000190E0000}"/>
    <cellStyle name="Normal 12 2 7 3 2" xfId="14761" xr:uid="{8F5653B9-6CBD-4BA6-9290-24F3C913D62D}"/>
    <cellStyle name="Normal 12 2 7 3 3" xfId="23198" xr:uid="{0C92D283-5B2D-4EC2-8273-234EB81F9DDD}"/>
    <cellStyle name="Normal 12 2 7 4" xfId="10543" xr:uid="{A7316CD5-4008-488D-9A21-5007CE8D5F85}"/>
    <cellStyle name="Normal 12 2 7 5" xfId="18981" xr:uid="{84F2AFD7-BFC4-4D5E-B465-AB226105A964}"/>
    <cellStyle name="Normal 12 2 8" xfId="2448" xr:uid="{00000000-0005-0000-0000-00001A0E0000}"/>
    <cellStyle name="Normal 12 2 8 2" xfId="6732" xr:uid="{00000000-0005-0000-0000-00001B0E0000}"/>
    <cellStyle name="Normal 12 2 8 2 2" xfId="15174" xr:uid="{4BD45DB8-F7B3-4EEA-AEB2-F84417DF1BA6}"/>
    <cellStyle name="Normal 12 2 8 2 3" xfId="23611" xr:uid="{37212585-A2DA-4061-B33C-9B13F77B93B3}"/>
    <cellStyle name="Normal 12 2 8 3" xfId="10956" xr:uid="{10584CBA-9C89-4738-802E-A2692330887D}"/>
    <cellStyle name="Normal 12 2 8 4" xfId="19394" xr:uid="{672E5C1A-DA0A-40F9-82A0-EA3A90BBA46D}"/>
    <cellStyle name="Normal 12 2 9" xfId="4666" xr:uid="{00000000-0005-0000-0000-00001C0E0000}"/>
    <cellStyle name="Normal 12 2 9 2" xfId="13108" xr:uid="{7D488326-5AE0-4FAF-B0CD-AACA9B30C4E8}"/>
    <cellStyle name="Normal 12 2 9 3" xfId="21545" xr:uid="{AF3F4870-201B-4290-A6D9-EA9C8F3EFD58}"/>
    <cellStyle name="Normal 12 3" xfId="264" xr:uid="{00000000-0005-0000-0000-00001D0E0000}"/>
    <cellStyle name="Normal 12 3 10" xfId="17332" xr:uid="{79409756-EAB2-4F77-83ED-6B0835F5C593}"/>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2 2 2" xfId="15672" xr:uid="{93836233-D8EF-4335-AF65-67A47BA1055A}"/>
    <cellStyle name="Normal 12 3 2 2 2 2 3" xfId="24109" xr:uid="{3F5FF6A3-D670-47D4-8AA0-1DD63973FA7F}"/>
    <cellStyle name="Normal 12 3 2 2 2 3" xfId="11454" xr:uid="{B0B9E482-4E9C-4C6C-8478-321F8EF4B044}"/>
    <cellStyle name="Normal 12 3 2 2 2 4" xfId="19892" xr:uid="{8389BF41-F795-4F3C-9F70-60635C0DB2B8}"/>
    <cellStyle name="Normal 12 3 2 2 3" xfId="5085" xr:uid="{00000000-0005-0000-0000-0000220E0000}"/>
    <cellStyle name="Normal 12 3 2 2 3 2" xfId="13527" xr:uid="{3857D0A1-987B-42A7-B7B8-FC9840CBC27A}"/>
    <cellStyle name="Normal 12 3 2 2 3 3" xfId="21964" xr:uid="{8FAA754A-EFC0-468B-8C55-E3BCBF65141B}"/>
    <cellStyle name="Normal 12 3 2 2 4" xfId="9309" xr:uid="{A00F0EB8-F470-4AA5-A529-A8C61F8AB343}"/>
    <cellStyle name="Normal 12 3 2 2 5" xfId="17747" xr:uid="{79ABEF7F-98D6-4A33-8EEF-583B71B148E8}"/>
    <cellStyle name="Normal 12 3 2 3" xfId="1189" xr:uid="{00000000-0005-0000-0000-0000230E0000}"/>
    <cellStyle name="Normal 12 3 2 3 2" xfId="3420" xr:uid="{00000000-0005-0000-0000-0000240E0000}"/>
    <cellStyle name="Normal 12 3 2 3 2 2" xfId="7643" xr:uid="{00000000-0005-0000-0000-0000250E0000}"/>
    <cellStyle name="Normal 12 3 2 3 2 2 2" xfId="16085" xr:uid="{A1C07D6A-411E-4FBF-9463-6C28CAB8EB84}"/>
    <cellStyle name="Normal 12 3 2 3 2 2 3" xfId="24522" xr:uid="{FF7B4F8F-2302-4E71-B0C2-E50F0A10F05E}"/>
    <cellStyle name="Normal 12 3 2 3 2 3" xfId="11867" xr:uid="{89705DB5-EFE6-47FD-99AD-4B715C412180}"/>
    <cellStyle name="Normal 12 3 2 3 2 4" xfId="20305" xr:uid="{4719C3F6-25CC-4454-9ED7-4EBA150E8FE9}"/>
    <cellStyle name="Normal 12 3 2 3 3" xfId="5498" xr:uid="{00000000-0005-0000-0000-0000260E0000}"/>
    <cellStyle name="Normal 12 3 2 3 3 2" xfId="13940" xr:uid="{54541219-2AD8-4CAD-A9F7-8E66DF6C2AA8}"/>
    <cellStyle name="Normal 12 3 2 3 3 3" xfId="22377" xr:uid="{54E70BE8-DE85-41B9-8BC3-FCF3E5C0CB01}"/>
    <cellStyle name="Normal 12 3 2 3 4" xfId="9722" xr:uid="{3095B49F-9AE9-4786-9EDB-BEA515AC9BCE}"/>
    <cellStyle name="Normal 12 3 2 3 5" xfId="18160" xr:uid="{06C4D64C-FC12-46A3-A063-1E30CB8216C4}"/>
    <cellStyle name="Normal 12 3 2 4" xfId="1603" xr:uid="{00000000-0005-0000-0000-0000270E0000}"/>
    <cellStyle name="Normal 12 3 2 4 2" xfId="3833" xr:uid="{00000000-0005-0000-0000-0000280E0000}"/>
    <cellStyle name="Normal 12 3 2 4 2 2" xfId="8056" xr:uid="{00000000-0005-0000-0000-0000290E0000}"/>
    <cellStyle name="Normal 12 3 2 4 2 2 2" xfId="16498" xr:uid="{A6E81847-297C-486D-BEDB-03BDC5C802B3}"/>
    <cellStyle name="Normal 12 3 2 4 2 2 3" xfId="24935" xr:uid="{189EAFE1-3050-48DD-A8E4-C03AE4B530FC}"/>
    <cellStyle name="Normal 12 3 2 4 2 3" xfId="12280" xr:uid="{C2C40646-15CD-4068-BF8B-132B40B83C95}"/>
    <cellStyle name="Normal 12 3 2 4 2 4" xfId="20718" xr:uid="{6134C98A-78DA-407D-BFD1-AC5030183909}"/>
    <cellStyle name="Normal 12 3 2 4 3" xfId="5911" xr:uid="{00000000-0005-0000-0000-00002A0E0000}"/>
    <cellStyle name="Normal 12 3 2 4 3 2" xfId="14353" xr:uid="{3FAA9692-73B3-4A53-B23B-A2F62FBF70E6}"/>
    <cellStyle name="Normal 12 3 2 4 3 3" xfId="22790" xr:uid="{D4D90D51-5E01-403F-9B37-34A6E159BE79}"/>
    <cellStyle name="Normal 12 3 2 4 4" xfId="10135" xr:uid="{B24165E3-9BBB-4B76-BCBF-65CDB47AD212}"/>
    <cellStyle name="Normal 12 3 2 4 5" xfId="18573" xr:uid="{3CB07576-74B3-433A-8476-294932551FF5}"/>
    <cellStyle name="Normal 12 3 2 5" xfId="2017" xr:uid="{00000000-0005-0000-0000-00002B0E0000}"/>
    <cellStyle name="Normal 12 3 2 5 2" xfId="4246" xr:uid="{00000000-0005-0000-0000-00002C0E0000}"/>
    <cellStyle name="Normal 12 3 2 5 2 2" xfId="8469" xr:uid="{00000000-0005-0000-0000-00002D0E0000}"/>
    <cellStyle name="Normal 12 3 2 5 2 2 2" xfId="16911" xr:uid="{2C445B48-2A28-4864-8092-5D216E3A642D}"/>
    <cellStyle name="Normal 12 3 2 5 2 2 3" xfId="25348" xr:uid="{5B3D60B4-C36E-4C86-8AD5-9B6AF660BFFB}"/>
    <cellStyle name="Normal 12 3 2 5 2 3" xfId="12693" xr:uid="{5055BD39-7B15-4A05-AD66-02D073B1273F}"/>
    <cellStyle name="Normal 12 3 2 5 2 4" xfId="21131" xr:uid="{A8605C92-60DA-48F0-BA71-D3CC55B5231B}"/>
    <cellStyle name="Normal 12 3 2 5 3" xfId="6324" xr:uid="{00000000-0005-0000-0000-00002E0E0000}"/>
    <cellStyle name="Normal 12 3 2 5 3 2" xfId="14766" xr:uid="{FD8CC9DA-5ECD-4F30-8D2F-77EBA7AA0CCA}"/>
    <cellStyle name="Normal 12 3 2 5 3 3" xfId="23203" xr:uid="{9AFB815D-13B4-4A8C-A4A8-963FF739DD26}"/>
    <cellStyle name="Normal 12 3 2 5 4" xfId="10548" xr:uid="{FDE3C5FC-45CE-4A05-A5BD-32C92702DD31}"/>
    <cellStyle name="Normal 12 3 2 5 5" xfId="18986" xr:uid="{12AA5E70-8B7D-4E6A-B509-2E77A14B779F}"/>
    <cellStyle name="Normal 12 3 2 6" xfId="2453" xr:uid="{00000000-0005-0000-0000-00002F0E0000}"/>
    <cellStyle name="Normal 12 3 2 6 2" xfId="6737" xr:uid="{00000000-0005-0000-0000-0000300E0000}"/>
    <cellStyle name="Normal 12 3 2 6 2 2" xfId="15179" xr:uid="{594B1188-03B8-48B2-AF02-6D7D0B4A30F0}"/>
    <cellStyle name="Normal 12 3 2 6 2 3" xfId="23616" xr:uid="{DECA76F8-3D59-4223-9F14-1A63AB3651ED}"/>
    <cellStyle name="Normal 12 3 2 6 3" xfId="10961" xr:uid="{33E2A62E-378B-4AD8-9D04-B0DB7E55AAA8}"/>
    <cellStyle name="Normal 12 3 2 6 4" xfId="19399" xr:uid="{9C505DC0-2590-4F61-B9C2-29B7286F5A87}"/>
    <cellStyle name="Normal 12 3 2 7" xfId="4671" xr:uid="{00000000-0005-0000-0000-0000310E0000}"/>
    <cellStyle name="Normal 12 3 2 7 2" xfId="13113" xr:uid="{4FEE7F46-2F34-474B-9B35-9416FCB12C72}"/>
    <cellStyle name="Normal 12 3 2 7 3" xfId="21550" xr:uid="{F46B1BE1-441F-434F-B2D9-2174E257EE24}"/>
    <cellStyle name="Normal 12 3 2 8" xfId="8895" xr:uid="{914A0EA3-F3DF-45C2-8AA1-07780FBC5247}"/>
    <cellStyle name="Normal 12 3 2 9" xfId="17333" xr:uid="{7B327994-3201-4226-83B4-54145930B552}"/>
    <cellStyle name="Normal 12 3 3" xfId="765" xr:uid="{00000000-0005-0000-0000-0000320E0000}"/>
    <cellStyle name="Normal 12 3 3 2" xfId="3006" xr:uid="{00000000-0005-0000-0000-0000330E0000}"/>
    <cellStyle name="Normal 12 3 3 2 2" xfId="7229" xr:uid="{00000000-0005-0000-0000-0000340E0000}"/>
    <cellStyle name="Normal 12 3 3 2 2 2" xfId="15671" xr:uid="{D6369B07-C096-4C62-956D-1B1C096499F4}"/>
    <cellStyle name="Normal 12 3 3 2 2 3" xfId="24108" xr:uid="{8BD10084-28B0-4B16-8314-7EF07D7DEDAF}"/>
    <cellStyle name="Normal 12 3 3 2 3" xfId="11453" xr:uid="{3D0ABC14-E43D-4391-B06E-69E183F301E1}"/>
    <cellStyle name="Normal 12 3 3 2 4" xfId="19891" xr:uid="{B4B5BEB5-5B80-4529-A099-B51CAC46E665}"/>
    <cellStyle name="Normal 12 3 3 3" xfId="5084" xr:uid="{00000000-0005-0000-0000-0000350E0000}"/>
    <cellStyle name="Normal 12 3 3 3 2" xfId="13526" xr:uid="{E06DC4AC-3174-4880-8A40-7CC62CB7B69C}"/>
    <cellStyle name="Normal 12 3 3 3 3" xfId="21963" xr:uid="{8DFFBA03-3711-42E6-AEE2-50123D80F6AD}"/>
    <cellStyle name="Normal 12 3 3 4" xfId="9308" xr:uid="{A3DD1579-E55D-43C8-A83E-37795AC682D7}"/>
    <cellStyle name="Normal 12 3 3 5" xfId="17746" xr:uid="{1E0AEDA5-A3E2-4A3C-858A-0B255D2F0DE5}"/>
    <cellStyle name="Normal 12 3 4" xfId="1188" xr:uid="{00000000-0005-0000-0000-0000360E0000}"/>
    <cellStyle name="Normal 12 3 4 2" xfId="3419" xr:uid="{00000000-0005-0000-0000-0000370E0000}"/>
    <cellStyle name="Normal 12 3 4 2 2" xfId="7642" xr:uid="{00000000-0005-0000-0000-0000380E0000}"/>
    <cellStyle name="Normal 12 3 4 2 2 2" xfId="16084" xr:uid="{A4BDBB4F-1F40-44B3-AA0B-05F781E0DA92}"/>
    <cellStyle name="Normal 12 3 4 2 2 3" xfId="24521" xr:uid="{7D2BCD34-DFF5-4FBD-A262-993CCC6FEC08}"/>
    <cellStyle name="Normal 12 3 4 2 3" xfId="11866" xr:uid="{BE9674A9-58AA-42AE-B6F9-62D463752EBF}"/>
    <cellStyle name="Normal 12 3 4 2 4" xfId="20304" xr:uid="{DE2F6A48-C269-45E7-87FC-2D6B77BC40F4}"/>
    <cellStyle name="Normal 12 3 4 3" xfId="5497" xr:uid="{00000000-0005-0000-0000-0000390E0000}"/>
    <cellStyle name="Normal 12 3 4 3 2" xfId="13939" xr:uid="{A28E9923-9D79-4CCA-81DE-C22C23FF232A}"/>
    <cellStyle name="Normal 12 3 4 3 3" xfId="22376" xr:uid="{D71CFDB7-C5CD-402E-8F37-9B7B1EE193DB}"/>
    <cellStyle name="Normal 12 3 4 4" xfId="9721" xr:uid="{3251FD91-1D0A-4E9F-98B8-A31129210066}"/>
    <cellStyle name="Normal 12 3 4 5" xfId="18159" xr:uid="{A55D2562-40DB-4FCC-989C-27FEAB0EE6E8}"/>
    <cellStyle name="Normal 12 3 5" xfId="1602" xr:uid="{00000000-0005-0000-0000-00003A0E0000}"/>
    <cellStyle name="Normal 12 3 5 2" xfId="3832" xr:uid="{00000000-0005-0000-0000-00003B0E0000}"/>
    <cellStyle name="Normal 12 3 5 2 2" xfId="8055" xr:uid="{00000000-0005-0000-0000-00003C0E0000}"/>
    <cellStyle name="Normal 12 3 5 2 2 2" xfId="16497" xr:uid="{0223DD9D-872A-4C9F-AA5C-2943776C107D}"/>
    <cellStyle name="Normal 12 3 5 2 2 3" xfId="24934" xr:uid="{46CBB9A3-BD4D-48FC-BB1A-B8734A8BDAA4}"/>
    <cellStyle name="Normal 12 3 5 2 3" xfId="12279" xr:uid="{2A157F75-DD3D-4557-930C-25EF6E376E43}"/>
    <cellStyle name="Normal 12 3 5 2 4" xfId="20717" xr:uid="{B2C1D927-56A5-42AC-A2A2-1FEA06BA2C91}"/>
    <cellStyle name="Normal 12 3 5 3" xfId="5910" xr:uid="{00000000-0005-0000-0000-00003D0E0000}"/>
    <cellStyle name="Normal 12 3 5 3 2" xfId="14352" xr:uid="{2CA872AE-4517-41F3-9185-518E7B9F70A6}"/>
    <cellStyle name="Normal 12 3 5 3 3" xfId="22789" xr:uid="{3C85B263-7F96-4224-B397-7C9F75845588}"/>
    <cellStyle name="Normal 12 3 5 4" xfId="10134" xr:uid="{E23CECD6-C12B-426C-B378-E5C02C8E9DD6}"/>
    <cellStyle name="Normal 12 3 5 5" xfId="18572" xr:uid="{8B756744-225C-447A-A314-36A295739401}"/>
    <cellStyle name="Normal 12 3 6" xfId="2016" xr:uid="{00000000-0005-0000-0000-00003E0E0000}"/>
    <cellStyle name="Normal 12 3 6 2" xfId="4245" xr:uid="{00000000-0005-0000-0000-00003F0E0000}"/>
    <cellStyle name="Normal 12 3 6 2 2" xfId="8468" xr:uid="{00000000-0005-0000-0000-0000400E0000}"/>
    <cellStyle name="Normal 12 3 6 2 2 2" xfId="16910" xr:uid="{892904A3-C548-4693-B44D-42FEBFD3AD0E}"/>
    <cellStyle name="Normal 12 3 6 2 2 3" xfId="25347" xr:uid="{EE0E6345-9E77-4202-B63E-993F394E44C0}"/>
    <cellStyle name="Normal 12 3 6 2 3" xfId="12692" xr:uid="{56C871E1-0DFF-4620-AB31-C0417E2B931F}"/>
    <cellStyle name="Normal 12 3 6 2 4" xfId="21130" xr:uid="{2367E94B-ED62-44D4-8825-A144289B172C}"/>
    <cellStyle name="Normal 12 3 6 3" xfId="6323" xr:uid="{00000000-0005-0000-0000-0000410E0000}"/>
    <cellStyle name="Normal 12 3 6 3 2" xfId="14765" xr:uid="{1BB9C205-7285-44E3-80C4-60CF45BCA8A4}"/>
    <cellStyle name="Normal 12 3 6 3 3" xfId="23202" xr:uid="{E8AE3EAA-8610-447A-B44A-007F074DEC15}"/>
    <cellStyle name="Normal 12 3 6 4" xfId="10547" xr:uid="{7C4E9867-FE90-4C3D-8469-EA402F6F0414}"/>
    <cellStyle name="Normal 12 3 6 5" xfId="18985" xr:uid="{A299126D-5864-4100-8F92-E77A6E8122BE}"/>
    <cellStyle name="Normal 12 3 7" xfId="2452" xr:uid="{00000000-0005-0000-0000-0000420E0000}"/>
    <cellStyle name="Normal 12 3 7 2" xfId="6736" xr:uid="{00000000-0005-0000-0000-0000430E0000}"/>
    <cellStyle name="Normal 12 3 7 2 2" xfId="15178" xr:uid="{2C2A6C50-5090-47B1-A320-ABBB2F308ED5}"/>
    <cellStyle name="Normal 12 3 7 2 3" xfId="23615" xr:uid="{E3EF6451-DA6F-4D15-8074-8F19D8B5142E}"/>
    <cellStyle name="Normal 12 3 7 3" xfId="10960" xr:uid="{F6368DB4-CD40-4BFD-A1E3-BCDC0E5CF3AB}"/>
    <cellStyle name="Normal 12 3 7 4" xfId="19398" xr:uid="{1A1D67EB-9383-4499-828F-A0F3BCA09246}"/>
    <cellStyle name="Normal 12 3 8" xfId="4670" xr:uid="{00000000-0005-0000-0000-0000440E0000}"/>
    <cellStyle name="Normal 12 3 8 2" xfId="13112" xr:uid="{E52417C9-1EBA-4606-B7E8-E80BD4B7B418}"/>
    <cellStyle name="Normal 12 3 8 3" xfId="21549" xr:uid="{6151E6C4-73CE-43E2-9D9A-EC2B730B11AF}"/>
    <cellStyle name="Normal 12 3 9" xfId="8894" xr:uid="{D03601C1-52DB-4C52-9067-536485C5C8B5}"/>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2 2 2" xfId="15673" xr:uid="{861B5079-DED6-4C15-95B9-23A6FA61FCA7}"/>
    <cellStyle name="Normal 12 4 2 2 2 3" xfId="24110" xr:uid="{BE86C153-7B34-4FFD-883B-342E48513600}"/>
    <cellStyle name="Normal 12 4 2 2 3" xfId="11455" xr:uid="{A233962C-5F1B-4714-8FB2-10F9DD3DC55E}"/>
    <cellStyle name="Normal 12 4 2 2 4" xfId="19893" xr:uid="{661AFAEC-00C8-47F0-A44A-EAEB96678A6C}"/>
    <cellStyle name="Normal 12 4 2 3" xfId="5086" xr:uid="{00000000-0005-0000-0000-0000490E0000}"/>
    <cellStyle name="Normal 12 4 2 3 2" xfId="13528" xr:uid="{4B445E94-5C55-4A1E-93D9-7FBD4CE42042}"/>
    <cellStyle name="Normal 12 4 2 3 3" xfId="21965" xr:uid="{B979DC59-A6C1-46B5-B195-86D1985DDF3F}"/>
    <cellStyle name="Normal 12 4 2 4" xfId="9310" xr:uid="{994D6B59-A3B9-4045-A14F-AE340B5F555C}"/>
    <cellStyle name="Normal 12 4 2 5" xfId="17748" xr:uid="{8DB67661-ACC8-4768-8215-3DC4F1F49C66}"/>
    <cellStyle name="Normal 12 4 3" xfId="1190" xr:uid="{00000000-0005-0000-0000-00004A0E0000}"/>
    <cellStyle name="Normal 12 4 3 2" xfId="3421" xr:uid="{00000000-0005-0000-0000-00004B0E0000}"/>
    <cellStyle name="Normal 12 4 3 2 2" xfId="7644" xr:uid="{00000000-0005-0000-0000-00004C0E0000}"/>
    <cellStyle name="Normal 12 4 3 2 2 2" xfId="16086" xr:uid="{53272936-DC53-4B34-AB7E-F404EB2DCE3A}"/>
    <cellStyle name="Normal 12 4 3 2 2 3" xfId="24523" xr:uid="{3B217FA7-461B-4EEA-9D06-6E05E57FCB21}"/>
    <cellStyle name="Normal 12 4 3 2 3" xfId="11868" xr:uid="{DE7253D2-B133-49A5-8343-4094F62494CB}"/>
    <cellStyle name="Normal 12 4 3 2 4" xfId="20306" xr:uid="{B055A338-88AA-4937-9E31-DB000E52820C}"/>
    <cellStyle name="Normal 12 4 3 3" xfId="5499" xr:uid="{00000000-0005-0000-0000-00004D0E0000}"/>
    <cellStyle name="Normal 12 4 3 3 2" xfId="13941" xr:uid="{DEF4EC0D-BA7F-468F-B636-C2260C22976D}"/>
    <cellStyle name="Normal 12 4 3 3 3" xfId="22378" xr:uid="{C083236A-1F33-46BA-A05F-6B0507712CC5}"/>
    <cellStyle name="Normal 12 4 3 4" xfId="9723" xr:uid="{28191FF2-9034-430E-A7DB-91D88625D9E6}"/>
    <cellStyle name="Normal 12 4 3 5" xfId="18161" xr:uid="{72095771-CCDF-47B0-AA94-0B63943222C5}"/>
    <cellStyle name="Normal 12 4 4" xfId="1604" xr:uid="{00000000-0005-0000-0000-00004E0E0000}"/>
    <cellStyle name="Normal 12 4 4 2" xfId="3834" xr:uid="{00000000-0005-0000-0000-00004F0E0000}"/>
    <cellStyle name="Normal 12 4 4 2 2" xfId="8057" xr:uid="{00000000-0005-0000-0000-0000500E0000}"/>
    <cellStyle name="Normal 12 4 4 2 2 2" xfId="16499" xr:uid="{C2B9D615-D1CB-471E-AAE3-A79F31C9C35A}"/>
    <cellStyle name="Normal 12 4 4 2 2 3" xfId="24936" xr:uid="{0DBC2E4A-A594-432B-811B-FABF02DB5E13}"/>
    <cellStyle name="Normal 12 4 4 2 3" xfId="12281" xr:uid="{F6005CCC-11D7-43BA-B80A-CF6CAAE572A9}"/>
    <cellStyle name="Normal 12 4 4 2 4" xfId="20719" xr:uid="{8B156172-3946-40AF-AD65-59B4EFFD17C0}"/>
    <cellStyle name="Normal 12 4 4 3" xfId="5912" xr:uid="{00000000-0005-0000-0000-0000510E0000}"/>
    <cellStyle name="Normal 12 4 4 3 2" xfId="14354" xr:uid="{38529520-B711-48AC-BB65-BD9C1DC9E808}"/>
    <cellStyle name="Normal 12 4 4 3 3" xfId="22791" xr:uid="{BF523E0A-1101-44D9-8681-1BAEBA69C508}"/>
    <cellStyle name="Normal 12 4 4 4" xfId="10136" xr:uid="{55AEBF63-B0F4-4AA8-AF45-12521B92AFAF}"/>
    <cellStyle name="Normal 12 4 4 5" xfId="18574" xr:uid="{D9F7FF75-4E48-4477-AC71-18F7E8FAD5FF}"/>
    <cellStyle name="Normal 12 4 5" xfId="2018" xr:uid="{00000000-0005-0000-0000-0000520E0000}"/>
    <cellStyle name="Normal 12 4 5 2" xfId="4247" xr:uid="{00000000-0005-0000-0000-0000530E0000}"/>
    <cellStyle name="Normal 12 4 5 2 2" xfId="8470" xr:uid="{00000000-0005-0000-0000-0000540E0000}"/>
    <cellStyle name="Normal 12 4 5 2 2 2" xfId="16912" xr:uid="{BE4E5957-9D9F-4AC2-818D-84F5288F6387}"/>
    <cellStyle name="Normal 12 4 5 2 2 3" xfId="25349" xr:uid="{F37956C9-1B89-4BB7-A6DC-1B4BA3756AA1}"/>
    <cellStyle name="Normal 12 4 5 2 3" xfId="12694" xr:uid="{16AB59E7-4D4F-4070-85B9-86D8BB62C6F1}"/>
    <cellStyle name="Normal 12 4 5 2 4" xfId="21132" xr:uid="{E9C10C24-11A8-4A49-A7C9-606267FB45D6}"/>
    <cellStyle name="Normal 12 4 5 3" xfId="6325" xr:uid="{00000000-0005-0000-0000-0000550E0000}"/>
    <cellStyle name="Normal 12 4 5 3 2" xfId="14767" xr:uid="{DF26C097-CD0C-4826-ACDD-41A545574CF9}"/>
    <cellStyle name="Normal 12 4 5 3 3" xfId="23204" xr:uid="{F7820207-A0D7-4C19-BE88-AE2C7D0A7832}"/>
    <cellStyle name="Normal 12 4 5 4" xfId="10549" xr:uid="{A11E1736-A299-4950-8BAD-D2378526FD6E}"/>
    <cellStyle name="Normal 12 4 5 5" xfId="18987" xr:uid="{F6698B15-F8F4-4455-865E-64C4B86EDCBF}"/>
    <cellStyle name="Normal 12 4 6" xfId="2454" xr:uid="{00000000-0005-0000-0000-0000560E0000}"/>
    <cellStyle name="Normal 12 4 6 2" xfId="6738" xr:uid="{00000000-0005-0000-0000-0000570E0000}"/>
    <cellStyle name="Normal 12 4 6 2 2" xfId="15180" xr:uid="{A82D11B3-4211-405F-8E94-73841E3335C5}"/>
    <cellStyle name="Normal 12 4 6 2 3" xfId="23617" xr:uid="{A26072DF-C959-4805-AA02-F4C23CB080E7}"/>
    <cellStyle name="Normal 12 4 6 3" xfId="10962" xr:uid="{EEEDC328-DCFA-424C-8170-58BA699F2ED4}"/>
    <cellStyle name="Normal 12 4 6 4" xfId="19400" xr:uid="{5FEB1949-0F92-4539-89CA-1C25E946D535}"/>
    <cellStyle name="Normal 12 4 7" xfId="4672" xr:uid="{00000000-0005-0000-0000-0000580E0000}"/>
    <cellStyle name="Normal 12 4 7 2" xfId="13114" xr:uid="{D5DD69C2-AEA5-42B9-8A45-CEC25F07F1F1}"/>
    <cellStyle name="Normal 12 4 7 3" xfId="21551" xr:uid="{926B8FD4-2CF2-45ED-92EB-B96F638BAE0E}"/>
    <cellStyle name="Normal 12 4 8" xfId="8896" xr:uid="{C5796B1A-5320-4759-A9C5-C4F80F3A1438}"/>
    <cellStyle name="Normal 12 4 9" xfId="17334" xr:uid="{50C724E5-8F04-4E14-84AB-F820680FEAE4}"/>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2 2 2" xfId="15666" xr:uid="{F4938741-A7CE-4CDA-BA1C-80A97846A499}"/>
    <cellStyle name="Normal 12 6 2 2 3" xfId="24103" xr:uid="{B5580F73-1C0A-4663-BA0C-076B26E1235D}"/>
    <cellStyle name="Normal 12 6 2 3" xfId="11448" xr:uid="{411C09FF-47D4-4935-AF40-0F90018D12C7}"/>
    <cellStyle name="Normal 12 6 2 4" xfId="19886" xr:uid="{AABB26E4-5854-42DA-9EF6-3C4DADC5AEFB}"/>
    <cellStyle name="Normal 12 6 3" xfId="5079" xr:uid="{00000000-0005-0000-0000-00005D0E0000}"/>
    <cellStyle name="Normal 12 6 3 2" xfId="13521" xr:uid="{45A9E057-0FCC-46B7-B96A-4FF86C99EC89}"/>
    <cellStyle name="Normal 12 6 3 3" xfId="21958" xr:uid="{EDC278B9-BE1B-42E0-BAD6-339A00AEE50D}"/>
    <cellStyle name="Normal 12 6 4" xfId="9303" xr:uid="{B81D2032-1123-45CE-8695-F96EF6E41611}"/>
    <cellStyle name="Normal 12 6 5" xfId="17741" xr:uid="{542CAE69-54EF-49F9-881E-BD382D882AA4}"/>
    <cellStyle name="Normal 12 7" xfId="1183" xr:uid="{00000000-0005-0000-0000-00005E0E0000}"/>
    <cellStyle name="Normal 12 7 2" xfId="3414" xr:uid="{00000000-0005-0000-0000-00005F0E0000}"/>
    <cellStyle name="Normal 12 7 2 2" xfId="7637" xr:uid="{00000000-0005-0000-0000-0000600E0000}"/>
    <cellStyle name="Normal 12 7 2 2 2" xfId="16079" xr:uid="{6D539EB9-4F19-439C-A276-E4EC2F163F4C}"/>
    <cellStyle name="Normal 12 7 2 2 3" xfId="24516" xr:uid="{277CE48E-28FC-417D-BD2F-E2C5D22F8FC8}"/>
    <cellStyle name="Normal 12 7 2 3" xfId="11861" xr:uid="{8A5D4204-37EC-4473-BC20-34223944F26D}"/>
    <cellStyle name="Normal 12 7 2 4" xfId="20299" xr:uid="{951C5F70-4684-466D-A9E4-F41E2F12F375}"/>
    <cellStyle name="Normal 12 7 3" xfId="5492" xr:uid="{00000000-0005-0000-0000-0000610E0000}"/>
    <cellStyle name="Normal 12 7 3 2" xfId="13934" xr:uid="{85EB4FE9-9F9C-4E35-8FAC-342CC41050B1}"/>
    <cellStyle name="Normal 12 7 3 3" xfId="22371" xr:uid="{C6CBC119-9BF6-489E-A730-41F0145AE827}"/>
    <cellStyle name="Normal 12 7 4" xfId="9716" xr:uid="{1621070B-C031-40AB-BF70-86F06891AC97}"/>
    <cellStyle name="Normal 12 7 5" xfId="18154" xr:uid="{B06248CE-161C-458B-B310-090BA0592EBB}"/>
    <cellStyle name="Normal 12 8" xfId="1597" xr:uid="{00000000-0005-0000-0000-0000620E0000}"/>
    <cellStyle name="Normal 12 8 2" xfId="3827" xr:uid="{00000000-0005-0000-0000-0000630E0000}"/>
    <cellStyle name="Normal 12 8 2 2" xfId="8050" xr:uid="{00000000-0005-0000-0000-0000640E0000}"/>
    <cellStyle name="Normal 12 8 2 2 2" xfId="16492" xr:uid="{049197D7-6645-48D0-ABA6-DB635174E204}"/>
    <cellStyle name="Normal 12 8 2 2 3" xfId="24929" xr:uid="{4440BBF8-ED01-45C2-B233-E35296704998}"/>
    <cellStyle name="Normal 12 8 2 3" xfId="12274" xr:uid="{53C989B2-4783-4525-B058-CC985F6090BD}"/>
    <cellStyle name="Normal 12 8 2 4" xfId="20712" xr:uid="{1B7EE37E-07FC-438C-B83C-45EE22920836}"/>
    <cellStyle name="Normal 12 8 3" xfId="5905" xr:uid="{00000000-0005-0000-0000-0000650E0000}"/>
    <cellStyle name="Normal 12 8 3 2" xfId="14347" xr:uid="{6C3FCC59-41CA-4029-A26D-76E281CF9B5E}"/>
    <cellStyle name="Normal 12 8 3 3" xfId="22784" xr:uid="{316808F6-4B31-4EDC-8E41-503918532651}"/>
    <cellStyle name="Normal 12 8 4" xfId="10129" xr:uid="{285502E6-929B-46C3-8768-E28D6281A5C3}"/>
    <cellStyle name="Normal 12 8 5" xfId="18567" xr:uid="{CB3CE0DC-1114-4093-A80F-E6EDD969D435}"/>
    <cellStyle name="Normal 12 9" xfId="2011" xr:uid="{00000000-0005-0000-0000-0000660E0000}"/>
    <cellStyle name="Normal 12 9 2" xfId="4240" xr:uid="{00000000-0005-0000-0000-0000670E0000}"/>
    <cellStyle name="Normal 12 9 2 2" xfId="8463" xr:uid="{00000000-0005-0000-0000-0000680E0000}"/>
    <cellStyle name="Normal 12 9 2 2 2" xfId="16905" xr:uid="{305B7D45-D789-416C-B426-7BD8326F2C89}"/>
    <cellStyle name="Normal 12 9 2 2 3" xfId="25342" xr:uid="{84A71F8B-AF8E-4409-A8B5-881495F87F0C}"/>
    <cellStyle name="Normal 12 9 2 3" xfId="12687" xr:uid="{77D531FB-D502-4D09-8FCD-D7A68A0EDFFF}"/>
    <cellStyle name="Normal 12 9 2 4" xfId="21125" xr:uid="{0838945B-D2DE-4EB8-A13D-B279FB269B52}"/>
    <cellStyle name="Normal 12 9 3" xfId="6318" xr:uid="{00000000-0005-0000-0000-0000690E0000}"/>
    <cellStyle name="Normal 12 9 3 2" xfId="14760" xr:uid="{68EE18CE-9AFF-42FF-BC6D-A929C2393B62}"/>
    <cellStyle name="Normal 12 9 3 3" xfId="23197" xr:uid="{D6203262-B1D5-4E93-845E-8645FE15F3A4}"/>
    <cellStyle name="Normal 12 9 4" xfId="10542" xr:uid="{1C8C355B-2AD5-46F6-9C5E-3F233EE389E6}"/>
    <cellStyle name="Normal 12 9 5" xfId="18980" xr:uid="{88162DD9-A9D6-4F4C-A312-0469162D99BF}"/>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2 2 2" xfId="15674" xr:uid="{B47872E4-2499-4500-B9AD-0CA1113B049A}"/>
    <cellStyle name="Normal 14 2 2 2 3" xfId="24111" xr:uid="{1ABBF2F7-D076-4A34-AA23-A6D9C8F13B74}"/>
    <cellStyle name="Normal 14 2 2 3" xfId="11456" xr:uid="{DCD3D08E-A4AD-4AA3-9643-EBC7798D0D11}"/>
    <cellStyle name="Normal 14 2 2 4" xfId="19894" xr:uid="{1EE5946A-689A-4C43-ACE7-288F6495B21A}"/>
    <cellStyle name="Normal 14 2 3" xfId="5087" xr:uid="{00000000-0005-0000-0000-0000700E0000}"/>
    <cellStyle name="Normal 14 2 3 2" xfId="13529" xr:uid="{09984DB2-F677-42E9-9A08-6688DA2BAEB1}"/>
    <cellStyle name="Normal 14 2 3 3" xfId="21966" xr:uid="{7EF6959D-A2B6-43CD-A75B-5C93C694A8FC}"/>
    <cellStyle name="Normal 14 2 4" xfId="9311" xr:uid="{6BD20000-6D99-4CC0-B1A9-A07622350148}"/>
    <cellStyle name="Normal 14 2 5" xfId="17749" xr:uid="{D1E0C0B3-BD0D-4ED7-97B8-435CC859F9C5}"/>
    <cellStyle name="Normal 14 3" xfId="1191" xr:uid="{00000000-0005-0000-0000-0000710E0000}"/>
    <cellStyle name="Normal 14 3 2" xfId="3422" xr:uid="{00000000-0005-0000-0000-0000720E0000}"/>
    <cellStyle name="Normal 14 3 2 2" xfId="7645" xr:uid="{00000000-0005-0000-0000-0000730E0000}"/>
    <cellStyle name="Normal 14 3 2 2 2" xfId="16087" xr:uid="{E4E5A1FE-872C-4B93-B9B9-F6FC72FCF766}"/>
    <cellStyle name="Normal 14 3 2 2 3" xfId="24524" xr:uid="{18FF07BB-E2B6-4D1F-9835-E73E435FBEC1}"/>
    <cellStyle name="Normal 14 3 2 3" xfId="11869" xr:uid="{483FE7BA-FDF0-463D-BA1E-4F445DF71484}"/>
    <cellStyle name="Normal 14 3 2 4" xfId="20307" xr:uid="{F073F81C-20BE-41AD-9B91-CD2E26CD70F4}"/>
    <cellStyle name="Normal 14 3 3" xfId="5500" xr:uid="{00000000-0005-0000-0000-0000740E0000}"/>
    <cellStyle name="Normal 14 3 3 2" xfId="13942" xr:uid="{FA7F60C1-62A1-44C6-8844-2C9DAF8A2BBB}"/>
    <cellStyle name="Normal 14 3 3 3" xfId="22379" xr:uid="{8A1D2956-AFCA-402B-A437-F36C5334D864}"/>
    <cellStyle name="Normal 14 3 4" xfId="9724" xr:uid="{DF66AE5A-2A05-474E-A83A-22A179236A7C}"/>
    <cellStyle name="Normal 14 3 5" xfId="18162" xr:uid="{40C2BF86-1987-44D2-9057-3D51C7B7B937}"/>
    <cellStyle name="Normal 14 4" xfId="1605" xr:uid="{00000000-0005-0000-0000-0000750E0000}"/>
    <cellStyle name="Normal 14 4 2" xfId="3835" xr:uid="{00000000-0005-0000-0000-0000760E0000}"/>
    <cellStyle name="Normal 14 4 2 2" xfId="8058" xr:uid="{00000000-0005-0000-0000-0000770E0000}"/>
    <cellStyle name="Normal 14 4 2 2 2" xfId="16500" xr:uid="{E1913B35-400F-44AD-AAF1-C7F2E456DDC1}"/>
    <cellStyle name="Normal 14 4 2 2 3" xfId="24937" xr:uid="{E73969F6-55D2-49EF-B753-1C8A9657AFB7}"/>
    <cellStyle name="Normal 14 4 2 3" xfId="12282" xr:uid="{4A1B55B6-E3D7-4726-BD0E-2D7B52526A4A}"/>
    <cellStyle name="Normal 14 4 2 4" xfId="20720" xr:uid="{62CDD431-5D48-4212-B60A-6DA59DBA944C}"/>
    <cellStyle name="Normal 14 4 3" xfId="5913" xr:uid="{00000000-0005-0000-0000-0000780E0000}"/>
    <cellStyle name="Normal 14 4 3 2" xfId="14355" xr:uid="{FB1BCE38-73D5-4F71-8F74-D5269ADA7152}"/>
    <cellStyle name="Normal 14 4 3 3" xfId="22792" xr:uid="{88C50064-FCD5-4FC9-9C71-F45497A29EDB}"/>
    <cellStyle name="Normal 14 4 4" xfId="10137" xr:uid="{4703461B-7B93-4577-B8C7-94B77B7D1143}"/>
    <cellStyle name="Normal 14 4 5" xfId="18575" xr:uid="{047DED53-DA4D-4C9A-A4E8-D7CCB8A7B2B5}"/>
    <cellStyle name="Normal 14 5" xfId="2019" xr:uid="{00000000-0005-0000-0000-0000790E0000}"/>
    <cellStyle name="Normal 14 5 2" xfId="4248" xr:uid="{00000000-0005-0000-0000-00007A0E0000}"/>
    <cellStyle name="Normal 14 5 2 2" xfId="8471" xr:uid="{00000000-0005-0000-0000-00007B0E0000}"/>
    <cellStyle name="Normal 14 5 2 2 2" xfId="16913" xr:uid="{F8D16664-EAFE-41D7-BF94-55364A64E728}"/>
    <cellStyle name="Normal 14 5 2 2 3" xfId="25350" xr:uid="{79D38FC5-60A2-4EB8-93A5-FD0519F12319}"/>
    <cellStyle name="Normal 14 5 2 3" xfId="12695" xr:uid="{151CB6DF-4CFB-47DC-9949-EF054014EDCE}"/>
    <cellStyle name="Normal 14 5 2 4" xfId="21133" xr:uid="{22946760-ABE9-48A9-A650-6FE61FA3E8FC}"/>
    <cellStyle name="Normal 14 5 3" xfId="6326" xr:uid="{00000000-0005-0000-0000-00007C0E0000}"/>
    <cellStyle name="Normal 14 5 3 2" xfId="14768" xr:uid="{F9F1CC5D-818C-48F4-89FA-4C5AD3A14481}"/>
    <cellStyle name="Normal 14 5 3 3" xfId="23205" xr:uid="{1CB8B537-DD53-4F0F-82F1-2A3ECBA15B95}"/>
    <cellStyle name="Normal 14 5 4" xfId="10550" xr:uid="{EE9A345B-7EAE-470A-94C6-1C103DCB92F0}"/>
    <cellStyle name="Normal 14 5 5" xfId="18988" xr:uid="{A5252678-E74A-4E0B-98F9-9C0FC5514DB6}"/>
    <cellStyle name="Normal 14 6" xfId="2455" xr:uid="{00000000-0005-0000-0000-00007D0E0000}"/>
    <cellStyle name="Normal 14 6 2" xfId="6739" xr:uid="{00000000-0005-0000-0000-00007E0E0000}"/>
    <cellStyle name="Normal 14 6 2 2" xfId="15181" xr:uid="{ADD5E8F8-5B02-4627-B48E-3FE219F3A054}"/>
    <cellStyle name="Normal 14 6 2 3" xfId="23618" xr:uid="{0493CA15-6FB1-43C4-B4F2-A6F7A9807BE7}"/>
    <cellStyle name="Normal 14 6 3" xfId="10963" xr:uid="{1A84A1F9-FBC1-4573-ACE8-1AA6428B5351}"/>
    <cellStyle name="Normal 14 6 4" xfId="19401" xr:uid="{39DDE151-BC0A-494A-AB44-8FFDD5724CDE}"/>
    <cellStyle name="Normal 14 7" xfId="4673" xr:uid="{00000000-0005-0000-0000-00007F0E0000}"/>
    <cellStyle name="Normal 14 7 2" xfId="13115" xr:uid="{CB5784A4-98F2-4FC3-A682-E568CA349EA8}"/>
    <cellStyle name="Normal 14 7 3" xfId="21552" xr:uid="{ED3BE07E-D104-4DC6-B722-D22693BDEF70}"/>
    <cellStyle name="Normal 14 8" xfId="8897" xr:uid="{DCADCDF9-C28B-46A7-B97C-AF76B0263767}"/>
    <cellStyle name="Normal 14 9" xfId="17335" xr:uid="{0649D906-C3AC-4F21-AADC-2A096651EDF8}"/>
    <cellStyle name="Normal 15" xfId="4496" xr:uid="{00000000-0005-0000-0000-0000800E0000}"/>
    <cellStyle name="Normal 15 2" xfId="12941" xr:uid="{CFC8AE13-67B1-4ABE-BBDF-52D28C2D292F}"/>
    <cellStyle name="Normal 15 3" xfId="21378" xr:uid="{2AF1323B-0F20-4E27-947D-E6F7827E1572}"/>
    <cellStyle name="Normal 16" xfId="4500" xr:uid="{00000000-0005-0000-0000-0000810E0000}"/>
    <cellStyle name="Normal 16 2" xfId="8716" xr:uid="{00000000-0005-0000-0000-0000820E0000}"/>
    <cellStyle name="Normal 16 2 2" xfId="17158" xr:uid="{B0D8B7ED-AF34-44D1-86EF-4B0918A2A34A}"/>
    <cellStyle name="Normal 16 2 3" xfId="25595" xr:uid="{68B89104-210E-406F-9854-C580A755BA87}"/>
    <cellStyle name="Normal 16 3" xfId="8719" xr:uid="{3DE1BEEB-61FA-4094-B10F-9E0444F68763}"/>
    <cellStyle name="Normal 16 3 2" xfId="8723" xr:uid="{FE0BC069-4698-40B2-814D-8E09719245E9}"/>
    <cellStyle name="Normal 16 3 2 2" xfId="8726" xr:uid="{D3E9609F-293A-4CFC-B194-1FF2F92D621D}"/>
    <cellStyle name="Normal 16 3 2 3" xfId="17164" xr:uid="{AFF20562-DC28-44FF-92DB-52BCD1E9FAD5}"/>
    <cellStyle name="Normal 16 3 2 4" xfId="25601" xr:uid="{85F7D89A-A3E8-4909-8263-281137A31637}"/>
    <cellStyle name="Normal 16 3 3" xfId="17161" xr:uid="{053C8436-B64B-425B-BFF9-E62841EFE6B5}"/>
    <cellStyle name="Normal 16 3 4" xfId="25598" xr:uid="{32C9E300-627A-4578-A55A-AFED394ADE10}"/>
    <cellStyle name="Normal 16 4" xfId="12944" xr:uid="{73175CFA-A180-43F6-93C1-5FC39C1AB9FD}"/>
    <cellStyle name="Normal 16 5" xfId="21381" xr:uid="{1B5F8479-570D-403B-8C5B-36BBE2F5E2CF}"/>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2 2 2" xfId="16914" xr:uid="{87760613-83EE-431B-A4D6-7E4D294A8161}"/>
    <cellStyle name="Normal 2 4 2 10 2 2 3" xfId="25351" xr:uid="{D360C0FA-125D-49C7-A77F-74B66731207E}"/>
    <cellStyle name="Normal 2 4 2 10 2 3" xfId="12696" xr:uid="{3B3C46DC-B345-4FF9-86C9-ACE665AE0662}"/>
    <cellStyle name="Normal 2 4 2 10 2 4" xfId="21134" xr:uid="{84D095F7-F159-4FF2-8234-856B8EB32934}"/>
    <cellStyle name="Normal 2 4 2 10 3" xfId="6327" xr:uid="{00000000-0005-0000-0000-0000910E0000}"/>
    <cellStyle name="Normal 2 4 2 10 3 2" xfId="14769" xr:uid="{8A1416D1-1F8C-408B-B3FC-FD7D9C57455E}"/>
    <cellStyle name="Normal 2 4 2 10 3 3" xfId="23206" xr:uid="{8EA31282-8BD7-49F3-BDE5-B6D0B31F63B2}"/>
    <cellStyle name="Normal 2 4 2 10 4" xfId="10551" xr:uid="{9DFD17F7-39C2-488F-AA90-532292F53747}"/>
    <cellStyle name="Normal 2 4 2 10 5" xfId="18989" xr:uid="{18BF7507-934F-4241-96FB-BA5C1EADB599}"/>
    <cellStyle name="Normal 2 4 2 11" xfId="2456" xr:uid="{00000000-0005-0000-0000-0000920E0000}"/>
    <cellStyle name="Normal 2 4 2 11 2" xfId="6740" xr:uid="{00000000-0005-0000-0000-0000930E0000}"/>
    <cellStyle name="Normal 2 4 2 11 2 2" xfId="15182" xr:uid="{DDF54179-C522-4807-80A8-CD7A7BDC6E12}"/>
    <cellStyle name="Normal 2 4 2 11 2 3" xfId="23619" xr:uid="{AED3A6A5-5C2F-4C86-B66F-FCB0FBF4B61F}"/>
    <cellStyle name="Normal 2 4 2 11 3" xfId="10964" xr:uid="{5B110D1D-B3A8-4071-846A-C673BCF339CF}"/>
    <cellStyle name="Normal 2 4 2 11 4" xfId="19402" xr:uid="{D529ED7F-143A-4FCD-818D-DB3C969F8476}"/>
    <cellStyle name="Normal 2 4 2 12" xfId="4674" xr:uid="{00000000-0005-0000-0000-0000940E0000}"/>
    <cellStyle name="Normal 2 4 2 12 2" xfId="13116" xr:uid="{B74E005B-ED33-4ABF-84DD-CC54A674700B}"/>
    <cellStyle name="Normal 2 4 2 12 3" xfId="21553" xr:uid="{AA6E9544-3115-4930-9DDD-5B6857BEEF70}"/>
    <cellStyle name="Normal 2 4 2 13" xfId="8898" xr:uid="{AEF3DAE2-68BC-451E-B082-579059C02F7A}"/>
    <cellStyle name="Normal 2 4 2 14" xfId="17336" xr:uid="{3EB4B145-13E6-4776-9E82-ABF1DBD1970D}"/>
    <cellStyle name="Normal 2 4 2 2" xfId="280" xr:uid="{00000000-0005-0000-0000-0000950E0000}"/>
    <cellStyle name="Normal 2 4 2 3" xfId="281" xr:uid="{00000000-0005-0000-0000-0000960E0000}"/>
    <cellStyle name="Normal 2 4 2 3 10" xfId="4675" xr:uid="{00000000-0005-0000-0000-0000970E0000}"/>
    <cellStyle name="Normal 2 4 2 3 10 2" xfId="13117" xr:uid="{3281961F-60A4-4AF0-8BA7-D840900B6D6D}"/>
    <cellStyle name="Normal 2 4 2 3 10 3" xfId="21554" xr:uid="{A6FD51B7-4E0E-4CF5-AA0C-28D88AEB2BE4}"/>
    <cellStyle name="Normal 2 4 2 3 11" xfId="8899" xr:uid="{47F7073E-15F2-442C-8E08-D8D61DF115CA}"/>
    <cellStyle name="Normal 2 4 2 3 12" xfId="17337" xr:uid="{A07E9F43-F0EB-4422-929E-8B1C05865538}"/>
    <cellStyle name="Normal 2 4 2 3 2" xfId="282" xr:uid="{00000000-0005-0000-0000-0000980E0000}"/>
    <cellStyle name="Normal 2 4 2 3 2 10" xfId="8900" xr:uid="{C3A6BC1B-2617-4FF6-B3BA-B316A7750E27}"/>
    <cellStyle name="Normal 2 4 2 3 2 11" xfId="17338" xr:uid="{633F6144-F8FC-4DDB-B1D7-C1BAF654DE8A}"/>
    <cellStyle name="Normal 2 4 2 3 2 2" xfId="283" xr:uid="{00000000-0005-0000-0000-0000990E0000}"/>
    <cellStyle name="Normal 2 4 2 3 2 2 10" xfId="17339" xr:uid="{AF4100F8-9B8D-4C28-ADC6-D311EA41755F}"/>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2 2 2" xfId="15679" xr:uid="{DC87BE4D-DF09-4DA6-9036-380C9B90F666}"/>
    <cellStyle name="Normal 2 4 2 3 2 2 2 2 2 2 3" xfId="24116" xr:uid="{64220F30-CD14-4BC7-995B-30AC4590D345}"/>
    <cellStyle name="Normal 2 4 2 3 2 2 2 2 2 3" xfId="11461" xr:uid="{0DB93A8E-7E6B-4DD1-A381-7B42E17C3301}"/>
    <cellStyle name="Normal 2 4 2 3 2 2 2 2 2 4" xfId="19899" xr:uid="{ED1F9004-427B-477F-9BB7-5E156807D97B}"/>
    <cellStyle name="Normal 2 4 2 3 2 2 2 2 3" xfId="5092" xr:uid="{00000000-0005-0000-0000-00009E0E0000}"/>
    <cellStyle name="Normal 2 4 2 3 2 2 2 2 3 2" xfId="13534" xr:uid="{86A336A6-EE9F-44BD-9FCB-4EB95E272F6B}"/>
    <cellStyle name="Normal 2 4 2 3 2 2 2 2 3 3" xfId="21971" xr:uid="{43A14CFD-190D-4362-B4B9-780811DEF5C6}"/>
    <cellStyle name="Normal 2 4 2 3 2 2 2 2 4" xfId="9316" xr:uid="{224BE470-816A-4E7A-A024-805FD1DD6EB6}"/>
    <cellStyle name="Normal 2 4 2 3 2 2 2 2 5" xfId="17754" xr:uid="{B8369BA9-7850-48DD-A263-93EE2B937439}"/>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2 2 2" xfId="16092" xr:uid="{88AB031F-3019-46FF-8623-182FE218A73E}"/>
    <cellStyle name="Normal 2 4 2 3 2 2 2 3 2 2 3" xfId="24529" xr:uid="{272412EB-F179-4211-B2C0-CC26C71898F4}"/>
    <cellStyle name="Normal 2 4 2 3 2 2 2 3 2 3" xfId="11874" xr:uid="{EC84CDA5-E562-4F20-B8D0-D56B413A7E4C}"/>
    <cellStyle name="Normal 2 4 2 3 2 2 2 3 2 4" xfId="20312" xr:uid="{08FC0A92-D123-40C1-90B8-6C8CF1BF544F}"/>
    <cellStyle name="Normal 2 4 2 3 2 2 2 3 3" xfId="5505" xr:uid="{00000000-0005-0000-0000-0000A20E0000}"/>
    <cellStyle name="Normal 2 4 2 3 2 2 2 3 3 2" xfId="13947" xr:uid="{1E2F6BBF-131F-4805-AAC5-223790CC125F}"/>
    <cellStyle name="Normal 2 4 2 3 2 2 2 3 3 3" xfId="22384" xr:uid="{FA8B08E1-0C01-4538-B764-DEE2C13BE685}"/>
    <cellStyle name="Normal 2 4 2 3 2 2 2 3 4" xfId="9729" xr:uid="{115DF2B9-F40B-4C45-A8CF-29C341D842A4}"/>
    <cellStyle name="Normal 2 4 2 3 2 2 2 3 5" xfId="18167" xr:uid="{66418CC9-D534-4EA5-9509-134FAB39095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2 2 2" xfId="16505" xr:uid="{D9AC03F8-D18E-4D32-BB4D-09D724F3256C}"/>
    <cellStyle name="Normal 2 4 2 3 2 2 2 4 2 2 3" xfId="24942" xr:uid="{A47CC25F-098E-47A6-A2E3-213FE6629366}"/>
    <cellStyle name="Normal 2 4 2 3 2 2 2 4 2 3" xfId="12287" xr:uid="{5DDD6AB2-BE95-46AF-9A8B-8FB87CCDA7C1}"/>
    <cellStyle name="Normal 2 4 2 3 2 2 2 4 2 4" xfId="20725" xr:uid="{3C87B78B-E58D-47ED-BB4B-FBD16D62ACFA}"/>
    <cellStyle name="Normal 2 4 2 3 2 2 2 4 3" xfId="5918" xr:uid="{00000000-0005-0000-0000-0000A60E0000}"/>
    <cellStyle name="Normal 2 4 2 3 2 2 2 4 3 2" xfId="14360" xr:uid="{509CF269-073D-4E9C-A284-782446668865}"/>
    <cellStyle name="Normal 2 4 2 3 2 2 2 4 3 3" xfId="22797" xr:uid="{E67435AB-D94B-433A-BDE8-1DE9F9FB03B1}"/>
    <cellStyle name="Normal 2 4 2 3 2 2 2 4 4" xfId="10142" xr:uid="{C28B4D1C-9F8D-4BC8-8B5F-B72298F3E466}"/>
    <cellStyle name="Normal 2 4 2 3 2 2 2 4 5" xfId="18580" xr:uid="{4021DF51-612A-4982-9C7D-441D52D095C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2 2 2" xfId="16918" xr:uid="{21102ABA-364F-4D90-8163-4DB4B597C4DD}"/>
    <cellStyle name="Normal 2 4 2 3 2 2 2 5 2 2 3" xfId="25355" xr:uid="{229A21F1-DE81-437A-A475-871567F52BED}"/>
    <cellStyle name="Normal 2 4 2 3 2 2 2 5 2 3" xfId="12700" xr:uid="{9A8A6EFA-B981-4087-BC6C-EB1EE20CD32B}"/>
    <cellStyle name="Normal 2 4 2 3 2 2 2 5 2 4" xfId="21138" xr:uid="{7E7637E0-31E7-4FFF-B800-F74F69608367}"/>
    <cellStyle name="Normal 2 4 2 3 2 2 2 5 3" xfId="6331" xr:uid="{00000000-0005-0000-0000-0000AA0E0000}"/>
    <cellStyle name="Normal 2 4 2 3 2 2 2 5 3 2" xfId="14773" xr:uid="{3FC39B98-0B7A-4373-B81A-9759B8CE5203}"/>
    <cellStyle name="Normal 2 4 2 3 2 2 2 5 3 3" xfId="23210" xr:uid="{1A689FB5-789E-4282-A20F-873EFDED7044}"/>
    <cellStyle name="Normal 2 4 2 3 2 2 2 5 4" xfId="10555" xr:uid="{DE0A53BD-13DC-47BF-A223-1A6BAD11939D}"/>
    <cellStyle name="Normal 2 4 2 3 2 2 2 5 5" xfId="18993" xr:uid="{8007541C-947E-41F4-8047-2A5DF5F88EFB}"/>
    <cellStyle name="Normal 2 4 2 3 2 2 2 6" xfId="2460" xr:uid="{00000000-0005-0000-0000-0000AB0E0000}"/>
    <cellStyle name="Normal 2 4 2 3 2 2 2 6 2" xfId="6744" xr:uid="{00000000-0005-0000-0000-0000AC0E0000}"/>
    <cellStyle name="Normal 2 4 2 3 2 2 2 6 2 2" xfId="15186" xr:uid="{6639F8FB-A5A8-4277-9688-A2A3DD7A5691}"/>
    <cellStyle name="Normal 2 4 2 3 2 2 2 6 2 3" xfId="23623" xr:uid="{C0871735-95CA-4A82-8528-8496FE9D3B31}"/>
    <cellStyle name="Normal 2 4 2 3 2 2 2 6 3" xfId="10968" xr:uid="{0DB4372E-7BBC-4FB1-AF25-6B6F667BFD8A}"/>
    <cellStyle name="Normal 2 4 2 3 2 2 2 6 4" xfId="19406" xr:uid="{4C58756D-58B0-4C0E-8313-249FBA4DE124}"/>
    <cellStyle name="Normal 2 4 2 3 2 2 2 7" xfId="4678" xr:uid="{00000000-0005-0000-0000-0000AD0E0000}"/>
    <cellStyle name="Normal 2 4 2 3 2 2 2 7 2" xfId="13120" xr:uid="{05AE59EA-EF3A-4FD9-8DEC-E3EEAD650E25}"/>
    <cellStyle name="Normal 2 4 2 3 2 2 2 7 3" xfId="21557" xr:uid="{EB950719-FC89-44F3-851B-ED514546A49B}"/>
    <cellStyle name="Normal 2 4 2 3 2 2 2 8" xfId="8902" xr:uid="{B9D81BFE-4E43-444D-978B-E88347D0059B}"/>
    <cellStyle name="Normal 2 4 2 3 2 2 2 9" xfId="17340" xr:uid="{A9D079B3-65FB-4B87-9A41-CA2E5358FBB2}"/>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2 2 2" xfId="15678" xr:uid="{6EA6A7EB-53FD-438C-9786-729EA79E8ED1}"/>
    <cellStyle name="Normal 2 4 2 3 2 2 3 2 2 3" xfId="24115" xr:uid="{023B6F15-80E8-4F31-A13F-C3A263A784B1}"/>
    <cellStyle name="Normal 2 4 2 3 2 2 3 2 3" xfId="11460" xr:uid="{4637FAAB-B428-468C-B4E8-21E050142BD3}"/>
    <cellStyle name="Normal 2 4 2 3 2 2 3 2 4" xfId="19898" xr:uid="{D3CA3B47-6624-46CA-BA48-679A0A209D4D}"/>
    <cellStyle name="Normal 2 4 2 3 2 2 3 3" xfId="5091" xr:uid="{00000000-0005-0000-0000-0000B10E0000}"/>
    <cellStyle name="Normal 2 4 2 3 2 2 3 3 2" xfId="13533" xr:uid="{4AA43DE5-398B-49FA-9854-C08CF8EA47FF}"/>
    <cellStyle name="Normal 2 4 2 3 2 2 3 3 3" xfId="21970" xr:uid="{73F9FDA1-0F2C-4797-8EDC-868D6F971CD6}"/>
    <cellStyle name="Normal 2 4 2 3 2 2 3 4" xfId="9315" xr:uid="{358E86A9-47CD-431A-AEF6-AC907D02912B}"/>
    <cellStyle name="Normal 2 4 2 3 2 2 3 5" xfId="17753" xr:uid="{A4944328-9393-4DB9-8C2F-5CEC9ACA10DB}"/>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2 2 2" xfId="16091" xr:uid="{7F7E3E0C-A543-4AA5-9261-7A0E57427D56}"/>
    <cellStyle name="Normal 2 4 2 3 2 2 4 2 2 3" xfId="24528" xr:uid="{0633F50B-57E2-4959-AECC-169E0D3B7E55}"/>
    <cellStyle name="Normal 2 4 2 3 2 2 4 2 3" xfId="11873" xr:uid="{0A3C6902-7224-4CAF-AE09-B5AB30D499A6}"/>
    <cellStyle name="Normal 2 4 2 3 2 2 4 2 4" xfId="20311" xr:uid="{59DFB060-3A22-4C72-AF73-3A3F119CF776}"/>
    <cellStyle name="Normal 2 4 2 3 2 2 4 3" xfId="5504" xr:uid="{00000000-0005-0000-0000-0000B50E0000}"/>
    <cellStyle name="Normal 2 4 2 3 2 2 4 3 2" xfId="13946" xr:uid="{2727AEC8-1594-486A-B8F4-41987D6BE77A}"/>
    <cellStyle name="Normal 2 4 2 3 2 2 4 3 3" xfId="22383" xr:uid="{D84B0386-6899-4B9A-8179-CA1CFEE32D92}"/>
    <cellStyle name="Normal 2 4 2 3 2 2 4 4" xfId="9728" xr:uid="{89B01E3F-4F89-4AB6-949C-FC20CDCB7C50}"/>
    <cellStyle name="Normal 2 4 2 3 2 2 4 5" xfId="18166" xr:uid="{DAFF824A-614A-4BEE-9059-343D14DB8764}"/>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2 2 2" xfId="16504" xr:uid="{FC047CF6-EE42-44CA-832D-2FE446D7D987}"/>
    <cellStyle name="Normal 2 4 2 3 2 2 5 2 2 3" xfId="24941" xr:uid="{F87FE083-25CA-4F1D-B70F-F0D95CCB9238}"/>
    <cellStyle name="Normal 2 4 2 3 2 2 5 2 3" xfId="12286" xr:uid="{F97C88CE-7023-440A-B5E5-94896B29EEE0}"/>
    <cellStyle name="Normal 2 4 2 3 2 2 5 2 4" xfId="20724" xr:uid="{B9F19492-CF9B-4DB4-9682-E0A8466650A0}"/>
    <cellStyle name="Normal 2 4 2 3 2 2 5 3" xfId="5917" xr:uid="{00000000-0005-0000-0000-0000B90E0000}"/>
    <cellStyle name="Normal 2 4 2 3 2 2 5 3 2" xfId="14359" xr:uid="{2D9DDDD8-A8A2-4946-BD4A-53830B6D751E}"/>
    <cellStyle name="Normal 2 4 2 3 2 2 5 3 3" xfId="22796" xr:uid="{30EE91D4-B83D-4DC8-BA31-A5E283EE65DE}"/>
    <cellStyle name="Normal 2 4 2 3 2 2 5 4" xfId="10141" xr:uid="{96422F74-A224-4746-908D-A802B89A678D}"/>
    <cellStyle name="Normal 2 4 2 3 2 2 5 5" xfId="18579" xr:uid="{F7D102D8-F96E-4F59-BE47-FD83C3876267}"/>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2 2 2" xfId="16917" xr:uid="{C35D6031-7197-489F-B558-84ECADB27A6E}"/>
    <cellStyle name="Normal 2 4 2 3 2 2 6 2 2 3" xfId="25354" xr:uid="{84BCC77F-63C4-4377-B96D-F6C29A49B83F}"/>
    <cellStyle name="Normal 2 4 2 3 2 2 6 2 3" xfId="12699" xr:uid="{A13D2B6F-0E28-49B8-94C6-FC57773A92B8}"/>
    <cellStyle name="Normal 2 4 2 3 2 2 6 2 4" xfId="21137" xr:uid="{14AC18DA-420E-458A-8048-8B3BD2B2BA08}"/>
    <cellStyle name="Normal 2 4 2 3 2 2 6 3" xfId="6330" xr:uid="{00000000-0005-0000-0000-0000BD0E0000}"/>
    <cellStyle name="Normal 2 4 2 3 2 2 6 3 2" xfId="14772" xr:uid="{15A54E8F-7321-4A69-850D-64B32AD7D3FA}"/>
    <cellStyle name="Normal 2 4 2 3 2 2 6 3 3" xfId="23209" xr:uid="{3A3DD02D-4B14-404A-B19F-288A67CCA48D}"/>
    <cellStyle name="Normal 2 4 2 3 2 2 6 4" xfId="10554" xr:uid="{72F79298-3039-48E2-978B-9625D7186CEC}"/>
    <cellStyle name="Normal 2 4 2 3 2 2 6 5" xfId="18992" xr:uid="{41CA2BA4-0964-4F75-8224-B63011CA252C}"/>
    <cellStyle name="Normal 2 4 2 3 2 2 7" xfId="2459" xr:uid="{00000000-0005-0000-0000-0000BE0E0000}"/>
    <cellStyle name="Normal 2 4 2 3 2 2 7 2" xfId="6743" xr:uid="{00000000-0005-0000-0000-0000BF0E0000}"/>
    <cellStyle name="Normal 2 4 2 3 2 2 7 2 2" xfId="15185" xr:uid="{1E6CD30B-8488-48D9-8F5F-1AF067EE24A6}"/>
    <cellStyle name="Normal 2 4 2 3 2 2 7 2 3" xfId="23622" xr:uid="{FA5B0890-2AC8-465F-B53D-016AA5D3B3D7}"/>
    <cellStyle name="Normal 2 4 2 3 2 2 7 3" xfId="10967" xr:uid="{987CAEB9-EBC5-4CCA-BC36-1EFAD03AFA8A}"/>
    <cellStyle name="Normal 2 4 2 3 2 2 7 4" xfId="19405" xr:uid="{5617356D-01DF-42A2-8361-71C5B8B53C25}"/>
    <cellStyle name="Normal 2 4 2 3 2 2 8" xfId="4677" xr:uid="{00000000-0005-0000-0000-0000C00E0000}"/>
    <cellStyle name="Normal 2 4 2 3 2 2 8 2" xfId="13119" xr:uid="{9088E861-C57D-4FC8-9157-46C0EFD0B0B5}"/>
    <cellStyle name="Normal 2 4 2 3 2 2 8 3" xfId="21556" xr:uid="{DB3F26ED-62B5-4892-BE5D-F61EAEE4E432}"/>
    <cellStyle name="Normal 2 4 2 3 2 2 9" xfId="8901" xr:uid="{2F5A106C-17B5-4889-8014-829A18E7599A}"/>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2 2 2" xfId="15680" xr:uid="{3BCEB267-0671-46F8-88A2-55745B130DD7}"/>
    <cellStyle name="Normal 2 4 2 3 2 3 2 2 2 3" xfId="24117" xr:uid="{C6143F08-ED18-4411-BB60-4F039A4E487D}"/>
    <cellStyle name="Normal 2 4 2 3 2 3 2 2 3" xfId="11462" xr:uid="{CF14CAEC-7BA0-4F5E-9B8A-AF52692BB8DC}"/>
    <cellStyle name="Normal 2 4 2 3 2 3 2 2 4" xfId="19900" xr:uid="{9487008F-6F5E-417F-A4F9-377916D3885D}"/>
    <cellStyle name="Normal 2 4 2 3 2 3 2 3" xfId="5093" xr:uid="{00000000-0005-0000-0000-0000C50E0000}"/>
    <cellStyle name="Normal 2 4 2 3 2 3 2 3 2" xfId="13535" xr:uid="{9E246108-A680-4B88-ACC4-1522485420CE}"/>
    <cellStyle name="Normal 2 4 2 3 2 3 2 3 3" xfId="21972" xr:uid="{2D6BC593-78DD-4905-9D24-544BC87D7BBE}"/>
    <cellStyle name="Normal 2 4 2 3 2 3 2 4" xfId="9317" xr:uid="{AE36306F-A9CA-4247-A3B1-BCC9BB02258F}"/>
    <cellStyle name="Normal 2 4 2 3 2 3 2 5" xfId="17755" xr:uid="{11A9A650-FB0C-4843-BEFB-093CEE814613}"/>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2 2 2" xfId="16093" xr:uid="{DF46272E-8081-49ED-9890-9A1E76A74E15}"/>
    <cellStyle name="Normal 2 4 2 3 2 3 3 2 2 3" xfId="24530" xr:uid="{F0B587E9-586C-4518-A762-39C76F9AA639}"/>
    <cellStyle name="Normal 2 4 2 3 2 3 3 2 3" xfId="11875" xr:uid="{74211398-A721-497D-AD3E-960E46D8528F}"/>
    <cellStyle name="Normal 2 4 2 3 2 3 3 2 4" xfId="20313" xr:uid="{29E0E2C2-2458-4D46-A298-885D26AC6E14}"/>
    <cellStyle name="Normal 2 4 2 3 2 3 3 3" xfId="5506" xr:uid="{00000000-0005-0000-0000-0000C90E0000}"/>
    <cellStyle name="Normal 2 4 2 3 2 3 3 3 2" xfId="13948" xr:uid="{5EA98FCE-D074-4BB3-841B-8D3DD642BA76}"/>
    <cellStyle name="Normal 2 4 2 3 2 3 3 3 3" xfId="22385" xr:uid="{F7272AE4-E802-43DB-A59A-142A19468728}"/>
    <cellStyle name="Normal 2 4 2 3 2 3 3 4" xfId="9730" xr:uid="{BB621DB2-825F-4398-94D4-2564477C81FC}"/>
    <cellStyle name="Normal 2 4 2 3 2 3 3 5" xfId="18168" xr:uid="{13B68859-A0FD-4A83-9968-80C47ED1EF5D}"/>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2 2 2" xfId="16506" xr:uid="{C801E805-08C0-4AF5-B72C-72768751ADDC}"/>
    <cellStyle name="Normal 2 4 2 3 2 3 4 2 2 3" xfId="24943" xr:uid="{3851F503-B805-427A-845B-47F831A82893}"/>
    <cellStyle name="Normal 2 4 2 3 2 3 4 2 3" xfId="12288" xr:uid="{CCB0A0FD-2BFC-4626-9B79-A49164D3546A}"/>
    <cellStyle name="Normal 2 4 2 3 2 3 4 2 4" xfId="20726" xr:uid="{FC500BFF-4112-48BC-8E0D-78F831B61ADA}"/>
    <cellStyle name="Normal 2 4 2 3 2 3 4 3" xfId="5919" xr:uid="{00000000-0005-0000-0000-0000CD0E0000}"/>
    <cellStyle name="Normal 2 4 2 3 2 3 4 3 2" xfId="14361" xr:uid="{A5E426BD-0634-437D-BBE2-FA80E6611955}"/>
    <cellStyle name="Normal 2 4 2 3 2 3 4 3 3" xfId="22798" xr:uid="{27941315-48E2-453F-80AE-6AE56E2533F1}"/>
    <cellStyle name="Normal 2 4 2 3 2 3 4 4" xfId="10143" xr:uid="{63411E8A-1E6D-42D8-B514-474CAF85D3A8}"/>
    <cellStyle name="Normal 2 4 2 3 2 3 4 5" xfId="18581" xr:uid="{5FEA5E74-B720-4161-82D7-73EC4F6E20E4}"/>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2 2 2" xfId="16919" xr:uid="{A92F4B6E-DC74-4B9B-999D-1476AED16E05}"/>
    <cellStyle name="Normal 2 4 2 3 2 3 5 2 2 3" xfId="25356" xr:uid="{689A4173-B3CA-49D0-B907-F220C94EC67E}"/>
    <cellStyle name="Normal 2 4 2 3 2 3 5 2 3" xfId="12701" xr:uid="{F4C27A10-FEFD-4EC6-8D9F-19D0C3D06853}"/>
    <cellStyle name="Normal 2 4 2 3 2 3 5 2 4" xfId="21139" xr:uid="{42C683F3-78BE-4AE0-9360-3F45E6E5E2DB}"/>
    <cellStyle name="Normal 2 4 2 3 2 3 5 3" xfId="6332" xr:uid="{00000000-0005-0000-0000-0000D10E0000}"/>
    <cellStyle name="Normal 2 4 2 3 2 3 5 3 2" xfId="14774" xr:uid="{357246BC-3068-45AB-9659-B2B329EFEF49}"/>
    <cellStyle name="Normal 2 4 2 3 2 3 5 3 3" xfId="23211" xr:uid="{DC1285FB-388F-4AA6-BBFD-9DE8D46A0B0C}"/>
    <cellStyle name="Normal 2 4 2 3 2 3 5 4" xfId="10556" xr:uid="{19C7AEBC-5BE9-4E15-94ED-053B708984FB}"/>
    <cellStyle name="Normal 2 4 2 3 2 3 5 5" xfId="18994" xr:uid="{020BBBD1-5E7D-48B6-BAE2-86A9D15A145C}"/>
    <cellStyle name="Normal 2 4 2 3 2 3 6" xfId="2461" xr:uid="{00000000-0005-0000-0000-0000D20E0000}"/>
    <cellStyle name="Normal 2 4 2 3 2 3 6 2" xfId="6745" xr:uid="{00000000-0005-0000-0000-0000D30E0000}"/>
    <cellStyle name="Normal 2 4 2 3 2 3 6 2 2" xfId="15187" xr:uid="{4BF7E013-CC14-4D6A-BB0A-43EF99D4A0C3}"/>
    <cellStyle name="Normal 2 4 2 3 2 3 6 2 3" xfId="23624" xr:uid="{6118AB94-2F1C-4F67-8D0D-16ED3C20A670}"/>
    <cellStyle name="Normal 2 4 2 3 2 3 6 3" xfId="10969" xr:uid="{3F828547-DD35-4762-871B-9FB204CEBB89}"/>
    <cellStyle name="Normal 2 4 2 3 2 3 6 4" xfId="19407" xr:uid="{A2CFA2E4-DF4E-4375-B3C8-91CD4513A5AD}"/>
    <cellStyle name="Normal 2 4 2 3 2 3 7" xfId="4679" xr:uid="{00000000-0005-0000-0000-0000D40E0000}"/>
    <cellStyle name="Normal 2 4 2 3 2 3 7 2" xfId="13121" xr:uid="{945CC422-E19E-4C16-A1FF-3FEF8D32CDDB}"/>
    <cellStyle name="Normal 2 4 2 3 2 3 7 3" xfId="21558" xr:uid="{6EA12371-B803-45B3-B6C6-8B5CF835305C}"/>
    <cellStyle name="Normal 2 4 2 3 2 3 8" xfId="8903" xr:uid="{327EBB27-D9CD-43C0-BEAF-5B7D53979D94}"/>
    <cellStyle name="Normal 2 4 2 3 2 3 9" xfId="17341" xr:uid="{FA574F2A-6E0F-4B9D-AE5D-3A2907EED004}"/>
    <cellStyle name="Normal 2 4 2 3 2 4" xfId="773" xr:uid="{00000000-0005-0000-0000-0000D50E0000}"/>
    <cellStyle name="Normal 2 4 2 3 2 4 2" xfId="3012" xr:uid="{00000000-0005-0000-0000-0000D60E0000}"/>
    <cellStyle name="Normal 2 4 2 3 2 4 2 2" xfId="7235" xr:uid="{00000000-0005-0000-0000-0000D70E0000}"/>
    <cellStyle name="Normal 2 4 2 3 2 4 2 2 2" xfId="15677" xr:uid="{9B69AAFF-0C1C-44C7-BAF6-6D6E36F07AA1}"/>
    <cellStyle name="Normal 2 4 2 3 2 4 2 2 3" xfId="24114" xr:uid="{7B6452A5-DB5F-4150-AB0A-83174BC8691D}"/>
    <cellStyle name="Normal 2 4 2 3 2 4 2 3" xfId="11459" xr:uid="{E2A34388-55D8-483F-B54C-1A2708EB104D}"/>
    <cellStyle name="Normal 2 4 2 3 2 4 2 4" xfId="19897" xr:uid="{9E8F44AA-68D4-40D6-8957-EAA61F37CB87}"/>
    <cellStyle name="Normal 2 4 2 3 2 4 3" xfId="5090" xr:uid="{00000000-0005-0000-0000-0000D80E0000}"/>
    <cellStyle name="Normal 2 4 2 3 2 4 3 2" xfId="13532" xr:uid="{04DA34B2-C34B-478E-8F73-0DE6FE043FA6}"/>
    <cellStyle name="Normal 2 4 2 3 2 4 3 3" xfId="21969" xr:uid="{49B19A8D-ABBD-4FA3-87F9-D3CD22CC4BF1}"/>
    <cellStyle name="Normal 2 4 2 3 2 4 4" xfId="9314" xr:uid="{24DE45C1-0E48-4716-A971-DC1D3DFBF254}"/>
    <cellStyle name="Normal 2 4 2 3 2 4 5" xfId="17752" xr:uid="{FCC5B31E-924E-4295-B5AF-15F7D5132B6E}"/>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2 2 2" xfId="16090" xr:uid="{2E553A09-614A-424C-92B6-BD65C42DEE0D}"/>
    <cellStyle name="Normal 2 4 2 3 2 5 2 2 3" xfId="24527" xr:uid="{71DA19BA-46D2-4223-9F1E-9B8FDB34163D}"/>
    <cellStyle name="Normal 2 4 2 3 2 5 2 3" xfId="11872" xr:uid="{5DB9A9D3-7942-4A3A-AFC2-DE07C3446FE7}"/>
    <cellStyle name="Normal 2 4 2 3 2 5 2 4" xfId="20310" xr:uid="{3CE5EA9F-846E-4C9C-BB38-E8F0226D1FA8}"/>
    <cellStyle name="Normal 2 4 2 3 2 5 3" xfId="5503" xr:uid="{00000000-0005-0000-0000-0000DC0E0000}"/>
    <cellStyle name="Normal 2 4 2 3 2 5 3 2" xfId="13945" xr:uid="{DF4A4533-1170-41E9-AAD2-B8060B196352}"/>
    <cellStyle name="Normal 2 4 2 3 2 5 3 3" xfId="22382" xr:uid="{F7AE4126-04D7-4071-801A-3E21993BC003}"/>
    <cellStyle name="Normal 2 4 2 3 2 5 4" xfId="9727" xr:uid="{B50A9440-F779-4244-A564-4AC8056E55D0}"/>
    <cellStyle name="Normal 2 4 2 3 2 5 5" xfId="18165" xr:uid="{9414F009-8F0A-47AE-8326-C76FF316F59B}"/>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2 2 2" xfId="16503" xr:uid="{D7F30566-C338-4BA5-B09B-F5E194EDDE6D}"/>
    <cellStyle name="Normal 2 4 2 3 2 6 2 2 3" xfId="24940" xr:uid="{FE64B798-8B18-428F-9B21-680AFDA5A73E}"/>
    <cellStyle name="Normal 2 4 2 3 2 6 2 3" xfId="12285" xr:uid="{28FE8C83-0A0D-4A32-B857-82462F4C1767}"/>
    <cellStyle name="Normal 2 4 2 3 2 6 2 4" xfId="20723" xr:uid="{2AFFEDE9-07A6-42E5-B9C2-F60695B5B104}"/>
    <cellStyle name="Normal 2 4 2 3 2 6 3" xfId="5916" xr:uid="{00000000-0005-0000-0000-0000E00E0000}"/>
    <cellStyle name="Normal 2 4 2 3 2 6 3 2" xfId="14358" xr:uid="{A95FD5C4-1BAD-4672-96DF-0DC2F0A00B42}"/>
    <cellStyle name="Normal 2 4 2 3 2 6 3 3" xfId="22795" xr:uid="{BC1A684C-F28F-472A-B621-BDC16DE8CEF0}"/>
    <cellStyle name="Normal 2 4 2 3 2 6 4" xfId="10140" xr:uid="{5187AABC-2306-4E85-9ADA-8CDD02D72117}"/>
    <cellStyle name="Normal 2 4 2 3 2 6 5" xfId="18578" xr:uid="{9D6A9EB5-45C8-4FC3-B821-974E1DD27FE8}"/>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2 2 2" xfId="16916" xr:uid="{064DA6BF-A8F7-4F18-9404-6EDCF1FA3261}"/>
    <cellStyle name="Normal 2 4 2 3 2 7 2 2 3" xfId="25353" xr:uid="{C7B3C225-C637-4FF0-919E-5B2E68BA0043}"/>
    <cellStyle name="Normal 2 4 2 3 2 7 2 3" xfId="12698" xr:uid="{E593B64E-2CE1-4901-8527-D948FA825C3C}"/>
    <cellStyle name="Normal 2 4 2 3 2 7 2 4" xfId="21136" xr:uid="{6012B895-8F3F-4513-8058-CB176BF3394E}"/>
    <cellStyle name="Normal 2 4 2 3 2 7 3" xfId="6329" xr:uid="{00000000-0005-0000-0000-0000E40E0000}"/>
    <cellStyle name="Normal 2 4 2 3 2 7 3 2" xfId="14771" xr:uid="{ECB3C691-8178-45FF-8F19-7265E191F8DD}"/>
    <cellStyle name="Normal 2 4 2 3 2 7 3 3" xfId="23208" xr:uid="{BBA2ABA7-154D-4E46-9D02-5FDD5A696A0C}"/>
    <cellStyle name="Normal 2 4 2 3 2 7 4" xfId="10553" xr:uid="{EA859ABD-E561-454D-B279-6BEC8DB56C6C}"/>
    <cellStyle name="Normal 2 4 2 3 2 7 5" xfId="18991" xr:uid="{3B1B58AE-51C6-4BDC-834F-830BFC83703A}"/>
    <cellStyle name="Normal 2 4 2 3 2 8" xfId="2458" xr:uid="{00000000-0005-0000-0000-0000E50E0000}"/>
    <cellStyle name="Normal 2 4 2 3 2 8 2" xfId="6742" xr:uid="{00000000-0005-0000-0000-0000E60E0000}"/>
    <cellStyle name="Normal 2 4 2 3 2 8 2 2" xfId="15184" xr:uid="{0A8FD4B3-5E1F-4C47-BFF0-EF20EAA8A348}"/>
    <cellStyle name="Normal 2 4 2 3 2 8 2 3" xfId="23621" xr:uid="{55F3D123-F6A5-4C0D-884A-2B4E06F0DD14}"/>
    <cellStyle name="Normal 2 4 2 3 2 8 3" xfId="10966" xr:uid="{4FE01B45-3BCE-495C-B4B4-A7018B9C3A15}"/>
    <cellStyle name="Normal 2 4 2 3 2 8 4" xfId="19404" xr:uid="{47DE28B5-9B99-4DE8-A00D-965A5A0F737A}"/>
    <cellStyle name="Normal 2 4 2 3 2 9" xfId="4676" xr:uid="{00000000-0005-0000-0000-0000E70E0000}"/>
    <cellStyle name="Normal 2 4 2 3 2 9 2" xfId="13118" xr:uid="{091689B0-9428-456E-8066-ACA242447C96}"/>
    <cellStyle name="Normal 2 4 2 3 2 9 3" xfId="21555" xr:uid="{037EFEA3-DB12-4DF9-BA7F-274638F02A3A}"/>
    <cellStyle name="Normal 2 4 2 3 3" xfId="286" xr:uid="{00000000-0005-0000-0000-0000E80E0000}"/>
    <cellStyle name="Normal 2 4 2 3 3 10" xfId="17342" xr:uid="{F682C5FA-9B58-4E53-87C2-F51DA2CE0DA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2 2 2" xfId="15682" xr:uid="{1206ED55-570D-48CE-A338-932F7E15F7F4}"/>
    <cellStyle name="Normal 2 4 2 3 3 2 2 2 2 3" xfId="24119" xr:uid="{A2865EB0-2DBA-4BD8-B5C5-C2BBE7E623CA}"/>
    <cellStyle name="Normal 2 4 2 3 3 2 2 2 3" xfId="11464" xr:uid="{50EEF6B2-613C-457E-8DB0-AEA45D0F7216}"/>
    <cellStyle name="Normal 2 4 2 3 3 2 2 2 4" xfId="19902" xr:uid="{45869ABC-C5C6-4E5B-B2C9-D442D204CDD2}"/>
    <cellStyle name="Normal 2 4 2 3 3 2 2 3" xfId="5095" xr:uid="{00000000-0005-0000-0000-0000ED0E0000}"/>
    <cellStyle name="Normal 2 4 2 3 3 2 2 3 2" xfId="13537" xr:uid="{07A317B8-FD86-4B56-9B27-41D2371A1FD7}"/>
    <cellStyle name="Normal 2 4 2 3 3 2 2 3 3" xfId="21974" xr:uid="{C36AFEB2-1F5E-4A1C-99E9-7ADCDF32FABF}"/>
    <cellStyle name="Normal 2 4 2 3 3 2 2 4" xfId="9319" xr:uid="{66E475A6-816E-46A0-8E28-91379574A358}"/>
    <cellStyle name="Normal 2 4 2 3 3 2 2 5" xfId="17757" xr:uid="{04C34882-9096-4718-AF73-46355E7F974A}"/>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2 2 2" xfId="16095" xr:uid="{EDE080C2-932F-49F5-90BE-482F4BD233F4}"/>
    <cellStyle name="Normal 2 4 2 3 3 2 3 2 2 3" xfId="24532" xr:uid="{3AE24187-777A-458D-A592-A1EAAB86CE02}"/>
    <cellStyle name="Normal 2 4 2 3 3 2 3 2 3" xfId="11877" xr:uid="{3E66EDEA-1559-4EF6-882E-D272C235E125}"/>
    <cellStyle name="Normal 2 4 2 3 3 2 3 2 4" xfId="20315" xr:uid="{13D584BF-D2A8-4F6A-AEAC-6195A2B4ACD9}"/>
    <cellStyle name="Normal 2 4 2 3 3 2 3 3" xfId="5508" xr:uid="{00000000-0005-0000-0000-0000F10E0000}"/>
    <cellStyle name="Normal 2 4 2 3 3 2 3 3 2" xfId="13950" xr:uid="{170E51FC-8EB7-4D12-A5E8-66F6A4E50F2E}"/>
    <cellStyle name="Normal 2 4 2 3 3 2 3 3 3" xfId="22387" xr:uid="{2C88C98C-069D-4ACD-B072-617CD9139142}"/>
    <cellStyle name="Normal 2 4 2 3 3 2 3 4" xfId="9732" xr:uid="{0BA4077A-7E06-4F69-8F25-81136A0F43BE}"/>
    <cellStyle name="Normal 2 4 2 3 3 2 3 5" xfId="18170" xr:uid="{E6451A2F-C605-4738-8E81-CBBA59BFD941}"/>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2 2 2" xfId="16508" xr:uid="{5F4DFE75-D38A-4C37-AF63-52FEA2B17594}"/>
    <cellStyle name="Normal 2 4 2 3 3 2 4 2 2 3" xfId="24945" xr:uid="{901D3C9E-9FB5-4548-857B-59E8EC71174A}"/>
    <cellStyle name="Normal 2 4 2 3 3 2 4 2 3" xfId="12290" xr:uid="{9B1F116C-EB4F-4B36-8259-9682EDB798CA}"/>
    <cellStyle name="Normal 2 4 2 3 3 2 4 2 4" xfId="20728" xr:uid="{F5D3CA09-EA66-4546-939D-04736BA90ED9}"/>
    <cellStyle name="Normal 2 4 2 3 3 2 4 3" xfId="5921" xr:uid="{00000000-0005-0000-0000-0000F50E0000}"/>
    <cellStyle name="Normal 2 4 2 3 3 2 4 3 2" xfId="14363" xr:uid="{C1383CE0-2825-4FFE-B0A7-2F4FD552DC65}"/>
    <cellStyle name="Normal 2 4 2 3 3 2 4 3 3" xfId="22800" xr:uid="{A969439A-96D7-49EA-9B7C-725B93C12EA5}"/>
    <cellStyle name="Normal 2 4 2 3 3 2 4 4" xfId="10145" xr:uid="{6CA87DAD-3F1A-4846-9AC1-6D6E3C2658C2}"/>
    <cellStyle name="Normal 2 4 2 3 3 2 4 5" xfId="18583" xr:uid="{AEC8D54D-3D12-43C6-B918-8F4C6F94970B}"/>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2 2 2" xfId="16921" xr:uid="{2898F83B-7BD1-44AA-91CC-CCBDE323E857}"/>
    <cellStyle name="Normal 2 4 2 3 3 2 5 2 2 3" xfId="25358" xr:uid="{76F40711-B204-46CA-9A72-7F2F0E8E65D9}"/>
    <cellStyle name="Normal 2 4 2 3 3 2 5 2 3" xfId="12703" xr:uid="{35D4C997-E4D5-45AF-B11E-1C73C5E32299}"/>
    <cellStyle name="Normal 2 4 2 3 3 2 5 2 4" xfId="21141" xr:uid="{5792F4F9-BFB0-4B63-B1AC-BA3FEEF92160}"/>
    <cellStyle name="Normal 2 4 2 3 3 2 5 3" xfId="6334" xr:uid="{00000000-0005-0000-0000-0000F90E0000}"/>
    <cellStyle name="Normal 2 4 2 3 3 2 5 3 2" xfId="14776" xr:uid="{F4BEA04E-B23C-4446-A65A-B96371A1B7EE}"/>
    <cellStyle name="Normal 2 4 2 3 3 2 5 3 3" xfId="23213" xr:uid="{4048D0B3-D4FD-43BE-B6F1-73BCDD9058B9}"/>
    <cellStyle name="Normal 2 4 2 3 3 2 5 4" xfId="10558" xr:uid="{9BB266AD-12FF-4873-A1D0-6F8F9CB4B622}"/>
    <cellStyle name="Normal 2 4 2 3 3 2 5 5" xfId="18996" xr:uid="{C3F4EBCC-3660-4AD6-8193-ECFE0AF9D406}"/>
    <cellStyle name="Normal 2 4 2 3 3 2 6" xfId="2463" xr:uid="{00000000-0005-0000-0000-0000FA0E0000}"/>
    <cellStyle name="Normal 2 4 2 3 3 2 6 2" xfId="6747" xr:uid="{00000000-0005-0000-0000-0000FB0E0000}"/>
    <cellStyle name="Normal 2 4 2 3 3 2 6 2 2" xfId="15189" xr:uid="{5D2DC371-D058-4B5D-A871-AB0DF8399B66}"/>
    <cellStyle name="Normal 2 4 2 3 3 2 6 2 3" xfId="23626" xr:uid="{15D4A7B1-98F8-4700-9355-849F4C1860DA}"/>
    <cellStyle name="Normal 2 4 2 3 3 2 6 3" xfId="10971" xr:uid="{C49607C5-BCF5-425D-8832-5B905EE32EF5}"/>
    <cellStyle name="Normal 2 4 2 3 3 2 6 4" xfId="19409" xr:uid="{9C39C855-3267-4711-9816-48B48FC43D22}"/>
    <cellStyle name="Normal 2 4 2 3 3 2 7" xfId="4681" xr:uid="{00000000-0005-0000-0000-0000FC0E0000}"/>
    <cellStyle name="Normal 2 4 2 3 3 2 7 2" xfId="13123" xr:uid="{1ADBE024-0BBA-4115-8D02-B06D194C5558}"/>
    <cellStyle name="Normal 2 4 2 3 3 2 7 3" xfId="21560" xr:uid="{08BCA0F4-79A6-4C20-B62C-022E9194F0C4}"/>
    <cellStyle name="Normal 2 4 2 3 3 2 8" xfId="8905" xr:uid="{A13F0B18-23FF-466C-95D9-AD204548202B}"/>
    <cellStyle name="Normal 2 4 2 3 3 2 9" xfId="17343" xr:uid="{C2B326C1-E085-4465-BBA1-DE9F7F9ADB83}"/>
    <cellStyle name="Normal 2 4 2 3 3 3" xfId="777" xr:uid="{00000000-0005-0000-0000-0000FD0E0000}"/>
    <cellStyle name="Normal 2 4 2 3 3 3 2" xfId="3016" xr:uid="{00000000-0005-0000-0000-0000FE0E0000}"/>
    <cellStyle name="Normal 2 4 2 3 3 3 2 2" xfId="7239" xr:uid="{00000000-0005-0000-0000-0000FF0E0000}"/>
    <cellStyle name="Normal 2 4 2 3 3 3 2 2 2" xfId="15681" xr:uid="{D6EF4CF9-58AE-499A-A4DB-962BCC4B9E13}"/>
    <cellStyle name="Normal 2 4 2 3 3 3 2 2 3" xfId="24118" xr:uid="{69A1B10E-90ED-4FC4-B0FC-C648CAA3C918}"/>
    <cellStyle name="Normal 2 4 2 3 3 3 2 3" xfId="11463" xr:uid="{A9D52359-200C-400E-8F62-0D8962F7401D}"/>
    <cellStyle name="Normal 2 4 2 3 3 3 2 4" xfId="19901" xr:uid="{195103DD-2DC5-425F-AB39-86AFD5F5F424}"/>
    <cellStyle name="Normal 2 4 2 3 3 3 3" xfId="5094" xr:uid="{00000000-0005-0000-0000-0000000F0000}"/>
    <cellStyle name="Normal 2 4 2 3 3 3 3 2" xfId="13536" xr:uid="{B3762523-2653-4878-BCD9-DC8491F0E50B}"/>
    <cellStyle name="Normal 2 4 2 3 3 3 3 3" xfId="21973" xr:uid="{B450E012-8A99-44DF-96D2-2EFE152FF4E5}"/>
    <cellStyle name="Normal 2 4 2 3 3 3 4" xfId="9318" xr:uid="{62804C19-9310-43C9-8CD0-68F7717FAF65}"/>
    <cellStyle name="Normal 2 4 2 3 3 3 5" xfId="17756" xr:uid="{07DCE574-FB1C-44C9-A4A6-ECFAA4DB116C}"/>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2 2 2" xfId="16094" xr:uid="{8C0EFC56-F951-4006-8CF2-C570BD5A21BB}"/>
    <cellStyle name="Normal 2 4 2 3 3 4 2 2 3" xfId="24531" xr:uid="{96ACACD9-3FFC-4C2F-883B-8DD7EF617694}"/>
    <cellStyle name="Normal 2 4 2 3 3 4 2 3" xfId="11876" xr:uid="{84EC4723-02C2-4DDE-8EA7-7434EDE81CD0}"/>
    <cellStyle name="Normal 2 4 2 3 3 4 2 4" xfId="20314" xr:uid="{2B530619-2E39-4BCF-836D-8E92058D31EB}"/>
    <cellStyle name="Normal 2 4 2 3 3 4 3" xfId="5507" xr:uid="{00000000-0005-0000-0000-0000040F0000}"/>
    <cellStyle name="Normal 2 4 2 3 3 4 3 2" xfId="13949" xr:uid="{C98FD834-6091-4245-83D7-A69D54988C08}"/>
    <cellStyle name="Normal 2 4 2 3 3 4 3 3" xfId="22386" xr:uid="{1873C9E4-CA5A-4813-ADCB-65C162A9921A}"/>
    <cellStyle name="Normal 2 4 2 3 3 4 4" xfId="9731" xr:uid="{6EDEA9E8-92F6-4840-A5DF-F9EA41559FD2}"/>
    <cellStyle name="Normal 2 4 2 3 3 4 5" xfId="18169" xr:uid="{7D2CF1E7-40D2-43CB-AE92-8E3934EB9963}"/>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2 2 2" xfId="16507" xr:uid="{E9AE26C9-18E1-4648-8A8D-8D59F1281C41}"/>
    <cellStyle name="Normal 2 4 2 3 3 5 2 2 3" xfId="24944" xr:uid="{A298EC3F-5D99-4219-B738-9934AC89FBEE}"/>
    <cellStyle name="Normal 2 4 2 3 3 5 2 3" xfId="12289" xr:uid="{5B7A32CC-C0B2-41D0-8AE2-B99F53A576EC}"/>
    <cellStyle name="Normal 2 4 2 3 3 5 2 4" xfId="20727" xr:uid="{CFD0F102-75E5-4F37-9E08-0D234918FA9E}"/>
    <cellStyle name="Normal 2 4 2 3 3 5 3" xfId="5920" xr:uid="{00000000-0005-0000-0000-0000080F0000}"/>
    <cellStyle name="Normal 2 4 2 3 3 5 3 2" xfId="14362" xr:uid="{8F265077-EE02-4A03-A58C-6E3656A89168}"/>
    <cellStyle name="Normal 2 4 2 3 3 5 3 3" xfId="22799" xr:uid="{30637F01-F3D0-447C-827B-D39610FC0DBC}"/>
    <cellStyle name="Normal 2 4 2 3 3 5 4" xfId="10144" xr:uid="{171DBBCF-0D8D-456E-8831-125DAE552762}"/>
    <cellStyle name="Normal 2 4 2 3 3 5 5" xfId="18582" xr:uid="{95EE5FC9-642B-4A82-B0DB-98D66CE23BDD}"/>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2 2 2" xfId="16920" xr:uid="{C649D6F6-E162-4542-8000-3B71C2029545}"/>
    <cellStyle name="Normal 2 4 2 3 3 6 2 2 3" xfId="25357" xr:uid="{D224E9CF-30BA-44A6-BC40-96ED59394370}"/>
    <cellStyle name="Normal 2 4 2 3 3 6 2 3" xfId="12702" xr:uid="{E00782D6-ABDE-401B-966D-668A734B1E7B}"/>
    <cellStyle name="Normal 2 4 2 3 3 6 2 4" xfId="21140" xr:uid="{447D91B4-3F26-4113-A908-E980FA362D7D}"/>
    <cellStyle name="Normal 2 4 2 3 3 6 3" xfId="6333" xr:uid="{00000000-0005-0000-0000-00000C0F0000}"/>
    <cellStyle name="Normal 2 4 2 3 3 6 3 2" xfId="14775" xr:uid="{52146906-5FCC-4546-991F-8A2F96ECDC66}"/>
    <cellStyle name="Normal 2 4 2 3 3 6 3 3" xfId="23212" xr:uid="{7EDE5485-6A62-4436-954A-21D0A656A776}"/>
    <cellStyle name="Normal 2 4 2 3 3 6 4" xfId="10557" xr:uid="{06FCAA2A-34F1-4F02-94F2-179079DED7C9}"/>
    <cellStyle name="Normal 2 4 2 3 3 6 5" xfId="18995" xr:uid="{3617DED1-280E-43FF-B59F-DBD4F55014E0}"/>
    <cellStyle name="Normal 2 4 2 3 3 7" xfId="2462" xr:uid="{00000000-0005-0000-0000-00000D0F0000}"/>
    <cellStyle name="Normal 2 4 2 3 3 7 2" xfId="6746" xr:uid="{00000000-0005-0000-0000-00000E0F0000}"/>
    <cellStyle name="Normal 2 4 2 3 3 7 2 2" xfId="15188" xr:uid="{8933473E-59DA-4707-B792-BB7D13A62A47}"/>
    <cellStyle name="Normal 2 4 2 3 3 7 2 3" xfId="23625" xr:uid="{752C75FF-8B82-4E56-8FF2-357D528EE83A}"/>
    <cellStyle name="Normal 2 4 2 3 3 7 3" xfId="10970" xr:uid="{46D2CABD-C587-4AA9-B147-2CF27793747C}"/>
    <cellStyle name="Normal 2 4 2 3 3 7 4" xfId="19408" xr:uid="{74B9D4C7-BEE5-4939-88E9-960CE91F07F4}"/>
    <cellStyle name="Normal 2 4 2 3 3 8" xfId="4680" xr:uid="{00000000-0005-0000-0000-00000F0F0000}"/>
    <cellStyle name="Normal 2 4 2 3 3 8 2" xfId="13122" xr:uid="{CAB96A43-9291-4F8E-9875-40F6D95A33A2}"/>
    <cellStyle name="Normal 2 4 2 3 3 8 3" xfId="21559" xr:uid="{079EE52A-8DE5-43CB-A4F3-A052A3830436}"/>
    <cellStyle name="Normal 2 4 2 3 3 9" xfId="8904" xr:uid="{0378E66E-D1B4-4E8B-97CC-A516ED807D2B}"/>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2 2 2" xfId="15683" xr:uid="{5871F3AC-2BFB-489C-97BA-EBAEDCE16F6B}"/>
    <cellStyle name="Normal 2 4 2 3 4 2 2 2 3" xfId="24120" xr:uid="{C6A9A462-3087-4A24-A418-8F7F6262C4B8}"/>
    <cellStyle name="Normal 2 4 2 3 4 2 2 3" xfId="11465" xr:uid="{6279C20A-6B17-4FE9-BAF6-57016F0317DC}"/>
    <cellStyle name="Normal 2 4 2 3 4 2 2 4" xfId="19903" xr:uid="{875E1A2E-03B8-4963-8AA8-7EA60285EA70}"/>
    <cellStyle name="Normal 2 4 2 3 4 2 3" xfId="5096" xr:uid="{00000000-0005-0000-0000-0000140F0000}"/>
    <cellStyle name="Normal 2 4 2 3 4 2 3 2" xfId="13538" xr:uid="{BF83A412-C64F-449F-8FF3-497665FFDCB9}"/>
    <cellStyle name="Normal 2 4 2 3 4 2 3 3" xfId="21975" xr:uid="{7687B6B1-67EF-4169-8A38-BD4D15209A43}"/>
    <cellStyle name="Normal 2 4 2 3 4 2 4" xfId="9320" xr:uid="{128AC896-F227-4450-AC5F-083709EA7E5D}"/>
    <cellStyle name="Normal 2 4 2 3 4 2 5" xfId="17758" xr:uid="{970D9818-69C8-4758-B6E9-CCC85E001F63}"/>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2 2 2" xfId="16096" xr:uid="{D5A90F8E-1AFD-41C9-A464-473F885B8776}"/>
    <cellStyle name="Normal 2 4 2 3 4 3 2 2 3" xfId="24533" xr:uid="{4A1F87AE-BB39-4E99-AAC8-52B9B9C9EB5B}"/>
    <cellStyle name="Normal 2 4 2 3 4 3 2 3" xfId="11878" xr:uid="{232E6A61-2770-45B5-9602-6B68D4050CBB}"/>
    <cellStyle name="Normal 2 4 2 3 4 3 2 4" xfId="20316" xr:uid="{01A65A85-1861-4706-8F63-BF4D9B55CB91}"/>
    <cellStyle name="Normal 2 4 2 3 4 3 3" xfId="5509" xr:uid="{00000000-0005-0000-0000-0000180F0000}"/>
    <cellStyle name="Normal 2 4 2 3 4 3 3 2" xfId="13951" xr:uid="{677D80B6-CD23-4552-A825-CCF785D5AD04}"/>
    <cellStyle name="Normal 2 4 2 3 4 3 3 3" xfId="22388" xr:uid="{6B1E0297-964A-490F-9E4A-3FC000C21B66}"/>
    <cellStyle name="Normal 2 4 2 3 4 3 4" xfId="9733" xr:uid="{46017AE4-27DB-4427-AFB8-96ED38818C91}"/>
    <cellStyle name="Normal 2 4 2 3 4 3 5" xfId="18171" xr:uid="{751A997B-AA1F-4593-84D4-D4AA1168126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2 2 2" xfId="16509" xr:uid="{2D29FDA1-F1B3-42E7-94BB-C0E9A7231997}"/>
    <cellStyle name="Normal 2 4 2 3 4 4 2 2 3" xfId="24946" xr:uid="{BCF801B1-AF5E-4363-9545-2A85266D9636}"/>
    <cellStyle name="Normal 2 4 2 3 4 4 2 3" xfId="12291" xr:uid="{AE4EDF45-307E-4E16-8860-721EE3DBD5E9}"/>
    <cellStyle name="Normal 2 4 2 3 4 4 2 4" xfId="20729" xr:uid="{ADD96FEC-5F50-4BA3-83FE-96ADF619BCDD}"/>
    <cellStyle name="Normal 2 4 2 3 4 4 3" xfId="5922" xr:uid="{00000000-0005-0000-0000-00001C0F0000}"/>
    <cellStyle name="Normal 2 4 2 3 4 4 3 2" xfId="14364" xr:uid="{7ABEE095-4B1B-4A79-9AD8-ACE6A94D0BCE}"/>
    <cellStyle name="Normal 2 4 2 3 4 4 3 3" xfId="22801" xr:uid="{26E5B02E-9026-4049-89A0-A349707E33D6}"/>
    <cellStyle name="Normal 2 4 2 3 4 4 4" xfId="10146" xr:uid="{9C9D6AB3-FF9A-44DD-ADBC-F39721A18C65}"/>
    <cellStyle name="Normal 2 4 2 3 4 4 5" xfId="18584" xr:uid="{BEAC063C-6F92-47F2-8C74-2D1D0217A63E}"/>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2 2 2" xfId="16922" xr:uid="{A6F7EE6D-6ECA-420B-8101-D96201DAF940}"/>
    <cellStyle name="Normal 2 4 2 3 4 5 2 2 3" xfId="25359" xr:uid="{6E6756D2-94E1-4FD4-882E-BBE4D140100C}"/>
    <cellStyle name="Normal 2 4 2 3 4 5 2 3" xfId="12704" xr:uid="{8B001F60-AAD7-49B2-9C1A-1EFDEAC027A8}"/>
    <cellStyle name="Normal 2 4 2 3 4 5 2 4" xfId="21142" xr:uid="{769EF9EE-DDB9-4EA9-9ADE-241EA7B81DAD}"/>
    <cellStyle name="Normal 2 4 2 3 4 5 3" xfId="6335" xr:uid="{00000000-0005-0000-0000-0000200F0000}"/>
    <cellStyle name="Normal 2 4 2 3 4 5 3 2" xfId="14777" xr:uid="{8B9B2731-2555-4376-8844-436689218687}"/>
    <cellStyle name="Normal 2 4 2 3 4 5 3 3" xfId="23214" xr:uid="{3D2B3A9B-B0A0-4BBC-BFB4-7E766C3D0EFA}"/>
    <cellStyle name="Normal 2 4 2 3 4 5 4" xfId="10559" xr:uid="{E8FB3B89-4849-43FB-8D37-D89EA75CA769}"/>
    <cellStyle name="Normal 2 4 2 3 4 5 5" xfId="18997" xr:uid="{2F38121D-2B8B-40B8-B2CF-BAD2DE5CF786}"/>
    <cellStyle name="Normal 2 4 2 3 4 6" xfId="2464" xr:uid="{00000000-0005-0000-0000-0000210F0000}"/>
    <cellStyle name="Normal 2 4 2 3 4 6 2" xfId="6748" xr:uid="{00000000-0005-0000-0000-0000220F0000}"/>
    <cellStyle name="Normal 2 4 2 3 4 6 2 2" xfId="15190" xr:uid="{97CCC271-7E01-4A35-B75C-3F3A8E64DA03}"/>
    <cellStyle name="Normal 2 4 2 3 4 6 2 3" xfId="23627" xr:uid="{C973F1D7-B51F-4975-9940-BA2B01D1CF1F}"/>
    <cellStyle name="Normal 2 4 2 3 4 6 3" xfId="10972" xr:uid="{7CD8236F-DDCA-4346-90DA-4D42E141197E}"/>
    <cellStyle name="Normal 2 4 2 3 4 6 4" xfId="19410" xr:uid="{52A47A64-C054-4D46-A396-7745CF7C6F70}"/>
    <cellStyle name="Normal 2 4 2 3 4 7" xfId="4682" xr:uid="{00000000-0005-0000-0000-0000230F0000}"/>
    <cellStyle name="Normal 2 4 2 3 4 7 2" xfId="13124" xr:uid="{6E0DF2AF-508D-4C20-81A1-B79942AE3441}"/>
    <cellStyle name="Normal 2 4 2 3 4 7 3" xfId="21561" xr:uid="{6C1FDE8B-6350-4365-974A-0159F37A675B}"/>
    <cellStyle name="Normal 2 4 2 3 4 8" xfId="8906" xr:uid="{79DD5EE7-582E-4D90-B8DB-064CA6169FE3}"/>
    <cellStyle name="Normal 2 4 2 3 4 9" xfId="17344" xr:uid="{1701F8BF-BB7A-429E-8950-E490CAFC1713}"/>
    <cellStyle name="Normal 2 4 2 3 5" xfId="772" xr:uid="{00000000-0005-0000-0000-0000240F0000}"/>
    <cellStyle name="Normal 2 4 2 3 5 2" xfId="3011" xr:uid="{00000000-0005-0000-0000-0000250F0000}"/>
    <cellStyle name="Normal 2 4 2 3 5 2 2" xfId="7234" xr:uid="{00000000-0005-0000-0000-0000260F0000}"/>
    <cellStyle name="Normal 2 4 2 3 5 2 2 2" xfId="15676" xr:uid="{FD4C4BBF-5C1B-431F-B524-495B58F14C70}"/>
    <cellStyle name="Normal 2 4 2 3 5 2 2 3" xfId="24113" xr:uid="{C6B27DCB-106E-4069-8338-66D4CB85EFEA}"/>
    <cellStyle name="Normal 2 4 2 3 5 2 3" xfId="11458" xr:uid="{A35FC6F8-0928-4CE5-8780-A8CFEF5D2102}"/>
    <cellStyle name="Normal 2 4 2 3 5 2 4" xfId="19896" xr:uid="{A7ACE543-C30D-4459-9FA0-C61ABE9EFC2F}"/>
    <cellStyle name="Normal 2 4 2 3 5 3" xfId="5089" xr:uid="{00000000-0005-0000-0000-0000270F0000}"/>
    <cellStyle name="Normal 2 4 2 3 5 3 2" xfId="13531" xr:uid="{51B5B5AE-B3AF-41B8-8F04-B6F698FA1C81}"/>
    <cellStyle name="Normal 2 4 2 3 5 3 3" xfId="21968" xr:uid="{8AD4533E-6FDB-495E-BD96-4DBA16A0DEB1}"/>
    <cellStyle name="Normal 2 4 2 3 5 4" xfId="9313" xr:uid="{48AC5B92-5647-4720-A127-E88358E5B241}"/>
    <cellStyle name="Normal 2 4 2 3 5 5" xfId="17751" xr:uid="{769F1FE4-70AD-4E1F-8F34-AA673C857FE6}"/>
    <cellStyle name="Normal 2 4 2 3 6" xfId="1194" xr:uid="{00000000-0005-0000-0000-0000280F0000}"/>
    <cellStyle name="Normal 2 4 2 3 6 2" xfId="3424" xr:uid="{00000000-0005-0000-0000-0000290F0000}"/>
    <cellStyle name="Normal 2 4 2 3 6 2 2" xfId="7647" xr:uid="{00000000-0005-0000-0000-00002A0F0000}"/>
    <cellStyle name="Normal 2 4 2 3 6 2 2 2" xfId="16089" xr:uid="{34CEB644-BF98-43E1-9791-AC8063424C03}"/>
    <cellStyle name="Normal 2 4 2 3 6 2 2 3" xfId="24526" xr:uid="{3947A8E9-A908-4E8E-9CAD-8433C60F41D6}"/>
    <cellStyle name="Normal 2 4 2 3 6 2 3" xfId="11871" xr:uid="{F7AEB0E8-B14C-42D5-8C14-B1DA89B64297}"/>
    <cellStyle name="Normal 2 4 2 3 6 2 4" xfId="20309" xr:uid="{A08211BB-2007-44BB-9D04-3D81CD141F59}"/>
    <cellStyle name="Normal 2 4 2 3 6 3" xfId="5502" xr:uid="{00000000-0005-0000-0000-00002B0F0000}"/>
    <cellStyle name="Normal 2 4 2 3 6 3 2" xfId="13944" xr:uid="{9361C133-16A2-4385-9CE7-AC3A37991894}"/>
    <cellStyle name="Normal 2 4 2 3 6 3 3" xfId="22381" xr:uid="{7D049B12-944D-487E-8887-531553625B96}"/>
    <cellStyle name="Normal 2 4 2 3 6 4" xfId="9726" xr:uid="{65673C75-3B28-49BE-9589-D8D1F50159D9}"/>
    <cellStyle name="Normal 2 4 2 3 6 5" xfId="18164" xr:uid="{418C2BC5-585B-4DDB-9343-76933198C36A}"/>
    <cellStyle name="Normal 2 4 2 3 7" xfId="1607" xr:uid="{00000000-0005-0000-0000-00002C0F0000}"/>
    <cellStyle name="Normal 2 4 2 3 7 2" xfId="3837" xr:uid="{00000000-0005-0000-0000-00002D0F0000}"/>
    <cellStyle name="Normal 2 4 2 3 7 2 2" xfId="8060" xr:uid="{00000000-0005-0000-0000-00002E0F0000}"/>
    <cellStyle name="Normal 2 4 2 3 7 2 2 2" xfId="16502" xr:uid="{60C9E86C-95B8-411F-8697-6CCE0F77E9B3}"/>
    <cellStyle name="Normal 2 4 2 3 7 2 2 3" xfId="24939" xr:uid="{1B0255C7-4135-429F-95B1-3081D6ACFDEF}"/>
    <cellStyle name="Normal 2 4 2 3 7 2 3" xfId="12284" xr:uid="{DCB641D7-AC89-4855-BF43-FC8CA1196DB0}"/>
    <cellStyle name="Normal 2 4 2 3 7 2 4" xfId="20722" xr:uid="{7033C63B-D21E-434D-84C5-EF4D6646CBD9}"/>
    <cellStyle name="Normal 2 4 2 3 7 3" xfId="5915" xr:uid="{00000000-0005-0000-0000-00002F0F0000}"/>
    <cellStyle name="Normal 2 4 2 3 7 3 2" xfId="14357" xr:uid="{BBD225EA-AB27-4EAF-BCE2-8FD166FE85DD}"/>
    <cellStyle name="Normal 2 4 2 3 7 3 3" xfId="22794" xr:uid="{3A8A4F2E-765F-4591-B002-8D7FDA8A7479}"/>
    <cellStyle name="Normal 2 4 2 3 7 4" xfId="10139" xr:uid="{F6177F5A-F590-4D4C-9E86-EE910A203F0B}"/>
    <cellStyle name="Normal 2 4 2 3 7 5" xfId="18577" xr:uid="{2ED97071-4242-41DD-B3FE-4786181CA2C1}"/>
    <cellStyle name="Normal 2 4 2 3 8" xfId="2021" xr:uid="{00000000-0005-0000-0000-0000300F0000}"/>
    <cellStyle name="Normal 2 4 2 3 8 2" xfId="4250" xr:uid="{00000000-0005-0000-0000-0000310F0000}"/>
    <cellStyle name="Normal 2 4 2 3 8 2 2" xfId="8473" xr:uid="{00000000-0005-0000-0000-0000320F0000}"/>
    <cellStyle name="Normal 2 4 2 3 8 2 2 2" xfId="16915" xr:uid="{A44F03AD-A0FE-4586-84C7-60F81737A663}"/>
    <cellStyle name="Normal 2 4 2 3 8 2 2 3" xfId="25352" xr:uid="{693E82D1-F50E-41B2-B067-592DE309916C}"/>
    <cellStyle name="Normal 2 4 2 3 8 2 3" xfId="12697" xr:uid="{5D822AF4-ADEF-4395-8D28-57EA66E7769B}"/>
    <cellStyle name="Normal 2 4 2 3 8 2 4" xfId="21135" xr:uid="{6B4EB841-15B8-496E-A3DD-455A1B1EB7E8}"/>
    <cellStyle name="Normal 2 4 2 3 8 3" xfId="6328" xr:uid="{00000000-0005-0000-0000-0000330F0000}"/>
    <cellStyle name="Normal 2 4 2 3 8 3 2" xfId="14770" xr:uid="{76CA3020-D04E-4D49-92E7-0ABA812F4054}"/>
    <cellStyle name="Normal 2 4 2 3 8 3 3" xfId="23207" xr:uid="{5F0EF738-C288-4D43-9C82-206A7FE91C4F}"/>
    <cellStyle name="Normal 2 4 2 3 8 4" xfId="10552" xr:uid="{0925E92D-CEA8-4F08-ABEA-A6A32BE9D7AD}"/>
    <cellStyle name="Normal 2 4 2 3 8 5" xfId="18990" xr:uid="{3459B88E-9328-4CDD-8928-0602AD09A8D4}"/>
    <cellStyle name="Normal 2 4 2 3 9" xfId="2457" xr:uid="{00000000-0005-0000-0000-0000340F0000}"/>
    <cellStyle name="Normal 2 4 2 3 9 2" xfId="6741" xr:uid="{00000000-0005-0000-0000-0000350F0000}"/>
    <cellStyle name="Normal 2 4 2 3 9 2 2" xfId="15183" xr:uid="{612058AE-2ADE-4121-9B72-B5805C294024}"/>
    <cellStyle name="Normal 2 4 2 3 9 2 3" xfId="23620" xr:uid="{83462910-266D-4663-BA52-B91F80CFDFD1}"/>
    <cellStyle name="Normal 2 4 2 3 9 3" xfId="10965" xr:uid="{86B7891E-D17E-4176-9F91-42B825C2FA9A}"/>
    <cellStyle name="Normal 2 4 2 3 9 4" xfId="19403" xr:uid="{1FA5C3C2-D05C-4315-8104-F6F876548FD4}"/>
    <cellStyle name="Normal 2 4 2 4" xfId="289" xr:uid="{00000000-0005-0000-0000-0000360F0000}"/>
    <cellStyle name="Normal 2 4 2 4 10" xfId="8907" xr:uid="{8230ACB8-3831-402C-B402-9C05F75DFCE3}"/>
    <cellStyle name="Normal 2 4 2 4 11" xfId="17345" xr:uid="{B882ADF8-717E-4C3C-9D94-8D35AC57C544}"/>
    <cellStyle name="Normal 2 4 2 4 2" xfId="290" xr:uid="{00000000-0005-0000-0000-0000370F0000}"/>
    <cellStyle name="Normal 2 4 2 4 2 10" xfId="17346" xr:uid="{F0A0027F-F64A-4C61-BDF3-6552E566EA38}"/>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2 2 2" xfId="15686" xr:uid="{FE55CFB7-B715-43C1-89C6-A432E27ADE65}"/>
    <cellStyle name="Normal 2 4 2 4 2 2 2 2 2 3" xfId="24123" xr:uid="{33711501-1EDD-4812-B8A0-8E2DA7B74D43}"/>
    <cellStyle name="Normal 2 4 2 4 2 2 2 2 3" xfId="11468" xr:uid="{749B063D-517A-428A-8F1D-903255FE946B}"/>
    <cellStyle name="Normal 2 4 2 4 2 2 2 2 4" xfId="19906" xr:uid="{BE8C0666-B276-4A83-AF40-FBFBDF8002F4}"/>
    <cellStyle name="Normal 2 4 2 4 2 2 2 3" xfId="5099" xr:uid="{00000000-0005-0000-0000-00003C0F0000}"/>
    <cellStyle name="Normal 2 4 2 4 2 2 2 3 2" xfId="13541" xr:uid="{D3ECAB6A-8A16-4AE5-B440-3E8C7BFF1992}"/>
    <cellStyle name="Normal 2 4 2 4 2 2 2 3 3" xfId="21978" xr:uid="{22B7CD8D-9F61-427B-ACF9-A6E6744836E1}"/>
    <cellStyle name="Normal 2 4 2 4 2 2 2 4" xfId="9323" xr:uid="{35419990-EBD2-4FE1-A6FB-B26521CCAF1A}"/>
    <cellStyle name="Normal 2 4 2 4 2 2 2 5" xfId="17761" xr:uid="{CAC643F3-3E38-443E-AF5A-3E48F3DE09AD}"/>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2 2 2" xfId="16099" xr:uid="{841AFFC3-5A56-4203-A844-62D795CD9B53}"/>
    <cellStyle name="Normal 2 4 2 4 2 2 3 2 2 3" xfId="24536" xr:uid="{7FCF42D6-F660-4CD4-B619-2513A3E7C922}"/>
    <cellStyle name="Normal 2 4 2 4 2 2 3 2 3" xfId="11881" xr:uid="{AF33A37D-6269-4122-B523-E61EEC5C67E7}"/>
    <cellStyle name="Normal 2 4 2 4 2 2 3 2 4" xfId="20319" xr:uid="{2A3AAFB5-9301-4E46-80DD-36BA25D9F8E1}"/>
    <cellStyle name="Normal 2 4 2 4 2 2 3 3" xfId="5512" xr:uid="{00000000-0005-0000-0000-0000400F0000}"/>
    <cellStyle name="Normal 2 4 2 4 2 2 3 3 2" xfId="13954" xr:uid="{FD5894A3-4D96-4C51-A935-27C2E7DB6969}"/>
    <cellStyle name="Normal 2 4 2 4 2 2 3 3 3" xfId="22391" xr:uid="{9D395F8F-B8E4-4640-8751-18046DEF49E8}"/>
    <cellStyle name="Normal 2 4 2 4 2 2 3 4" xfId="9736" xr:uid="{453FF11E-70E5-40D5-B8B5-67EB6708A80C}"/>
    <cellStyle name="Normal 2 4 2 4 2 2 3 5" xfId="18174" xr:uid="{3A272BF9-FF1B-4E4D-BCFC-DF1E2433A254}"/>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2 2 2" xfId="16512" xr:uid="{CEA51979-5311-4A06-A1CC-131998BFFDD5}"/>
    <cellStyle name="Normal 2 4 2 4 2 2 4 2 2 3" xfId="24949" xr:uid="{3C31B99F-E9F2-41E7-941C-3ABD808F736B}"/>
    <cellStyle name="Normal 2 4 2 4 2 2 4 2 3" xfId="12294" xr:uid="{EE0F5987-7738-4F40-8933-513C96396EA6}"/>
    <cellStyle name="Normal 2 4 2 4 2 2 4 2 4" xfId="20732" xr:uid="{F462EB59-D93E-42BF-A95D-50B1B09829DA}"/>
    <cellStyle name="Normal 2 4 2 4 2 2 4 3" xfId="5925" xr:uid="{00000000-0005-0000-0000-0000440F0000}"/>
    <cellStyle name="Normal 2 4 2 4 2 2 4 3 2" xfId="14367" xr:uid="{920FC3F6-39B3-4BC9-BBCE-E0D7E620DB0A}"/>
    <cellStyle name="Normal 2 4 2 4 2 2 4 3 3" xfId="22804" xr:uid="{45091BA1-C052-4CE7-A30E-2353B5C5D8DB}"/>
    <cellStyle name="Normal 2 4 2 4 2 2 4 4" xfId="10149" xr:uid="{39DEA00E-C3A0-4D0D-A77E-82EAF17189A9}"/>
    <cellStyle name="Normal 2 4 2 4 2 2 4 5" xfId="18587" xr:uid="{B07BB328-15F0-408A-8209-3D0463365BE4}"/>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2 2 2" xfId="16925" xr:uid="{89427EB5-287D-40DB-8E70-F4DD0723C315}"/>
    <cellStyle name="Normal 2 4 2 4 2 2 5 2 2 3" xfId="25362" xr:uid="{031C215C-10DC-4D5A-83E3-C05EE1B4929E}"/>
    <cellStyle name="Normal 2 4 2 4 2 2 5 2 3" xfId="12707" xr:uid="{67402E19-D460-4027-ACB8-6EB968DFC9B6}"/>
    <cellStyle name="Normal 2 4 2 4 2 2 5 2 4" xfId="21145" xr:uid="{1D37DACC-15D9-4F13-A142-106EA0F16635}"/>
    <cellStyle name="Normal 2 4 2 4 2 2 5 3" xfId="6338" xr:uid="{00000000-0005-0000-0000-0000480F0000}"/>
    <cellStyle name="Normal 2 4 2 4 2 2 5 3 2" xfId="14780" xr:uid="{4A3BA7FB-772E-47CC-8557-7C0F28922AD6}"/>
    <cellStyle name="Normal 2 4 2 4 2 2 5 3 3" xfId="23217" xr:uid="{4DEFDFE8-1466-484C-B915-89329E7DD486}"/>
    <cellStyle name="Normal 2 4 2 4 2 2 5 4" xfId="10562" xr:uid="{DC3AD96E-1B89-4896-A05B-D95D933DA3FC}"/>
    <cellStyle name="Normal 2 4 2 4 2 2 5 5" xfId="19000" xr:uid="{90C1F797-556B-40D2-BBC3-84CCB21B23B0}"/>
    <cellStyle name="Normal 2 4 2 4 2 2 6" xfId="2467" xr:uid="{00000000-0005-0000-0000-0000490F0000}"/>
    <cellStyle name="Normal 2 4 2 4 2 2 6 2" xfId="6751" xr:uid="{00000000-0005-0000-0000-00004A0F0000}"/>
    <cellStyle name="Normal 2 4 2 4 2 2 6 2 2" xfId="15193" xr:uid="{5C2C227F-827B-4FFA-A3B0-604370FA19CD}"/>
    <cellStyle name="Normal 2 4 2 4 2 2 6 2 3" xfId="23630" xr:uid="{D3DDD7EA-4D03-4016-8571-D33FE1A48744}"/>
    <cellStyle name="Normal 2 4 2 4 2 2 6 3" xfId="10975" xr:uid="{0E1520F6-DD71-46E8-8554-D9A3D051BBCF}"/>
    <cellStyle name="Normal 2 4 2 4 2 2 6 4" xfId="19413" xr:uid="{5A7659A1-8558-4206-A1CB-21807C78D51C}"/>
    <cellStyle name="Normal 2 4 2 4 2 2 7" xfId="4685" xr:uid="{00000000-0005-0000-0000-00004B0F0000}"/>
    <cellStyle name="Normal 2 4 2 4 2 2 7 2" xfId="13127" xr:uid="{2C673F2F-E187-448D-ACAF-A783025AC072}"/>
    <cellStyle name="Normal 2 4 2 4 2 2 7 3" xfId="21564" xr:uid="{59C3AF79-54E6-402D-8C42-C39DB1405FF9}"/>
    <cellStyle name="Normal 2 4 2 4 2 2 8" xfId="8909" xr:uid="{8A17EA60-D86A-4FFA-B5E0-A8451D043065}"/>
    <cellStyle name="Normal 2 4 2 4 2 2 9" xfId="17347" xr:uid="{E2D79F2F-8892-483E-AC55-4CA7EC77E412}"/>
    <cellStyle name="Normal 2 4 2 4 2 3" xfId="781" xr:uid="{00000000-0005-0000-0000-00004C0F0000}"/>
    <cellStyle name="Normal 2 4 2 4 2 3 2" xfId="3020" xr:uid="{00000000-0005-0000-0000-00004D0F0000}"/>
    <cellStyle name="Normal 2 4 2 4 2 3 2 2" xfId="7243" xr:uid="{00000000-0005-0000-0000-00004E0F0000}"/>
    <cellStyle name="Normal 2 4 2 4 2 3 2 2 2" xfId="15685" xr:uid="{D0BF6DA9-CC81-45BD-AAEE-C4323FCD5B32}"/>
    <cellStyle name="Normal 2 4 2 4 2 3 2 2 3" xfId="24122" xr:uid="{430D2377-ACEA-460C-9D8C-020B79FAE510}"/>
    <cellStyle name="Normal 2 4 2 4 2 3 2 3" xfId="11467" xr:uid="{381A5433-4457-44C4-9909-A79158BBC2E1}"/>
    <cellStyle name="Normal 2 4 2 4 2 3 2 4" xfId="19905" xr:uid="{34E50BE0-2567-4889-8F05-0F2B0EB3B8BB}"/>
    <cellStyle name="Normal 2 4 2 4 2 3 3" xfId="5098" xr:uid="{00000000-0005-0000-0000-00004F0F0000}"/>
    <cellStyle name="Normal 2 4 2 4 2 3 3 2" xfId="13540" xr:uid="{A5D17CBB-EFC4-4CEE-8B84-CA6322C029FD}"/>
    <cellStyle name="Normal 2 4 2 4 2 3 3 3" xfId="21977" xr:uid="{5E01695B-6950-472C-9C21-B2FC1D1EA7D6}"/>
    <cellStyle name="Normal 2 4 2 4 2 3 4" xfId="9322" xr:uid="{CFE3E4D1-8972-4481-9E6E-A7EEF0AC7272}"/>
    <cellStyle name="Normal 2 4 2 4 2 3 5" xfId="17760" xr:uid="{B1FEE7ED-4904-4A93-94CA-8C5F45B4A3CC}"/>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2 2 2" xfId="16098" xr:uid="{238CB3D9-E9F1-445C-A3EC-DD70ACA675B9}"/>
    <cellStyle name="Normal 2 4 2 4 2 4 2 2 3" xfId="24535" xr:uid="{F01DEB91-0F8D-4C68-9147-01D4F739F015}"/>
    <cellStyle name="Normal 2 4 2 4 2 4 2 3" xfId="11880" xr:uid="{7732D5E8-E04D-4125-9F6D-3AFB52453920}"/>
    <cellStyle name="Normal 2 4 2 4 2 4 2 4" xfId="20318" xr:uid="{C033A6E1-D297-4382-96C7-39ED84C89381}"/>
    <cellStyle name="Normal 2 4 2 4 2 4 3" xfId="5511" xr:uid="{00000000-0005-0000-0000-0000530F0000}"/>
    <cellStyle name="Normal 2 4 2 4 2 4 3 2" xfId="13953" xr:uid="{1FA00917-54BA-4DBB-86DE-F4C89AF269AC}"/>
    <cellStyle name="Normal 2 4 2 4 2 4 3 3" xfId="22390" xr:uid="{B22220AB-3EB7-4B18-A856-B2BC94E553A7}"/>
    <cellStyle name="Normal 2 4 2 4 2 4 4" xfId="9735" xr:uid="{E8038DD0-924D-4FBE-818C-BF5800E33266}"/>
    <cellStyle name="Normal 2 4 2 4 2 4 5" xfId="18173" xr:uid="{7CA2794B-FFD2-461F-AC0D-11D88A490C45}"/>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2 2 2" xfId="16511" xr:uid="{7FEF94FD-F0F2-4983-9DD6-15F8A46CB0BA}"/>
    <cellStyle name="Normal 2 4 2 4 2 5 2 2 3" xfId="24948" xr:uid="{6CA25773-0509-4E9A-BC46-876A1E95C5CF}"/>
    <cellStyle name="Normal 2 4 2 4 2 5 2 3" xfId="12293" xr:uid="{EC258F93-2110-47ED-B357-8D844F17B088}"/>
    <cellStyle name="Normal 2 4 2 4 2 5 2 4" xfId="20731" xr:uid="{A4CA655F-E060-49CE-B965-9B1D5D35B8F9}"/>
    <cellStyle name="Normal 2 4 2 4 2 5 3" xfId="5924" xr:uid="{00000000-0005-0000-0000-0000570F0000}"/>
    <cellStyle name="Normal 2 4 2 4 2 5 3 2" xfId="14366" xr:uid="{3AF7F92C-722D-4F93-A93F-B440BF51D9D0}"/>
    <cellStyle name="Normal 2 4 2 4 2 5 3 3" xfId="22803" xr:uid="{1F81355C-1737-4016-9BE9-486FF759CA09}"/>
    <cellStyle name="Normal 2 4 2 4 2 5 4" xfId="10148" xr:uid="{B82F4771-15B4-4EE3-A967-061F17D77C70}"/>
    <cellStyle name="Normal 2 4 2 4 2 5 5" xfId="18586" xr:uid="{85E26916-1DB7-48D7-AB04-2ED227BF19B4}"/>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2 2 2" xfId="16924" xr:uid="{154EC43A-9954-46EC-9D5E-3D88AE43D2B7}"/>
    <cellStyle name="Normal 2 4 2 4 2 6 2 2 3" xfId="25361" xr:uid="{AD013A9F-D55D-4A23-ABCF-06B052C18ECB}"/>
    <cellStyle name="Normal 2 4 2 4 2 6 2 3" xfId="12706" xr:uid="{5F14BE5D-7B11-496C-833D-9B050FD6FAFD}"/>
    <cellStyle name="Normal 2 4 2 4 2 6 2 4" xfId="21144" xr:uid="{9116CF84-499F-4E80-BBD7-0069FE55F89A}"/>
    <cellStyle name="Normal 2 4 2 4 2 6 3" xfId="6337" xr:uid="{00000000-0005-0000-0000-00005B0F0000}"/>
    <cellStyle name="Normal 2 4 2 4 2 6 3 2" xfId="14779" xr:uid="{163BB816-6162-470A-80B7-CA50622C1F7E}"/>
    <cellStyle name="Normal 2 4 2 4 2 6 3 3" xfId="23216" xr:uid="{DC76BF25-5B7A-4CEB-B9CF-F0C0CF700CD0}"/>
    <cellStyle name="Normal 2 4 2 4 2 6 4" xfId="10561" xr:uid="{C3D25BF1-AE69-492F-BEB5-DD262B5864F9}"/>
    <cellStyle name="Normal 2 4 2 4 2 6 5" xfId="18999" xr:uid="{84146ADF-29ED-4B98-ABFF-2C13369223F3}"/>
    <cellStyle name="Normal 2 4 2 4 2 7" xfId="2466" xr:uid="{00000000-0005-0000-0000-00005C0F0000}"/>
    <cellStyle name="Normal 2 4 2 4 2 7 2" xfId="6750" xr:uid="{00000000-0005-0000-0000-00005D0F0000}"/>
    <cellStyle name="Normal 2 4 2 4 2 7 2 2" xfId="15192" xr:uid="{5270967F-E824-4549-B82C-C5590E33EA73}"/>
    <cellStyle name="Normal 2 4 2 4 2 7 2 3" xfId="23629" xr:uid="{6BC3D6A9-0F21-4B60-94AD-BA6D3A970C79}"/>
    <cellStyle name="Normal 2 4 2 4 2 7 3" xfId="10974" xr:uid="{9E4551DD-36F1-408F-89D7-EB1E1A079479}"/>
    <cellStyle name="Normal 2 4 2 4 2 7 4" xfId="19412" xr:uid="{01F0AB83-AEC5-47F7-B652-DD1BEC40D2CF}"/>
    <cellStyle name="Normal 2 4 2 4 2 8" xfId="4684" xr:uid="{00000000-0005-0000-0000-00005E0F0000}"/>
    <cellStyle name="Normal 2 4 2 4 2 8 2" xfId="13126" xr:uid="{6DA3F5D9-0ECB-4B9F-978B-BB3DF0DEDBD1}"/>
    <cellStyle name="Normal 2 4 2 4 2 8 3" xfId="21563" xr:uid="{AFA6791F-994A-4FE6-BA01-232E68E94CEF}"/>
    <cellStyle name="Normal 2 4 2 4 2 9" xfId="8908" xr:uid="{25BDDD0F-9D82-4DC1-9E2F-4FA1AB0F6928}"/>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2 2 2" xfId="15687" xr:uid="{0620C195-9A51-40FF-BFEB-2DAD893691ED}"/>
    <cellStyle name="Normal 2 4 2 4 3 2 2 2 3" xfId="24124" xr:uid="{883675A5-349A-4654-8CD1-3A138BE7BD8F}"/>
    <cellStyle name="Normal 2 4 2 4 3 2 2 3" xfId="11469" xr:uid="{B6E9179A-3F1D-4419-A628-2CEAAC269970}"/>
    <cellStyle name="Normal 2 4 2 4 3 2 2 4" xfId="19907" xr:uid="{5C3599F6-DF1D-4439-85EE-2389A56CD64F}"/>
    <cellStyle name="Normal 2 4 2 4 3 2 3" xfId="5100" xr:uid="{00000000-0005-0000-0000-0000630F0000}"/>
    <cellStyle name="Normal 2 4 2 4 3 2 3 2" xfId="13542" xr:uid="{7EA9B780-5BCA-4E74-B802-1006BBC6FD27}"/>
    <cellStyle name="Normal 2 4 2 4 3 2 3 3" xfId="21979" xr:uid="{28676A50-CBCE-4505-91B8-CDB73933A85B}"/>
    <cellStyle name="Normal 2 4 2 4 3 2 4" xfId="9324" xr:uid="{C838F6A7-3B8A-409B-BC95-3059D26E9E84}"/>
    <cellStyle name="Normal 2 4 2 4 3 2 5" xfId="17762" xr:uid="{CF434D29-1FD6-4EAD-97B3-55A19DE95A99}"/>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2 2 2" xfId="16100" xr:uid="{344637E6-E6AC-499F-ADE4-3CEFBF3793DE}"/>
    <cellStyle name="Normal 2 4 2 4 3 3 2 2 3" xfId="24537" xr:uid="{39D3BBE8-09D6-425A-8CFD-F1A0B54D1B50}"/>
    <cellStyle name="Normal 2 4 2 4 3 3 2 3" xfId="11882" xr:uid="{3AD490DE-06B9-4A63-B80C-715B206DFFC2}"/>
    <cellStyle name="Normal 2 4 2 4 3 3 2 4" xfId="20320" xr:uid="{37EBBBF3-4DFB-446C-92FA-BE5B54D2C91F}"/>
    <cellStyle name="Normal 2 4 2 4 3 3 3" xfId="5513" xr:uid="{00000000-0005-0000-0000-0000670F0000}"/>
    <cellStyle name="Normal 2 4 2 4 3 3 3 2" xfId="13955" xr:uid="{3497C2F5-8B45-47E1-A090-8551C6BA1CE7}"/>
    <cellStyle name="Normal 2 4 2 4 3 3 3 3" xfId="22392" xr:uid="{11A5D299-528B-442E-BA7B-73D54C201681}"/>
    <cellStyle name="Normal 2 4 2 4 3 3 4" xfId="9737" xr:uid="{C13D29FC-6119-4875-AD88-23E8CAC541A7}"/>
    <cellStyle name="Normal 2 4 2 4 3 3 5" xfId="18175" xr:uid="{2E0E9EDF-D714-4451-A2F9-B7BB856FEB12}"/>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2 2 2" xfId="16513" xr:uid="{89892552-03B7-412F-8507-87BE161FF646}"/>
    <cellStyle name="Normal 2 4 2 4 3 4 2 2 3" xfId="24950" xr:uid="{6E5B6E8D-9206-42F8-80FD-26785782CA0C}"/>
    <cellStyle name="Normal 2 4 2 4 3 4 2 3" xfId="12295" xr:uid="{7E4E43C5-10FC-457D-95E0-9184EAF21DE6}"/>
    <cellStyle name="Normal 2 4 2 4 3 4 2 4" xfId="20733" xr:uid="{DB77CFE8-1F08-48B1-AB9A-15FBCC770852}"/>
    <cellStyle name="Normal 2 4 2 4 3 4 3" xfId="5926" xr:uid="{00000000-0005-0000-0000-00006B0F0000}"/>
    <cellStyle name="Normal 2 4 2 4 3 4 3 2" xfId="14368" xr:uid="{E32899A5-201E-403B-8F8F-0E6A3797A56E}"/>
    <cellStyle name="Normal 2 4 2 4 3 4 3 3" xfId="22805" xr:uid="{A9D25925-3076-4585-B04E-5A9FDC30924E}"/>
    <cellStyle name="Normal 2 4 2 4 3 4 4" xfId="10150" xr:uid="{92298EE9-7E76-4437-A446-A0E459D5CCE2}"/>
    <cellStyle name="Normal 2 4 2 4 3 4 5" xfId="18588" xr:uid="{E233F079-E14E-4C91-ABCB-0E9DC65807F7}"/>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2 2 2" xfId="16926" xr:uid="{D909243F-96BC-440D-9AF6-05E226B1B8B1}"/>
    <cellStyle name="Normal 2 4 2 4 3 5 2 2 3" xfId="25363" xr:uid="{76ADE43A-78E8-4C38-B6C8-6B7358909FE7}"/>
    <cellStyle name="Normal 2 4 2 4 3 5 2 3" xfId="12708" xr:uid="{985DFC37-3D1C-4D4B-8ED4-A5F94E507677}"/>
    <cellStyle name="Normal 2 4 2 4 3 5 2 4" xfId="21146" xr:uid="{59E51DAE-AEC1-4107-BB1E-99F53A4171DD}"/>
    <cellStyle name="Normal 2 4 2 4 3 5 3" xfId="6339" xr:uid="{00000000-0005-0000-0000-00006F0F0000}"/>
    <cellStyle name="Normal 2 4 2 4 3 5 3 2" xfId="14781" xr:uid="{DA69DD52-4B0F-4EDC-8BE9-ADC8EC897E26}"/>
    <cellStyle name="Normal 2 4 2 4 3 5 3 3" xfId="23218" xr:uid="{A81CF21A-7BBB-4A19-A904-A913091DAE24}"/>
    <cellStyle name="Normal 2 4 2 4 3 5 4" xfId="10563" xr:uid="{4FAE8247-737F-436E-9B41-E2155B324847}"/>
    <cellStyle name="Normal 2 4 2 4 3 5 5" xfId="19001" xr:uid="{6A993143-E0E5-4F33-BF7A-5F03721F1E8F}"/>
    <cellStyle name="Normal 2 4 2 4 3 6" xfId="2468" xr:uid="{00000000-0005-0000-0000-0000700F0000}"/>
    <cellStyle name="Normal 2 4 2 4 3 6 2" xfId="6752" xr:uid="{00000000-0005-0000-0000-0000710F0000}"/>
    <cellStyle name="Normal 2 4 2 4 3 6 2 2" xfId="15194" xr:uid="{05E5D125-1EAC-4EAB-9AB8-E123248D21D7}"/>
    <cellStyle name="Normal 2 4 2 4 3 6 2 3" xfId="23631" xr:uid="{70E58776-4636-4759-BAE2-579D087102D3}"/>
    <cellStyle name="Normal 2 4 2 4 3 6 3" xfId="10976" xr:uid="{18B2081D-81EA-4EE7-B9B6-2F5FA64BCBFC}"/>
    <cellStyle name="Normal 2 4 2 4 3 6 4" xfId="19414" xr:uid="{1626C630-CC48-4010-8F83-D45FD59831B2}"/>
    <cellStyle name="Normal 2 4 2 4 3 7" xfId="4686" xr:uid="{00000000-0005-0000-0000-0000720F0000}"/>
    <cellStyle name="Normal 2 4 2 4 3 7 2" xfId="13128" xr:uid="{ABAC3818-7B04-4106-99D2-FF7C2E80C24A}"/>
    <cellStyle name="Normal 2 4 2 4 3 7 3" xfId="21565" xr:uid="{24E7CB45-3790-48F1-B761-7D871BA340D1}"/>
    <cellStyle name="Normal 2 4 2 4 3 8" xfId="8910" xr:uid="{90F28770-7ACA-4115-9818-20991F473D2C}"/>
    <cellStyle name="Normal 2 4 2 4 3 9" xfId="17348" xr:uid="{4861FA47-0A90-4BB1-ADD7-E640C279A0C3}"/>
    <cellStyle name="Normal 2 4 2 4 4" xfId="780" xr:uid="{00000000-0005-0000-0000-0000730F0000}"/>
    <cellStyle name="Normal 2 4 2 4 4 2" xfId="3019" xr:uid="{00000000-0005-0000-0000-0000740F0000}"/>
    <cellStyle name="Normal 2 4 2 4 4 2 2" xfId="7242" xr:uid="{00000000-0005-0000-0000-0000750F0000}"/>
    <cellStyle name="Normal 2 4 2 4 4 2 2 2" xfId="15684" xr:uid="{59925199-E0DD-469F-AF5D-624284396CEF}"/>
    <cellStyle name="Normal 2 4 2 4 4 2 2 3" xfId="24121" xr:uid="{ABCDF832-BD84-4981-AD1F-FA5894BB22EC}"/>
    <cellStyle name="Normal 2 4 2 4 4 2 3" xfId="11466" xr:uid="{FCA22D0D-2000-4B0A-A810-722D943DF033}"/>
    <cellStyle name="Normal 2 4 2 4 4 2 4" xfId="19904" xr:uid="{16FFCB97-53E0-4A46-A2A6-5CD01D035901}"/>
    <cellStyle name="Normal 2 4 2 4 4 3" xfId="5097" xr:uid="{00000000-0005-0000-0000-0000760F0000}"/>
    <cellStyle name="Normal 2 4 2 4 4 3 2" xfId="13539" xr:uid="{C9A64122-0AF6-486E-B65B-DF687E1FC832}"/>
    <cellStyle name="Normal 2 4 2 4 4 3 3" xfId="21976" xr:uid="{2373755B-A0E3-4903-8716-E4D8319F3E73}"/>
    <cellStyle name="Normal 2 4 2 4 4 4" xfId="9321" xr:uid="{61F90C3A-36EC-4A1B-B42F-9DFAE3575049}"/>
    <cellStyle name="Normal 2 4 2 4 4 5" xfId="17759" xr:uid="{72F3F5E4-A538-433C-87A1-FE70624C6538}"/>
    <cellStyle name="Normal 2 4 2 4 5" xfId="1202" xr:uid="{00000000-0005-0000-0000-0000770F0000}"/>
    <cellStyle name="Normal 2 4 2 4 5 2" xfId="3432" xr:uid="{00000000-0005-0000-0000-0000780F0000}"/>
    <cellStyle name="Normal 2 4 2 4 5 2 2" xfId="7655" xr:uid="{00000000-0005-0000-0000-0000790F0000}"/>
    <cellStyle name="Normal 2 4 2 4 5 2 2 2" xfId="16097" xr:uid="{D4C85DFB-EFD9-43A6-97A1-D368EAE41AC7}"/>
    <cellStyle name="Normal 2 4 2 4 5 2 2 3" xfId="24534" xr:uid="{E9E66F8F-9F16-454A-A4E1-69AD667E3BD9}"/>
    <cellStyle name="Normal 2 4 2 4 5 2 3" xfId="11879" xr:uid="{60907DC7-3853-4EBD-B7D9-6762E1722715}"/>
    <cellStyle name="Normal 2 4 2 4 5 2 4" xfId="20317" xr:uid="{731BCACE-725E-4A4C-AE7C-6E9DAA553CB8}"/>
    <cellStyle name="Normal 2 4 2 4 5 3" xfId="5510" xr:uid="{00000000-0005-0000-0000-00007A0F0000}"/>
    <cellStyle name="Normal 2 4 2 4 5 3 2" xfId="13952" xr:uid="{D747D4CD-7D79-4DD1-8415-1326575CCC9B}"/>
    <cellStyle name="Normal 2 4 2 4 5 3 3" xfId="22389" xr:uid="{F8E5693F-096F-4C11-99EA-C77524FBE1E6}"/>
    <cellStyle name="Normal 2 4 2 4 5 4" xfId="9734" xr:uid="{5C47071B-EE3D-4E94-B09B-188076950ECA}"/>
    <cellStyle name="Normal 2 4 2 4 5 5" xfId="18172" xr:uid="{42516F21-1404-49C2-ACC9-89F2BD90310B}"/>
    <cellStyle name="Normal 2 4 2 4 6" xfId="1615" xr:uid="{00000000-0005-0000-0000-00007B0F0000}"/>
    <cellStyle name="Normal 2 4 2 4 6 2" xfId="3845" xr:uid="{00000000-0005-0000-0000-00007C0F0000}"/>
    <cellStyle name="Normal 2 4 2 4 6 2 2" xfId="8068" xr:uid="{00000000-0005-0000-0000-00007D0F0000}"/>
    <cellStyle name="Normal 2 4 2 4 6 2 2 2" xfId="16510" xr:uid="{1B87DA8F-BD87-4747-AF4B-6EC4D865FE24}"/>
    <cellStyle name="Normal 2 4 2 4 6 2 2 3" xfId="24947" xr:uid="{9149B646-7B7F-4594-B9C3-E69E727737CE}"/>
    <cellStyle name="Normal 2 4 2 4 6 2 3" xfId="12292" xr:uid="{89C74F2E-3053-4218-9BE5-6524CAC57A9F}"/>
    <cellStyle name="Normal 2 4 2 4 6 2 4" xfId="20730" xr:uid="{0FD351FD-5072-4FF0-8D44-37893438AC26}"/>
    <cellStyle name="Normal 2 4 2 4 6 3" xfId="5923" xr:uid="{00000000-0005-0000-0000-00007E0F0000}"/>
    <cellStyle name="Normal 2 4 2 4 6 3 2" xfId="14365" xr:uid="{0210D388-64AE-4B2D-B112-CD6AF3943050}"/>
    <cellStyle name="Normal 2 4 2 4 6 3 3" xfId="22802" xr:uid="{E7D68482-2CF2-4AC5-A6A8-04100CB6CCCA}"/>
    <cellStyle name="Normal 2 4 2 4 6 4" xfId="10147" xr:uid="{A8B14FE9-BA5C-4DC6-A300-C32B923EA9F7}"/>
    <cellStyle name="Normal 2 4 2 4 6 5" xfId="18585" xr:uid="{F3333AD9-54BC-4ACB-9250-D8AE6397B98A}"/>
    <cellStyle name="Normal 2 4 2 4 7" xfId="2029" xr:uid="{00000000-0005-0000-0000-00007F0F0000}"/>
    <cellStyle name="Normal 2 4 2 4 7 2" xfId="4258" xr:uid="{00000000-0005-0000-0000-0000800F0000}"/>
    <cellStyle name="Normal 2 4 2 4 7 2 2" xfId="8481" xr:uid="{00000000-0005-0000-0000-0000810F0000}"/>
    <cellStyle name="Normal 2 4 2 4 7 2 2 2" xfId="16923" xr:uid="{14D9A7C9-E53B-49FC-9FF8-4054C15CABAA}"/>
    <cellStyle name="Normal 2 4 2 4 7 2 2 3" xfId="25360" xr:uid="{0E8945B0-2015-4275-8D1C-D9713F655702}"/>
    <cellStyle name="Normal 2 4 2 4 7 2 3" xfId="12705" xr:uid="{C5BCA997-E6CB-417A-9F00-35B6A9B6BF6A}"/>
    <cellStyle name="Normal 2 4 2 4 7 2 4" xfId="21143" xr:uid="{B3A1BFCF-F8A2-449A-81C5-9DA4942D30F3}"/>
    <cellStyle name="Normal 2 4 2 4 7 3" xfId="6336" xr:uid="{00000000-0005-0000-0000-0000820F0000}"/>
    <cellStyle name="Normal 2 4 2 4 7 3 2" xfId="14778" xr:uid="{6B1F5FDF-347E-4419-91F9-9407CE68058C}"/>
    <cellStyle name="Normal 2 4 2 4 7 3 3" xfId="23215" xr:uid="{8CB755FA-BDF4-4234-9988-808B8F5C7E4D}"/>
    <cellStyle name="Normal 2 4 2 4 7 4" xfId="10560" xr:uid="{CB50AADF-891D-48FE-BF26-7DE8041941D0}"/>
    <cellStyle name="Normal 2 4 2 4 7 5" xfId="18998" xr:uid="{39D0F0B6-7ACC-4CBD-8137-C9E4DD5C8891}"/>
    <cellStyle name="Normal 2 4 2 4 8" xfId="2465" xr:uid="{00000000-0005-0000-0000-0000830F0000}"/>
    <cellStyle name="Normal 2 4 2 4 8 2" xfId="6749" xr:uid="{00000000-0005-0000-0000-0000840F0000}"/>
    <cellStyle name="Normal 2 4 2 4 8 2 2" xfId="15191" xr:uid="{2FD18189-3C44-4674-A704-C953069CA787}"/>
    <cellStyle name="Normal 2 4 2 4 8 2 3" xfId="23628" xr:uid="{22E9EF24-8898-486B-BDD7-0009900C075C}"/>
    <cellStyle name="Normal 2 4 2 4 8 3" xfId="10973" xr:uid="{510AE91F-8D63-4D22-B286-B4CE6DEADBA6}"/>
    <cellStyle name="Normal 2 4 2 4 8 4" xfId="19411" xr:uid="{95DF9261-E8EB-497D-B29A-7CA1996DEBCB}"/>
    <cellStyle name="Normal 2 4 2 4 9" xfId="4683" xr:uid="{00000000-0005-0000-0000-0000850F0000}"/>
    <cellStyle name="Normal 2 4 2 4 9 2" xfId="13125" xr:uid="{7B048E0F-923E-427C-AD95-2A83FFC733BF}"/>
    <cellStyle name="Normal 2 4 2 4 9 3" xfId="21562" xr:uid="{AD386265-6036-4538-976D-635764A5330F}"/>
    <cellStyle name="Normal 2 4 2 5" xfId="293" xr:uid="{00000000-0005-0000-0000-0000860F0000}"/>
    <cellStyle name="Normal 2 4 2 5 10" xfId="17349" xr:uid="{AE142CC9-316E-4BC4-9A48-148A90C00E55}"/>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2 2 2" xfId="15689" xr:uid="{A4FD1657-78B3-4775-977D-14A34F0F6311}"/>
    <cellStyle name="Normal 2 4 2 5 2 2 2 2 3" xfId="24126" xr:uid="{DFF37378-3A86-4CDE-AF37-9E98F52A757D}"/>
    <cellStyle name="Normal 2 4 2 5 2 2 2 3" xfId="11471" xr:uid="{0BC90E01-4F9A-46DD-83EF-6F419B4B17E6}"/>
    <cellStyle name="Normal 2 4 2 5 2 2 2 4" xfId="19909" xr:uid="{52920C3E-9D6F-4863-9739-8A0CC7A6DB4D}"/>
    <cellStyle name="Normal 2 4 2 5 2 2 3" xfId="5102" xr:uid="{00000000-0005-0000-0000-00008B0F0000}"/>
    <cellStyle name="Normal 2 4 2 5 2 2 3 2" xfId="13544" xr:uid="{A30C4B72-A872-4668-AACD-B0CFCCDC518F}"/>
    <cellStyle name="Normal 2 4 2 5 2 2 3 3" xfId="21981" xr:uid="{78FD8752-31F6-44CD-9DCE-D60E7F8CF37D}"/>
    <cellStyle name="Normal 2 4 2 5 2 2 4" xfId="9326" xr:uid="{F804FF27-FDF4-4612-B6D6-C765CCFA0AF6}"/>
    <cellStyle name="Normal 2 4 2 5 2 2 5" xfId="17764" xr:uid="{6A688E80-A7A0-4DC3-A349-8D4CF20354CE}"/>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2 2 2" xfId="16102" xr:uid="{FBCCAE89-3441-4F01-AE19-31A51968097E}"/>
    <cellStyle name="Normal 2 4 2 5 2 3 2 2 3" xfId="24539" xr:uid="{0D298C42-C34A-42F1-91C5-43CDCD736D55}"/>
    <cellStyle name="Normal 2 4 2 5 2 3 2 3" xfId="11884" xr:uid="{3304E459-44A0-4F27-8C7B-AE1211303B94}"/>
    <cellStyle name="Normal 2 4 2 5 2 3 2 4" xfId="20322" xr:uid="{E73B7A52-019A-468A-B3E2-6269A3FCD1EF}"/>
    <cellStyle name="Normal 2 4 2 5 2 3 3" xfId="5515" xr:uid="{00000000-0005-0000-0000-00008F0F0000}"/>
    <cellStyle name="Normal 2 4 2 5 2 3 3 2" xfId="13957" xr:uid="{E1030561-89E0-4EF7-A65C-3FCB685411D2}"/>
    <cellStyle name="Normal 2 4 2 5 2 3 3 3" xfId="22394" xr:uid="{8B0018F4-241C-4A48-A112-665C8DA41BD3}"/>
    <cellStyle name="Normal 2 4 2 5 2 3 4" xfId="9739" xr:uid="{A2E47E1A-1CD0-4622-8102-FE90E1DC014D}"/>
    <cellStyle name="Normal 2 4 2 5 2 3 5" xfId="18177" xr:uid="{D6F6CAB0-E0BD-4F6E-8C1F-6308642C860B}"/>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2 2 2" xfId="16515" xr:uid="{9261ED3B-64F4-4BD3-A160-7208B044D7B1}"/>
    <cellStyle name="Normal 2 4 2 5 2 4 2 2 3" xfId="24952" xr:uid="{46E6D091-6275-41D6-A96E-D01FBD05DD0D}"/>
    <cellStyle name="Normal 2 4 2 5 2 4 2 3" xfId="12297" xr:uid="{59F3B9C7-A785-4B29-AD35-81B1D26B12F7}"/>
    <cellStyle name="Normal 2 4 2 5 2 4 2 4" xfId="20735" xr:uid="{4C6D098D-89EC-474D-BE62-97BC63D94A9B}"/>
    <cellStyle name="Normal 2 4 2 5 2 4 3" xfId="5928" xr:uid="{00000000-0005-0000-0000-0000930F0000}"/>
    <cellStyle name="Normal 2 4 2 5 2 4 3 2" xfId="14370" xr:uid="{3CA9F750-8275-427E-8293-A97641ACA21D}"/>
    <cellStyle name="Normal 2 4 2 5 2 4 3 3" xfId="22807" xr:uid="{F5FCA4C3-956B-42AE-BA2B-C748191B3672}"/>
    <cellStyle name="Normal 2 4 2 5 2 4 4" xfId="10152" xr:uid="{7A17C920-B5D9-4B41-A6F2-6BFB3C5334B5}"/>
    <cellStyle name="Normal 2 4 2 5 2 4 5" xfId="18590" xr:uid="{CF67511B-0154-417F-80B1-97FF8531AC5F}"/>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2 2 2" xfId="16928" xr:uid="{3221D3F4-9A49-44E2-A9DF-2A84B1FC4F95}"/>
    <cellStyle name="Normal 2 4 2 5 2 5 2 2 3" xfId="25365" xr:uid="{55B758CC-DC46-4809-9509-89D497E33BFE}"/>
    <cellStyle name="Normal 2 4 2 5 2 5 2 3" xfId="12710" xr:uid="{0623B388-C63D-419B-A6AE-7474ABB7356C}"/>
    <cellStyle name="Normal 2 4 2 5 2 5 2 4" xfId="21148" xr:uid="{82A752D2-6A47-47CC-8B5C-B2B35287C954}"/>
    <cellStyle name="Normal 2 4 2 5 2 5 3" xfId="6341" xr:uid="{00000000-0005-0000-0000-0000970F0000}"/>
    <cellStyle name="Normal 2 4 2 5 2 5 3 2" xfId="14783" xr:uid="{3FC5F106-9473-456F-BEEE-90FFBE8C7044}"/>
    <cellStyle name="Normal 2 4 2 5 2 5 3 3" xfId="23220" xr:uid="{1720FE77-981F-41C5-A2FA-1EE4D8235DCF}"/>
    <cellStyle name="Normal 2 4 2 5 2 5 4" xfId="10565" xr:uid="{B73C798C-68F5-46B8-90F3-81FF15C9A136}"/>
    <cellStyle name="Normal 2 4 2 5 2 5 5" xfId="19003" xr:uid="{CE5D16B7-FDCF-4533-A225-AA30787FCFE3}"/>
    <cellStyle name="Normal 2 4 2 5 2 6" xfId="2470" xr:uid="{00000000-0005-0000-0000-0000980F0000}"/>
    <cellStyle name="Normal 2 4 2 5 2 6 2" xfId="6754" xr:uid="{00000000-0005-0000-0000-0000990F0000}"/>
    <cellStyle name="Normal 2 4 2 5 2 6 2 2" xfId="15196" xr:uid="{EBE3F7C3-96C7-4524-A9C5-8D52949269AB}"/>
    <cellStyle name="Normal 2 4 2 5 2 6 2 3" xfId="23633" xr:uid="{112BF790-266D-4E19-865A-E7D10AC6A146}"/>
    <cellStyle name="Normal 2 4 2 5 2 6 3" xfId="10978" xr:uid="{633421E5-D28A-4127-AF7E-BBCDFEC70F7E}"/>
    <cellStyle name="Normal 2 4 2 5 2 6 4" xfId="19416" xr:uid="{78563684-BB64-4263-AA04-49B8392302A3}"/>
    <cellStyle name="Normal 2 4 2 5 2 7" xfId="4688" xr:uid="{00000000-0005-0000-0000-00009A0F0000}"/>
    <cellStyle name="Normal 2 4 2 5 2 7 2" xfId="13130" xr:uid="{480100B9-993E-458C-B320-8E307B1D73EA}"/>
    <cellStyle name="Normal 2 4 2 5 2 7 3" xfId="21567" xr:uid="{2CA61459-C60A-44EC-B1F3-390616239110}"/>
    <cellStyle name="Normal 2 4 2 5 2 8" xfId="8912" xr:uid="{231E30F0-4048-4A35-A417-9CCD316E5A5F}"/>
    <cellStyle name="Normal 2 4 2 5 2 9" xfId="17350" xr:uid="{8F755262-6B44-4C2F-8492-956C01F05A93}"/>
    <cellStyle name="Normal 2 4 2 5 3" xfId="784" xr:uid="{00000000-0005-0000-0000-00009B0F0000}"/>
    <cellStyle name="Normal 2 4 2 5 3 2" xfId="3023" xr:uid="{00000000-0005-0000-0000-00009C0F0000}"/>
    <cellStyle name="Normal 2 4 2 5 3 2 2" xfId="7246" xr:uid="{00000000-0005-0000-0000-00009D0F0000}"/>
    <cellStyle name="Normal 2 4 2 5 3 2 2 2" xfId="15688" xr:uid="{390AA20C-C1A0-4860-8643-AA70D706FAA2}"/>
    <cellStyle name="Normal 2 4 2 5 3 2 2 3" xfId="24125" xr:uid="{40A88DBB-5974-4B10-B984-AEA9E835F631}"/>
    <cellStyle name="Normal 2 4 2 5 3 2 3" xfId="11470" xr:uid="{9C450194-E80D-4B07-B9D4-53B5B8D72C3B}"/>
    <cellStyle name="Normal 2 4 2 5 3 2 4" xfId="19908" xr:uid="{E0071B47-D245-4044-AAEE-A270289F0F47}"/>
    <cellStyle name="Normal 2 4 2 5 3 3" xfId="5101" xr:uid="{00000000-0005-0000-0000-00009E0F0000}"/>
    <cellStyle name="Normal 2 4 2 5 3 3 2" xfId="13543" xr:uid="{2412416B-3F25-41F0-8340-865B5FF33B7E}"/>
    <cellStyle name="Normal 2 4 2 5 3 3 3" xfId="21980" xr:uid="{50C3BA0E-941B-4A55-9A74-B1B386EEAA5B}"/>
    <cellStyle name="Normal 2 4 2 5 3 4" xfId="9325" xr:uid="{BF52B85E-223C-4FEF-9CBB-B563CAA1FFA6}"/>
    <cellStyle name="Normal 2 4 2 5 3 5" xfId="17763" xr:uid="{5DA6E332-1EC6-40E2-AC6F-4EAED9DE35A4}"/>
    <cellStyle name="Normal 2 4 2 5 4" xfId="1206" xr:uid="{00000000-0005-0000-0000-00009F0F0000}"/>
    <cellStyle name="Normal 2 4 2 5 4 2" xfId="3436" xr:uid="{00000000-0005-0000-0000-0000A00F0000}"/>
    <cellStyle name="Normal 2 4 2 5 4 2 2" xfId="7659" xr:uid="{00000000-0005-0000-0000-0000A10F0000}"/>
    <cellStyle name="Normal 2 4 2 5 4 2 2 2" xfId="16101" xr:uid="{7683A272-8CAA-4B6F-AA83-CA3B6F23C250}"/>
    <cellStyle name="Normal 2 4 2 5 4 2 2 3" xfId="24538" xr:uid="{A2169885-3D86-4316-8516-1F0A6DC1437E}"/>
    <cellStyle name="Normal 2 4 2 5 4 2 3" xfId="11883" xr:uid="{0C10CC1C-A920-47B0-AD72-17D144EAA061}"/>
    <cellStyle name="Normal 2 4 2 5 4 2 4" xfId="20321" xr:uid="{19D0F2EF-E27A-482D-8395-580062E76DDC}"/>
    <cellStyle name="Normal 2 4 2 5 4 3" xfId="5514" xr:uid="{00000000-0005-0000-0000-0000A20F0000}"/>
    <cellStyle name="Normal 2 4 2 5 4 3 2" xfId="13956" xr:uid="{648ADB58-509F-4561-A5E6-A1A3E9F29549}"/>
    <cellStyle name="Normal 2 4 2 5 4 3 3" xfId="22393" xr:uid="{2B1265B9-7454-4E06-9025-5BFFE94F46A6}"/>
    <cellStyle name="Normal 2 4 2 5 4 4" xfId="9738" xr:uid="{4C1DF51A-22D2-4A2D-97AB-74538113E4D1}"/>
    <cellStyle name="Normal 2 4 2 5 4 5" xfId="18176" xr:uid="{810456FB-1842-4285-8D1B-0BACDB83A768}"/>
    <cellStyle name="Normal 2 4 2 5 5" xfId="1619" xr:uid="{00000000-0005-0000-0000-0000A30F0000}"/>
    <cellStyle name="Normal 2 4 2 5 5 2" xfId="3849" xr:uid="{00000000-0005-0000-0000-0000A40F0000}"/>
    <cellStyle name="Normal 2 4 2 5 5 2 2" xfId="8072" xr:uid="{00000000-0005-0000-0000-0000A50F0000}"/>
    <cellStyle name="Normal 2 4 2 5 5 2 2 2" xfId="16514" xr:uid="{D06B0E78-62FF-4CA5-89E5-592CAC175581}"/>
    <cellStyle name="Normal 2 4 2 5 5 2 2 3" xfId="24951" xr:uid="{B9682350-E960-4357-94E9-7DE851A0EA0B}"/>
    <cellStyle name="Normal 2 4 2 5 5 2 3" xfId="12296" xr:uid="{4A9472AD-6383-4412-ABCB-64E8DFA437B2}"/>
    <cellStyle name="Normal 2 4 2 5 5 2 4" xfId="20734" xr:uid="{1954483E-3D3E-47F2-B58E-E344336A06F7}"/>
    <cellStyle name="Normal 2 4 2 5 5 3" xfId="5927" xr:uid="{00000000-0005-0000-0000-0000A60F0000}"/>
    <cellStyle name="Normal 2 4 2 5 5 3 2" xfId="14369" xr:uid="{F42F3433-5B4C-4329-8C7E-32BFE7AA1118}"/>
    <cellStyle name="Normal 2 4 2 5 5 3 3" xfId="22806" xr:uid="{A0E5B8CF-125E-4A0B-B381-9210262D30BE}"/>
    <cellStyle name="Normal 2 4 2 5 5 4" xfId="10151" xr:uid="{4D9AE5A8-0401-484E-8975-53AD728B7E6D}"/>
    <cellStyle name="Normal 2 4 2 5 5 5" xfId="18589" xr:uid="{B918E970-64A2-4305-9971-536A1BA09C30}"/>
    <cellStyle name="Normal 2 4 2 5 6" xfId="2033" xr:uid="{00000000-0005-0000-0000-0000A70F0000}"/>
    <cellStyle name="Normal 2 4 2 5 6 2" xfId="4262" xr:uid="{00000000-0005-0000-0000-0000A80F0000}"/>
    <cellStyle name="Normal 2 4 2 5 6 2 2" xfId="8485" xr:uid="{00000000-0005-0000-0000-0000A90F0000}"/>
    <cellStyle name="Normal 2 4 2 5 6 2 2 2" xfId="16927" xr:uid="{38577569-B1D5-408D-B028-2E98443AC1DC}"/>
    <cellStyle name="Normal 2 4 2 5 6 2 2 3" xfId="25364" xr:uid="{7CF46F78-3530-4A5D-8A79-84790CC78EFB}"/>
    <cellStyle name="Normal 2 4 2 5 6 2 3" xfId="12709" xr:uid="{6DE7E196-798F-4978-9E6F-90874DA5AC04}"/>
    <cellStyle name="Normal 2 4 2 5 6 2 4" xfId="21147" xr:uid="{7787B5F1-6C4C-47EC-98C9-A97BB437D061}"/>
    <cellStyle name="Normal 2 4 2 5 6 3" xfId="6340" xr:uid="{00000000-0005-0000-0000-0000AA0F0000}"/>
    <cellStyle name="Normal 2 4 2 5 6 3 2" xfId="14782" xr:uid="{22CCE412-25C0-4BAB-84EB-9BAF74E825B5}"/>
    <cellStyle name="Normal 2 4 2 5 6 3 3" xfId="23219" xr:uid="{74D17F1A-329F-4D0E-B418-543344AAE1FF}"/>
    <cellStyle name="Normal 2 4 2 5 6 4" xfId="10564" xr:uid="{7F254E1D-C2F8-498D-815E-0FA34D1F88C4}"/>
    <cellStyle name="Normal 2 4 2 5 6 5" xfId="19002" xr:uid="{2F5C29A5-7AE1-4E64-9178-22CA23A17623}"/>
    <cellStyle name="Normal 2 4 2 5 7" xfId="2469" xr:uid="{00000000-0005-0000-0000-0000AB0F0000}"/>
    <cellStyle name="Normal 2 4 2 5 7 2" xfId="6753" xr:uid="{00000000-0005-0000-0000-0000AC0F0000}"/>
    <cellStyle name="Normal 2 4 2 5 7 2 2" xfId="15195" xr:uid="{5CEE5980-0C66-4F57-B210-A20F96882030}"/>
    <cellStyle name="Normal 2 4 2 5 7 2 3" xfId="23632" xr:uid="{3672BD2F-FDBD-4F11-A0B4-B46AF9F8F8AD}"/>
    <cellStyle name="Normal 2 4 2 5 7 3" xfId="10977" xr:uid="{D7132F13-51E1-4EFD-AD2E-65F2C1AC8EEB}"/>
    <cellStyle name="Normal 2 4 2 5 7 4" xfId="19415" xr:uid="{36C19F8C-F010-4C12-B383-F57F6DD2589C}"/>
    <cellStyle name="Normal 2 4 2 5 8" xfId="4687" xr:uid="{00000000-0005-0000-0000-0000AD0F0000}"/>
    <cellStyle name="Normal 2 4 2 5 8 2" xfId="13129" xr:uid="{D8B46101-0504-42BA-AAC8-335750171E54}"/>
    <cellStyle name="Normal 2 4 2 5 8 3" xfId="21566" xr:uid="{47C370C2-D527-4CFA-B430-D1B9E70A0436}"/>
    <cellStyle name="Normal 2 4 2 5 9" xfId="8911" xr:uid="{81B82FE9-5011-40D1-A720-7F46A2D6B8E7}"/>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2 2 2" xfId="15690" xr:uid="{E88996EE-8E8F-4CB8-A6F7-3EE4222A4B99}"/>
    <cellStyle name="Normal 2 4 2 6 2 2 2 3" xfId="24127" xr:uid="{E11205D2-9F53-41A0-9827-BF865D3D8588}"/>
    <cellStyle name="Normal 2 4 2 6 2 2 3" xfId="11472" xr:uid="{DC9A22D7-DF2D-4ABB-85BC-70ECAC9D825F}"/>
    <cellStyle name="Normal 2 4 2 6 2 2 4" xfId="19910" xr:uid="{CF4B6BDA-A6DC-4414-99FD-1EC8420AC4D3}"/>
    <cellStyle name="Normal 2 4 2 6 2 3" xfId="5103" xr:uid="{00000000-0005-0000-0000-0000B20F0000}"/>
    <cellStyle name="Normal 2 4 2 6 2 3 2" xfId="13545" xr:uid="{35CAD673-6998-44E0-AB53-DED847504149}"/>
    <cellStyle name="Normal 2 4 2 6 2 3 3" xfId="21982" xr:uid="{8FF7B90C-6930-4C7A-A4A2-001FFF2346E4}"/>
    <cellStyle name="Normal 2 4 2 6 2 4" xfId="9327" xr:uid="{32AA2DDB-C882-4B04-9EE0-E29B30EAEE39}"/>
    <cellStyle name="Normal 2 4 2 6 2 5" xfId="17765" xr:uid="{00D56985-641F-4C67-9AEA-897A19D376F0}"/>
    <cellStyle name="Normal 2 4 2 6 3" xfId="1208" xr:uid="{00000000-0005-0000-0000-0000B30F0000}"/>
    <cellStyle name="Normal 2 4 2 6 3 2" xfId="3438" xr:uid="{00000000-0005-0000-0000-0000B40F0000}"/>
    <cellStyle name="Normal 2 4 2 6 3 2 2" xfId="7661" xr:uid="{00000000-0005-0000-0000-0000B50F0000}"/>
    <cellStyle name="Normal 2 4 2 6 3 2 2 2" xfId="16103" xr:uid="{27385534-C04A-4B14-8999-FEE143C0C7B6}"/>
    <cellStyle name="Normal 2 4 2 6 3 2 2 3" xfId="24540" xr:uid="{49F2F4FC-AFE9-4B5E-B840-9D4831C21FCF}"/>
    <cellStyle name="Normal 2 4 2 6 3 2 3" xfId="11885" xr:uid="{A34D5861-A7FD-4FB7-B71D-B5175E899584}"/>
    <cellStyle name="Normal 2 4 2 6 3 2 4" xfId="20323" xr:uid="{B47D9763-1E2B-4B40-B98C-7F48FD5D54D2}"/>
    <cellStyle name="Normal 2 4 2 6 3 3" xfId="5516" xr:uid="{00000000-0005-0000-0000-0000B60F0000}"/>
    <cellStyle name="Normal 2 4 2 6 3 3 2" xfId="13958" xr:uid="{20CDA11A-D430-4A37-B2C8-958F19B377A2}"/>
    <cellStyle name="Normal 2 4 2 6 3 3 3" xfId="22395" xr:uid="{1CD3E647-EF45-458E-8E54-2A38EED9E5E7}"/>
    <cellStyle name="Normal 2 4 2 6 3 4" xfId="9740" xr:uid="{744FA091-CFE2-452A-8809-95FEAD97BEC8}"/>
    <cellStyle name="Normal 2 4 2 6 3 5" xfId="18178" xr:uid="{D824CE69-9838-4AA1-B393-93510A424099}"/>
    <cellStyle name="Normal 2 4 2 6 4" xfId="1621" xr:uid="{00000000-0005-0000-0000-0000B70F0000}"/>
    <cellStyle name="Normal 2 4 2 6 4 2" xfId="3851" xr:uid="{00000000-0005-0000-0000-0000B80F0000}"/>
    <cellStyle name="Normal 2 4 2 6 4 2 2" xfId="8074" xr:uid="{00000000-0005-0000-0000-0000B90F0000}"/>
    <cellStyle name="Normal 2 4 2 6 4 2 2 2" xfId="16516" xr:uid="{964A3576-A569-47B2-8638-1BBBABA09BD4}"/>
    <cellStyle name="Normal 2 4 2 6 4 2 2 3" xfId="24953" xr:uid="{EC0EFD26-7C07-4468-8E76-5B8B4C4F012F}"/>
    <cellStyle name="Normal 2 4 2 6 4 2 3" xfId="12298" xr:uid="{FBD376DB-136F-4F34-9ED3-E55FC4A688EA}"/>
    <cellStyle name="Normal 2 4 2 6 4 2 4" xfId="20736" xr:uid="{13F4D9B2-BDFC-47DB-97CE-D5ED07B81B62}"/>
    <cellStyle name="Normal 2 4 2 6 4 3" xfId="5929" xr:uid="{00000000-0005-0000-0000-0000BA0F0000}"/>
    <cellStyle name="Normal 2 4 2 6 4 3 2" xfId="14371" xr:uid="{DF106B12-4647-44CA-852A-3942B946A675}"/>
    <cellStyle name="Normal 2 4 2 6 4 3 3" xfId="22808" xr:uid="{B7A9A2A5-39B4-4AF3-A303-A692526D31E2}"/>
    <cellStyle name="Normal 2 4 2 6 4 4" xfId="10153" xr:uid="{2D09E7E0-1269-4070-8BBA-04AF39D3FB07}"/>
    <cellStyle name="Normal 2 4 2 6 4 5" xfId="18591" xr:uid="{1A40A47C-D6FA-46B9-96F2-C6E0A63B22E2}"/>
    <cellStyle name="Normal 2 4 2 6 5" xfId="2035" xr:uid="{00000000-0005-0000-0000-0000BB0F0000}"/>
    <cellStyle name="Normal 2 4 2 6 5 2" xfId="4264" xr:uid="{00000000-0005-0000-0000-0000BC0F0000}"/>
    <cellStyle name="Normal 2 4 2 6 5 2 2" xfId="8487" xr:uid="{00000000-0005-0000-0000-0000BD0F0000}"/>
    <cellStyle name="Normal 2 4 2 6 5 2 2 2" xfId="16929" xr:uid="{DEEA22D4-A171-4DD1-8BB7-6920B1AB79EC}"/>
    <cellStyle name="Normal 2 4 2 6 5 2 2 3" xfId="25366" xr:uid="{2FD7D7B5-7A91-4D58-9F9F-D815E4E86CC4}"/>
    <cellStyle name="Normal 2 4 2 6 5 2 3" xfId="12711" xr:uid="{F58DA05E-6FA6-4958-AA04-1FE1C727E20F}"/>
    <cellStyle name="Normal 2 4 2 6 5 2 4" xfId="21149" xr:uid="{F6415271-1834-4EF3-A934-EC58FFDE0CBB}"/>
    <cellStyle name="Normal 2 4 2 6 5 3" xfId="6342" xr:uid="{00000000-0005-0000-0000-0000BE0F0000}"/>
    <cellStyle name="Normal 2 4 2 6 5 3 2" xfId="14784" xr:uid="{891AFD05-8E2A-498C-B895-7620E9A60CA5}"/>
    <cellStyle name="Normal 2 4 2 6 5 3 3" xfId="23221" xr:uid="{8E0F960F-26F1-4DA6-A168-692D41DBB62E}"/>
    <cellStyle name="Normal 2 4 2 6 5 4" xfId="10566" xr:uid="{3E6A9AD2-F106-4264-AA8C-24E5AB8515BA}"/>
    <cellStyle name="Normal 2 4 2 6 5 5" xfId="19004" xr:uid="{EEAC1821-56BB-48ED-894E-3E37D3931BDE}"/>
    <cellStyle name="Normal 2 4 2 6 6" xfId="2471" xr:uid="{00000000-0005-0000-0000-0000BF0F0000}"/>
    <cellStyle name="Normal 2 4 2 6 6 2" xfId="6755" xr:uid="{00000000-0005-0000-0000-0000C00F0000}"/>
    <cellStyle name="Normal 2 4 2 6 6 2 2" xfId="15197" xr:uid="{9F26806A-0976-410A-8D3B-C999640EB7BF}"/>
    <cellStyle name="Normal 2 4 2 6 6 2 3" xfId="23634" xr:uid="{495ADB5B-5B6E-4DE9-B412-C65A8DB76297}"/>
    <cellStyle name="Normal 2 4 2 6 6 3" xfId="10979" xr:uid="{1A03998B-7F07-40CC-87FE-D1759DEED090}"/>
    <cellStyle name="Normal 2 4 2 6 6 4" xfId="19417" xr:uid="{F2F4B48D-523D-4231-A220-3173B538D7DD}"/>
    <cellStyle name="Normal 2 4 2 6 7" xfId="4689" xr:uid="{00000000-0005-0000-0000-0000C10F0000}"/>
    <cellStyle name="Normal 2 4 2 6 7 2" xfId="13131" xr:uid="{65FE5CD8-0A83-46AB-B4DF-55B6E9C83096}"/>
    <cellStyle name="Normal 2 4 2 6 7 3" xfId="21568" xr:uid="{500059E1-470A-43E7-A88B-149897CAA34C}"/>
    <cellStyle name="Normal 2 4 2 6 8" xfId="8913" xr:uid="{C245C1C4-C027-41D8-BF98-6610C24392B4}"/>
    <cellStyle name="Normal 2 4 2 6 9" xfId="17351" xr:uid="{569DDE19-04B3-4070-8571-37EA397BF681}"/>
    <cellStyle name="Normal 2 4 2 7" xfId="771" xr:uid="{00000000-0005-0000-0000-0000C20F0000}"/>
    <cellStyle name="Normal 2 4 2 7 2" xfId="3010" xr:uid="{00000000-0005-0000-0000-0000C30F0000}"/>
    <cellStyle name="Normal 2 4 2 7 2 2" xfId="7233" xr:uid="{00000000-0005-0000-0000-0000C40F0000}"/>
    <cellStyle name="Normal 2 4 2 7 2 2 2" xfId="15675" xr:uid="{0306E23B-A154-47B8-9C2E-D66C9BABF15A}"/>
    <cellStyle name="Normal 2 4 2 7 2 2 3" xfId="24112" xr:uid="{068111BF-69A2-4261-B72E-523AB8745DC1}"/>
    <cellStyle name="Normal 2 4 2 7 2 3" xfId="11457" xr:uid="{D01481DB-44E0-4DBE-88F5-122D4E16D233}"/>
    <cellStyle name="Normal 2 4 2 7 2 4" xfId="19895" xr:uid="{6FDC01C5-F078-4C2A-AF2E-39C1CE9D6411}"/>
    <cellStyle name="Normal 2 4 2 7 3" xfId="5088" xr:uid="{00000000-0005-0000-0000-0000C50F0000}"/>
    <cellStyle name="Normal 2 4 2 7 3 2" xfId="13530" xr:uid="{803D7E32-068F-4BF3-B2FE-89A50C81AD41}"/>
    <cellStyle name="Normal 2 4 2 7 3 3" xfId="21967" xr:uid="{CEE5A3CA-8EBB-4353-B114-32D1CEA86B46}"/>
    <cellStyle name="Normal 2 4 2 7 4" xfId="9312" xr:uid="{C6903D48-F8B4-4BF8-8D09-E4EE2A2EA66C}"/>
    <cellStyle name="Normal 2 4 2 7 5" xfId="17750" xr:uid="{908EBF21-066B-4DFB-9EE2-864CA5690AA1}"/>
    <cellStyle name="Normal 2 4 2 8" xfId="1193" xr:uid="{00000000-0005-0000-0000-0000C60F0000}"/>
    <cellStyle name="Normal 2 4 2 8 2" xfId="3423" xr:uid="{00000000-0005-0000-0000-0000C70F0000}"/>
    <cellStyle name="Normal 2 4 2 8 2 2" xfId="7646" xr:uid="{00000000-0005-0000-0000-0000C80F0000}"/>
    <cellStyle name="Normal 2 4 2 8 2 2 2" xfId="16088" xr:uid="{6B477BAD-51D4-4F5B-B839-65D2CC37E095}"/>
    <cellStyle name="Normal 2 4 2 8 2 2 3" xfId="24525" xr:uid="{6DAC4BF6-4E67-4B1C-8D4F-4DC07A606C2E}"/>
    <cellStyle name="Normal 2 4 2 8 2 3" xfId="11870" xr:uid="{08EDE47E-69A5-4BDB-A3C9-1917B30A3542}"/>
    <cellStyle name="Normal 2 4 2 8 2 4" xfId="20308" xr:uid="{2A31F9E2-0CCD-40A2-9B50-E2CB1715C23D}"/>
    <cellStyle name="Normal 2 4 2 8 3" xfId="5501" xr:uid="{00000000-0005-0000-0000-0000C90F0000}"/>
    <cellStyle name="Normal 2 4 2 8 3 2" xfId="13943" xr:uid="{6FFF0540-1A5B-4F50-99E8-ADC2381E039E}"/>
    <cellStyle name="Normal 2 4 2 8 3 3" xfId="22380" xr:uid="{2FF81B06-B83D-4CEC-BC8C-96F5ACDB41AC}"/>
    <cellStyle name="Normal 2 4 2 8 4" xfId="9725" xr:uid="{5348BE8D-70E1-4041-9754-1877B745559E}"/>
    <cellStyle name="Normal 2 4 2 8 5" xfId="18163" xr:uid="{E85CA5A4-1CD7-4396-88D0-6D88FD3B5856}"/>
    <cellStyle name="Normal 2 4 2 9" xfId="1606" xr:uid="{00000000-0005-0000-0000-0000CA0F0000}"/>
    <cellStyle name="Normal 2 4 2 9 2" xfId="3836" xr:uid="{00000000-0005-0000-0000-0000CB0F0000}"/>
    <cellStyle name="Normal 2 4 2 9 2 2" xfId="8059" xr:uid="{00000000-0005-0000-0000-0000CC0F0000}"/>
    <cellStyle name="Normal 2 4 2 9 2 2 2" xfId="16501" xr:uid="{933EF6DE-4C20-409A-BBF4-2221DF864422}"/>
    <cellStyle name="Normal 2 4 2 9 2 2 3" xfId="24938" xr:uid="{5CBCC21D-9304-4B01-B260-2AF3EC7D1FEF}"/>
    <cellStyle name="Normal 2 4 2 9 2 3" xfId="12283" xr:uid="{009277D0-42C1-4D57-A0C9-87820C9EDB63}"/>
    <cellStyle name="Normal 2 4 2 9 2 4" xfId="20721" xr:uid="{711CE00E-643D-43B3-944D-C1E7CCAAFA46}"/>
    <cellStyle name="Normal 2 4 2 9 3" xfId="5914" xr:uid="{00000000-0005-0000-0000-0000CD0F0000}"/>
    <cellStyle name="Normal 2 4 2 9 3 2" xfId="14356" xr:uid="{E3C2BE81-1499-4905-B895-C3B8DE6F0B84}"/>
    <cellStyle name="Normal 2 4 2 9 3 3" xfId="22793" xr:uid="{4BAD0706-95EB-4F59-A083-5EBE2B812FCA}"/>
    <cellStyle name="Normal 2 4 2 9 4" xfId="10138" xr:uid="{48F0EAAF-2B98-4023-8053-3AA28A798FCE}"/>
    <cellStyle name="Normal 2 4 2 9 5" xfId="18576" xr:uid="{05B8DFA0-631F-4A73-B3FB-971C3B903E01}"/>
    <cellStyle name="Normal 2 4 3" xfId="296" xr:uid="{00000000-0005-0000-0000-0000CE0F0000}"/>
    <cellStyle name="Normal 2 4 3 10" xfId="8914" xr:uid="{38F7E544-33B8-4ED1-B8F6-B3AEF4715AAC}"/>
    <cellStyle name="Normal 2 4 3 11" xfId="17352" xr:uid="{10F56DCA-E0C2-460E-96D3-107D3877D458}"/>
    <cellStyle name="Normal 2 4 3 2" xfId="297" xr:uid="{00000000-0005-0000-0000-0000CF0F0000}"/>
    <cellStyle name="Normal 2 4 3 3" xfId="298" xr:uid="{00000000-0005-0000-0000-0000D00F0000}"/>
    <cellStyle name="Normal 2 4 3 3 10" xfId="8915" xr:uid="{7D9DD918-B22D-47C7-AC9D-211357D1C38B}"/>
    <cellStyle name="Normal 2 4 3 3 11" xfId="17353" xr:uid="{829FDE6D-6D6F-4E2C-8C79-6F7D691696C0}"/>
    <cellStyle name="Normal 2 4 3 3 2" xfId="299" xr:uid="{00000000-0005-0000-0000-0000D10F0000}"/>
    <cellStyle name="Normal 2 4 3 3 2 10" xfId="17354" xr:uid="{7A776C0E-450F-4043-9AC0-38011BBDC80E}"/>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2 2 2" xfId="15694" xr:uid="{B365BD52-F4D4-4730-8C64-34A5DFF4CD36}"/>
    <cellStyle name="Normal 2 4 3 3 2 2 2 2 2 3" xfId="24131" xr:uid="{A5D28692-AD3E-4BD0-B86C-06219620F7FA}"/>
    <cellStyle name="Normal 2 4 3 3 2 2 2 2 3" xfId="11476" xr:uid="{7A7ED6FD-CCE6-428F-A571-DA1F1EC387D5}"/>
    <cellStyle name="Normal 2 4 3 3 2 2 2 2 4" xfId="19914" xr:uid="{9E7FEC01-E4AD-408A-9623-2A0D99A4A168}"/>
    <cellStyle name="Normal 2 4 3 3 2 2 2 3" xfId="5107" xr:uid="{00000000-0005-0000-0000-0000D60F0000}"/>
    <cellStyle name="Normal 2 4 3 3 2 2 2 3 2" xfId="13549" xr:uid="{397181A9-93C2-4AC9-A793-581304FE66AF}"/>
    <cellStyle name="Normal 2 4 3 3 2 2 2 3 3" xfId="21986" xr:uid="{711159CA-B3BC-45A0-9048-07907FCD1458}"/>
    <cellStyle name="Normal 2 4 3 3 2 2 2 4" xfId="9331" xr:uid="{816AC835-D885-4C93-BFFE-815EB8C79666}"/>
    <cellStyle name="Normal 2 4 3 3 2 2 2 5" xfId="17769" xr:uid="{A4D2DC0C-DD86-463B-8F25-17ABA8705449}"/>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2 2 2" xfId="16107" xr:uid="{8332C889-60EE-44E9-B9A0-FA6C662A58DA}"/>
    <cellStyle name="Normal 2 4 3 3 2 2 3 2 2 3" xfId="24544" xr:uid="{7CF2FDE5-BD19-4F9A-85EC-85B8FE331374}"/>
    <cellStyle name="Normal 2 4 3 3 2 2 3 2 3" xfId="11889" xr:uid="{A4059181-9B12-4FB0-B6AE-5699D5573107}"/>
    <cellStyle name="Normal 2 4 3 3 2 2 3 2 4" xfId="20327" xr:uid="{E477EF53-82AD-4ED3-855A-FA34D4C75166}"/>
    <cellStyle name="Normal 2 4 3 3 2 2 3 3" xfId="5520" xr:uid="{00000000-0005-0000-0000-0000DA0F0000}"/>
    <cellStyle name="Normal 2 4 3 3 2 2 3 3 2" xfId="13962" xr:uid="{36DCC036-C99B-4149-B726-1654F0A2259A}"/>
    <cellStyle name="Normal 2 4 3 3 2 2 3 3 3" xfId="22399" xr:uid="{0197DAC5-A17A-4390-BF47-1CF266E3735E}"/>
    <cellStyle name="Normal 2 4 3 3 2 2 3 4" xfId="9744" xr:uid="{DBFB6A42-5C3E-4CA3-9887-D5988299535D}"/>
    <cellStyle name="Normal 2 4 3 3 2 2 3 5" xfId="18182" xr:uid="{E481DBB5-0F3B-4DAD-B0CB-3AADE26AEAE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2 2 2" xfId="16520" xr:uid="{C71DE2B5-05FC-491E-86B2-3A585A850B9D}"/>
    <cellStyle name="Normal 2 4 3 3 2 2 4 2 2 3" xfId="24957" xr:uid="{D385E9FD-CF11-4743-B125-34B671A80C1B}"/>
    <cellStyle name="Normal 2 4 3 3 2 2 4 2 3" xfId="12302" xr:uid="{AFB90B42-A8C9-44E8-81C7-4BE4E070D661}"/>
    <cellStyle name="Normal 2 4 3 3 2 2 4 2 4" xfId="20740" xr:uid="{DB1B75D1-03E5-40F7-B98E-36664C5CAF13}"/>
    <cellStyle name="Normal 2 4 3 3 2 2 4 3" xfId="5933" xr:uid="{00000000-0005-0000-0000-0000DE0F0000}"/>
    <cellStyle name="Normal 2 4 3 3 2 2 4 3 2" xfId="14375" xr:uid="{6B9D3ACB-5437-4B4D-A967-2C04221E3AA7}"/>
    <cellStyle name="Normal 2 4 3 3 2 2 4 3 3" xfId="22812" xr:uid="{B641D948-45B6-4F32-8480-F7F8E8B1BABF}"/>
    <cellStyle name="Normal 2 4 3 3 2 2 4 4" xfId="10157" xr:uid="{73BFAAD0-1230-4FDE-B9EF-846C957F54DF}"/>
    <cellStyle name="Normal 2 4 3 3 2 2 4 5" xfId="18595" xr:uid="{E1DE19DA-4AA1-4755-995C-27DD83D8C7BB}"/>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2 2 2" xfId="16933" xr:uid="{C22469FD-F5DE-4F2F-AEC7-2893EFA247ED}"/>
    <cellStyle name="Normal 2 4 3 3 2 2 5 2 2 3" xfId="25370" xr:uid="{94BC78D5-B0C9-4141-9AB4-041E8D590749}"/>
    <cellStyle name="Normal 2 4 3 3 2 2 5 2 3" xfId="12715" xr:uid="{B59429FA-3F55-4DE5-B08F-5BBA5DA1D216}"/>
    <cellStyle name="Normal 2 4 3 3 2 2 5 2 4" xfId="21153" xr:uid="{8DE9623F-DEB8-41BD-92BB-973CD747E440}"/>
    <cellStyle name="Normal 2 4 3 3 2 2 5 3" xfId="6346" xr:uid="{00000000-0005-0000-0000-0000E20F0000}"/>
    <cellStyle name="Normal 2 4 3 3 2 2 5 3 2" xfId="14788" xr:uid="{0E7ACC25-E5B4-4C6F-8EF6-EC3509A954E0}"/>
    <cellStyle name="Normal 2 4 3 3 2 2 5 3 3" xfId="23225" xr:uid="{9656F852-E5E5-457D-9C8B-DF38285BC798}"/>
    <cellStyle name="Normal 2 4 3 3 2 2 5 4" xfId="10570" xr:uid="{37DBBB8C-ED1C-4B0F-9C28-D039C36DBBCF}"/>
    <cellStyle name="Normal 2 4 3 3 2 2 5 5" xfId="19008" xr:uid="{69F2B69C-3369-4EAE-BB60-069F5C2DB498}"/>
    <cellStyle name="Normal 2 4 3 3 2 2 6" xfId="2475" xr:uid="{00000000-0005-0000-0000-0000E30F0000}"/>
    <cellStyle name="Normal 2 4 3 3 2 2 6 2" xfId="6759" xr:uid="{00000000-0005-0000-0000-0000E40F0000}"/>
    <cellStyle name="Normal 2 4 3 3 2 2 6 2 2" xfId="15201" xr:uid="{C4428311-0AF5-406A-8FD8-5DFFA7198C9C}"/>
    <cellStyle name="Normal 2 4 3 3 2 2 6 2 3" xfId="23638" xr:uid="{F5D3074E-C511-4275-B531-0899368083D4}"/>
    <cellStyle name="Normal 2 4 3 3 2 2 6 3" xfId="10983" xr:uid="{3C4E3A16-A679-4EC4-A7F9-E95C01A13159}"/>
    <cellStyle name="Normal 2 4 3 3 2 2 6 4" xfId="19421" xr:uid="{E5A10BBC-4763-4071-8E41-CE648C7C93CE}"/>
    <cellStyle name="Normal 2 4 3 3 2 2 7" xfId="4693" xr:uid="{00000000-0005-0000-0000-0000E50F0000}"/>
    <cellStyle name="Normal 2 4 3 3 2 2 7 2" xfId="13135" xr:uid="{37FFF74E-E229-4AB8-8120-6089C0ED941E}"/>
    <cellStyle name="Normal 2 4 3 3 2 2 7 3" xfId="21572" xr:uid="{6986EDE4-35D6-4CBF-9655-634E3D5E2FAD}"/>
    <cellStyle name="Normal 2 4 3 3 2 2 8" xfId="8917" xr:uid="{B8B6DA9B-AE72-42EF-8813-B57A78CC1CAA}"/>
    <cellStyle name="Normal 2 4 3 3 2 2 9" xfId="17355" xr:uid="{AA0C23D2-46D6-48C6-A6A6-071FC61B827B}"/>
    <cellStyle name="Normal 2 4 3 3 2 3" xfId="789" xr:uid="{00000000-0005-0000-0000-0000E60F0000}"/>
    <cellStyle name="Normal 2 4 3 3 2 3 2" xfId="3028" xr:uid="{00000000-0005-0000-0000-0000E70F0000}"/>
    <cellStyle name="Normal 2 4 3 3 2 3 2 2" xfId="7251" xr:uid="{00000000-0005-0000-0000-0000E80F0000}"/>
    <cellStyle name="Normal 2 4 3 3 2 3 2 2 2" xfId="15693" xr:uid="{526143CE-88FD-43F0-A11A-F4D3AFE8BFB8}"/>
    <cellStyle name="Normal 2 4 3 3 2 3 2 2 3" xfId="24130" xr:uid="{87F04F73-B590-46D9-959A-EA33D847B53D}"/>
    <cellStyle name="Normal 2 4 3 3 2 3 2 3" xfId="11475" xr:uid="{EA619156-43F4-4358-8F88-D743E0BAC007}"/>
    <cellStyle name="Normal 2 4 3 3 2 3 2 4" xfId="19913" xr:uid="{0C7B0B0E-E982-425B-87BA-E09967B20D70}"/>
    <cellStyle name="Normal 2 4 3 3 2 3 3" xfId="5106" xr:uid="{00000000-0005-0000-0000-0000E90F0000}"/>
    <cellStyle name="Normal 2 4 3 3 2 3 3 2" xfId="13548" xr:uid="{C13F9EE2-1D82-4F61-BA70-274D1F59024B}"/>
    <cellStyle name="Normal 2 4 3 3 2 3 3 3" xfId="21985" xr:uid="{DBD14773-056E-4C65-9310-5BE0DBC5021D}"/>
    <cellStyle name="Normal 2 4 3 3 2 3 4" xfId="9330" xr:uid="{718574EB-D856-42BE-81FA-DDD48365531F}"/>
    <cellStyle name="Normal 2 4 3 3 2 3 5" xfId="17768" xr:uid="{0227552C-63F7-43C8-8BF6-4E0F8F9F6849}"/>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2 2 2" xfId="16106" xr:uid="{5E9DF329-F3AD-4615-A5D4-7264E1CBA005}"/>
    <cellStyle name="Normal 2 4 3 3 2 4 2 2 3" xfId="24543" xr:uid="{E81E2D31-13F2-4381-8105-06D77BA8BFF1}"/>
    <cellStyle name="Normal 2 4 3 3 2 4 2 3" xfId="11888" xr:uid="{DED40E4D-C3AE-4FEF-95F0-F2DA36092102}"/>
    <cellStyle name="Normal 2 4 3 3 2 4 2 4" xfId="20326" xr:uid="{9146F829-AE71-4976-B45C-16F7E187E1B3}"/>
    <cellStyle name="Normal 2 4 3 3 2 4 3" xfId="5519" xr:uid="{00000000-0005-0000-0000-0000ED0F0000}"/>
    <cellStyle name="Normal 2 4 3 3 2 4 3 2" xfId="13961" xr:uid="{6E25EBDD-140D-4E03-B064-626092859025}"/>
    <cellStyle name="Normal 2 4 3 3 2 4 3 3" xfId="22398" xr:uid="{A8556FE0-3150-4174-956C-E79B9955ACAF}"/>
    <cellStyle name="Normal 2 4 3 3 2 4 4" xfId="9743" xr:uid="{FC4B949C-CE5D-4FF8-A87A-9736FF95909D}"/>
    <cellStyle name="Normal 2 4 3 3 2 4 5" xfId="18181" xr:uid="{744F2254-C00A-450F-9430-DDE6F6EDB9F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2 2 2" xfId="16519" xr:uid="{1797D81E-DB35-4299-BAC6-2CDEAD4DEA7B}"/>
    <cellStyle name="Normal 2 4 3 3 2 5 2 2 3" xfId="24956" xr:uid="{36E81E23-E359-41CF-B6FA-E9EAC4255258}"/>
    <cellStyle name="Normal 2 4 3 3 2 5 2 3" xfId="12301" xr:uid="{119A8341-2CC9-4743-9C78-82699B1B3642}"/>
    <cellStyle name="Normal 2 4 3 3 2 5 2 4" xfId="20739" xr:uid="{56494AB3-A6E4-4922-B864-078571465E3A}"/>
    <cellStyle name="Normal 2 4 3 3 2 5 3" xfId="5932" xr:uid="{00000000-0005-0000-0000-0000F10F0000}"/>
    <cellStyle name="Normal 2 4 3 3 2 5 3 2" xfId="14374" xr:uid="{5124F797-C97F-4503-A7A4-06594F641DEC}"/>
    <cellStyle name="Normal 2 4 3 3 2 5 3 3" xfId="22811" xr:uid="{9C41E4CA-5698-46F9-A08D-C6C7A9CA662A}"/>
    <cellStyle name="Normal 2 4 3 3 2 5 4" xfId="10156" xr:uid="{72D150FC-AE6D-4948-8317-E2278483F0FB}"/>
    <cellStyle name="Normal 2 4 3 3 2 5 5" xfId="18594" xr:uid="{3D03F175-7DFD-4926-88E1-BD375FA088CF}"/>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2 2 2" xfId="16932" xr:uid="{381F3D93-A470-4FCB-9F24-98FB903D8A66}"/>
    <cellStyle name="Normal 2 4 3 3 2 6 2 2 3" xfId="25369" xr:uid="{A7CAAB67-EBDF-4D06-9E88-BE2B8697E42F}"/>
    <cellStyle name="Normal 2 4 3 3 2 6 2 3" xfId="12714" xr:uid="{54A44401-1F70-4264-9E80-B568361A5867}"/>
    <cellStyle name="Normal 2 4 3 3 2 6 2 4" xfId="21152" xr:uid="{39583B32-372A-4675-ABB5-72AA7076748B}"/>
    <cellStyle name="Normal 2 4 3 3 2 6 3" xfId="6345" xr:uid="{00000000-0005-0000-0000-0000F50F0000}"/>
    <cellStyle name="Normal 2 4 3 3 2 6 3 2" xfId="14787" xr:uid="{D80B0279-F2CA-4293-BD99-6814E6FC3DC4}"/>
    <cellStyle name="Normal 2 4 3 3 2 6 3 3" xfId="23224" xr:uid="{D107C564-B6F4-4370-806A-319F1DD942A4}"/>
    <cellStyle name="Normal 2 4 3 3 2 6 4" xfId="10569" xr:uid="{80E17FC9-2E97-461F-A685-B4520704DD1C}"/>
    <cellStyle name="Normal 2 4 3 3 2 6 5" xfId="19007" xr:uid="{401676E5-7254-4AAC-A36F-78FFEE5CF949}"/>
    <cellStyle name="Normal 2 4 3 3 2 7" xfId="2474" xr:uid="{00000000-0005-0000-0000-0000F60F0000}"/>
    <cellStyle name="Normal 2 4 3 3 2 7 2" xfId="6758" xr:uid="{00000000-0005-0000-0000-0000F70F0000}"/>
    <cellStyle name="Normal 2 4 3 3 2 7 2 2" xfId="15200" xr:uid="{D2B98AA0-039B-4747-900F-AA7C27339DC0}"/>
    <cellStyle name="Normal 2 4 3 3 2 7 2 3" xfId="23637" xr:uid="{606601B4-EBD9-4673-A784-8C6E5318C28C}"/>
    <cellStyle name="Normal 2 4 3 3 2 7 3" xfId="10982" xr:uid="{9D064D27-4214-478F-8ADD-893B7D728593}"/>
    <cellStyle name="Normal 2 4 3 3 2 7 4" xfId="19420" xr:uid="{3647D89B-9C44-4BF8-A6B4-2B46626AD66A}"/>
    <cellStyle name="Normal 2 4 3 3 2 8" xfId="4692" xr:uid="{00000000-0005-0000-0000-0000F80F0000}"/>
    <cellStyle name="Normal 2 4 3 3 2 8 2" xfId="13134" xr:uid="{AB70CF0A-0D62-4BEB-ABB0-EEE0704EBED8}"/>
    <cellStyle name="Normal 2 4 3 3 2 8 3" xfId="21571" xr:uid="{FE3C1B13-ADD6-45D1-B39B-48224C7AF530}"/>
    <cellStyle name="Normal 2 4 3 3 2 9" xfId="8916" xr:uid="{215FFDDC-B9FC-4CE2-B183-22BEFCF8665D}"/>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2 2 2" xfId="15695" xr:uid="{30515354-66AC-4E48-A5DB-52DF7B84A345}"/>
    <cellStyle name="Normal 2 4 3 3 3 2 2 2 3" xfId="24132" xr:uid="{E4FEC287-5BB5-4092-9120-DB01FD0DB59E}"/>
    <cellStyle name="Normal 2 4 3 3 3 2 2 3" xfId="11477" xr:uid="{1E1612DF-C1FD-4379-B542-8768FC7D1AF2}"/>
    <cellStyle name="Normal 2 4 3 3 3 2 2 4" xfId="19915" xr:uid="{8C30460C-1C50-4A7D-B02C-F874A4B430B3}"/>
    <cellStyle name="Normal 2 4 3 3 3 2 3" xfId="5108" xr:uid="{00000000-0005-0000-0000-0000FD0F0000}"/>
    <cellStyle name="Normal 2 4 3 3 3 2 3 2" xfId="13550" xr:uid="{A3251573-A908-4E83-8F13-18D0DC374B32}"/>
    <cellStyle name="Normal 2 4 3 3 3 2 3 3" xfId="21987" xr:uid="{850C40E0-24D1-4567-AF28-AEF58952BB21}"/>
    <cellStyle name="Normal 2 4 3 3 3 2 4" xfId="9332" xr:uid="{F8FFDE92-70D4-4A14-824A-11364FE760D4}"/>
    <cellStyle name="Normal 2 4 3 3 3 2 5" xfId="17770" xr:uid="{71B80F50-F00C-46FC-8A16-3D2FE20116CD}"/>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2 2 2" xfId="16108" xr:uid="{C2FBEB32-E634-46A3-91DF-AEA6CFB613E1}"/>
    <cellStyle name="Normal 2 4 3 3 3 3 2 2 3" xfId="24545" xr:uid="{AE879932-AF3F-4C14-B198-3F859CFAC8E9}"/>
    <cellStyle name="Normal 2 4 3 3 3 3 2 3" xfId="11890" xr:uid="{2D7B9C96-9AB5-4029-992E-BFF45348F613}"/>
    <cellStyle name="Normal 2 4 3 3 3 3 2 4" xfId="20328" xr:uid="{1EB1DDC1-DA13-41FF-8E80-A1FEE3D832BD}"/>
    <cellStyle name="Normal 2 4 3 3 3 3 3" xfId="5521" xr:uid="{00000000-0005-0000-0000-000001100000}"/>
    <cellStyle name="Normal 2 4 3 3 3 3 3 2" xfId="13963" xr:uid="{E27AFB0C-CEDB-4A5E-8E56-ABAE59208424}"/>
    <cellStyle name="Normal 2 4 3 3 3 3 3 3" xfId="22400" xr:uid="{88EC760A-8EBF-4A83-A19A-32EAB76DF815}"/>
    <cellStyle name="Normal 2 4 3 3 3 3 4" xfId="9745" xr:uid="{CAB56E14-4293-4851-9FD9-AECA38664861}"/>
    <cellStyle name="Normal 2 4 3 3 3 3 5" xfId="18183" xr:uid="{693CB121-9B35-4418-9BA5-30B14DD947EB}"/>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2 2 2" xfId="16521" xr:uid="{D2229543-427B-49B6-A152-1B693CE7648B}"/>
    <cellStyle name="Normal 2 4 3 3 3 4 2 2 3" xfId="24958" xr:uid="{A4DC2EA3-AA45-47A9-8850-2C213F890C53}"/>
    <cellStyle name="Normal 2 4 3 3 3 4 2 3" xfId="12303" xr:uid="{C4C4840A-9477-49B8-AFCC-D3EE512AEF68}"/>
    <cellStyle name="Normal 2 4 3 3 3 4 2 4" xfId="20741" xr:uid="{D7FFAE7B-D783-4E2A-8AC0-D66D8DF61A47}"/>
    <cellStyle name="Normal 2 4 3 3 3 4 3" xfId="5934" xr:uid="{00000000-0005-0000-0000-000005100000}"/>
    <cellStyle name="Normal 2 4 3 3 3 4 3 2" xfId="14376" xr:uid="{4FAE10FB-4E9B-4D3E-8770-B292179CBEDF}"/>
    <cellStyle name="Normal 2 4 3 3 3 4 3 3" xfId="22813" xr:uid="{36676D95-919E-484C-9059-6CF4946854A6}"/>
    <cellStyle name="Normal 2 4 3 3 3 4 4" xfId="10158" xr:uid="{D6B4A63E-FE7E-4DF4-82C4-21D99E5FFB37}"/>
    <cellStyle name="Normal 2 4 3 3 3 4 5" xfId="18596" xr:uid="{216E6965-76EB-4D07-B86E-C48A9D24E38A}"/>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2 2 2" xfId="16934" xr:uid="{3D7C3F02-CD3D-4181-A689-0ACB2A6AADB1}"/>
    <cellStyle name="Normal 2 4 3 3 3 5 2 2 3" xfId="25371" xr:uid="{5B1DFEAD-4ED3-4944-A9BE-4F8FF5673E37}"/>
    <cellStyle name="Normal 2 4 3 3 3 5 2 3" xfId="12716" xr:uid="{7CEFA2DB-5B3F-42DF-9284-9567D3F822A9}"/>
    <cellStyle name="Normal 2 4 3 3 3 5 2 4" xfId="21154" xr:uid="{E3B3687A-A281-4E34-B369-CF917839A4DE}"/>
    <cellStyle name="Normal 2 4 3 3 3 5 3" xfId="6347" xr:uid="{00000000-0005-0000-0000-000009100000}"/>
    <cellStyle name="Normal 2 4 3 3 3 5 3 2" xfId="14789" xr:uid="{AADC2CB2-C889-43CD-A247-96BA82BD183F}"/>
    <cellStyle name="Normal 2 4 3 3 3 5 3 3" xfId="23226" xr:uid="{B6C08DE5-A474-4C79-9F71-542BC278992D}"/>
    <cellStyle name="Normal 2 4 3 3 3 5 4" xfId="10571" xr:uid="{919181E1-4A91-4DC7-AFD5-1602C2BD637E}"/>
    <cellStyle name="Normal 2 4 3 3 3 5 5" xfId="19009" xr:uid="{0ABF692F-489F-4F47-8C03-F1CE01B9E681}"/>
    <cellStyle name="Normal 2 4 3 3 3 6" xfId="2476" xr:uid="{00000000-0005-0000-0000-00000A100000}"/>
    <cellStyle name="Normal 2 4 3 3 3 6 2" xfId="6760" xr:uid="{00000000-0005-0000-0000-00000B100000}"/>
    <cellStyle name="Normal 2 4 3 3 3 6 2 2" xfId="15202" xr:uid="{0C8191E6-A111-437B-A159-764E598B5CA6}"/>
    <cellStyle name="Normal 2 4 3 3 3 6 2 3" xfId="23639" xr:uid="{C7511EAB-B8F3-46FE-9591-2AEF48AD8716}"/>
    <cellStyle name="Normal 2 4 3 3 3 6 3" xfId="10984" xr:uid="{2D359331-AD9C-4DC1-BD35-BE6494F03660}"/>
    <cellStyle name="Normal 2 4 3 3 3 6 4" xfId="19422" xr:uid="{AB88E686-4BEE-49A2-AA17-7C5BEEEF2285}"/>
    <cellStyle name="Normal 2 4 3 3 3 7" xfId="4694" xr:uid="{00000000-0005-0000-0000-00000C100000}"/>
    <cellStyle name="Normal 2 4 3 3 3 7 2" xfId="13136" xr:uid="{B072BAA3-88F5-4A83-AAF7-9D0897D9B224}"/>
    <cellStyle name="Normal 2 4 3 3 3 7 3" xfId="21573" xr:uid="{4A90343D-EACC-4D9D-B8E9-60BBA039519F}"/>
    <cellStyle name="Normal 2 4 3 3 3 8" xfId="8918" xr:uid="{2DC13DEA-8896-487A-A285-AC48C8189661}"/>
    <cellStyle name="Normal 2 4 3 3 3 9" xfId="17356" xr:uid="{9BD70CE4-BA88-42D9-B45E-EDCACE616BBF}"/>
    <cellStyle name="Normal 2 4 3 3 4" xfId="788" xr:uid="{00000000-0005-0000-0000-00000D100000}"/>
    <cellStyle name="Normal 2 4 3 3 4 2" xfId="3027" xr:uid="{00000000-0005-0000-0000-00000E100000}"/>
    <cellStyle name="Normal 2 4 3 3 4 2 2" xfId="7250" xr:uid="{00000000-0005-0000-0000-00000F100000}"/>
    <cellStyle name="Normal 2 4 3 3 4 2 2 2" xfId="15692" xr:uid="{6869D7A5-3573-4FC1-9E40-2844BF4932A3}"/>
    <cellStyle name="Normal 2 4 3 3 4 2 2 3" xfId="24129" xr:uid="{37EC8217-DEC1-402E-AD6B-A32FAEED1862}"/>
    <cellStyle name="Normal 2 4 3 3 4 2 3" xfId="11474" xr:uid="{4DCEB8D9-9531-42A5-B9D6-155A822D8772}"/>
    <cellStyle name="Normal 2 4 3 3 4 2 4" xfId="19912" xr:uid="{0FCA99CE-67BB-4DC2-B1E3-003A66959404}"/>
    <cellStyle name="Normal 2 4 3 3 4 3" xfId="5105" xr:uid="{00000000-0005-0000-0000-000010100000}"/>
    <cellStyle name="Normal 2 4 3 3 4 3 2" xfId="13547" xr:uid="{1A5A5106-42B0-4093-B251-0F4A80A2E945}"/>
    <cellStyle name="Normal 2 4 3 3 4 3 3" xfId="21984" xr:uid="{7F941416-49CA-4E9A-939F-5175C9A4D847}"/>
    <cellStyle name="Normal 2 4 3 3 4 4" xfId="9329" xr:uid="{6FD36B94-7DA7-4530-ADB9-88F83FA53211}"/>
    <cellStyle name="Normal 2 4 3 3 4 5" xfId="17767" xr:uid="{E4B79BED-8E63-42DB-989F-3EFBA17A7846}"/>
    <cellStyle name="Normal 2 4 3 3 5" xfId="1210" xr:uid="{00000000-0005-0000-0000-000011100000}"/>
    <cellStyle name="Normal 2 4 3 3 5 2" xfId="3440" xr:uid="{00000000-0005-0000-0000-000012100000}"/>
    <cellStyle name="Normal 2 4 3 3 5 2 2" xfId="7663" xr:uid="{00000000-0005-0000-0000-000013100000}"/>
    <cellStyle name="Normal 2 4 3 3 5 2 2 2" xfId="16105" xr:uid="{F3E17231-2BE2-47B9-821D-58FE9FE94754}"/>
    <cellStyle name="Normal 2 4 3 3 5 2 2 3" xfId="24542" xr:uid="{1925B756-963D-4866-A033-53156A688BFB}"/>
    <cellStyle name="Normal 2 4 3 3 5 2 3" xfId="11887" xr:uid="{37021E85-F764-4352-A017-2981A5599984}"/>
    <cellStyle name="Normal 2 4 3 3 5 2 4" xfId="20325" xr:uid="{81A65AF7-3755-4AF3-B7AB-195EF987E333}"/>
    <cellStyle name="Normal 2 4 3 3 5 3" xfId="5518" xr:uid="{00000000-0005-0000-0000-000014100000}"/>
    <cellStyle name="Normal 2 4 3 3 5 3 2" xfId="13960" xr:uid="{A89A28E1-FEC7-423A-BA44-F7BFEEA551E0}"/>
    <cellStyle name="Normal 2 4 3 3 5 3 3" xfId="22397" xr:uid="{49FD442E-239F-4F11-9EFB-2E6AEA9512B2}"/>
    <cellStyle name="Normal 2 4 3 3 5 4" xfId="9742" xr:uid="{FCDF3737-07CA-499E-9159-FD6A527CB07E}"/>
    <cellStyle name="Normal 2 4 3 3 5 5" xfId="18180" xr:uid="{B0D459A6-058A-446A-98E0-A78636888D3D}"/>
    <cellStyle name="Normal 2 4 3 3 6" xfId="1623" xr:uid="{00000000-0005-0000-0000-000015100000}"/>
    <cellStyle name="Normal 2 4 3 3 6 2" xfId="3853" xr:uid="{00000000-0005-0000-0000-000016100000}"/>
    <cellStyle name="Normal 2 4 3 3 6 2 2" xfId="8076" xr:uid="{00000000-0005-0000-0000-000017100000}"/>
    <cellStyle name="Normal 2 4 3 3 6 2 2 2" xfId="16518" xr:uid="{5448C89D-8D56-4D7B-AF42-552960944FBE}"/>
    <cellStyle name="Normal 2 4 3 3 6 2 2 3" xfId="24955" xr:uid="{28517FBC-0580-43D3-83F2-A67336C85163}"/>
    <cellStyle name="Normal 2 4 3 3 6 2 3" xfId="12300" xr:uid="{5607CCB1-4434-412B-A54E-4C77DAA59942}"/>
    <cellStyle name="Normal 2 4 3 3 6 2 4" xfId="20738" xr:uid="{DB36D50B-CC0D-47A3-82F7-BE4B4C423816}"/>
    <cellStyle name="Normal 2 4 3 3 6 3" xfId="5931" xr:uid="{00000000-0005-0000-0000-000018100000}"/>
    <cellStyle name="Normal 2 4 3 3 6 3 2" xfId="14373" xr:uid="{5F3D3F39-DEA2-46E5-8B59-4BDE83E01EF5}"/>
    <cellStyle name="Normal 2 4 3 3 6 3 3" xfId="22810" xr:uid="{815AAC7E-B6A7-4220-8058-297020920199}"/>
    <cellStyle name="Normal 2 4 3 3 6 4" xfId="10155" xr:uid="{B0692B16-BD24-44AD-B7BF-D849099E99A8}"/>
    <cellStyle name="Normal 2 4 3 3 6 5" xfId="18593" xr:uid="{EB218F42-E29A-4C7B-A808-17CA1FF7BC6C}"/>
    <cellStyle name="Normal 2 4 3 3 7" xfId="2037" xr:uid="{00000000-0005-0000-0000-000019100000}"/>
    <cellStyle name="Normal 2 4 3 3 7 2" xfId="4266" xr:uid="{00000000-0005-0000-0000-00001A100000}"/>
    <cellStyle name="Normal 2 4 3 3 7 2 2" xfId="8489" xr:uid="{00000000-0005-0000-0000-00001B100000}"/>
    <cellStyle name="Normal 2 4 3 3 7 2 2 2" xfId="16931" xr:uid="{DE630C5D-0658-44B6-B251-FF1BD44A5847}"/>
    <cellStyle name="Normal 2 4 3 3 7 2 2 3" xfId="25368" xr:uid="{49AA9051-EDEF-48C7-B716-99A27B5D0EAB}"/>
    <cellStyle name="Normal 2 4 3 3 7 2 3" xfId="12713" xr:uid="{BAA3CFEB-EA06-4938-ADE9-2A4B2F8B7FB7}"/>
    <cellStyle name="Normal 2 4 3 3 7 2 4" xfId="21151" xr:uid="{3689B55D-1A62-49F5-9C55-B5DDB4B62515}"/>
    <cellStyle name="Normal 2 4 3 3 7 3" xfId="6344" xr:uid="{00000000-0005-0000-0000-00001C100000}"/>
    <cellStyle name="Normal 2 4 3 3 7 3 2" xfId="14786" xr:uid="{ADE56681-AAEE-4F96-86DD-EF7B542E20AA}"/>
    <cellStyle name="Normal 2 4 3 3 7 3 3" xfId="23223" xr:uid="{AA86F595-2272-4AE5-9120-549184CDD12D}"/>
    <cellStyle name="Normal 2 4 3 3 7 4" xfId="10568" xr:uid="{6AEAF78D-7E1F-4E8E-B7E9-6474EE69E765}"/>
    <cellStyle name="Normal 2 4 3 3 7 5" xfId="19006" xr:uid="{B9CA08D8-3FB4-4418-935D-DA25D4B50308}"/>
    <cellStyle name="Normal 2 4 3 3 8" xfId="2473" xr:uid="{00000000-0005-0000-0000-00001D100000}"/>
    <cellStyle name="Normal 2 4 3 3 8 2" xfId="6757" xr:uid="{00000000-0005-0000-0000-00001E100000}"/>
    <cellStyle name="Normal 2 4 3 3 8 2 2" xfId="15199" xr:uid="{B29A2D1F-AD1F-4DB6-8667-661BC7423CE4}"/>
    <cellStyle name="Normal 2 4 3 3 8 2 3" xfId="23636" xr:uid="{91BE634B-2126-46A6-AA1A-CF973B7EF68F}"/>
    <cellStyle name="Normal 2 4 3 3 8 3" xfId="10981" xr:uid="{74F68BB5-66D4-4142-A8D3-B493DDE827B8}"/>
    <cellStyle name="Normal 2 4 3 3 8 4" xfId="19419" xr:uid="{9C384B7F-1C41-443A-8684-F885E7F8ED76}"/>
    <cellStyle name="Normal 2 4 3 3 9" xfId="4691" xr:uid="{00000000-0005-0000-0000-00001F100000}"/>
    <cellStyle name="Normal 2 4 3 3 9 2" xfId="13133" xr:uid="{50EFBE97-C7AA-4A08-B8BA-46640C931ACA}"/>
    <cellStyle name="Normal 2 4 3 3 9 3" xfId="21570" xr:uid="{54725C04-5C56-4D6B-91E3-BB912F9DDC9A}"/>
    <cellStyle name="Normal 2 4 3 4" xfId="787" xr:uid="{00000000-0005-0000-0000-000020100000}"/>
    <cellStyle name="Normal 2 4 3 4 2" xfId="3026" xr:uid="{00000000-0005-0000-0000-000021100000}"/>
    <cellStyle name="Normal 2 4 3 4 2 2" xfId="7249" xr:uid="{00000000-0005-0000-0000-000022100000}"/>
    <cellStyle name="Normal 2 4 3 4 2 2 2" xfId="15691" xr:uid="{1149FE4D-EE29-430C-A508-B86614FC4183}"/>
    <cellStyle name="Normal 2 4 3 4 2 2 3" xfId="24128" xr:uid="{86BBA85A-F314-4198-8540-47C8134F64B1}"/>
    <cellStyle name="Normal 2 4 3 4 2 3" xfId="11473" xr:uid="{D8637960-2EE7-4D15-B3F8-600FFF905670}"/>
    <cellStyle name="Normal 2 4 3 4 2 4" xfId="19911" xr:uid="{8B8F2265-D3DC-450A-B7CC-F3126B23FC11}"/>
    <cellStyle name="Normal 2 4 3 4 3" xfId="5104" xr:uid="{00000000-0005-0000-0000-000023100000}"/>
    <cellStyle name="Normal 2 4 3 4 3 2" xfId="13546" xr:uid="{9975D55A-2F1C-4D0F-AE7A-933A5C87020C}"/>
    <cellStyle name="Normal 2 4 3 4 3 3" xfId="21983" xr:uid="{372B4745-E0F4-44C3-AE8D-87425A287942}"/>
    <cellStyle name="Normal 2 4 3 4 4" xfId="9328" xr:uid="{131414C5-DC54-4C63-80D8-D9778370E0C4}"/>
    <cellStyle name="Normal 2 4 3 4 5" xfId="17766" xr:uid="{5AFBE179-59BF-49F4-9689-AF12997B6376}"/>
    <cellStyle name="Normal 2 4 3 5" xfId="1209" xr:uid="{00000000-0005-0000-0000-000024100000}"/>
    <cellStyle name="Normal 2 4 3 5 2" xfId="3439" xr:uid="{00000000-0005-0000-0000-000025100000}"/>
    <cellStyle name="Normal 2 4 3 5 2 2" xfId="7662" xr:uid="{00000000-0005-0000-0000-000026100000}"/>
    <cellStyle name="Normal 2 4 3 5 2 2 2" xfId="16104" xr:uid="{4E3FF08F-2BC9-478B-ACC1-D4E3AB8DC9F4}"/>
    <cellStyle name="Normal 2 4 3 5 2 2 3" xfId="24541" xr:uid="{6DC79801-A573-4276-9E44-FEA4B97C3A1B}"/>
    <cellStyle name="Normal 2 4 3 5 2 3" xfId="11886" xr:uid="{D5AF8397-58A0-43EB-A079-7985AFF97E09}"/>
    <cellStyle name="Normal 2 4 3 5 2 4" xfId="20324" xr:uid="{F799D2DD-5CA7-48D0-A8B0-59F809394AA8}"/>
    <cellStyle name="Normal 2 4 3 5 3" xfId="5517" xr:uid="{00000000-0005-0000-0000-000027100000}"/>
    <cellStyle name="Normal 2 4 3 5 3 2" xfId="13959" xr:uid="{9084D033-06CA-4ADC-A0BC-19776C12D1D1}"/>
    <cellStyle name="Normal 2 4 3 5 3 3" xfId="22396" xr:uid="{34DE9A01-293B-4377-9095-CE92730C7325}"/>
    <cellStyle name="Normal 2 4 3 5 4" xfId="9741" xr:uid="{5D3D175D-CA3B-4754-885B-52FEF842F54D}"/>
    <cellStyle name="Normal 2 4 3 5 5" xfId="18179" xr:uid="{4766F185-CD6E-4A78-B331-76B765369AA4}"/>
    <cellStyle name="Normal 2 4 3 6" xfId="1622" xr:uid="{00000000-0005-0000-0000-000028100000}"/>
    <cellStyle name="Normal 2 4 3 6 2" xfId="3852" xr:uid="{00000000-0005-0000-0000-000029100000}"/>
    <cellStyle name="Normal 2 4 3 6 2 2" xfId="8075" xr:uid="{00000000-0005-0000-0000-00002A100000}"/>
    <cellStyle name="Normal 2 4 3 6 2 2 2" xfId="16517" xr:uid="{2BBE2AEE-033A-4E5D-8513-1E1521B490A1}"/>
    <cellStyle name="Normal 2 4 3 6 2 2 3" xfId="24954" xr:uid="{C75E6357-8EEF-4245-B1C4-213489EEF521}"/>
    <cellStyle name="Normal 2 4 3 6 2 3" xfId="12299" xr:uid="{E8B0F23E-10C6-4184-B682-101F21405581}"/>
    <cellStyle name="Normal 2 4 3 6 2 4" xfId="20737" xr:uid="{02FFF74A-32D0-4522-85A5-7BABE7B976C4}"/>
    <cellStyle name="Normal 2 4 3 6 3" xfId="5930" xr:uid="{00000000-0005-0000-0000-00002B100000}"/>
    <cellStyle name="Normal 2 4 3 6 3 2" xfId="14372" xr:uid="{33996557-3F3D-4758-B4BE-48137E4F133E}"/>
    <cellStyle name="Normal 2 4 3 6 3 3" xfId="22809" xr:uid="{169918F5-3AE3-4D5E-8304-A29F892BC973}"/>
    <cellStyle name="Normal 2 4 3 6 4" xfId="10154" xr:uid="{00CB9FB4-D4BA-4C61-B767-AE33F183A50D}"/>
    <cellStyle name="Normal 2 4 3 6 5" xfId="18592" xr:uid="{1F264A29-ECFC-4B1B-9C7D-2DADFBFD99C4}"/>
    <cellStyle name="Normal 2 4 3 7" xfId="2036" xr:uid="{00000000-0005-0000-0000-00002C100000}"/>
    <cellStyle name="Normal 2 4 3 7 2" xfId="4265" xr:uid="{00000000-0005-0000-0000-00002D100000}"/>
    <cellStyle name="Normal 2 4 3 7 2 2" xfId="8488" xr:uid="{00000000-0005-0000-0000-00002E100000}"/>
    <cellStyle name="Normal 2 4 3 7 2 2 2" xfId="16930" xr:uid="{EC932240-AB62-47B9-9191-D2E97FA87097}"/>
    <cellStyle name="Normal 2 4 3 7 2 2 3" xfId="25367" xr:uid="{F971BD6A-49D9-4218-A21D-60F315222B03}"/>
    <cellStyle name="Normal 2 4 3 7 2 3" xfId="12712" xr:uid="{E28797F9-8D05-44E3-8E28-0E9B35A58DFB}"/>
    <cellStyle name="Normal 2 4 3 7 2 4" xfId="21150" xr:uid="{AAF1395D-8D1C-4190-8B77-53DE3613F975}"/>
    <cellStyle name="Normal 2 4 3 7 3" xfId="6343" xr:uid="{00000000-0005-0000-0000-00002F100000}"/>
    <cellStyle name="Normal 2 4 3 7 3 2" xfId="14785" xr:uid="{41229181-4F30-4180-A13B-F3D0C1A5D586}"/>
    <cellStyle name="Normal 2 4 3 7 3 3" xfId="23222" xr:uid="{6D7C2A9A-E0E3-4620-BE12-63E178E3B10D}"/>
    <cellStyle name="Normal 2 4 3 7 4" xfId="10567" xr:uid="{D7C2BBFE-E422-4E6F-AA36-BA833CAF4A77}"/>
    <cellStyle name="Normal 2 4 3 7 5" xfId="19005" xr:uid="{A03EC12E-1147-4A08-98B2-25E18DB714B7}"/>
    <cellStyle name="Normal 2 4 3 8" xfId="2472" xr:uid="{00000000-0005-0000-0000-000030100000}"/>
    <cellStyle name="Normal 2 4 3 8 2" xfId="6756" xr:uid="{00000000-0005-0000-0000-000031100000}"/>
    <cellStyle name="Normal 2 4 3 8 2 2" xfId="15198" xr:uid="{BA4F8E17-4461-48BD-834D-F7C6F08ED2DD}"/>
    <cellStyle name="Normal 2 4 3 8 2 3" xfId="23635" xr:uid="{7169A9A0-0338-4163-B275-76C186B57E1D}"/>
    <cellStyle name="Normal 2 4 3 8 3" xfId="10980" xr:uid="{34A9F81C-7E8E-47F1-9B3E-7FBA10BEE7D5}"/>
    <cellStyle name="Normal 2 4 3 8 4" xfId="19418" xr:uid="{3F380475-CCC8-40A9-9C8C-D132B3CCD7C2}"/>
    <cellStyle name="Normal 2 4 3 9" xfId="4690" xr:uid="{00000000-0005-0000-0000-000032100000}"/>
    <cellStyle name="Normal 2 4 3 9 2" xfId="13132" xr:uid="{28F61675-4A03-4D56-AECD-47A5EF2A2FD8}"/>
    <cellStyle name="Normal 2 4 3 9 3" xfId="21569" xr:uid="{8FC3C6B9-7B9A-4A76-A99E-9C1519CA48E4}"/>
    <cellStyle name="Normal 2 4 4" xfId="302" xr:uid="{00000000-0005-0000-0000-000033100000}"/>
    <cellStyle name="Normal 2 4 5" xfId="303" xr:uid="{00000000-0005-0000-0000-000034100000}"/>
    <cellStyle name="Normal 2 4 5 10" xfId="4695" xr:uid="{00000000-0005-0000-0000-000035100000}"/>
    <cellStyle name="Normal 2 4 5 10 2" xfId="13137" xr:uid="{C4E256AF-9148-4B42-B0FD-C8242BF149C3}"/>
    <cellStyle name="Normal 2 4 5 10 3" xfId="21574" xr:uid="{075803BD-9808-4B78-A410-2E3975D961F5}"/>
    <cellStyle name="Normal 2 4 5 11" xfId="8919" xr:uid="{19645DDB-BD2B-4A3A-B532-64EA5E6174E6}"/>
    <cellStyle name="Normal 2 4 5 12" xfId="17357" xr:uid="{931F80F2-C8B1-40C3-9621-57F6FF2514ED}"/>
    <cellStyle name="Normal 2 4 5 2" xfId="304" xr:uid="{00000000-0005-0000-0000-000036100000}"/>
    <cellStyle name="Normal 2 4 5 2 10" xfId="8920" xr:uid="{DEDB3428-F5FD-4079-AD62-2C2ABE16C735}"/>
    <cellStyle name="Normal 2 4 5 2 11" xfId="17358" xr:uid="{AA51BA88-5FAB-4AA6-B267-51AABF485191}"/>
    <cellStyle name="Normal 2 4 5 2 2" xfId="305" xr:uid="{00000000-0005-0000-0000-000037100000}"/>
    <cellStyle name="Normal 2 4 5 2 2 10" xfId="17359" xr:uid="{7FB000F7-99B4-4388-AF19-531624AB6192}"/>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2 2 2" xfId="15699" xr:uid="{8DE81CC9-1E25-4596-8026-82FB0EA8E2B8}"/>
    <cellStyle name="Normal 2 4 5 2 2 2 2 2 2 3" xfId="24136" xr:uid="{41033930-1A77-4D1C-8895-543F45D0E217}"/>
    <cellStyle name="Normal 2 4 5 2 2 2 2 2 3" xfId="11481" xr:uid="{0ECFA0D8-BE91-496F-BC77-737A155651BD}"/>
    <cellStyle name="Normal 2 4 5 2 2 2 2 2 4" xfId="19919" xr:uid="{B9C02373-A187-48D9-A465-6846344F0F3E}"/>
    <cellStyle name="Normal 2 4 5 2 2 2 2 3" xfId="5112" xr:uid="{00000000-0005-0000-0000-00003C100000}"/>
    <cellStyle name="Normal 2 4 5 2 2 2 2 3 2" xfId="13554" xr:uid="{008B1DF7-8B02-40AA-AAF9-FE625A6B932F}"/>
    <cellStyle name="Normal 2 4 5 2 2 2 2 3 3" xfId="21991" xr:uid="{F9561D9B-DFA2-4DCD-A1BF-B96901BAC133}"/>
    <cellStyle name="Normal 2 4 5 2 2 2 2 4" xfId="9336" xr:uid="{05BED32C-DFE5-4FDC-8FB7-1D8CB7B6CD77}"/>
    <cellStyle name="Normal 2 4 5 2 2 2 2 5" xfId="17774" xr:uid="{16526220-814B-4B0C-831B-124A7D6F8C24}"/>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2 2 2" xfId="16112" xr:uid="{42A17AC4-7F07-421C-A936-90E834732AEC}"/>
    <cellStyle name="Normal 2 4 5 2 2 2 3 2 2 3" xfId="24549" xr:uid="{490AD83E-236F-430C-9A7E-28125A0697DB}"/>
    <cellStyle name="Normal 2 4 5 2 2 2 3 2 3" xfId="11894" xr:uid="{31656ADD-0CBF-48F0-BE37-7364251F967B}"/>
    <cellStyle name="Normal 2 4 5 2 2 2 3 2 4" xfId="20332" xr:uid="{095E7F3C-F24B-4CDA-87B5-1C8D5191D043}"/>
    <cellStyle name="Normal 2 4 5 2 2 2 3 3" xfId="5525" xr:uid="{00000000-0005-0000-0000-000040100000}"/>
    <cellStyle name="Normal 2 4 5 2 2 2 3 3 2" xfId="13967" xr:uid="{97D39EF3-E989-45DF-A709-6418FE32A539}"/>
    <cellStyle name="Normal 2 4 5 2 2 2 3 3 3" xfId="22404" xr:uid="{F2BF4F4E-EC6A-4B59-B816-A694926F8540}"/>
    <cellStyle name="Normal 2 4 5 2 2 2 3 4" xfId="9749" xr:uid="{B03048F9-2D3B-4A00-84D9-A9EAC5273861}"/>
    <cellStyle name="Normal 2 4 5 2 2 2 3 5" xfId="18187" xr:uid="{5D9CDE6C-66F4-4CC1-BD0E-FAAAB9108BBF}"/>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2 2 2" xfId="16525" xr:uid="{BAE43021-C123-446F-8CDE-C5E37402C86E}"/>
    <cellStyle name="Normal 2 4 5 2 2 2 4 2 2 3" xfId="24962" xr:uid="{8AB43C15-D3A1-4160-B712-25BA1135805D}"/>
    <cellStyle name="Normal 2 4 5 2 2 2 4 2 3" xfId="12307" xr:uid="{A2BD72FB-8B57-423B-B909-9B006590BB2C}"/>
    <cellStyle name="Normal 2 4 5 2 2 2 4 2 4" xfId="20745" xr:uid="{95E8CE4D-7AFC-4A63-A7CD-9E69AE26E446}"/>
    <cellStyle name="Normal 2 4 5 2 2 2 4 3" xfId="5938" xr:uid="{00000000-0005-0000-0000-000044100000}"/>
    <cellStyle name="Normal 2 4 5 2 2 2 4 3 2" xfId="14380" xr:uid="{312A0D70-FBFC-400D-AAFB-F8C449FBA0C9}"/>
    <cellStyle name="Normal 2 4 5 2 2 2 4 3 3" xfId="22817" xr:uid="{33F1634B-A171-4540-BA5E-9FE42387D496}"/>
    <cellStyle name="Normal 2 4 5 2 2 2 4 4" xfId="10162" xr:uid="{3EF1B2F3-D49A-45BE-A675-E21E256224C5}"/>
    <cellStyle name="Normal 2 4 5 2 2 2 4 5" xfId="18600" xr:uid="{5039D238-F764-4DF5-8E0E-34CEBAC1B19D}"/>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2 2 2" xfId="16938" xr:uid="{0EC20347-50D5-41C9-BE22-E948B6318726}"/>
    <cellStyle name="Normal 2 4 5 2 2 2 5 2 2 3" xfId="25375" xr:uid="{E9AD104A-49F6-423B-9F9F-DB514D970068}"/>
    <cellStyle name="Normal 2 4 5 2 2 2 5 2 3" xfId="12720" xr:uid="{EF06975A-ADEE-4D1A-AD6E-10BF29F11038}"/>
    <cellStyle name="Normal 2 4 5 2 2 2 5 2 4" xfId="21158" xr:uid="{D1CD1521-22E1-4D2B-816D-D8F09D112EC7}"/>
    <cellStyle name="Normal 2 4 5 2 2 2 5 3" xfId="6351" xr:uid="{00000000-0005-0000-0000-000048100000}"/>
    <cellStyle name="Normal 2 4 5 2 2 2 5 3 2" xfId="14793" xr:uid="{F94530E2-C2E0-486F-9671-D9FEC75A7F1E}"/>
    <cellStyle name="Normal 2 4 5 2 2 2 5 3 3" xfId="23230" xr:uid="{B6C5F5F6-C5D8-4DDF-BC02-9BB67C67BE35}"/>
    <cellStyle name="Normal 2 4 5 2 2 2 5 4" xfId="10575" xr:uid="{352C1AA1-4BFB-49BB-B946-95D4AC166493}"/>
    <cellStyle name="Normal 2 4 5 2 2 2 5 5" xfId="19013" xr:uid="{77653CCF-A3A9-479B-9AF3-9B94C469AB08}"/>
    <cellStyle name="Normal 2 4 5 2 2 2 6" xfId="2480" xr:uid="{00000000-0005-0000-0000-000049100000}"/>
    <cellStyle name="Normal 2 4 5 2 2 2 6 2" xfId="6764" xr:uid="{00000000-0005-0000-0000-00004A100000}"/>
    <cellStyle name="Normal 2 4 5 2 2 2 6 2 2" xfId="15206" xr:uid="{09E4146D-6AC8-4F53-A9F7-956250F3498C}"/>
    <cellStyle name="Normal 2 4 5 2 2 2 6 2 3" xfId="23643" xr:uid="{B9B4FAC2-77D1-4B88-BA22-3C72A6B67E13}"/>
    <cellStyle name="Normal 2 4 5 2 2 2 6 3" xfId="10988" xr:uid="{F06D593F-DCB1-4189-8CD7-025EA8FFE48E}"/>
    <cellStyle name="Normal 2 4 5 2 2 2 6 4" xfId="19426" xr:uid="{49110257-48D6-4AE3-BF6D-4C8A17C41DC6}"/>
    <cellStyle name="Normal 2 4 5 2 2 2 7" xfId="4698" xr:uid="{00000000-0005-0000-0000-00004B100000}"/>
    <cellStyle name="Normal 2 4 5 2 2 2 7 2" xfId="13140" xr:uid="{7F71D196-851D-4449-8DCE-457B357F9A5D}"/>
    <cellStyle name="Normal 2 4 5 2 2 2 7 3" xfId="21577" xr:uid="{27BFA498-598F-403F-9731-BF9C568943E2}"/>
    <cellStyle name="Normal 2 4 5 2 2 2 8" xfId="8922" xr:uid="{32162147-B9FE-46AB-9145-1A4A533C486B}"/>
    <cellStyle name="Normal 2 4 5 2 2 2 9" xfId="17360" xr:uid="{7AD73D4A-4EDA-4FF6-8D00-987651B10F3A}"/>
    <cellStyle name="Normal 2 4 5 2 2 3" xfId="794" xr:uid="{00000000-0005-0000-0000-00004C100000}"/>
    <cellStyle name="Normal 2 4 5 2 2 3 2" xfId="3033" xr:uid="{00000000-0005-0000-0000-00004D100000}"/>
    <cellStyle name="Normal 2 4 5 2 2 3 2 2" xfId="7256" xr:uid="{00000000-0005-0000-0000-00004E100000}"/>
    <cellStyle name="Normal 2 4 5 2 2 3 2 2 2" xfId="15698" xr:uid="{C552A61A-6F61-401B-9A92-2885EDFDB9F5}"/>
    <cellStyle name="Normal 2 4 5 2 2 3 2 2 3" xfId="24135" xr:uid="{19C719BD-8E60-4B50-8FAA-0BF0A63EE6A5}"/>
    <cellStyle name="Normal 2 4 5 2 2 3 2 3" xfId="11480" xr:uid="{B294BFCF-053E-486B-BFC8-9709680F4692}"/>
    <cellStyle name="Normal 2 4 5 2 2 3 2 4" xfId="19918" xr:uid="{3F5B4CAF-5EEA-47EC-8214-AD7C94A7BB31}"/>
    <cellStyle name="Normal 2 4 5 2 2 3 3" xfId="5111" xr:uid="{00000000-0005-0000-0000-00004F100000}"/>
    <cellStyle name="Normal 2 4 5 2 2 3 3 2" xfId="13553" xr:uid="{0BDBA019-6742-4CDD-B328-DF5A793A9125}"/>
    <cellStyle name="Normal 2 4 5 2 2 3 3 3" xfId="21990" xr:uid="{B415644D-74F0-4984-A590-68043C418DE6}"/>
    <cellStyle name="Normal 2 4 5 2 2 3 4" xfId="9335" xr:uid="{DA99F220-BF75-44DE-8961-D2FB3AB7FAD3}"/>
    <cellStyle name="Normal 2 4 5 2 2 3 5" xfId="17773" xr:uid="{10837241-272D-4C8B-B564-CDEB8E5E22A2}"/>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2 2 2" xfId="16111" xr:uid="{03ED8C83-6E79-497D-B72F-1005B317360C}"/>
    <cellStyle name="Normal 2 4 5 2 2 4 2 2 3" xfId="24548" xr:uid="{4881C46B-188E-45BA-BCC9-BC70BDD26CB8}"/>
    <cellStyle name="Normal 2 4 5 2 2 4 2 3" xfId="11893" xr:uid="{FCD94A06-BF19-451C-B478-35D3A5D5EC12}"/>
    <cellStyle name="Normal 2 4 5 2 2 4 2 4" xfId="20331" xr:uid="{342ABA93-3E31-4F2D-A77F-87CB34B131DC}"/>
    <cellStyle name="Normal 2 4 5 2 2 4 3" xfId="5524" xr:uid="{00000000-0005-0000-0000-000053100000}"/>
    <cellStyle name="Normal 2 4 5 2 2 4 3 2" xfId="13966" xr:uid="{AE7A8298-82F1-4C14-8474-855030938504}"/>
    <cellStyle name="Normal 2 4 5 2 2 4 3 3" xfId="22403" xr:uid="{4C457995-2E21-4BAF-A634-6EA804D45053}"/>
    <cellStyle name="Normal 2 4 5 2 2 4 4" xfId="9748" xr:uid="{09603826-C18E-408D-A935-D6D31B52F9FB}"/>
    <cellStyle name="Normal 2 4 5 2 2 4 5" xfId="18186" xr:uid="{0A4F4C4D-8AFB-4899-BD6C-0FF3FE501056}"/>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2 2 2" xfId="16524" xr:uid="{64974AC4-EDDC-4B26-8BB4-504FA350A424}"/>
    <cellStyle name="Normal 2 4 5 2 2 5 2 2 3" xfId="24961" xr:uid="{D8C9EBE7-ED56-4A7E-9033-7736831236F1}"/>
    <cellStyle name="Normal 2 4 5 2 2 5 2 3" xfId="12306" xr:uid="{7AE61837-D21E-4F84-9DAC-0FC024CDE140}"/>
    <cellStyle name="Normal 2 4 5 2 2 5 2 4" xfId="20744" xr:uid="{FBE85222-906C-48DB-9B1F-9D5EEB01097A}"/>
    <cellStyle name="Normal 2 4 5 2 2 5 3" xfId="5937" xr:uid="{00000000-0005-0000-0000-000057100000}"/>
    <cellStyle name="Normal 2 4 5 2 2 5 3 2" xfId="14379" xr:uid="{530AAF32-086A-4411-9065-33625CE5A610}"/>
    <cellStyle name="Normal 2 4 5 2 2 5 3 3" xfId="22816" xr:uid="{CB7CD4DB-4D32-45B1-879C-57DAB59A96D9}"/>
    <cellStyle name="Normal 2 4 5 2 2 5 4" xfId="10161" xr:uid="{A39E9317-1632-4A17-A7A9-B0BD80E611EC}"/>
    <cellStyle name="Normal 2 4 5 2 2 5 5" xfId="18599" xr:uid="{B201EE5F-8FC9-41AB-8CA3-4E827C7A6B99}"/>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2 2 2" xfId="16937" xr:uid="{E1DBAEA9-5A89-4CE4-9BCD-EE63D2AE1CD2}"/>
    <cellStyle name="Normal 2 4 5 2 2 6 2 2 3" xfId="25374" xr:uid="{636A6C02-D442-44D5-B908-1AE6F4B38996}"/>
    <cellStyle name="Normal 2 4 5 2 2 6 2 3" xfId="12719" xr:uid="{D8FDA22E-D906-4C90-BB06-8A7CBDE34B26}"/>
    <cellStyle name="Normal 2 4 5 2 2 6 2 4" xfId="21157" xr:uid="{565BE51D-BA5C-40C4-BC2A-11173A9EDC16}"/>
    <cellStyle name="Normal 2 4 5 2 2 6 3" xfId="6350" xr:uid="{00000000-0005-0000-0000-00005B100000}"/>
    <cellStyle name="Normal 2 4 5 2 2 6 3 2" xfId="14792" xr:uid="{6194A56D-E5F7-4FA8-A9A2-F835E3C6F0EC}"/>
    <cellStyle name="Normal 2 4 5 2 2 6 3 3" xfId="23229" xr:uid="{B8FDD929-0748-49F5-98E6-FED09005C07C}"/>
    <cellStyle name="Normal 2 4 5 2 2 6 4" xfId="10574" xr:uid="{596F6A20-F0EA-4D74-92D6-E78F83A25ACE}"/>
    <cellStyle name="Normal 2 4 5 2 2 6 5" xfId="19012" xr:uid="{54AF3750-749A-4A4B-87EF-67F19CA0AE74}"/>
    <cellStyle name="Normal 2 4 5 2 2 7" xfId="2479" xr:uid="{00000000-0005-0000-0000-00005C100000}"/>
    <cellStyle name="Normal 2 4 5 2 2 7 2" xfId="6763" xr:uid="{00000000-0005-0000-0000-00005D100000}"/>
    <cellStyle name="Normal 2 4 5 2 2 7 2 2" xfId="15205" xr:uid="{53D4B2AC-ED6E-439A-856C-BAB929108E20}"/>
    <cellStyle name="Normal 2 4 5 2 2 7 2 3" xfId="23642" xr:uid="{CD81DC8A-9274-41A0-9315-D885CF9C17B8}"/>
    <cellStyle name="Normal 2 4 5 2 2 7 3" xfId="10987" xr:uid="{2EC74D9A-F7DB-41AE-ACD9-90E0F492C700}"/>
    <cellStyle name="Normal 2 4 5 2 2 7 4" xfId="19425" xr:uid="{7FE715C3-6B7F-4F47-B3C4-56D80F6F3EDD}"/>
    <cellStyle name="Normal 2 4 5 2 2 8" xfId="4697" xr:uid="{00000000-0005-0000-0000-00005E100000}"/>
    <cellStyle name="Normal 2 4 5 2 2 8 2" xfId="13139" xr:uid="{2312D9BD-3141-43B3-80CC-AC186408D841}"/>
    <cellStyle name="Normal 2 4 5 2 2 8 3" xfId="21576" xr:uid="{8E0BF6AB-A3AE-4497-A878-659991674B8D}"/>
    <cellStyle name="Normal 2 4 5 2 2 9" xfId="8921" xr:uid="{8A216BD8-6A8C-45D8-9B1E-508F34680247}"/>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2 2 2" xfId="15700" xr:uid="{E86F79B5-022A-4270-BB6A-FA393F7A34F1}"/>
    <cellStyle name="Normal 2 4 5 2 3 2 2 2 3" xfId="24137" xr:uid="{4406452A-BD5F-4FD0-97A3-F428ED0DEC7F}"/>
    <cellStyle name="Normal 2 4 5 2 3 2 2 3" xfId="11482" xr:uid="{C93D23C5-7103-4DF0-89E4-837161AC94F4}"/>
    <cellStyle name="Normal 2 4 5 2 3 2 2 4" xfId="19920" xr:uid="{FD65B0CE-EFFF-42B3-8D8A-BBC856E73E48}"/>
    <cellStyle name="Normal 2 4 5 2 3 2 3" xfId="5113" xr:uid="{00000000-0005-0000-0000-000063100000}"/>
    <cellStyle name="Normal 2 4 5 2 3 2 3 2" xfId="13555" xr:uid="{9CB3BD6A-16C1-476C-87BE-D638F88A7F5C}"/>
    <cellStyle name="Normal 2 4 5 2 3 2 3 3" xfId="21992" xr:uid="{F84B0470-8B18-42A5-83CD-D01FFC8328E5}"/>
    <cellStyle name="Normal 2 4 5 2 3 2 4" xfId="9337" xr:uid="{757CEC93-2F29-4B6C-A005-5CC035CACD1B}"/>
    <cellStyle name="Normal 2 4 5 2 3 2 5" xfId="17775" xr:uid="{A85F9511-CD8E-49C7-8C7E-E14BDE56321A}"/>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2 2 2" xfId="16113" xr:uid="{F73D65DD-B9AE-4CCF-99BC-546F673BA737}"/>
    <cellStyle name="Normal 2 4 5 2 3 3 2 2 3" xfId="24550" xr:uid="{C5DB8E2F-5F46-429A-BF2C-A0568962CD5D}"/>
    <cellStyle name="Normal 2 4 5 2 3 3 2 3" xfId="11895" xr:uid="{BB7D1004-1DF3-4A81-8C78-AA3D2026584C}"/>
    <cellStyle name="Normal 2 4 5 2 3 3 2 4" xfId="20333" xr:uid="{FCD88068-B201-4732-A85E-EF9861E1231C}"/>
    <cellStyle name="Normal 2 4 5 2 3 3 3" xfId="5526" xr:uid="{00000000-0005-0000-0000-000067100000}"/>
    <cellStyle name="Normal 2 4 5 2 3 3 3 2" xfId="13968" xr:uid="{15C5B9D3-61AB-43AF-B02A-C5A27383FBBA}"/>
    <cellStyle name="Normal 2 4 5 2 3 3 3 3" xfId="22405" xr:uid="{0A8B5D29-DA1E-489C-8B6D-922ABF7DA8AD}"/>
    <cellStyle name="Normal 2 4 5 2 3 3 4" xfId="9750" xr:uid="{362449C9-2CE9-410A-A14F-CBB2FFB1A0E4}"/>
    <cellStyle name="Normal 2 4 5 2 3 3 5" xfId="18188" xr:uid="{063BB6BC-D02F-44C7-BD68-27CE558F8871}"/>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2 2 2" xfId="16526" xr:uid="{5AFD2D6D-6908-46D9-9FBF-33FD1383C55E}"/>
    <cellStyle name="Normal 2 4 5 2 3 4 2 2 3" xfId="24963" xr:uid="{F489911E-EA16-4A58-A0A5-9DC0226A2D1B}"/>
    <cellStyle name="Normal 2 4 5 2 3 4 2 3" xfId="12308" xr:uid="{DABEEEAF-98B5-4654-91A3-A9F5B908C8CA}"/>
    <cellStyle name="Normal 2 4 5 2 3 4 2 4" xfId="20746" xr:uid="{89A3C5D2-DFF1-46D3-892D-A75EBD292828}"/>
    <cellStyle name="Normal 2 4 5 2 3 4 3" xfId="5939" xr:uid="{00000000-0005-0000-0000-00006B100000}"/>
    <cellStyle name="Normal 2 4 5 2 3 4 3 2" xfId="14381" xr:uid="{61046EE9-9300-4179-A572-4281EE57BE4F}"/>
    <cellStyle name="Normal 2 4 5 2 3 4 3 3" xfId="22818" xr:uid="{CA2BB9E9-643F-4C88-9129-E00C92A70513}"/>
    <cellStyle name="Normal 2 4 5 2 3 4 4" xfId="10163" xr:uid="{55DF3BFF-C718-4A51-A017-27B27B0035B0}"/>
    <cellStyle name="Normal 2 4 5 2 3 4 5" xfId="18601" xr:uid="{C4595907-2736-436A-8FA6-D897055FE6FC}"/>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2 2 2" xfId="16939" xr:uid="{35BA2D94-F891-41E2-9DB7-54586B5E3736}"/>
    <cellStyle name="Normal 2 4 5 2 3 5 2 2 3" xfId="25376" xr:uid="{2F9A0F4C-E546-473C-BCCA-C097A2352E80}"/>
    <cellStyle name="Normal 2 4 5 2 3 5 2 3" xfId="12721" xr:uid="{7AA34DBE-21AE-4AAF-907C-3A3868E45181}"/>
    <cellStyle name="Normal 2 4 5 2 3 5 2 4" xfId="21159" xr:uid="{5AAB6804-15BB-485F-B51A-8F2D632AD70C}"/>
    <cellStyle name="Normal 2 4 5 2 3 5 3" xfId="6352" xr:uid="{00000000-0005-0000-0000-00006F100000}"/>
    <cellStyle name="Normal 2 4 5 2 3 5 3 2" xfId="14794" xr:uid="{0627335D-5F78-4209-9F7D-59833D684B89}"/>
    <cellStyle name="Normal 2 4 5 2 3 5 3 3" xfId="23231" xr:uid="{DDB4EF5D-3B8F-4338-A814-23C61AA201D2}"/>
    <cellStyle name="Normal 2 4 5 2 3 5 4" xfId="10576" xr:uid="{44B0D1F2-23CA-4979-8F3C-3EF075FE100D}"/>
    <cellStyle name="Normal 2 4 5 2 3 5 5" xfId="19014" xr:uid="{3F59A580-7F9A-4EF7-AFD1-5452BAE19B73}"/>
    <cellStyle name="Normal 2 4 5 2 3 6" xfId="2481" xr:uid="{00000000-0005-0000-0000-000070100000}"/>
    <cellStyle name="Normal 2 4 5 2 3 6 2" xfId="6765" xr:uid="{00000000-0005-0000-0000-000071100000}"/>
    <cellStyle name="Normal 2 4 5 2 3 6 2 2" xfId="15207" xr:uid="{748DD68E-0AD5-4403-84EB-29C5C049D40D}"/>
    <cellStyle name="Normal 2 4 5 2 3 6 2 3" xfId="23644" xr:uid="{91F39D2D-2D8A-453A-84AA-B0AC0FAAE34F}"/>
    <cellStyle name="Normal 2 4 5 2 3 6 3" xfId="10989" xr:uid="{8BFF3B4A-A16F-40E8-81BB-EF5F3812BD2D}"/>
    <cellStyle name="Normal 2 4 5 2 3 6 4" xfId="19427" xr:uid="{BC40BC9C-CE30-4593-B6D9-D00BF8083B5E}"/>
    <cellStyle name="Normal 2 4 5 2 3 7" xfId="4699" xr:uid="{00000000-0005-0000-0000-000072100000}"/>
    <cellStyle name="Normal 2 4 5 2 3 7 2" xfId="13141" xr:uid="{575891B5-F47F-44F5-A3F3-C7F33ACA355D}"/>
    <cellStyle name="Normal 2 4 5 2 3 7 3" xfId="21578" xr:uid="{5FDEDCC1-22BF-4802-8922-BCB93DD094D2}"/>
    <cellStyle name="Normal 2 4 5 2 3 8" xfId="8923" xr:uid="{AC0D2807-8B38-4C3A-9C38-DF98FBEEEFBD}"/>
    <cellStyle name="Normal 2 4 5 2 3 9" xfId="17361" xr:uid="{1BF5680B-D187-482E-AE38-F5FE09F1A553}"/>
    <cellStyle name="Normal 2 4 5 2 4" xfId="793" xr:uid="{00000000-0005-0000-0000-000073100000}"/>
    <cellStyle name="Normal 2 4 5 2 4 2" xfId="3032" xr:uid="{00000000-0005-0000-0000-000074100000}"/>
    <cellStyle name="Normal 2 4 5 2 4 2 2" xfId="7255" xr:uid="{00000000-0005-0000-0000-000075100000}"/>
    <cellStyle name="Normal 2 4 5 2 4 2 2 2" xfId="15697" xr:uid="{EBB74CD5-C2F1-4C42-9BCA-F1BAA49D25DA}"/>
    <cellStyle name="Normal 2 4 5 2 4 2 2 3" xfId="24134" xr:uid="{231278A3-69AE-4775-83BC-C04FDE6FE019}"/>
    <cellStyle name="Normal 2 4 5 2 4 2 3" xfId="11479" xr:uid="{B2F26111-7455-4FE0-A785-B358368115EB}"/>
    <cellStyle name="Normal 2 4 5 2 4 2 4" xfId="19917" xr:uid="{DD9C5945-4349-4107-8A51-779142E88C25}"/>
    <cellStyle name="Normal 2 4 5 2 4 3" xfId="5110" xr:uid="{00000000-0005-0000-0000-000076100000}"/>
    <cellStyle name="Normal 2 4 5 2 4 3 2" xfId="13552" xr:uid="{5777E11A-4CAF-4FC1-8DBE-ED6F774F923F}"/>
    <cellStyle name="Normal 2 4 5 2 4 3 3" xfId="21989" xr:uid="{ABDE71D1-1E4A-4B5C-8606-7E89B4F591BC}"/>
    <cellStyle name="Normal 2 4 5 2 4 4" xfId="9334" xr:uid="{1F07F082-BD54-4227-8E95-63F5B7DEDB68}"/>
    <cellStyle name="Normal 2 4 5 2 4 5" xfId="17772" xr:uid="{789ACD1E-CF68-4BBF-A518-AA3F890802D0}"/>
    <cellStyle name="Normal 2 4 5 2 5" xfId="1215" xr:uid="{00000000-0005-0000-0000-000077100000}"/>
    <cellStyle name="Normal 2 4 5 2 5 2" xfId="3445" xr:uid="{00000000-0005-0000-0000-000078100000}"/>
    <cellStyle name="Normal 2 4 5 2 5 2 2" xfId="7668" xr:uid="{00000000-0005-0000-0000-000079100000}"/>
    <cellStyle name="Normal 2 4 5 2 5 2 2 2" xfId="16110" xr:uid="{E29BE945-4593-43D6-A6C7-7568DCF46677}"/>
    <cellStyle name="Normal 2 4 5 2 5 2 2 3" xfId="24547" xr:uid="{32E53B70-6DC2-43D2-A74D-5A73F9E26C94}"/>
    <cellStyle name="Normal 2 4 5 2 5 2 3" xfId="11892" xr:uid="{F8E4B454-38FC-4F69-948A-0443105AB157}"/>
    <cellStyle name="Normal 2 4 5 2 5 2 4" xfId="20330" xr:uid="{011EEF22-3733-4746-9AC6-3BB32495CA6D}"/>
    <cellStyle name="Normal 2 4 5 2 5 3" xfId="5523" xr:uid="{00000000-0005-0000-0000-00007A100000}"/>
    <cellStyle name="Normal 2 4 5 2 5 3 2" xfId="13965" xr:uid="{3D957A5D-873D-4638-BD48-FDBEB6CACB49}"/>
    <cellStyle name="Normal 2 4 5 2 5 3 3" xfId="22402" xr:uid="{A98D1180-AB4E-4797-AA16-65F09FB5612D}"/>
    <cellStyle name="Normal 2 4 5 2 5 4" xfId="9747" xr:uid="{1F7D8BDE-8E13-4F7B-9987-CACAA899A0C9}"/>
    <cellStyle name="Normal 2 4 5 2 5 5" xfId="18185" xr:uid="{67D1DFFB-1CFD-4080-AC7B-28DCB7A248F4}"/>
    <cellStyle name="Normal 2 4 5 2 6" xfId="1628" xr:uid="{00000000-0005-0000-0000-00007B100000}"/>
    <cellStyle name="Normal 2 4 5 2 6 2" xfId="3858" xr:uid="{00000000-0005-0000-0000-00007C100000}"/>
    <cellStyle name="Normal 2 4 5 2 6 2 2" xfId="8081" xr:uid="{00000000-0005-0000-0000-00007D100000}"/>
    <cellStyle name="Normal 2 4 5 2 6 2 2 2" xfId="16523" xr:uid="{21FC3E7C-6D5C-4DF0-B1F7-AEC5F9AA8129}"/>
    <cellStyle name="Normal 2 4 5 2 6 2 2 3" xfId="24960" xr:uid="{1962E0C0-363A-4E5B-B75F-3761716F1257}"/>
    <cellStyle name="Normal 2 4 5 2 6 2 3" xfId="12305" xr:uid="{F7B45069-FA64-48DF-8843-E1B564B90101}"/>
    <cellStyle name="Normal 2 4 5 2 6 2 4" xfId="20743" xr:uid="{B4C74BA1-130D-4A92-88D8-E2AC8A8616E9}"/>
    <cellStyle name="Normal 2 4 5 2 6 3" xfId="5936" xr:uid="{00000000-0005-0000-0000-00007E100000}"/>
    <cellStyle name="Normal 2 4 5 2 6 3 2" xfId="14378" xr:uid="{15F4189F-C921-4963-8C29-45D5D41C7920}"/>
    <cellStyle name="Normal 2 4 5 2 6 3 3" xfId="22815" xr:uid="{D337B39F-F8A8-4878-8B85-97DD90AF1EA9}"/>
    <cellStyle name="Normal 2 4 5 2 6 4" xfId="10160" xr:uid="{53366894-9133-4384-8D55-7798C2430C48}"/>
    <cellStyle name="Normal 2 4 5 2 6 5" xfId="18598" xr:uid="{F79BEECC-0D80-436A-B2AD-0B53C6A64F68}"/>
    <cellStyle name="Normal 2 4 5 2 7" xfId="2042" xr:uid="{00000000-0005-0000-0000-00007F100000}"/>
    <cellStyle name="Normal 2 4 5 2 7 2" xfId="4271" xr:uid="{00000000-0005-0000-0000-000080100000}"/>
    <cellStyle name="Normal 2 4 5 2 7 2 2" xfId="8494" xr:uid="{00000000-0005-0000-0000-000081100000}"/>
    <cellStyle name="Normal 2 4 5 2 7 2 2 2" xfId="16936" xr:uid="{94D8EA38-88CF-4E88-8E8A-2C4A6A2AB3C0}"/>
    <cellStyle name="Normal 2 4 5 2 7 2 2 3" xfId="25373" xr:uid="{1665428B-99D7-4808-B706-E5033BE3FCF7}"/>
    <cellStyle name="Normal 2 4 5 2 7 2 3" xfId="12718" xr:uid="{3D22D2C2-01C4-4BBA-AAEB-B1F905AB9271}"/>
    <cellStyle name="Normal 2 4 5 2 7 2 4" xfId="21156" xr:uid="{944ADFD1-F7E8-4EAE-8C08-9DFE9D47BA61}"/>
    <cellStyle name="Normal 2 4 5 2 7 3" xfId="6349" xr:uid="{00000000-0005-0000-0000-000082100000}"/>
    <cellStyle name="Normal 2 4 5 2 7 3 2" xfId="14791" xr:uid="{B493FA49-96B5-42CD-9AB0-008B2335FD4C}"/>
    <cellStyle name="Normal 2 4 5 2 7 3 3" xfId="23228" xr:uid="{DB6919F8-7814-40A7-9933-E69F201A80E0}"/>
    <cellStyle name="Normal 2 4 5 2 7 4" xfId="10573" xr:uid="{262E3BAD-C79A-499A-AAA4-0A0E100A31CD}"/>
    <cellStyle name="Normal 2 4 5 2 7 5" xfId="19011" xr:uid="{157009AE-BB80-44C9-B090-D46E080305EA}"/>
    <cellStyle name="Normal 2 4 5 2 8" xfId="2478" xr:uid="{00000000-0005-0000-0000-000083100000}"/>
    <cellStyle name="Normal 2 4 5 2 8 2" xfId="6762" xr:uid="{00000000-0005-0000-0000-000084100000}"/>
    <cellStyle name="Normal 2 4 5 2 8 2 2" xfId="15204" xr:uid="{ACC7519A-E968-43D0-95FE-6E401B439532}"/>
    <cellStyle name="Normal 2 4 5 2 8 2 3" xfId="23641" xr:uid="{A2188360-9368-48EE-A7F6-EAA539A0DD85}"/>
    <cellStyle name="Normal 2 4 5 2 8 3" xfId="10986" xr:uid="{1AC0EC96-F0BD-41DA-A2A6-C6E0B9F1C38A}"/>
    <cellStyle name="Normal 2 4 5 2 8 4" xfId="19424" xr:uid="{FF8CD1D7-2D05-4058-B661-349DA1EFBA93}"/>
    <cellStyle name="Normal 2 4 5 2 9" xfId="4696" xr:uid="{00000000-0005-0000-0000-000085100000}"/>
    <cellStyle name="Normal 2 4 5 2 9 2" xfId="13138" xr:uid="{AB12B15F-C739-4B92-B702-37A76C46ECCB}"/>
    <cellStyle name="Normal 2 4 5 2 9 3" xfId="21575" xr:uid="{CC25E53B-DB39-46B3-AB0D-B8DD91D968BE}"/>
    <cellStyle name="Normal 2 4 5 3" xfId="308" xr:uid="{00000000-0005-0000-0000-000086100000}"/>
    <cellStyle name="Normal 2 4 5 3 10" xfId="17362" xr:uid="{A9CF427B-2275-45E9-82C9-CFFDBA040D03}"/>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2 2 2" xfId="15702" xr:uid="{A214742B-3387-49F1-8368-9AEACC041D7D}"/>
    <cellStyle name="Normal 2 4 5 3 2 2 2 2 3" xfId="24139" xr:uid="{B86A49D4-C51F-4D8D-9B74-66BD40EC8BAE}"/>
    <cellStyle name="Normal 2 4 5 3 2 2 2 3" xfId="11484" xr:uid="{E56FFEAC-8B0A-42EC-934D-F34853D1D065}"/>
    <cellStyle name="Normal 2 4 5 3 2 2 2 4" xfId="19922" xr:uid="{5058194D-F3C9-4E4A-8FE4-9AD3271A952A}"/>
    <cellStyle name="Normal 2 4 5 3 2 2 3" xfId="5115" xr:uid="{00000000-0005-0000-0000-00008B100000}"/>
    <cellStyle name="Normal 2 4 5 3 2 2 3 2" xfId="13557" xr:uid="{891CE507-B199-48D2-97FE-6E3FEBE0566F}"/>
    <cellStyle name="Normal 2 4 5 3 2 2 3 3" xfId="21994" xr:uid="{48FA91A7-A91B-49CE-9EB8-750404C88C0A}"/>
    <cellStyle name="Normal 2 4 5 3 2 2 4" xfId="9339" xr:uid="{EBC05BEE-78C6-4C7C-AC57-3591F8AFBD5A}"/>
    <cellStyle name="Normal 2 4 5 3 2 2 5" xfId="17777" xr:uid="{78849486-FC74-4816-BA11-511AC4CBCEBA}"/>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2 2 2" xfId="16115" xr:uid="{1D9AEF0D-48B9-4DBB-BFF7-99BDEF993064}"/>
    <cellStyle name="Normal 2 4 5 3 2 3 2 2 3" xfId="24552" xr:uid="{02C4111E-24E6-41AC-AEB7-ECD5B0310FA8}"/>
    <cellStyle name="Normal 2 4 5 3 2 3 2 3" xfId="11897" xr:uid="{C1614662-BDF0-4613-9FDF-118B93C0E13E}"/>
    <cellStyle name="Normal 2 4 5 3 2 3 2 4" xfId="20335" xr:uid="{0425A0BB-2EBB-4DCC-8511-E6AC4544CF8D}"/>
    <cellStyle name="Normal 2 4 5 3 2 3 3" xfId="5528" xr:uid="{00000000-0005-0000-0000-00008F100000}"/>
    <cellStyle name="Normal 2 4 5 3 2 3 3 2" xfId="13970" xr:uid="{22160A34-4E12-4290-8EFA-28197AA611B3}"/>
    <cellStyle name="Normal 2 4 5 3 2 3 3 3" xfId="22407" xr:uid="{C673ECD0-1021-48B9-9AA5-BBCD0CC9A405}"/>
    <cellStyle name="Normal 2 4 5 3 2 3 4" xfId="9752" xr:uid="{B95B0ACD-9A7F-4C9E-AAD1-C51FBFDA1FB9}"/>
    <cellStyle name="Normal 2 4 5 3 2 3 5" xfId="18190" xr:uid="{9E1A7B14-1139-4F8C-AE72-DDC49F515C98}"/>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2 2 2" xfId="16528" xr:uid="{1F91A7DA-9EEC-4BFB-9E51-E6613298F4A3}"/>
    <cellStyle name="Normal 2 4 5 3 2 4 2 2 3" xfId="24965" xr:uid="{0BAF9022-6C11-43D8-BE40-416D26E75A84}"/>
    <cellStyle name="Normal 2 4 5 3 2 4 2 3" xfId="12310" xr:uid="{29966E63-BE3F-4D24-AB76-13F74017C9F2}"/>
    <cellStyle name="Normal 2 4 5 3 2 4 2 4" xfId="20748" xr:uid="{6C83AF70-5FCF-40DF-A9CA-3D002BD96A14}"/>
    <cellStyle name="Normal 2 4 5 3 2 4 3" xfId="5941" xr:uid="{00000000-0005-0000-0000-000093100000}"/>
    <cellStyle name="Normal 2 4 5 3 2 4 3 2" xfId="14383" xr:uid="{4B0D6A46-7DFA-4384-936F-DC7E7F36B16E}"/>
    <cellStyle name="Normal 2 4 5 3 2 4 3 3" xfId="22820" xr:uid="{AFCA474B-9F9B-42CC-8816-D3024CE7274B}"/>
    <cellStyle name="Normal 2 4 5 3 2 4 4" xfId="10165" xr:uid="{3A25C8CC-2CE8-42D4-9E76-B9467D857BA4}"/>
    <cellStyle name="Normal 2 4 5 3 2 4 5" xfId="18603" xr:uid="{5F69E1B4-E174-4F8C-920E-DB4979E69908}"/>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2 2 2" xfId="16941" xr:uid="{EAC2CE7B-A42F-4170-B5AD-FF303F1C85EA}"/>
    <cellStyle name="Normal 2 4 5 3 2 5 2 2 3" xfId="25378" xr:uid="{A3959D1B-F60F-472F-9460-3A567C67D749}"/>
    <cellStyle name="Normal 2 4 5 3 2 5 2 3" xfId="12723" xr:uid="{33852A2E-DB9D-45EE-BFF9-9560F1E2402B}"/>
    <cellStyle name="Normal 2 4 5 3 2 5 2 4" xfId="21161" xr:uid="{F9827121-5998-4648-A41B-7772EC6CECE7}"/>
    <cellStyle name="Normal 2 4 5 3 2 5 3" xfId="6354" xr:uid="{00000000-0005-0000-0000-000097100000}"/>
    <cellStyle name="Normal 2 4 5 3 2 5 3 2" xfId="14796" xr:uid="{85BB3E7D-A1F0-4319-85B5-40741E6832CA}"/>
    <cellStyle name="Normal 2 4 5 3 2 5 3 3" xfId="23233" xr:uid="{CA04F1DB-F783-4868-B6D1-5653458AA23D}"/>
    <cellStyle name="Normal 2 4 5 3 2 5 4" xfId="10578" xr:uid="{83894938-B781-4078-A9C6-1E99425E4088}"/>
    <cellStyle name="Normal 2 4 5 3 2 5 5" xfId="19016" xr:uid="{87E26C4D-929E-4291-A1BE-E3EBC8A61C86}"/>
    <cellStyle name="Normal 2 4 5 3 2 6" xfId="2483" xr:uid="{00000000-0005-0000-0000-000098100000}"/>
    <cellStyle name="Normal 2 4 5 3 2 6 2" xfId="6767" xr:uid="{00000000-0005-0000-0000-000099100000}"/>
    <cellStyle name="Normal 2 4 5 3 2 6 2 2" xfId="15209" xr:uid="{9D750F51-733E-4AFC-B816-B6693ABC99C7}"/>
    <cellStyle name="Normal 2 4 5 3 2 6 2 3" xfId="23646" xr:uid="{C830B65C-37CA-4BB6-85F3-DBABD59B649F}"/>
    <cellStyle name="Normal 2 4 5 3 2 6 3" xfId="10991" xr:uid="{858F0502-ACFC-456B-8066-131A11E57860}"/>
    <cellStyle name="Normal 2 4 5 3 2 6 4" xfId="19429" xr:uid="{915A31CF-1F03-4E20-8AE1-4D3DE872491B}"/>
    <cellStyle name="Normal 2 4 5 3 2 7" xfId="4701" xr:uid="{00000000-0005-0000-0000-00009A100000}"/>
    <cellStyle name="Normal 2 4 5 3 2 7 2" xfId="13143" xr:uid="{E79892BE-0F8F-408D-8384-D7C0EFF05E04}"/>
    <cellStyle name="Normal 2 4 5 3 2 7 3" xfId="21580" xr:uid="{5A96BA89-4ABA-4EBC-A70D-C09CE6E6E902}"/>
    <cellStyle name="Normal 2 4 5 3 2 8" xfId="8925" xr:uid="{B2D876E0-E007-471D-BB0C-6550CE047637}"/>
    <cellStyle name="Normal 2 4 5 3 2 9" xfId="17363" xr:uid="{01A593B8-705D-41BD-97FE-FA09FF78A356}"/>
    <cellStyle name="Normal 2 4 5 3 3" xfId="797" xr:uid="{00000000-0005-0000-0000-00009B100000}"/>
    <cellStyle name="Normal 2 4 5 3 3 2" xfId="3036" xr:uid="{00000000-0005-0000-0000-00009C100000}"/>
    <cellStyle name="Normal 2 4 5 3 3 2 2" xfId="7259" xr:uid="{00000000-0005-0000-0000-00009D100000}"/>
    <cellStyle name="Normal 2 4 5 3 3 2 2 2" xfId="15701" xr:uid="{1689CFD3-F06F-47E8-8F9A-97726D141CE4}"/>
    <cellStyle name="Normal 2 4 5 3 3 2 2 3" xfId="24138" xr:uid="{CFE2D721-F372-4BEC-ABCC-1220E92863B1}"/>
    <cellStyle name="Normal 2 4 5 3 3 2 3" xfId="11483" xr:uid="{ECDD133C-23A1-4C3D-8E0E-7A2344808AA6}"/>
    <cellStyle name="Normal 2 4 5 3 3 2 4" xfId="19921" xr:uid="{DB2A7CF2-241F-469D-AFD6-E61C989784B0}"/>
    <cellStyle name="Normal 2 4 5 3 3 3" xfId="5114" xr:uid="{00000000-0005-0000-0000-00009E100000}"/>
    <cellStyle name="Normal 2 4 5 3 3 3 2" xfId="13556" xr:uid="{0D4934EF-2FE7-4DE0-B447-58D80210281C}"/>
    <cellStyle name="Normal 2 4 5 3 3 3 3" xfId="21993" xr:uid="{C5C14FA6-546F-40F5-870B-F8AEEC68FEC8}"/>
    <cellStyle name="Normal 2 4 5 3 3 4" xfId="9338" xr:uid="{6CA31065-0E72-40A7-B9E9-CE2DEFB564C1}"/>
    <cellStyle name="Normal 2 4 5 3 3 5" xfId="17776" xr:uid="{29535077-FAD6-400B-A016-2D791BAC9F75}"/>
    <cellStyle name="Normal 2 4 5 3 4" xfId="1219" xr:uid="{00000000-0005-0000-0000-00009F100000}"/>
    <cellStyle name="Normal 2 4 5 3 4 2" xfId="3449" xr:uid="{00000000-0005-0000-0000-0000A0100000}"/>
    <cellStyle name="Normal 2 4 5 3 4 2 2" xfId="7672" xr:uid="{00000000-0005-0000-0000-0000A1100000}"/>
    <cellStyle name="Normal 2 4 5 3 4 2 2 2" xfId="16114" xr:uid="{B384B65A-99A4-4781-A25A-4382F5B64F0D}"/>
    <cellStyle name="Normal 2 4 5 3 4 2 2 3" xfId="24551" xr:uid="{BC1F0B22-3D44-41B8-85BA-10A2017233FE}"/>
    <cellStyle name="Normal 2 4 5 3 4 2 3" xfId="11896" xr:uid="{9272EA2C-D6EC-4DA6-8AF5-59CD1FB4C713}"/>
    <cellStyle name="Normal 2 4 5 3 4 2 4" xfId="20334" xr:uid="{FC227901-6045-4118-9521-24741120224C}"/>
    <cellStyle name="Normal 2 4 5 3 4 3" xfId="5527" xr:uid="{00000000-0005-0000-0000-0000A2100000}"/>
    <cellStyle name="Normal 2 4 5 3 4 3 2" xfId="13969" xr:uid="{FD869EF7-37B2-45F6-B906-72DE2DC6DE00}"/>
    <cellStyle name="Normal 2 4 5 3 4 3 3" xfId="22406" xr:uid="{5B5DAEE3-D7AF-4A78-851E-AB93C3DC39D7}"/>
    <cellStyle name="Normal 2 4 5 3 4 4" xfId="9751" xr:uid="{4C2E05BF-2089-4042-A3CE-85040AD5AA0D}"/>
    <cellStyle name="Normal 2 4 5 3 4 5" xfId="18189" xr:uid="{ABCF7F4F-01CA-4F81-BAB2-07D9F44A4D99}"/>
    <cellStyle name="Normal 2 4 5 3 5" xfId="1632" xr:uid="{00000000-0005-0000-0000-0000A3100000}"/>
    <cellStyle name="Normal 2 4 5 3 5 2" xfId="3862" xr:uid="{00000000-0005-0000-0000-0000A4100000}"/>
    <cellStyle name="Normal 2 4 5 3 5 2 2" xfId="8085" xr:uid="{00000000-0005-0000-0000-0000A5100000}"/>
    <cellStyle name="Normal 2 4 5 3 5 2 2 2" xfId="16527" xr:uid="{8839F3BE-B346-4FF8-B8F1-DECFF3FC871E}"/>
    <cellStyle name="Normal 2 4 5 3 5 2 2 3" xfId="24964" xr:uid="{8A85487C-E829-4B4A-A02A-EF686DE8A3A9}"/>
    <cellStyle name="Normal 2 4 5 3 5 2 3" xfId="12309" xr:uid="{54671D4B-2CE8-4372-9E4A-CABE70E7FCD3}"/>
    <cellStyle name="Normal 2 4 5 3 5 2 4" xfId="20747" xr:uid="{AF178E41-74D7-4FFF-B03B-8D27E9D4646D}"/>
    <cellStyle name="Normal 2 4 5 3 5 3" xfId="5940" xr:uid="{00000000-0005-0000-0000-0000A6100000}"/>
    <cellStyle name="Normal 2 4 5 3 5 3 2" xfId="14382" xr:uid="{C2BB8C02-1375-4553-9F29-472ECFF7BB92}"/>
    <cellStyle name="Normal 2 4 5 3 5 3 3" xfId="22819" xr:uid="{C18A9F3A-7536-445E-AD27-5B1E2569B672}"/>
    <cellStyle name="Normal 2 4 5 3 5 4" xfId="10164" xr:uid="{040CD14E-EFD7-4DC6-9E24-63B0A827409E}"/>
    <cellStyle name="Normal 2 4 5 3 5 5" xfId="18602" xr:uid="{D1E00ECB-EA4D-489B-9FA4-42CBFA49D048}"/>
    <cellStyle name="Normal 2 4 5 3 6" xfId="2046" xr:uid="{00000000-0005-0000-0000-0000A7100000}"/>
    <cellStyle name="Normal 2 4 5 3 6 2" xfId="4275" xr:uid="{00000000-0005-0000-0000-0000A8100000}"/>
    <cellStyle name="Normal 2 4 5 3 6 2 2" xfId="8498" xr:uid="{00000000-0005-0000-0000-0000A9100000}"/>
    <cellStyle name="Normal 2 4 5 3 6 2 2 2" xfId="16940" xr:uid="{15A5B25B-2B29-40EF-9624-04AF05784E7E}"/>
    <cellStyle name="Normal 2 4 5 3 6 2 2 3" xfId="25377" xr:uid="{51AD0470-0D02-4EFD-A99C-11EC458DCFFC}"/>
    <cellStyle name="Normal 2 4 5 3 6 2 3" xfId="12722" xr:uid="{23D55064-7014-4AC3-85C2-150CE44D16AC}"/>
    <cellStyle name="Normal 2 4 5 3 6 2 4" xfId="21160" xr:uid="{8CE24062-BF31-4263-BB30-13D3F961EBCF}"/>
    <cellStyle name="Normal 2 4 5 3 6 3" xfId="6353" xr:uid="{00000000-0005-0000-0000-0000AA100000}"/>
    <cellStyle name="Normal 2 4 5 3 6 3 2" xfId="14795" xr:uid="{89DDA8BC-4C86-4987-A55C-F8B8341162FB}"/>
    <cellStyle name="Normal 2 4 5 3 6 3 3" xfId="23232" xr:uid="{2A71FDAE-639D-4A3D-B13C-9231BDE0DD1C}"/>
    <cellStyle name="Normal 2 4 5 3 6 4" xfId="10577" xr:uid="{23441D09-0610-4D04-85ED-E617A0E7FF9A}"/>
    <cellStyle name="Normal 2 4 5 3 6 5" xfId="19015" xr:uid="{2E94233E-F961-416D-9832-ADDDC361567B}"/>
    <cellStyle name="Normal 2 4 5 3 7" xfId="2482" xr:uid="{00000000-0005-0000-0000-0000AB100000}"/>
    <cellStyle name="Normal 2 4 5 3 7 2" xfId="6766" xr:uid="{00000000-0005-0000-0000-0000AC100000}"/>
    <cellStyle name="Normal 2 4 5 3 7 2 2" xfId="15208" xr:uid="{B0937B4F-63F1-45B9-8E58-4EA4F09E5059}"/>
    <cellStyle name="Normal 2 4 5 3 7 2 3" xfId="23645" xr:uid="{D6E29844-623A-4927-B734-E8988A4DC80B}"/>
    <cellStyle name="Normal 2 4 5 3 7 3" xfId="10990" xr:uid="{C4596CF1-6884-421B-8FD0-4341CAD1F798}"/>
    <cellStyle name="Normal 2 4 5 3 7 4" xfId="19428" xr:uid="{0394BF2D-6A7B-4C1D-B227-7CB81CFBA3C6}"/>
    <cellStyle name="Normal 2 4 5 3 8" xfId="4700" xr:uid="{00000000-0005-0000-0000-0000AD100000}"/>
    <cellStyle name="Normal 2 4 5 3 8 2" xfId="13142" xr:uid="{17537AA1-A2BB-434E-8353-930426EE84AE}"/>
    <cellStyle name="Normal 2 4 5 3 8 3" xfId="21579" xr:uid="{08528F54-D190-4788-A5DE-A898AA5BEA38}"/>
    <cellStyle name="Normal 2 4 5 3 9" xfId="8924" xr:uid="{8A20246C-B1E1-4174-BF5E-5A6155AB7803}"/>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2 2 2" xfId="15703" xr:uid="{652E15A9-172E-4A82-A93C-B6216AEC57FB}"/>
    <cellStyle name="Normal 2 4 5 4 2 2 2 3" xfId="24140" xr:uid="{D5AFEEF8-9E30-41A7-A29A-CD74BB94CD88}"/>
    <cellStyle name="Normal 2 4 5 4 2 2 3" xfId="11485" xr:uid="{BAEF948E-8D04-481F-926D-538C8A09DA8B}"/>
    <cellStyle name="Normal 2 4 5 4 2 2 4" xfId="19923" xr:uid="{38E056A1-558D-4DF4-BBF0-68C4843BA096}"/>
    <cellStyle name="Normal 2 4 5 4 2 3" xfId="5116" xr:uid="{00000000-0005-0000-0000-0000B2100000}"/>
    <cellStyle name="Normal 2 4 5 4 2 3 2" xfId="13558" xr:uid="{9C8651EB-C0C3-4A22-AF3B-D20F45A49911}"/>
    <cellStyle name="Normal 2 4 5 4 2 3 3" xfId="21995" xr:uid="{D16D860B-DFB3-4C95-8C5B-E7FCAF40662D}"/>
    <cellStyle name="Normal 2 4 5 4 2 4" xfId="9340" xr:uid="{2633C54E-3765-4416-9D37-79ACE17DE473}"/>
    <cellStyle name="Normal 2 4 5 4 2 5" xfId="17778" xr:uid="{CA93042B-787C-43D8-83F3-ACCF4DE08AE6}"/>
    <cellStyle name="Normal 2 4 5 4 3" xfId="1221" xr:uid="{00000000-0005-0000-0000-0000B3100000}"/>
    <cellStyle name="Normal 2 4 5 4 3 2" xfId="3451" xr:uid="{00000000-0005-0000-0000-0000B4100000}"/>
    <cellStyle name="Normal 2 4 5 4 3 2 2" xfId="7674" xr:uid="{00000000-0005-0000-0000-0000B5100000}"/>
    <cellStyle name="Normal 2 4 5 4 3 2 2 2" xfId="16116" xr:uid="{A1A775CB-18C2-46CE-A9DF-E9E63017EFD4}"/>
    <cellStyle name="Normal 2 4 5 4 3 2 2 3" xfId="24553" xr:uid="{5A9369A2-11D9-4DB3-81AC-08F56A9B4211}"/>
    <cellStyle name="Normal 2 4 5 4 3 2 3" xfId="11898" xr:uid="{B44466A0-84C5-404C-92DF-B6F07FE7A11C}"/>
    <cellStyle name="Normal 2 4 5 4 3 2 4" xfId="20336" xr:uid="{68C205C6-AC60-400F-A55F-64EA790F9E37}"/>
    <cellStyle name="Normal 2 4 5 4 3 3" xfId="5529" xr:uid="{00000000-0005-0000-0000-0000B6100000}"/>
    <cellStyle name="Normal 2 4 5 4 3 3 2" xfId="13971" xr:uid="{DBD13BDD-E692-4EDE-96D1-F2B29C1BB916}"/>
    <cellStyle name="Normal 2 4 5 4 3 3 3" xfId="22408" xr:uid="{944532AF-D7F9-493D-9BE6-74DDBADACB8A}"/>
    <cellStyle name="Normal 2 4 5 4 3 4" xfId="9753" xr:uid="{6E440963-BCBB-4BF3-B4EB-F49B6C22FF88}"/>
    <cellStyle name="Normal 2 4 5 4 3 5" xfId="18191" xr:uid="{96F16003-3783-4F22-BCCD-24F7CC0081AB}"/>
    <cellStyle name="Normal 2 4 5 4 4" xfId="1634" xr:uid="{00000000-0005-0000-0000-0000B7100000}"/>
    <cellStyle name="Normal 2 4 5 4 4 2" xfId="3864" xr:uid="{00000000-0005-0000-0000-0000B8100000}"/>
    <cellStyle name="Normal 2 4 5 4 4 2 2" xfId="8087" xr:uid="{00000000-0005-0000-0000-0000B9100000}"/>
    <cellStyle name="Normal 2 4 5 4 4 2 2 2" xfId="16529" xr:uid="{311B933D-201B-4BC8-9F36-8731625C3D4F}"/>
    <cellStyle name="Normal 2 4 5 4 4 2 2 3" xfId="24966" xr:uid="{E1D46403-FBE4-41B8-8090-E714DD0523E3}"/>
    <cellStyle name="Normal 2 4 5 4 4 2 3" xfId="12311" xr:uid="{A9F9A6AD-588C-41C2-B16F-248E6F02851C}"/>
    <cellStyle name="Normal 2 4 5 4 4 2 4" xfId="20749" xr:uid="{3245B1C3-7EA1-4CF6-9FA9-ADC6851E8045}"/>
    <cellStyle name="Normal 2 4 5 4 4 3" xfId="5942" xr:uid="{00000000-0005-0000-0000-0000BA100000}"/>
    <cellStyle name="Normal 2 4 5 4 4 3 2" xfId="14384" xr:uid="{F9FA22DE-FA0D-4EA8-8E81-A5E2AE378F59}"/>
    <cellStyle name="Normal 2 4 5 4 4 3 3" xfId="22821" xr:uid="{0CB8C7BD-E97F-4BDF-A518-0F8FE4D8CD1D}"/>
    <cellStyle name="Normal 2 4 5 4 4 4" xfId="10166" xr:uid="{58708BAA-48A7-416D-B8AF-7174E8AB434F}"/>
    <cellStyle name="Normal 2 4 5 4 4 5" xfId="18604" xr:uid="{DBDA74D0-2336-49D6-8A9E-19277AD0E622}"/>
    <cellStyle name="Normal 2 4 5 4 5" xfId="2048" xr:uid="{00000000-0005-0000-0000-0000BB100000}"/>
    <cellStyle name="Normal 2 4 5 4 5 2" xfId="4277" xr:uid="{00000000-0005-0000-0000-0000BC100000}"/>
    <cellStyle name="Normal 2 4 5 4 5 2 2" xfId="8500" xr:uid="{00000000-0005-0000-0000-0000BD100000}"/>
    <cellStyle name="Normal 2 4 5 4 5 2 2 2" xfId="16942" xr:uid="{40B27F65-6FCC-4B7C-AA9C-C0D5AB2D7CA4}"/>
    <cellStyle name="Normal 2 4 5 4 5 2 2 3" xfId="25379" xr:uid="{DC528A43-F4E9-4768-8BC6-C61198BD355F}"/>
    <cellStyle name="Normal 2 4 5 4 5 2 3" xfId="12724" xr:uid="{E4A081A1-3B62-482B-8AB9-CB8B2F895CF5}"/>
    <cellStyle name="Normal 2 4 5 4 5 2 4" xfId="21162" xr:uid="{108826D1-4E02-426E-A4D5-B64FB0608E2A}"/>
    <cellStyle name="Normal 2 4 5 4 5 3" xfId="6355" xr:uid="{00000000-0005-0000-0000-0000BE100000}"/>
    <cellStyle name="Normal 2 4 5 4 5 3 2" xfId="14797" xr:uid="{CC067DA7-79C8-47CA-BF42-18272BAC45F3}"/>
    <cellStyle name="Normal 2 4 5 4 5 3 3" xfId="23234" xr:uid="{2C7CD831-F998-4228-A6A4-A6A3EECED1F9}"/>
    <cellStyle name="Normal 2 4 5 4 5 4" xfId="10579" xr:uid="{CABD1C19-2764-49ED-8FF6-B43A2A8E2BEC}"/>
    <cellStyle name="Normal 2 4 5 4 5 5" xfId="19017" xr:uid="{E5FCCDA1-CEB5-4A6B-A633-66BAC2AA8F6C}"/>
    <cellStyle name="Normal 2 4 5 4 6" xfId="2484" xr:uid="{00000000-0005-0000-0000-0000BF100000}"/>
    <cellStyle name="Normal 2 4 5 4 6 2" xfId="6768" xr:uid="{00000000-0005-0000-0000-0000C0100000}"/>
    <cellStyle name="Normal 2 4 5 4 6 2 2" xfId="15210" xr:uid="{530D8DD8-5159-4803-A985-01AF06DE97A9}"/>
    <cellStyle name="Normal 2 4 5 4 6 2 3" xfId="23647" xr:uid="{7CAF765F-6905-482B-9830-C9D537E1A5F4}"/>
    <cellStyle name="Normal 2 4 5 4 6 3" xfId="10992" xr:uid="{38AA0654-40F2-4C76-8A36-556788273692}"/>
    <cellStyle name="Normal 2 4 5 4 6 4" xfId="19430" xr:uid="{65E47305-F428-4BE7-8BE9-59AD549FB687}"/>
    <cellStyle name="Normal 2 4 5 4 7" xfId="4702" xr:uid="{00000000-0005-0000-0000-0000C1100000}"/>
    <cellStyle name="Normal 2 4 5 4 7 2" xfId="13144" xr:uid="{F9BBDFE4-13E5-4B83-B827-4A42CF96419F}"/>
    <cellStyle name="Normal 2 4 5 4 7 3" xfId="21581" xr:uid="{76B96544-D979-4B72-8495-7E280EB4623C}"/>
    <cellStyle name="Normal 2 4 5 4 8" xfId="8926" xr:uid="{74CAF9CF-7350-49EC-9BA0-689B2B0FF76E}"/>
    <cellStyle name="Normal 2 4 5 4 9" xfId="17364" xr:uid="{8831ADD7-BE29-446B-A73B-615DF111DA58}"/>
    <cellStyle name="Normal 2 4 5 5" xfId="792" xr:uid="{00000000-0005-0000-0000-0000C2100000}"/>
    <cellStyle name="Normal 2 4 5 5 2" xfId="3031" xr:uid="{00000000-0005-0000-0000-0000C3100000}"/>
    <cellStyle name="Normal 2 4 5 5 2 2" xfId="7254" xr:uid="{00000000-0005-0000-0000-0000C4100000}"/>
    <cellStyle name="Normal 2 4 5 5 2 2 2" xfId="15696" xr:uid="{92107B6C-30BB-49A8-8D7D-90E021F04908}"/>
    <cellStyle name="Normal 2 4 5 5 2 2 3" xfId="24133" xr:uid="{9CD81EB8-E375-4E3D-B28B-837B98391BA2}"/>
    <cellStyle name="Normal 2 4 5 5 2 3" xfId="11478" xr:uid="{37E427B6-B2B6-4CF6-8044-B4543E30552E}"/>
    <cellStyle name="Normal 2 4 5 5 2 4" xfId="19916" xr:uid="{4E164DEA-3031-47EC-8D99-376074388919}"/>
    <cellStyle name="Normal 2 4 5 5 3" xfId="5109" xr:uid="{00000000-0005-0000-0000-0000C5100000}"/>
    <cellStyle name="Normal 2 4 5 5 3 2" xfId="13551" xr:uid="{332E320C-F59F-4FDD-B29A-98880749228C}"/>
    <cellStyle name="Normal 2 4 5 5 3 3" xfId="21988" xr:uid="{E4FE1F77-CE48-49EC-ABA8-8C611AF3FB88}"/>
    <cellStyle name="Normal 2 4 5 5 4" xfId="9333" xr:uid="{FBDA5EBF-9780-4CAF-B16E-48CB01E7CD2B}"/>
    <cellStyle name="Normal 2 4 5 5 5" xfId="17771" xr:uid="{DE5A0E09-0AB8-4D12-A09F-DDE1FD80438D}"/>
    <cellStyle name="Normal 2 4 5 6" xfId="1214" xr:uid="{00000000-0005-0000-0000-0000C6100000}"/>
    <cellStyle name="Normal 2 4 5 6 2" xfId="3444" xr:uid="{00000000-0005-0000-0000-0000C7100000}"/>
    <cellStyle name="Normal 2 4 5 6 2 2" xfId="7667" xr:uid="{00000000-0005-0000-0000-0000C8100000}"/>
    <cellStyle name="Normal 2 4 5 6 2 2 2" xfId="16109" xr:uid="{E7ED6B2A-F7FB-4478-B90B-6EB7C726E63E}"/>
    <cellStyle name="Normal 2 4 5 6 2 2 3" xfId="24546" xr:uid="{CCCE9394-E702-45A3-976D-57B0CBDC813C}"/>
    <cellStyle name="Normal 2 4 5 6 2 3" xfId="11891" xr:uid="{DAAC46E4-3944-4F5C-A76B-3FEC6AAD334A}"/>
    <cellStyle name="Normal 2 4 5 6 2 4" xfId="20329" xr:uid="{FD7E392D-9CC4-4219-A01D-7D7C2DDCE4C0}"/>
    <cellStyle name="Normal 2 4 5 6 3" xfId="5522" xr:uid="{00000000-0005-0000-0000-0000C9100000}"/>
    <cellStyle name="Normal 2 4 5 6 3 2" xfId="13964" xr:uid="{E7F8551B-2B7D-4297-9CE4-558F6F93713C}"/>
    <cellStyle name="Normal 2 4 5 6 3 3" xfId="22401" xr:uid="{D0B2BDF9-DCAE-421C-B605-16F9B58524C4}"/>
    <cellStyle name="Normal 2 4 5 6 4" xfId="9746" xr:uid="{687DAA50-33E6-4792-87D9-D05521C5B9BA}"/>
    <cellStyle name="Normal 2 4 5 6 5" xfId="18184" xr:uid="{D3A656AD-F9B5-4F0A-AE87-B9B5334D6E59}"/>
    <cellStyle name="Normal 2 4 5 7" xfId="1627" xr:uid="{00000000-0005-0000-0000-0000CA100000}"/>
    <cellStyle name="Normal 2 4 5 7 2" xfId="3857" xr:uid="{00000000-0005-0000-0000-0000CB100000}"/>
    <cellStyle name="Normal 2 4 5 7 2 2" xfId="8080" xr:uid="{00000000-0005-0000-0000-0000CC100000}"/>
    <cellStyle name="Normal 2 4 5 7 2 2 2" xfId="16522" xr:uid="{235268BE-16C9-4323-8662-201443F81B85}"/>
    <cellStyle name="Normal 2 4 5 7 2 2 3" xfId="24959" xr:uid="{D1100B60-DE35-40F9-B901-12AC1DB7CCDA}"/>
    <cellStyle name="Normal 2 4 5 7 2 3" xfId="12304" xr:uid="{F7005B8D-182A-4CD6-8F0C-DE7B5AA8BD52}"/>
    <cellStyle name="Normal 2 4 5 7 2 4" xfId="20742" xr:uid="{49752213-12A1-45CE-810E-C1862CDD70BA}"/>
    <cellStyle name="Normal 2 4 5 7 3" xfId="5935" xr:uid="{00000000-0005-0000-0000-0000CD100000}"/>
    <cellStyle name="Normal 2 4 5 7 3 2" xfId="14377" xr:uid="{12E82738-CE5B-4251-8A22-E3FECC0C8184}"/>
    <cellStyle name="Normal 2 4 5 7 3 3" xfId="22814" xr:uid="{D08F1D55-F286-4804-A7D4-89CF4DBC2DA5}"/>
    <cellStyle name="Normal 2 4 5 7 4" xfId="10159" xr:uid="{C880970C-7EA3-4794-B437-42BF37FABDC9}"/>
    <cellStyle name="Normal 2 4 5 7 5" xfId="18597" xr:uid="{17D5AD2F-4539-4338-AC16-D249735B0F04}"/>
    <cellStyle name="Normal 2 4 5 8" xfId="2041" xr:uid="{00000000-0005-0000-0000-0000CE100000}"/>
    <cellStyle name="Normal 2 4 5 8 2" xfId="4270" xr:uid="{00000000-0005-0000-0000-0000CF100000}"/>
    <cellStyle name="Normal 2 4 5 8 2 2" xfId="8493" xr:uid="{00000000-0005-0000-0000-0000D0100000}"/>
    <cellStyle name="Normal 2 4 5 8 2 2 2" xfId="16935" xr:uid="{365F1487-D519-4204-8A4F-6C3C06C5AA2D}"/>
    <cellStyle name="Normal 2 4 5 8 2 2 3" xfId="25372" xr:uid="{A1A7CE42-84D5-480D-8F6B-18C75B861059}"/>
    <cellStyle name="Normal 2 4 5 8 2 3" xfId="12717" xr:uid="{DC6C0D43-1872-40B0-A51A-891593222E4F}"/>
    <cellStyle name="Normal 2 4 5 8 2 4" xfId="21155" xr:uid="{6D800197-4BC7-49A1-8215-74CBB8B7E2FA}"/>
    <cellStyle name="Normal 2 4 5 8 3" xfId="6348" xr:uid="{00000000-0005-0000-0000-0000D1100000}"/>
    <cellStyle name="Normal 2 4 5 8 3 2" xfId="14790" xr:uid="{D52451D8-A029-4DE7-B7FD-DADE380FE7A2}"/>
    <cellStyle name="Normal 2 4 5 8 3 3" xfId="23227" xr:uid="{C0157E20-0BAC-4599-BE14-3E52C5329526}"/>
    <cellStyle name="Normal 2 4 5 8 4" xfId="10572" xr:uid="{7937B60E-1CFD-470A-BF92-32BDBA4E5156}"/>
    <cellStyle name="Normal 2 4 5 8 5" xfId="19010" xr:uid="{AF02C79E-F83A-4BBE-9D01-FA487A19DB19}"/>
    <cellStyle name="Normal 2 4 5 9" xfId="2477" xr:uid="{00000000-0005-0000-0000-0000D2100000}"/>
    <cellStyle name="Normal 2 4 5 9 2" xfId="6761" xr:uid="{00000000-0005-0000-0000-0000D3100000}"/>
    <cellStyle name="Normal 2 4 5 9 2 2" xfId="15203" xr:uid="{F9E28ADF-0BA1-4943-BF62-7670B9D2DD6F}"/>
    <cellStyle name="Normal 2 4 5 9 2 3" xfId="23640" xr:uid="{1EAAAF72-815F-441F-9DAD-F3AF770D111E}"/>
    <cellStyle name="Normal 2 4 5 9 3" xfId="10985" xr:uid="{3CA55419-D989-4BC2-86CB-B90D6EBDDB13}"/>
    <cellStyle name="Normal 2 4 5 9 4" xfId="19423" xr:uid="{66013D62-4FBF-435A-9DD5-A01B818A9D8F}"/>
    <cellStyle name="Normal 2 4 6" xfId="311" xr:uid="{00000000-0005-0000-0000-0000D4100000}"/>
    <cellStyle name="Normal 2 4 7" xfId="312" xr:uid="{00000000-0005-0000-0000-0000D5100000}"/>
    <cellStyle name="Normal 2 4 7 10" xfId="17365" xr:uid="{9E623D67-9615-40F4-8B45-AB435AC66FB5}"/>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2 2 2" xfId="15705" xr:uid="{DF51A270-2DD3-4643-AC86-EA29D7640BD5}"/>
    <cellStyle name="Normal 2 4 7 2 2 2 2 3" xfId="24142" xr:uid="{E6D6E97E-F872-46D9-AC0D-255301E21E43}"/>
    <cellStyle name="Normal 2 4 7 2 2 2 3" xfId="11487" xr:uid="{0F6D6FF5-CF0E-4FA5-B9AE-69DB572B7D11}"/>
    <cellStyle name="Normal 2 4 7 2 2 2 4" xfId="19925" xr:uid="{A995E61F-9222-417B-A9A8-AD8F6D8DFD3E}"/>
    <cellStyle name="Normal 2 4 7 2 2 3" xfId="5118" xr:uid="{00000000-0005-0000-0000-0000DA100000}"/>
    <cellStyle name="Normal 2 4 7 2 2 3 2" xfId="13560" xr:uid="{0D008456-7A05-41EB-99F4-7CDFA99C7D6E}"/>
    <cellStyle name="Normal 2 4 7 2 2 3 3" xfId="21997" xr:uid="{DB6FA91F-F625-4DEC-9584-57C4BF1F6E98}"/>
    <cellStyle name="Normal 2 4 7 2 2 4" xfId="9342" xr:uid="{28BA4EA1-3F06-4DA7-A6B1-2D6F3524A67D}"/>
    <cellStyle name="Normal 2 4 7 2 2 5" xfId="17780" xr:uid="{4C5DB969-CED1-4AC1-8010-815584E900B8}"/>
    <cellStyle name="Normal 2 4 7 2 3" xfId="1223" xr:uid="{00000000-0005-0000-0000-0000DB100000}"/>
    <cellStyle name="Normal 2 4 7 2 3 2" xfId="3453" xr:uid="{00000000-0005-0000-0000-0000DC100000}"/>
    <cellStyle name="Normal 2 4 7 2 3 2 2" xfId="7676" xr:uid="{00000000-0005-0000-0000-0000DD100000}"/>
    <cellStyle name="Normal 2 4 7 2 3 2 2 2" xfId="16118" xr:uid="{BDC754B0-F1DB-4301-AED8-DCDAD9184A4C}"/>
    <cellStyle name="Normal 2 4 7 2 3 2 2 3" xfId="24555" xr:uid="{9D247E2B-77CD-4DD1-8523-09B3EB300996}"/>
    <cellStyle name="Normal 2 4 7 2 3 2 3" xfId="11900" xr:uid="{19FCEB74-8ADC-4091-8DB3-31219E1E2F6D}"/>
    <cellStyle name="Normal 2 4 7 2 3 2 4" xfId="20338" xr:uid="{32DBE00E-CB6A-4C24-8653-4E5A96EEA90C}"/>
    <cellStyle name="Normal 2 4 7 2 3 3" xfId="5531" xr:uid="{00000000-0005-0000-0000-0000DE100000}"/>
    <cellStyle name="Normal 2 4 7 2 3 3 2" xfId="13973" xr:uid="{52EFD717-5E8D-4FC3-A69D-1E65A451E1C0}"/>
    <cellStyle name="Normal 2 4 7 2 3 3 3" xfId="22410" xr:uid="{C66792EC-D03B-4FBD-9F42-1F553EDEC896}"/>
    <cellStyle name="Normal 2 4 7 2 3 4" xfId="9755" xr:uid="{482D961A-4F57-49AA-8308-B36DEEB7FAE0}"/>
    <cellStyle name="Normal 2 4 7 2 3 5" xfId="18193" xr:uid="{B6C3A395-DE32-4365-ABA7-14A1B67032A5}"/>
    <cellStyle name="Normal 2 4 7 2 4" xfId="1636" xr:uid="{00000000-0005-0000-0000-0000DF100000}"/>
    <cellStyle name="Normal 2 4 7 2 4 2" xfId="3866" xr:uid="{00000000-0005-0000-0000-0000E0100000}"/>
    <cellStyle name="Normal 2 4 7 2 4 2 2" xfId="8089" xr:uid="{00000000-0005-0000-0000-0000E1100000}"/>
    <cellStyle name="Normal 2 4 7 2 4 2 2 2" xfId="16531" xr:uid="{6CA598CD-742A-4356-BD8B-EA58CC54289A}"/>
    <cellStyle name="Normal 2 4 7 2 4 2 2 3" xfId="24968" xr:uid="{0E950DDF-D727-422D-B167-519F37635331}"/>
    <cellStyle name="Normal 2 4 7 2 4 2 3" xfId="12313" xr:uid="{AEAAACFA-5FB2-4D74-8D41-DEB13BEDB158}"/>
    <cellStyle name="Normal 2 4 7 2 4 2 4" xfId="20751" xr:uid="{94ACBA8E-7D05-4AC5-81DC-C0E2E509CE63}"/>
    <cellStyle name="Normal 2 4 7 2 4 3" xfId="5944" xr:uid="{00000000-0005-0000-0000-0000E2100000}"/>
    <cellStyle name="Normal 2 4 7 2 4 3 2" xfId="14386" xr:uid="{1D61F68F-FFCB-43C2-A501-CB9B90B3DEF4}"/>
    <cellStyle name="Normal 2 4 7 2 4 3 3" xfId="22823" xr:uid="{816FABCB-0C7B-43D7-BDFC-3A0F00B74319}"/>
    <cellStyle name="Normal 2 4 7 2 4 4" xfId="10168" xr:uid="{DF9F6B46-537F-45A9-A786-341358B33D39}"/>
    <cellStyle name="Normal 2 4 7 2 4 5" xfId="18606" xr:uid="{D15E9D97-378D-4F68-80C7-D3BFE226FB55}"/>
    <cellStyle name="Normal 2 4 7 2 5" xfId="2050" xr:uid="{00000000-0005-0000-0000-0000E3100000}"/>
    <cellStyle name="Normal 2 4 7 2 5 2" xfId="4279" xr:uid="{00000000-0005-0000-0000-0000E4100000}"/>
    <cellStyle name="Normal 2 4 7 2 5 2 2" xfId="8502" xr:uid="{00000000-0005-0000-0000-0000E5100000}"/>
    <cellStyle name="Normal 2 4 7 2 5 2 2 2" xfId="16944" xr:uid="{E241E638-B1C9-4F08-91F6-7A710D663AE3}"/>
    <cellStyle name="Normal 2 4 7 2 5 2 2 3" xfId="25381" xr:uid="{19351A21-1917-4D7B-B9A4-43B376CF2C81}"/>
    <cellStyle name="Normal 2 4 7 2 5 2 3" xfId="12726" xr:uid="{E0153F2B-3912-44B8-8B4B-D35C2480F1E0}"/>
    <cellStyle name="Normal 2 4 7 2 5 2 4" xfId="21164" xr:uid="{1BAB724A-CEA2-4ED9-8C73-88013C00A094}"/>
    <cellStyle name="Normal 2 4 7 2 5 3" xfId="6357" xr:uid="{00000000-0005-0000-0000-0000E6100000}"/>
    <cellStyle name="Normal 2 4 7 2 5 3 2" xfId="14799" xr:uid="{0524478A-A7BB-4758-B6E6-2DC7101112CC}"/>
    <cellStyle name="Normal 2 4 7 2 5 3 3" xfId="23236" xr:uid="{3E718409-88EE-4C52-AB57-EC9E17B7C134}"/>
    <cellStyle name="Normal 2 4 7 2 5 4" xfId="10581" xr:uid="{0536259D-F805-4DAA-B425-5E0290BB6931}"/>
    <cellStyle name="Normal 2 4 7 2 5 5" xfId="19019" xr:uid="{400CD492-DBCE-425B-B0D2-585C1B1425C4}"/>
    <cellStyle name="Normal 2 4 7 2 6" xfId="2486" xr:uid="{00000000-0005-0000-0000-0000E7100000}"/>
    <cellStyle name="Normal 2 4 7 2 6 2" xfId="6770" xr:uid="{00000000-0005-0000-0000-0000E8100000}"/>
    <cellStyle name="Normal 2 4 7 2 6 2 2" xfId="15212" xr:uid="{BD31E377-4D7E-4B96-ADB6-92E709746E8F}"/>
    <cellStyle name="Normal 2 4 7 2 6 2 3" xfId="23649" xr:uid="{1AF8AA2E-6867-4676-865A-125278E62FC2}"/>
    <cellStyle name="Normal 2 4 7 2 6 3" xfId="10994" xr:uid="{C95F64C3-83A3-4367-8BD5-2601A0D55EBE}"/>
    <cellStyle name="Normal 2 4 7 2 6 4" xfId="19432" xr:uid="{00659440-E6B2-42EA-BA24-9698B61A8139}"/>
    <cellStyle name="Normal 2 4 7 2 7" xfId="4704" xr:uid="{00000000-0005-0000-0000-0000E9100000}"/>
    <cellStyle name="Normal 2 4 7 2 7 2" xfId="13146" xr:uid="{84B90EF7-C108-4B3F-A516-40EA949C3B40}"/>
    <cellStyle name="Normal 2 4 7 2 7 3" xfId="21583" xr:uid="{07634037-0953-4898-BE19-523FB9ACAF31}"/>
    <cellStyle name="Normal 2 4 7 2 8" xfId="8928" xr:uid="{EA57F34C-9A38-4D65-B8E4-F48939511B91}"/>
    <cellStyle name="Normal 2 4 7 2 9" xfId="17366" xr:uid="{4121551B-855E-496F-9520-1AF89087580D}"/>
    <cellStyle name="Normal 2 4 7 3" xfId="800" xr:uid="{00000000-0005-0000-0000-0000EA100000}"/>
    <cellStyle name="Normal 2 4 7 3 2" xfId="3039" xr:uid="{00000000-0005-0000-0000-0000EB100000}"/>
    <cellStyle name="Normal 2 4 7 3 2 2" xfId="7262" xr:uid="{00000000-0005-0000-0000-0000EC100000}"/>
    <cellStyle name="Normal 2 4 7 3 2 2 2" xfId="15704" xr:uid="{B76F5C47-45F1-4A48-84D3-07A6E4DF9D99}"/>
    <cellStyle name="Normal 2 4 7 3 2 2 3" xfId="24141" xr:uid="{79C8432B-257B-4261-A7BE-B5FA636EF181}"/>
    <cellStyle name="Normal 2 4 7 3 2 3" xfId="11486" xr:uid="{A65585B1-FFBC-4012-B61A-FE9D9EC6F41A}"/>
    <cellStyle name="Normal 2 4 7 3 2 4" xfId="19924" xr:uid="{1AB8DA73-9489-456E-80DA-63146C4E7550}"/>
    <cellStyle name="Normal 2 4 7 3 3" xfId="5117" xr:uid="{00000000-0005-0000-0000-0000ED100000}"/>
    <cellStyle name="Normal 2 4 7 3 3 2" xfId="13559" xr:uid="{45D12516-A870-46A6-BDAF-43C7720636A6}"/>
    <cellStyle name="Normal 2 4 7 3 3 3" xfId="21996" xr:uid="{1E2D7C1A-1948-4D0A-9281-B67CBEB3F55A}"/>
    <cellStyle name="Normal 2 4 7 3 4" xfId="9341" xr:uid="{FE5FD339-635C-40DB-A1F8-F8453D2AEA11}"/>
    <cellStyle name="Normal 2 4 7 3 5" xfId="17779" xr:uid="{2A7275C8-73FB-4780-A565-A4862098D4B5}"/>
    <cellStyle name="Normal 2 4 7 4" xfId="1222" xr:uid="{00000000-0005-0000-0000-0000EE100000}"/>
    <cellStyle name="Normal 2 4 7 4 2" xfId="3452" xr:uid="{00000000-0005-0000-0000-0000EF100000}"/>
    <cellStyle name="Normal 2 4 7 4 2 2" xfId="7675" xr:uid="{00000000-0005-0000-0000-0000F0100000}"/>
    <cellStyle name="Normal 2 4 7 4 2 2 2" xfId="16117" xr:uid="{FFAC7094-300A-455C-9585-BCFD7AC8952A}"/>
    <cellStyle name="Normal 2 4 7 4 2 2 3" xfId="24554" xr:uid="{001F1C08-182A-4376-8522-C8F660F435B3}"/>
    <cellStyle name="Normal 2 4 7 4 2 3" xfId="11899" xr:uid="{74CA64BE-8C9A-493B-BE25-A15BD4DC6D42}"/>
    <cellStyle name="Normal 2 4 7 4 2 4" xfId="20337" xr:uid="{D1D79CD2-B28A-4331-8A33-F13864C73359}"/>
    <cellStyle name="Normal 2 4 7 4 3" xfId="5530" xr:uid="{00000000-0005-0000-0000-0000F1100000}"/>
    <cellStyle name="Normal 2 4 7 4 3 2" xfId="13972" xr:uid="{6A3652C2-DD39-482E-8106-D0206986275B}"/>
    <cellStyle name="Normal 2 4 7 4 3 3" xfId="22409" xr:uid="{9EEBFC0E-A022-4958-AE89-9D49F0C1400D}"/>
    <cellStyle name="Normal 2 4 7 4 4" xfId="9754" xr:uid="{F0B11FEC-DF54-4E7B-BDB9-3FE877D75522}"/>
    <cellStyle name="Normal 2 4 7 4 5" xfId="18192" xr:uid="{AB7285CB-742A-42B9-8C43-731D62BA8864}"/>
    <cellStyle name="Normal 2 4 7 5" xfId="1635" xr:uid="{00000000-0005-0000-0000-0000F2100000}"/>
    <cellStyle name="Normal 2 4 7 5 2" xfId="3865" xr:uid="{00000000-0005-0000-0000-0000F3100000}"/>
    <cellStyle name="Normal 2 4 7 5 2 2" xfId="8088" xr:uid="{00000000-0005-0000-0000-0000F4100000}"/>
    <cellStyle name="Normal 2 4 7 5 2 2 2" xfId="16530" xr:uid="{F3A91C93-8B9B-4702-A22C-775A8C5BA6B5}"/>
    <cellStyle name="Normal 2 4 7 5 2 2 3" xfId="24967" xr:uid="{A98E2468-77A3-4EC2-BB77-AE3AE3FA604B}"/>
    <cellStyle name="Normal 2 4 7 5 2 3" xfId="12312" xr:uid="{960C1C53-576A-4DCE-A8C6-9F5B4A50532F}"/>
    <cellStyle name="Normal 2 4 7 5 2 4" xfId="20750" xr:uid="{159F4326-8B8B-4E86-A118-9DC155D4EF7F}"/>
    <cellStyle name="Normal 2 4 7 5 3" xfId="5943" xr:uid="{00000000-0005-0000-0000-0000F5100000}"/>
    <cellStyle name="Normal 2 4 7 5 3 2" xfId="14385" xr:uid="{540BC978-E9A7-488E-9447-C699E7F64757}"/>
    <cellStyle name="Normal 2 4 7 5 3 3" xfId="22822" xr:uid="{E175D53A-09B4-4D58-A223-49F9F4283DB2}"/>
    <cellStyle name="Normal 2 4 7 5 4" xfId="10167" xr:uid="{FFD2C7FF-E5C4-4A0C-9150-935598199C24}"/>
    <cellStyle name="Normal 2 4 7 5 5" xfId="18605" xr:uid="{FB8BE21C-77F5-48E3-8100-BB9D64A8C8FF}"/>
    <cellStyle name="Normal 2 4 7 6" xfId="2049" xr:uid="{00000000-0005-0000-0000-0000F6100000}"/>
    <cellStyle name="Normal 2 4 7 6 2" xfId="4278" xr:uid="{00000000-0005-0000-0000-0000F7100000}"/>
    <cellStyle name="Normal 2 4 7 6 2 2" xfId="8501" xr:uid="{00000000-0005-0000-0000-0000F8100000}"/>
    <cellStyle name="Normal 2 4 7 6 2 2 2" xfId="16943" xr:uid="{934F933A-68FF-4F93-9634-6819D2561504}"/>
    <cellStyle name="Normal 2 4 7 6 2 2 3" xfId="25380" xr:uid="{CD92F22C-629E-4E62-ABCF-6AEDFB14EE8E}"/>
    <cellStyle name="Normal 2 4 7 6 2 3" xfId="12725" xr:uid="{69C71D29-D30E-4E0F-BA42-79BFEC79EA09}"/>
    <cellStyle name="Normal 2 4 7 6 2 4" xfId="21163" xr:uid="{3633296E-67CC-4798-84F0-2F32E8A97D84}"/>
    <cellStyle name="Normal 2 4 7 6 3" xfId="6356" xr:uid="{00000000-0005-0000-0000-0000F9100000}"/>
    <cellStyle name="Normal 2 4 7 6 3 2" xfId="14798" xr:uid="{414D89F5-0964-4289-9CF7-DB2BF5C2C29B}"/>
    <cellStyle name="Normal 2 4 7 6 3 3" xfId="23235" xr:uid="{F5251323-FBC0-4BDF-9903-74CD42B43AB3}"/>
    <cellStyle name="Normal 2 4 7 6 4" xfId="10580" xr:uid="{3EBE90AB-CB01-4E26-AD24-F960627EBA34}"/>
    <cellStyle name="Normal 2 4 7 6 5" xfId="19018" xr:uid="{F9764733-307C-4168-BD03-06E9EC7184B1}"/>
    <cellStyle name="Normal 2 4 7 7" xfId="2485" xr:uid="{00000000-0005-0000-0000-0000FA100000}"/>
    <cellStyle name="Normal 2 4 7 7 2" xfId="6769" xr:uid="{00000000-0005-0000-0000-0000FB100000}"/>
    <cellStyle name="Normal 2 4 7 7 2 2" xfId="15211" xr:uid="{012DE08A-8479-460C-AAF9-9B9944A6A1E1}"/>
    <cellStyle name="Normal 2 4 7 7 2 3" xfId="23648" xr:uid="{3785B17B-7E48-427D-8C48-156C11FD23F8}"/>
    <cellStyle name="Normal 2 4 7 7 3" xfId="10993" xr:uid="{E69CF258-3087-437F-A1D1-B04CF24E9358}"/>
    <cellStyle name="Normal 2 4 7 7 4" xfId="19431" xr:uid="{F117FE0D-85DD-45A4-BBC5-6955349DF30E}"/>
    <cellStyle name="Normal 2 4 7 8" xfId="4703" xr:uid="{00000000-0005-0000-0000-0000FC100000}"/>
    <cellStyle name="Normal 2 4 7 8 2" xfId="13145" xr:uid="{5D49BCDD-3967-4F19-A7DE-8A8E4F209FFC}"/>
    <cellStyle name="Normal 2 4 7 8 3" xfId="21582" xr:uid="{072DBB90-CEE4-49D9-BFE9-5ACDA14C6BC2}"/>
    <cellStyle name="Normal 2 4 7 9" xfId="8927" xr:uid="{0F4F152E-76B3-420A-9657-8C0CFEBC7FBA}"/>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2 2 2" xfId="15706" xr:uid="{308D3648-3855-4A57-A44C-7ADBD6B9C416}"/>
    <cellStyle name="Normal 2 4 8 2 2 2 3" xfId="24143" xr:uid="{86A4B54E-FEE0-47B8-9254-7AF18852B930}"/>
    <cellStyle name="Normal 2 4 8 2 2 3" xfId="11488" xr:uid="{C93C5B90-6A8F-4472-98BB-1CE4080C7D0B}"/>
    <cellStyle name="Normal 2 4 8 2 2 4" xfId="19926" xr:uid="{95FBF2B4-250B-4988-AA13-5772DE12C4E3}"/>
    <cellStyle name="Normal 2 4 8 2 3" xfId="5119" xr:uid="{00000000-0005-0000-0000-000001110000}"/>
    <cellStyle name="Normal 2 4 8 2 3 2" xfId="13561" xr:uid="{69234954-112B-4A22-98EA-4A6FF4B023AA}"/>
    <cellStyle name="Normal 2 4 8 2 3 3" xfId="21998" xr:uid="{2522FBC7-0C7D-4D8F-8D3E-94029B26E1A4}"/>
    <cellStyle name="Normal 2 4 8 2 4" xfId="9343" xr:uid="{694FF1CF-49F7-4D21-82A1-62ECFDE90E8D}"/>
    <cellStyle name="Normal 2 4 8 2 5" xfId="17781" xr:uid="{38BDD0D5-9FFE-4AAA-BD71-9EDCE6354F5D}"/>
    <cellStyle name="Normal 2 4 8 3" xfId="1224" xr:uid="{00000000-0005-0000-0000-000002110000}"/>
    <cellStyle name="Normal 2 4 8 3 2" xfId="3454" xr:uid="{00000000-0005-0000-0000-000003110000}"/>
    <cellStyle name="Normal 2 4 8 3 2 2" xfId="7677" xr:uid="{00000000-0005-0000-0000-000004110000}"/>
    <cellStyle name="Normal 2 4 8 3 2 2 2" xfId="16119" xr:uid="{A2407D57-A5E8-418D-B27B-5413201AC043}"/>
    <cellStyle name="Normal 2 4 8 3 2 2 3" xfId="24556" xr:uid="{C9863D52-FCC0-4E6E-BDF5-4DE664233C5F}"/>
    <cellStyle name="Normal 2 4 8 3 2 3" xfId="11901" xr:uid="{0B3283EA-AB6C-4E27-A49B-C76CDE3B7E50}"/>
    <cellStyle name="Normal 2 4 8 3 2 4" xfId="20339" xr:uid="{362BF7D8-A722-459B-A7B1-3BBA2AA4E57D}"/>
    <cellStyle name="Normal 2 4 8 3 3" xfId="5532" xr:uid="{00000000-0005-0000-0000-000005110000}"/>
    <cellStyle name="Normal 2 4 8 3 3 2" xfId="13974" xr:uid="{82F83CE2-8B64-4DE8-B20C-C4E6C62B27A4}"/>
    <cellStyle name="Normal 2 4 8 3 3 3" xfId="22411" xr:uid="{F9FD1F0D-BA26-482A-9A5A-097908AD6E01}"/>
    <cellStyle name="Normal 2 4 8 3 4" xfId="9756" xr:uid="{224D853A-983C-4B60-9A75-F8B5AA462E07}"/>
    <cellStyle name="Normal 2 4 8 3 5" xfId="18194" xr:uid="{51E28A4D-6FED-4E42-92D5-E9EEB60AFDFC}"/>
    <cellStyle name="Normal 2 4 8 4" xfId="1637" xr:uid="{00000000-0005-0000-0000-000006110000}"/>
    <cellStyle name="Normal 2 4 8 4 2" xfId="3867" xr:uid="{00000000-0005-0000-0000-000007110000}"/>
    <cellStyle name="Normal 2 4 8 4 2 2" xfId="8090" xr:uid="{00000000-0005-0000-0000-000008110000}"/>
    <cellStyle name="Normal 2 4 8 4 2 2 2" xfId="16532" xr:uid="{DBD5CF41-BF55-43D3-AB8B-DA018BA8111C}"/>
    <cellStyle name="Normal 2 4 8 4 2 2 3" xfId="24969" xr:uid="{0F513E0C-623C-4782-8AD1-DE68BB234D3F}"/>
    <cellStyle name="Normal 2 4 8 4 2 3" xfId="12314" xr:uid="{2F573D11-3681-4B62-BB21-F49C0BDB372F}"/>
    <cellStyle name="Normal 2 4 8 4 2 4" xfId="20752" xr:uid="{78DF9FEF-B00B-4433-8043-97BE96686826}"/>
    <cellStyle name="Normal 2 4 8 4 3" xfId="5945" xr:uid="{00000000-0005-0000-0000-000009110000}"/>
    <cellStyle name="Normal 2 4 8 4 3 2" xfId="14387" xr:uid="{D5BC33EE-2D43-443F-A047-9CB5429D426F}"/>
    <cellStyle name="Normal 2 4 8 4 3 3" xfId="22824" xr:uid="{450E3E66-67AC-447A-8C1C-FA5C914EB459}"/>
    <cellStyle name="Normal 2 4 8 4 4" xfId="10169" xr:uid="{76E7BC18-01ED-4DD3-AEDD-A1C5A52E5C6B}"/>
    <cellStyle name="Normal 2 4 8 4 5" xfId="18607" xr:uid="{4710A96B-F16D-45AA-B2B6-77F79338C576}"/>
    <cellStyle name="Normal 2 4 8 5" xfId="2051" xr:uid="{00000000-0005-0000-0000-00000A110000}"/>
    <cellStyle name="Normal 2 4 8 5 2" xfId="4280" xr:uid="{00000000-0005-0000-0000-00000B110000}"/>
    <cellStyle name="Normal 2 4 8 5 2 2" xfId="8503" xr:uid="{00000000-0005-0000-0000-00000C110000}"/>
    <cellStyle name="Normal 2 4 8 5 2 2 2" xfId="16945" xr:uid="{ED292566-8136-4BF4-9E5F-4AC2406E9B4A}"/>
    <cellStyle name="Normal 2 4 8 5 2 2 3" xfId="25382" xr:uid="{3017947D-62B6-4A9E-B97A-710D1EC79874}"/>
    <cellStyle name="Normal 2 4 8 5 2 3" xfId="12727" xr:uid="{8B6F7E63-C268-484F-9A2D-6BFE91A026D4}"/>
    <cellStyle name="Normal 2 4 8 5 2 4" xfId="21165" xr:uid="{C229A85C-A52C-4D23-9D1C-D1A4928F812C}"/>
    <cellStyle name="Normal 2 4 8 5 3" xfId="6358" xr:uid="{00000000-0005-0000-0000-00000D110000}"/>
    <cellStyle name="Normal 2 4 8 5 3 2" xfId="14800" xr:uid="{C91ECCC3-A027-404D-BB08-BDFB657B9178}"/>
    <cellStyle name="Normal 2 4 8 5 3 3" xfId="23237" xr:uid="{E0B09232-0C92-4318-AB6B-6B2D23D8BCF1}"/>
    <cellStyle name="Normal 2 4 8 5 4" xfId="10582" xr:uid="{960BD999-4B40-44BA-BB5A-632D3D595DDC}"/>
    <cellStyle name="Normal 2 4 8 5 5" xfId="19020" xr:uid="{2F38BA55-6C54-4341-A38A-48CD2D32C1B8}"/>
    <cellStyle name="Normal 2 4 8 6" xfId="2487" xr:uid="{00000000-0005-0000-0000-00000E110000}"/>
    <cellStyle name="Normal 2 4 8 6 2" xfId="6771" xr:uid="{00000000-0005-0000-0000-00000F110000}"/>
    <cellStyle name="Normal 2 4 8 6 2 2" xfId="15213" xr:uid="{B595FF47-0233-4AE7-AE75-7F329C8F7BDD}"/>
    <cellStyle name="Normal 2 4 8 6 2 3" xfId="23650" xr:uid="{FAEAD056-B801-479A-8636-884E7F55A405}"/>
    <cellStyle name="Normal 2 4 8 6 3" xfId="10995" xr:uid="{DC2C8887-0030-4FDB-802A-179E1573B256}"/>
    <cellStyle name="Normal 2 4 8 6 4" xfId="19433" xr:uid="{FC9DCFFE-7677-48E1-A15C-6F56AFC2504C}"/>
    <cellStyle name="Normal 2 4 8 7" xfId="4705" xr:uid="{00000000-0005-0000-0000-000010110000}"/>
    <cellStyle name="Normal 2 4 8 7 2" xfId="13147" xr:uid="{7F587FA8-575F-448A-900B-0E1DE2D2483D}"/>
    <cellStyle name="Normal 2 4 8 7 3" xfId="21584" xr:uid="{8C8F96ED-D175-4B72-BAAC-064B283D741C}"/>
    <cellStyle name="Normal 2 4 8 8" xfId="8929" xr:uid="{82597021-3C00-4E40-B8A0-BB1A242718B9}"/>
    <cellStyle name="Normal 2 4 8 9" xfId="17367" xr:uid="{A380E9B5-1AA4-47A9-BE3B-B1A395BCEF85}"/>
    <cellStyle name="Normal 2 5" xfId="315" xr:uid="{00000000-0005-0000-0000-000011110000}"/>
    <cellStyle name="Normal 2 5 10" xfId="4706" xr:uid="{00000000-0005-0000-0000-000012110000}"/>
    <cellStyle name="Normal 2 5 10 2" xfId="13148" xr:uid="{6C1924C3-050B-40E1-8553-02C7B73C56FF}"/>
    <cellStyle name="Normal 2 5 10 3" xfId="21585" xr:uid="{7A51B8C2-B4E4-40ED-ACBA-863EBDAFAE93}"/>
    <cellStyle name="Normal 2 5 11" xfId="8930" xr:uid="{F61E8E8D-74DE-4C87-8F15-6240BABDC784}"/>
    <cellStyle name="Normal 2 5 12" xfId="17368" xr:uid="{BA4AB9D0-C456-47D3-8C6C-7E99B317EF01}"/>
    <cellStyle name="Normal 2 5 2" xfId="316" xr:uid="{00000000-0005-0000-0000-000013110000}"/>
    <cellStyle name="Normal 2 5 3" xfId="317" xr:uid="{00000000-0005-0000-0000-000014110000}"/>
    <cellStyle name="Normal 2 5 4" xfId="318" xr:uid="{00000000-0005-0000-0000-000015110000}"/>
    <cellStyle name="Normal 2 5 4 10" xfId="8931" xr:uid="{622C7A5B-54B2-452F-A6EF-AD99735506AB}"/>
    <cellStyle name="Normal 2 5 4 11" xfId="17369" xr:uid="{5AACC19E-07A9-419C-9B70-250415DFF594}"/>
    <cellStyle name="Normal 2 5 4 2" xfId="319" xr:uid="{00000000-0005-0000-0000-000016110000}"/>
    <cellStyle name="Normal 2 5 4 2 10" xfId="17370" xr:uid="{CD0AAB2A-73DB-4F92-B525-49E89F8D3089}"/>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2 2 2" xfId="15710" xr:uid="{38334A77-4A04-4F8D-993C-8AA5520A14B6}"/>
    <cellStyle name="Normal 2 5 4 2 2 2 2 2 3" xfId="24147" xr:uid="{F7B07A53-BADE-4802-896E-139D45FD72E5}"/>
    <cellStyle name="Normal 2 5 4 2 2 2 2 3" xfId="11492" xr:uid="{F8BA8E5A-9356-433A-9BE8-DBA41BC581EE}"/>
    <cellStyle name="Normal 2 5 4 2 2 2 2 4" xfId="19930" xr:uid="{5A7B67D0-CCCB-4CE6-AC07-B024D44F8422}"/>
    <cellStyle name="Normal 2 5 4 2 2 2 3" xfId="5123" xr:uid="{00000000-0005-0000-0000-00001B110000}"/>
    <cellStyle name="Normal 2 5 4 2 2 2 3 2" xfId="13565" xr:uid="{FB1D08A9-C181-4CA6-A45A-9FCD8284A12B}"/>
    <cellStyle name="Normal 2 5 4 2 2 2 3 3" xfId="22002" xr:uid="{FAFA8B4D-FE39-4A91-866A-CA3973CB43A1}"/>
    <cellStyle name="Normal 2 5 4 2 2 2 4" xfId="9347" xr:uid="{F4DDAA06-E82E-4662-832C-60EBA28FC0D1}"/>
    <cellStyle name="Normal 2 5 4 2 2 2 5" xfId="17785" xr:uid="{D0E748A6-D988-4DE9-BD17-4D1D3568D769}"/>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2 2 2" xfId="16123" xr:uid="{1C06C2B0-4A04-4099-871B-09CFE21CE375}"/>
    <cellStyle name="Normal 2 5 4 2 2 3 2 2 3" xfId="24560" xr:uid="{873A4499-3847-48E2-88A6-167A46DFB528}"/>
    <cellStyle name="Normal 2 5 4 2 2 3 2 3" xfId="11905" xr:uid="{D5C87BA5-B9A7-4FA4-BB00-C85B381F21DA}"/>
    <cellStyle name="Normal 2 5 4 2 2 3 2 4" xfId="20343" xr:uid="{A11D2D9B-CCD2-49D6-BD91-DD0F2FDC62C9}"/>
    <cellStyle name="Normal 2 5 4 2 2 3 3" xfId="5536" xr:uid="{00000000-0005-0000-0000-00001F110000}"/>
    <cellStyle name="Normal 2 5 4 2 2 3 3 2" xfId="13978" xr:uid="{71B8F1D3-D77D-4E23-9C2F-F47CD9F6ABAC}"/>
    <cellStyle name="Normal 2 5 4 2 2 3 3 3" xfId="22415" xr:uid="{5FA9FD2D-3C80-4E03-BCA5-0823C046BDD6}"/>
    <cellStyle name="Normal 2 5 4 2 2 3 4" xfId="9760" xr:uid="{F1D00E91-8345-4D6B-9A35-1FEEE4B6CEE8}"/>
    <cellStyle name="Normal 2 5 4 2 2 3 5" xfId="18198" xr:uid="{E6E58B3E-C32E-497F-B3A2-7A640E205529}"/>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2 2 2" xfId="16536" xr:uid="{DCCA547A-EB20-4A39-A447-93F7EB96EA42}"/>
    <cellStyle name="Normal 2 5 4 2 2 4 2 2 3" xfId="24973" xr:uid="{64CFAA46-CD79-4C4A-B11D-5E0A9749722F}"/>
    <cellStyle name="Normal 2 5 4 2 2 4 2 3" xfId="12318" xr:uid="{49D3F2B0-B877-40D6-B15B-DCEF6FC04365}"/>
    <cellStyle name="Normal 2 5 4 2 2 4 2 4" xfId="20756" xr:uid="{125DD47D-DE39-4B5D-B109-E40F0E4AC9D1}"/>
    <cellStyle name="Normal 2 5 4 2 2 4 3" xfId="5949" xr:uid="{00000000-0005-0000-0000-000023110000}"/>
    <cellStyle name="Normal 2 5 4 2 2 4 3 2" xfId="14391" xr:uid="{D47786C3-2A8B-4759-846E-6AD9074202C7}"/>
    <cellStyle name="Normal 2 5 4 2 2 4 3 3" xfId="22828" xr:uid="{83B5B000-4754-4478-BB8B-303F9DEA6443}"/>
    <cellStyle name="Normal 2 5 4 2 2 4 4" xfId="10173" xr:uid="{DB700911-5841-4FEA-9F12-869CB3C6F37A}"/>
    <cellStyle name="Normal 2 5 4 2 2 4 5" xfId="18611" xr:uid="{CD4007E4-0D25-45AC-819C-7448D58E562C}"/>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2 2 2" xfId="16949" xr:uid="{4D2BF947-3CC1-4229-BF78-80F724A82E8C}"/>
    <cellStyle name="Normal 2 5 4 2 2 5 2 2 3" xfId="25386" xr:uid="{9BA943D5-57C0-4D25-B463-13FCD60A5C17}"/>
    <cellStyle name="Normal 2 5 4 2 2 5 2 3" xfId="12731" xr:uid="{0BFE9EFF-0644-4653-8C2F-03076F316A92}"/>
    <cellStyle name="Normal 2 5 4 2 2 5 2 4" xfId="21169" xr:uid="{1B703228-740A-4598-912B-9AD74AF9E72B}"/>
    <cellStyle name="Normal 2 5 4 2 2 5 3" xfId="6362" xr:uid="{00000000-0005-0000-0000-000027110000}"/>
    <cellStyle name="Normal 2 5 4 2 2 5 3 2" xfId="14804" xr:uid="{21F6D297-B4BC-431F-846B-FF726388C1A4}"/>
    <cellStyle name="Normal 2 5 4 2 2 5 3 3" xfId="23241" xr:uid="{CF7A3037-D1D9-4910-B0C4-0E5514F68F10}"/>
    <cellStyle name="Normal 2 5 4 2 2 5 4" xfId="10586" xr:uid="{9C6AAC72-E572-4BF6-B171-4126FAA52F02}"/>
    <cellStyle name="Normal 2 5 4 2 2 5 5" xfId="19024" xr:uid="{156B51CD-CEA1-4B98-A92B-205FC24BBBF1}"/>
    <cellStyle name="Normal 2 5 4 2 2 6" xfId="2491" xr:uid="{00000000-0005-0000-0000-000028110000}"/>
    <cellStyle name="Normal 2 5 4 2 2 6 2" xfId="6775" xr:uid="{00000000-0005-0000-0000-000029110000}"/>
    <cellStyle name="Normal 2 5 4 2 2 6 2 2" xfId="15217" xr:uid="{AEAE2B80-A61B-40D7-BDA7-9C681659B79C}"/>
    <cellStyle name="Normal 2 5 4 2 2 6 2 3" xfId="23654" xr:uid="{4CFE575F-2077-49C7-876E-8DB64E5765D6}"/>
    <cellStyle name="Normal 2 5 4 2 2 6 3" xfId="10999" xr:uid="{CFA59D82-F385-43F4-BAE3-E556227118F9}"/>
    <cellStyle name="Normal 2 5 4 2 2 6 4" xfId="19437" xr:uid="{556D2FF6-E1C9-481A-9D0E-7BA9D1E10F4D}"/>
    <cellStyle name="Normal 2 5 4 2 2 7" xfId="4709" xr:uid="{00000000-0005-0000-0000-00002A110000}"/>
    <cellStyle name="Normal 2 5 4 2 2 7 2" xfId="13151" xr:uid="{65C9DFC8-E84E-485F-8897-DEC084848FEE}"/>
    <cellStyle name="Normal 2 5 4 2 2 7 3" xfId="21588" xr:uid="{ED88ADF3-F944-4CB0-A61D-2FA97C944EC6}"/>
    <cellStyle name="Normal 2 5 4 2 2 8" xfId="8933" xr:uid="{6FE081DC-B077-481C-AFCF-66516C29F47B}"/>
    <cellStyle name="Normal 2 5 4 2 2 9" xfId="17371" xr:uid="{FD113936-AF39-4117-AA84-11A9AFE6F574}"/>
    <cellStyle name="Normal 2 5 4 2 3" xfId="805" xr:uid="{00000000-0005-0000-0000-00002B110000}"/>
    <cellStyle name="Normal 2 5 4 2 3 2" xfId="3044" xr:uid="{00000000-0005-0000-0000-00002C110000}"/>
    <cellStyle name="Normal 2 5 4 2 3 2 2" xfId="7267" xr:uid="{00000000-0005-0000-0000-00002D110000}"/>
    <cellStyle name="Normal 2 5 4 2 3 2 2 2" xfId="15709" xr:uid="{7E307091-4E2C-4F6E-B476-3C9AB9568AF0}"/>
    <cellStyle name="Normal 2 5 4 2 3 2 2 3" xfId="24146" xr:uid="{4470E838-D415-44C2-A466-38DB1AA92B74}"/>
    <cellStyle name="Normal 2 5 4 2 3 2 3" xfId="11491" xr:uid="{F8B6D6A9-9229-4A27-A030-216DB0F9485A}"/>
    <cellStyle name="Normal 2 5 4 2 3 2 4" xfId="19929" xr:uid="{6AC96BBD-C4E8-41DD-B7C2-DADF1668169A}"/>
    <cellStyle name="Normal 2 5 4 2 3 3" xfId="5122" xr:uid="{00000000-0005-0000-0000-00002E110000}"/>
    <cellStyle name="Normal 2 5 4 2 3 3 2" xfId="13564" xr:uid="{95F5CE72-4684-468E-9A85-78A10A93620D}"/>
    <cellStyle name="Normal 2 5 4 2 3 3 3" xfId="22001" xr:uid="{CC8A7C98-C7E0-4FAC-BD64-34995E2B215C}"/>
    <cellStyle name="Normal 2 5 4 2 3 4" xfId="9346" xr:uid="{05C23A65-6E2C-4F2E-98E5-BEBF6EE62C7B}"/>
    <cellStyle name="Normal 2 5 4 2 3 5" xfId="17784" xr:uid="{6D6CC043-0688-411E-954F-8706A9B6EDB9}"/>
    <cellStyle name="Normal 2 5 4 2 4" xfId="1227" xr:uid="{00000000-0005-0000-0000-00002F110000}"/>
    <cellStyle name="Normal 2 5 4 2 4 2" xfId="3457" xr:uid="{00000000-0005-0000-0000-000030110000}"/>
    <cellStyle name="Normal 2 5 4 2 4 2 2" xfId="7680" xr:uid="{00000000-0005-0000-0000-000031110000}"/>
    <cellStyle name="Normal 2 5 4 2 4 2 2 2" xfId="16122" xr:uid="{49028840-994E-4406-97D3-5EBF9A497F8A}"/>
    <cellStyle name="Normal 2 5 4 2 4 2 2 3" xfId="24559" xr:uid="{91C6F221-B463-4C6A-87BF-A06DACB9544C}"/>
    <cellStyle name="Normal 2 5 4 2 4 2 3" xfId="11904" xr:uid="{26D6F85D-0E6D-42AD-9F92-FDCD4BEBD132}"/>
    <cellStyle name="Normal 2 5 4 2 4 2 4" xfId="20342" xr:uid="{7079E439-E44D-4D67-8E55-2F86D8866EA9}"/>
    <cellStyle name="Normal 2 5 4 2 4 3" xfId="5535" xr:uid="{00000000-0005-0000-0000-000032110000}"/>
    <cellStyle name="Normal 2 5 4 2 4 3 2" xfId="13977" xr:uid="{D213F5F8-B3CB-4BB6-955A-1C22F24DE3F3}"/>
    <cellStyle name="Normal 2 5 4 2 4 3 3" xfId="22414" xr:uid="{8F253523-0A9B-4C52-AC34-E0B5D239F807}"/>
    <cellStyle name="Normal 2 5 4 2 4 4" xfId="9759" xr:uid="{CA7E6AC7-5CF3-47F7-95B2-2617DB576F19}"/>
    <cellStyle name="Normal 2 5 4 2 4 5" xfId="18197" xr:uid="{3B09C9A7-B3D4-46FC-A446-BC5DDDCF50D1}"/>
    <cellStyle name="Normal 2 5 4 2 5" xfId="1640" xr:uid="{00000000-0005-0000-0000-000033110000}"/>
    <cellStyle name="Normal 2 5 4 2 5 2" xfId="3870" xr:uid="{00000000-0005-0000-0000-000034110000}"/>
    <cellStyle name="Normal 2 5 4 2 5 2 2" xfId="8093" xr:uid="{00000000-0005-0000-0000-000035110000}"/>
    <cellStyle name="Normal 2 5 4 2 5 2 2 2" xfId="16535" xr:uid="{D8F25D09-F68A-47FF-9C72-409F71D511B3}"/>
    <cellStyle name="Normal 2 5 4 2 5 2 2 3" xfId="24972" xr:uid="{6A9917AE-9D3D-41D6-B86C-417BB20F0D1A}"/>
    <cellStyle name="Normal 2 5 4 2 5 2 3" xfId="12317" xr:uid="{1AEC38F2-64F1-4463-A333-052B2390B411}"/>
    <cellStyle name="Normal 2 5 4 2 5 2 4" xfId="20755" xr:uid="{7061DCC4-A0FF-4244-AED4-F6E736AE34C2}"/>
    <cellStyle name="Normal 2 5 4 2 5 3" xfId="5948" xr:uid="{00000000-0005-0000-0000-000036110000}"/>
    <cellStyle name="Normal 2 5 4 2 5 3 2" xfId="14390" xr:uid="{915B94FC-73B1-4E14-B730-63A42EA23050}"/>
    <cellStyle name="Normal 2 5 4 2 5 3 3" xfId="22827" xr:uid="{119DDC9F-FEE8-42D5-BA95-61FDD5C98D96}"/>
    <cellStyle name="Normal 2 5 4 2 5 4" xfId="10172" xr:uid="{56FE5055-8341-4BF9-A803-DD5C22C34600}"/>
    <cellStyle name="Normal 2 5 4 2 5 5" xfId="18610" xr:uid="{24728153-ACBB-4285-8801-2D36AD4C728D}"/>
    <cellStyle name="Normal 2 5 4 2 6" xfId="2054" xr:uid="{00000000-0005-0000-0000-000037110000}"/>
    <cellStyle name="Normal 2 5 4 2 6 2" xfId="4283" xr:uid="{00000000-0005-0000-0000-000038110000}"/>
    <cellStyle name="Normal 2 5 4 2 6 2 2" xfId="8506" xr:uid="{00000000-0005-0000-0000-000039110000}"/>
    <cellStyle name="Normal 2 5 4 2 6 2 2 2" xfId="16948" xr:uid="{53247FA0-9637-4195-9193-F70EE7458352}"/>
    <cellStyle name="Normal 2 5 4 2 6 2 2 3" xfId="25385" xr:uid="{ED623480-109D-453C-AC44-E018B59E7323}"/>
    <cellStyle name="Normal 2 5 4 2 6 2 3" xfId="12730" xr:uid="{D4A5ABC5-F199-4280-BE01-F0C6862EF81D}"/>
    <cellStyle name="Normal 2 5 4 2 6 2 4" xfId="21168" xr:uid="{F7F095F8-0535-4E60-ACB0-AD1BE2CA2A31}"/>
    <cellStyle name="Normal 2 5 4 2 6 3" xfId="6361" xr:uid="{00000000-0005-0000-0000-00003A110000}"/>
    <cellStyle name="Normal 2 5 4 2 6 3 2" xfId="14803" xr:uid="{87620C15-0266-43B4-AB1A-7444B1DB1724}"/>
    <cellStyle name="Normal 2 5 4 2 6 3 3" xfId="23240" xr:uid="{15F70EE0-2F14-4D9D-A4BB-82131751580C}"/>
    <cellStyle name="Normal 2 5 4 2 6 4" xfId="10585" xr:uid="{E8F77D71-34B6-4DB1-A304-EA0622FB6AA5}"/>
    <cellStyle name="Normal 2 5 4 2 6 5" xfId="19023" xr:uid="{1BD5FA78-93BF-4E99-B35F-0C6450D5F832}"/>
    <cellStyle name="Normal 2 5 4 2 7" xfId="2490" xr:uid="{00000000-0005-0000-0000-00003B110000}"/>
    <cellStyle name="Normal 2 5 4 2 7 2" xfId="6774" xr:uid="{00000000-0005-0000-0000-00003C110000}"/>
    <cellStyle name="Normal 2 5 4 2 7 2 2" xfId="15216" xr:uid="{47535620-75AD-4304-A69F-E80356ADC32F}"/>
    <cellStyle name="Normal 2 5 4 2 7 2 3" xfId="23653" xr:uid="{A2562322-AAC5-435E-8F63-8F7B95FEA51A}"/>
    <cellStyle name="Normal 2 5 4 2 7 3" xfId="10998" xr:uid="{0FC99306-DB58-46CF-B460-5F70682FA8D1}"/>
    <cellStyle name="Normal 2 5 4 2 7 4" xfId="19436" xr:uid="{AD58FE69-314F-470F-81A9-E07B64C073C8}"/>
    <cellStyle name="Normal 2 5 4 2 8" xfId="4708" xr:uid="{00000000-0005-0000-0000-00003D110000}"/>
    <cellStyle name="Normal 2 5 4 2 8 2" xfId="13150" xr:uid="{041083BD-DEA0-445D-BBB4-3D65AD546927}"/>
    <cellStyle name="Normal 2 5 4 2 8 3" xfId="21587" xr:uid="{6AD3AA47-377E-4C5E-88DF-432985973B60}"/>
    <cellStyle name="Normal 2 5 4 2 9" xfId="8932" xr:uid="{07CFBC8E-7C96-4690-BDEF-2EBCD55B9D24}"/>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2 2 2" xfId="15711" xr:uid="{2ACD9942-0A25-47FA-9242-A2C141906FB4}"/>
    <cellStyle name="Normal 2 5 4 3 2 2 2 3" xfId="24148" xr:uid="{A3995BE7-2279-4841-A861-8C24175A9054}"/>
    <cellStyle name="Normal 2 5 4 3 2 2 3" xfId="11493" xr:uid="{DE2ADFD3-12D7-4E54-A5E7-7C20DA185673}"/>
    <cellStyle name="Normal 2 5 4 3 2 2 4" xfId="19931" xr:uid="{AEC0D2CB-316A-4D13-9ADA-ADAAC5B3F153}"/>
    <cellStyle name="Normal 2 5 4 3 2 3" xfId="5124" xr:uid="{00000000-0005-0000-0000-000042110000}"/>
    <cellStyle name="Normal 2 5 4 3 2 3 2" xfId="13566" xr:uid="{7980F93B-A5E8-4CF6-8F55-2CDA44F9888D}"/>
    <cellStyle name="Normal 2 5 4 3 2 3 3" xfId="22003" xr:uid="{0FC87074-8306-4867-A724-4077A9767636}"/>
    <cellStyle name="Normal 2 5 4 3 2 4" xfId="9348" xr:uid="{9CEB5DB3-FEC7-4B96-95A1-819BF44402FF}"/>
    <cellStyle name="Normal 2 5 4 3 2 5" xfId="17786" xr:uid="{1845052D-ABB0-4432-AD25-AB8C70084D53}"/>
    <cellStyle name="Normal 2 5 4 3 3" xfId="1229" xr:uid="{00000000-0005-0000-0000-000043110000}"/>
    <cellStyle name="Normal 2 5 4 3 3 2" xfId="3459" xr:uid="{00000000-0005-0000-0000-000044110000}"/>
    <cellStyle name="Normal 2 5 4 3 3 2 2" xfId="7682" xr:uid="{00000000-0005-0000-0000-000045110000}"/>
    <cellStyle name="Normal 2 5 4 3 3 2 2 2" xfId="16124" xr:uid="{31A057ED-3948-41C8-BE82-518218EB662F}"/>
    <cellStyle name="Normal 2 5 4 3 3 2 2 3" xfId="24561" xr:uid="{5DB3668C-8580-44B2-874E-C788812C2284}"/>
    <cellStyle name="Normal 2 5 4 3 3 2 3" xfId="11906" xr:uid="{9E7F3331-F98C-43AB-9BE8-A096E6C206E8}"/>
    <cellStyle name="Normal 2 5 4 3 3 2 4" xfId="20344" xr:uid="{3141DB2E-6D7D-4056-8522-0ABCC19A9D85}"/>
    <cellStyle name="Normal 2 5 4 3 3 3" xfId="5537" xr:uid="{00000000-0005-0000-0000-000046110000}"/>
    <cellStyle name="Normal 2 5 4 3 3 3 2" xfId="13979" xr:uid="{B3B955BD-DD00-4CD5-924B-B348492D4556}"/>
    <cellStyle name="Normal 2 5 4 3 3 3 3" xfId="22416" xr:uid="{DF8B6D3F-C131-421D-93A0-76F24E4C489A}"/>
    <cellStyle name="Normal 2 5 4 3 3 4" xfId="9761" xr:uid="{4B9FE5AD-AB7A-4EF9-8310-D2B5075DA847}"/>
    <cellStyle name="Normal 2 5 4 3 3 5" xfId="18199" xr:uid="{782F086C-0988-4657-82D6-BE2990696067}"/>
    <cellStyle name="Normal 2 5 4 3 4" xfId="1642" xr:uid="{00000000-0005-0000-0000-000047110000}"/>
    <cellStyle name="Normal 2 5 4 3 4 2" xfId="3872" xr:uid="{00000000-0005-0000-0000-000048110000}"/>
    <cellStyle name="Normal 2 5 4 3 4 2 2" xfId="8095" xr:uid="{00000000-0005-0000-0000-000049110000}"/>
    <cellStyle name="Normal 2 5 4 3 4 2 2 2" xfId="16537" xr:uid="{83689999-12E0-4DE4-981E-390B84CF6888}"/>
    <cellStyle name="Normal 2 5 4 3 4 2 2 3" xfId="24974" xr:uid="{ACB2C948-7274-4713-B2DB-6C9E6C2502DA}"/>
    <cellStyle name="Normal 2 5 4 3 4 2 3" xfId="12319" xr:uid="{F1E9DA1C-8BCC-440F-B852-622C9A961C64}"/>
    <cellStyle name="Normal 2 5 4 3 4 2 4" xfId="20757" xr:uid="{E0A3AAC8-66F2-4707-A0D9-DBF29DE7E83F}"/>
    <cellStyle name="Normal 2 5 4 3 4 3" xfId="5950" xr:uid="{00000000-0005-0000-0000-00004A110000}"/>
    <cellStyle name="Normal 2 5 4 3 4 3 2" xfId="14392" xr:uid="{D221B2FD-99CE-4336-904C-27479466D0DE}"/>
    <cellStyle name="Normal 2 5 4 3 4 3 3" xfId="22829" xr:uid="{AE821AC8-2455-40CB-A041-67DA15FC6AED}"/>
    <cellStyle name="Normal 2 5 4 3 4 4" xfId="10174" xr:uid="{41866E38-44D1-4907-9ADB-A7F1BAC886B1}"/>
    <cellStyle name="Normal 2 5 4 3 4 5" xfId="18612" xr:uid="{8A2BA527-A19D-4270-9654-8F6E345E4F06}"/>
    <cellStyle name="Normal 2 5 4 3 5" xfId="2056" xr:uid="{00000000-0005-0000-0000-00004B110000}"/>
    <cellStyle name="Normal 2 5 4 3 5 2" xfId="4285" xr:uid="{00000000-0005-0000-0000-00004C110000}"/>
    <cellStyle name="Normal 2 5 4 3 5 2 2" xfId="8508" xr:uid="{00000000-0005-0000-0000-00004D110000}"/>
    <cellStyle name="Normal 2 5 4 3 5 2 2 2" xfId="16950" xr:uid="{0383C005-5533-40C4-BFF0-C5AA3AA555B1}"/>
    <cellStyle name="Normal 2 5 4 3 5 2 2 3" xfId="25387" xr:uid="{B0C6AB87-52A8-4557-90E0-3D4BEF02F64B}"/>
    <cellStyle name="Normal 2 5 4 3 5 2 3" xfId="12732" xr:uid="{BF2078F8-EAA4-402A-9A34-1476ABDF0B80}"/>
    <cellStyle name="Normal 2 5 4 3 5 2 4" xfId="21170" xr:uid="{CE08AFBF-196D-4DDB-83C0-613071DD4E10}"/>
    <cellStyle name="Normal 2 5 4 3 5 3" xfId="6363" xr:uid="{00000000-0005-0000-0000-00004E110000}"/>
    <cellStyle name="Normal 2 5 4 3 5 3 2" xfId="14805" xr:uid="{C5F30622-6577-46F6-A345-B3EF6321EC23}"/>
    <cellStyle name="Normal 2 5 4 3 5 3 3" xfId="23242" xr:uid="{8CAC8E54-71FB-48AE-B300-CFB677AE96E2}"/>
    <cellStyle name="Normal 2 5 4 3 5 4" xfId="10587" xr:uid="{87CF635C-CB02-4478-9121-B475CAAEF610}"/>
    <cellStyle name="Normal 2 5 4 3 5 5" xfId="19025" xr:uid="{A17E46ED-2406-4113-A42D-F0608FF47BAD}"/>
    <cellStyle name="Normal 2 5 4 3 6" xfId="2492" xr:uid="{00000000-0005-0000-0000-00004F110000}"/>
    <cellStyle name="Normal 2 5 4 3 6 2" xfId="6776" xr:uid="{00000000-0005-0000-0000-000050110000}"/>
    <cellStyle name="Normal 2 5 4 3 6 2 2" xfId="15218" xr:uid="{F9D1DDF5-5939-48F0-BF0E-0A18227DFCBA}"/>
    <cellStyle name="Normal 2 5 4 3 6 2 3" xfId="23655" xr:uid="{6F5CDA4A-CBFF-49AD-952D-4293F3128332}"/>
    <cellStyle name="Normal 2 5 4 3 6 3" xfId="11000" xr:uid="{CE8CE866-D248-4ED5-89CD-95B14F49B518}"/>
    <cellStyle name="Normal 2 5 4 3 6 4" xfId="19438" xr:uid="{190F58F4-DB43-4746-9639-630182165CF8}"/>
    <cellStyle name="Normal 2 5 4 3 7" xfId="4710" xr:uid="{00000000-0005-0000-0000-000051110000}"/>
    <cellStyle name="Normal 2 5 4 3 7 2" xfId="13152" xr:uid="{BFA6C2B1-C0B1-4D5F-BB86-F2AB90475829}"/>
    <cellStyle name="Normal 2 5 4 3 7 3" xfId="21589" xr:uid="{2CBA1A8A-1735-4D13-9DF3-BAB5C8D26772}"/>
    <cellStyle name="Normal 2 5 4 3 8" xfId="8934" xr:uid="{9D57F68A-F1B4-4B82-844D-56F04247B512}"/>
    <cellStyle name="Normal 2 5 4 3 9" xfId="17372" xr:uid="{55413614-9AB8-4343-AC68-1D450DB15D21}"/>
    <cellStyle name="Normal 2 5 4 4" xfId="804" xr:uid="{00000000-0005-0000-0000-000052110000}"/>
    <cellStyle name="Normal 2 5 4 4 2" xfId="3043" xr:uid="{00000000-0005-0000-0000-000053110000}"/>
    <cellStyle name="Normal 2 5 4 4 2 2" xfId="7266" xr:uid="{00000000-0005-0000-0000-000054110000}"/>
    <cellStyle name="Normal 2 5 4 4 2 2 2" xfId="15708" xr:uid="{6F312946-C6C5-4B37-A439-638941E1935F}"/>
    <cellStyle name="Normal 2 5 4 4 2 2 3" xfId="24145" xr:uid="{184B6506-BDB0-4DD3-8557-65EFD30C46B3}"/>
    <cellStyle name="Normal 2 5 4 4 2 3" xfId="11490" xr:uid="{E3481C12-0FF6-49B3-935C-40BE99DD6AB3}"/>
    <cellStyle name="Normal 2 5 4 4 2 4" xfId="19928" xr:uid="{B7CD3118-DE1B-46D8-B855-6CEE9D969F59}"/>
    <cellStyle name="Normal 2 5 4 4 3" xfId="5121" xr:uid="{00000000-0005-0000-0000-000055110000}"/>
    <cellStyle name="Normal 2 5 4 4 3 2" xfId="13563" xr:uid="{66B7DCD1-0304-4DF1-B2C0-308B34CB8394}"/>
    <cellStyle name="Normal 2 5 4 4 3 3" xfId="22000" xr:uid="{64A7BD67-E1E9-4EB8-93D2-F1AB7E495E17}"/>
    <cellStyle name="Normal 2 5 4 4 4" xfId="9345" xr:uid="{618AF7D8-A714-476A-B152-A29239CD48DE}"/>
    <cellStyle name="Normal 2 5 4 4 5" xfId="17783" xr:uid="{B22DB283-D29D-4891-9848-B6DE80909260}"/>
    <cellStyle name="Normal 2 5 4 5" xfId="1226" xr:uid="{00000000-0005-0000-0000-000056110000}"/>
    <cellStyle name="Normal 2 5 4 5 2" xfId="3456" xr:uid="{00000000-0005-0000-0000-000057110000}"/>
    <cellStyle name="Normal 2 5 4 5 2 2" xfId="7679" xr:uid="{00000000-0005-0000-0000-000058110000}"/>
    <cellStyle name="Normal 2 5 4 5 2 2 2" xfId="16121" xr:uid="{B64A3C5E-833F-4C69-84A2-4A421A98A0FF}"/>
    <cellStyle name="Normal 2 5 4 5 2 2 3" xfId="24558" xr:uid="{EFE83D95-E8EF-43B8-B632-1BE85BFB99FA}"/>
    <cellStyle name="Normal 2 5 4 5 2 3" xfId="11903" xr:uid="{3AE40E54-0BAC-4424-B35E-7FBF62C9D64B}"/>
    <cellStyle name="Normal 2 5 4 5 2 4" xfId="20341" xr:uid="{7402C6EB-84AB-4210-A68F-A012B7EE2ACA}"/>
    <cellStyle name="Normal 2 5 4 5 3" xfId="5534" xr:uid="{00000000-0005-0000-0000-000059110000}"/>
    <cellStyle name="Normal 2 5 4 5 3 2" xfId="13976" xr:uid="{7827A881-AB70-4624-8D23-C086B69E031A}"/>
    <cellStyle name="Normal 2 5 4 5 3 3" xfId="22413" xr:uid="{2C911647-465A-4A30-AC75-562067BD96F4}"/>
    <cellStyle name="Normal 2 5 4 5 4" xfId="9758" xr:uid="{08514AFC-235E-4470-9DD5-E4D09A729EF3}"/>
    <cellStyle name="Normal 2 5 4 5 5" xfId="18196" xr:uid="{E12A6FE6-FF31-4C48-B9D5-C0A8F2865144}"/>
    <cellStyle name="Normal 2 5 4 6" xfId="1639" xr:uid="{00000000-0005-0000-0000-00005A110000}"/>
    <cellStyle name="Normal 2 5 4 6 2" xfId="3869" xr:uid="{00000000-0005-0000-0000-00005B110000}"/>
    <cellStyle name="Normal 2 5 4 6 2 2" xfId="8092" xr:uid="{00000000-0005-0000-0000-00005C110000}"/>
    <cellStyle name="Normal 2 5 4 6 2 2 2" xfId="16534" xr:uid="{B6173B8D-8458-4852-BC51-3A5BA50C63B3}"/>
    <cellStyle name="Normal 2 5 4 6 2 2 3" xfId="24971" xr:uid="{422D0A88-D718-47BC-81A0-296025F8B8DD}"/>
    <cellStyle name="Normal 2 5 4 6 2 3" xfId="12316" xr:uid="{2C6B8E99-D9DF-43A2-97B8-63A076EF7984}"/>
    <cellStyle name="Normal 2 5 4 6 2 4" xfId="20754" xr:uid="{B2A0E935-6FF9-40E2-A09D-9EF3BE6686FC}"/>
    <cellStyle name="Normal 2 5 4 6 3" xfId="5947" xr:uid="{00000000-0005-0000-0000-00005D110000}"/>
    <cellStyle name="Normal 2 5 4 6 3 2" xfId="14389" xr:uid="{91383E3D-6FD1-4F2F-B343-BBF9B6940731}"/>
    <cellStyle name="Normal 2 5 4 6 3 3" xfId="22826" xr:uid="{10A00685-583D-46B4-AFD1-A6A09B9604DD}"/>
    <cellStyle name="Normal 2 5 4 6 4" xfId="10171" xr:uid="{F41777F9-4FAE-4A9F-8245-33EF993D2681}"/>
    <cellStyle name="Normal 2 5 4 6 5" xfId="18609" xr:uid="{BDA98652-732B-4572-AE1B-6AC7ADD2D158}"/>
    <cellStyle name="Normal 2 5 4 7" xfId="2053" xr:uid="{00000000-0005-0000-0000-00005E110000}"/>
    <cellStyle name="Normal 2 5 4 7 2" xfId="4282" xr:uid="{00000000-0005-0000-0000-00005F110000}"/>
    <cellStyle name="Normal 2 5 4 7 2 2" xfId="8505" xr:uid="{00000000-0005-0000-0000-000060110000}"/>
    <cellStyle name="Normal 2 5 4 7 2 2 2" xfId="16947" xr:uid="{0F7B0C5C-1588-4E8C-8767-8239F0636DBE}"/>
    <cellStyle name="Normal 2 5 4 7 2 2 3" xfId="25384" xr:uid="{F36C5E6B-430B-4619-95F6-E51B32D4AFD2}"/>
    <cellStyle name="Normal 2 5 4 7 2 3" xfId="12729" xr:uid="{F331B168-060B-447A-9067-0328DB665D4C}"/>
    <cellStyle name="Normal 2 5 4 7 2 4" xfId="21167" xr:uid="{860501E5-FEFE-4C2E-8E92-A83B5B9E573D}"/>
    <cellStyle name="Normal 2 5 4 7 3" xfId="6360" xr:uid="{00000000-0005-0000-0000-000061110000}"/>
    <cellStyle name="Normal 2 5 4 7 3 2" xfId="14802" xr:uid="{F3BAD160-2FAC-4129-8A95-C06FC7E396BB}"/>
    <cellStyle name="Normal 2 5 4 7 3 3" xfId="23239" xr:uid="{3F848E91-BC5F-4FAB-B2F6-8E541ADDB8D7}"/>
    <cellStyle name="Normal 2 5 4 7 4" xfId="10584" xr:uid="{BC05572F-4F0C-4713-BB00-9F77C37251A2}"/>
    <cellStyle name="Normal 2 5 4 7 5" xfId="19022" xr:uid="{258DBD59-14D7-4C7E-B116-FCB790038A11}"/>
    <cellStyle name="Normal 2 5 4 8" xfId="2489" xr:uid="{00000000-0005-0000-0000-000062110000}"/>
    <cellStyle name="Normal 2 5 4 8 2" xfId="6773" xr:uid="{00000000-0005-0000-0000-000063110000}"/>
    <cellStyle name="Normal 2 5 4 8 2 2" xfId="15215" xr:uid="{A81D97F3-1EB0-4640-9E61-2C670ADC25E3}"/>
    <cellStyle name="Normal 2 5 4 8 2 3" xfId="23652" xr:uid="{E7D8E974-367C-4B48-BD05-02EA2697A300}"/>
    <cellStyle name="Normal 2 5 4 8 3" xfId="10997" xr:uid="{A33D5116-A149-48B9-8375-5867DB2482A9}"/>
    <cellStyle name="Normal 2 5 4 8 4" xfId="19435" xr:uid="{E5F6737F-498E-456D-857B-207E3F46A050}"/>
    <cellStyle name="Normal 2 5 4 9" xfId="4707" xr:uid="{00000000-0005-0000-0000-000064110000}"/>
    <cellStyle name="Normal 2 5 4 9 2" xfId="13149" xr:uid="{80381FFF-A61E-41E5-A402-07CA9106FFF4}"/>
    <cellStyle name="Normal 2 5 4 9 3" xfId="21586" xr:uid="{E49B88BE-21FF-4D6F-84C3-5CA8848E5C0E}"/>
    <cellStyle name="Normal 2 5 5" xfId="803" xr:uid="{00000000-0005-0000-0000-000065110000}"/>
    <cellStyle name="Normal 2 5 5 2" xfId="3042" xr:uid="{00000000-0005-0000-0000-000066110000}"/>
    <cellStyle name="Normal 2 5 5 2 2" xfId="7265" xr:uid="{00000000-0005-0000-0000-000067110000}"/>
    <cellStyle name="Normal 2 5 5 2 2 2" xfId="15707" xr:uid="{052A2F02-A36D-4A3A-A91C-FA7105453C29}"/>
    <cellStyle name="Normal 2 5 5 2 2 3" xfId="24144" xr:uid="{36716C44-5786-4080-9959-F71FEF56FF4C}"/>
    <cellStyle name="Normal 2 5 5 2 3" xfId="11489" xr:uid="{CE6A547A-5789-4C5B-BC63-17C12E0C03ED}"/>
    <cellStyle name="Normal 2 5 5 2 4" xfId="19927" xr:uid="{CE3BCB21-8AD7-46A7-8A9E-6DE53DD9284D}"/>
    <cellStyle name="Normal 2 5 5 3" xfId="5120" xr:uid="{00000000-0005-0000-0000-000068110000}"/>
    <cellStyle name="Normal 2 5 5 3 2" xfId="13562" xr:uid="{C006BD03-18C5-4F8B-B7AB-9DB1814E96EC}"/>
    <cellStyle name="Normal 2 5 5 3 3" xfId="21999" xr:uid="{5D9C4217-23F1-4745-8F82-6C558167CEA8}"/>
    <cellStyle name="Normal 2 5 5 4" xfId="9344" xr:uid="{8A97A796-5BF2-4D36-AC4F-29C79ED6638D}"/>
    <cellStyle name="Normal 2 5 5 5" xfId="17782" xr:uid="{43CA3FFB-D255-4D48-BE11-CE45C08B5835}"/>
    <cellStyle name="Normal 2 5 6" xfId="1225" xr:uid="{00000000-0005-0000-0000-000069110000}"/>
    <cellStyle name="Normal 2 5 6 2" xfId="3455" xr:uid="{00000000-0005-0000-0000-00006A110000}"/>
    <cellStyle name="Normal 2 5 6 2 2" xfId="7678" xr:uid="{00000000-0005-0000-0000-00006B110000}"/>
    <cellStyle name="Normal 2 5 6 2 2 2" xfId="16120" xr:uid="{DFC4D705-A0CE-4D5D-8FBA-EB343AC1B17A}"/>
    <cellStyle name="Normal 2 5 6 2 2 3" xfId="24557" xr:uid="{21F3700D-DFAE-4537-8094-3A628CD589B6}"/>
    <cellStyle name="Normal 2 5 6 2 3" xfId="11902" xr:uid="{B3A13F61-30EA-44D3-91AA-A4BD48973581}"/>
    <cellStyle name="Normal 2 5 6 2 4" xfId="20340" xr:uid="{E05CD766-991E-4375-86E8-5CDB5A5B25A2}"/>
    <cellStyle name="Normal 2 5 6 3" xfId="5533" xr:uid="{00000000-0005-0000-0000-00006C110000}"/>
    <cellStyle name="Normal 2 5 6 3 2" xfId="13975" xr:uid="{3F33F75E-3F9A-44BD-BB57-DF3E33DDBA89}"/>
    <cellStyle name="Normal 2 5 6 3 3" xfId="22412" xr:uid="{C8F33D2E-776E-4E15-85B0-177066FEB1C0}"/>
    <cellStyle name="Normal 2 5 6 4" xfId="9757" xr:uid="{CB2B54FA-9D03-4634-9E46-941751BAEBE6}"/>
    <cellStyle name="Normal 2 5 6 5" xfId="18195" xr:uid="{AABE3233-6906-486F-A220-F8A7840DC17D}"/>
    <cellStyle name="Normal 2 5 7" xfId="1638" xr:uid="{00000000-0005-0000-0000-00006D110000}"/>
    <cellStyle name="Normal 2 5 7 2" xfId="3868" xr:uid="{00000000-0005-0000-0000-00006E110000}"/>
    <cellStyle name="Normal 2 5 7 2 2" xfId="8091" xr:uid="{00000000-0005-0000-0000-00006F110000}"/>
    <cellStyle name="Normal 2 5 7 2 2 2" xfId="16533" xr:uid="{A2E12932-3B3C-4AA7-B9FB-CE1EC32686B3}"/>
    <cellStyle name="Normal 2 5 7 2 2 3" xfId="24970" xr:uid="{8A08FE4D-D1AD-4054-980B-1FFF3D1D64CD}"/>
    <cellStyle name="Normal 2 5 7 2 3" xfId="12315" xr:uid="{FA895305-9826-465B-8A9E-DE4742A4E53F}"/>
    <cellStyle name="Normal 2 5 7 2 4" xfId="20753" xr:uid="{8C350964-117D-4C04-A8AD-812E026D3453}"/>
    <cellStyle name="Normal 2 5 7 3" xfId="5946" xr:uid="{00000000-0005-0000-0000-000070110000}"/>
    <cellStyle name="Normal 2 5 7 3 2" xfId="14388" xr:uid="{1F9243E5-641E-4A12-858C-213E42848CD0}"/>
    <cellStyle name="Normal 2 5 7 3 3" xfId="22825" xr:uid="{D942A8F4-9AA6-40F3-9140-C44C2F573DC2}"/>
    <cellStyle name="Normal 2 5 7 4" xfId="10170" xr:uid="{C00737C0-3881-4C15-99C9-D682A7A9E48B}"/>
    <cellStyle name="Normal 2 5 7 5" xfId="18608" xr:uid="{7D6E98B6-6BA7-408F-883F-E3429E66D608}"/>
    <cellStyle name="Normal 2 5 8" xfId="2052" xr:uid="{00000000-0005-0000-0000-000071110000}"/>
    <cellStyle name="Normal 2 5 8 2" xfId="4281" xr:uid="{00000000-0005-0000-0000-000072110000}"/>
    <cellStyle name="Normal 2 5 8 2 2" xfId="8504" xr:uid="{00000000-0005-0000-0000-000073110000}"/>
    <cellStyle name="Normal 2 5 8 2 2 2" xfId="16946" xr:uid="{5CDDB90D-C898-4A2C-8360-EEFFDDADFAC4}"/>
    <cellStyle name="Normal 2 5 8 2 2 3" xfId="25383" xr:uid="{5C3B5C9E-9C12-401F-B116-2B7D73941498}"/>
    <cellStyle name="Normal 2 5 8 2 3" xfId="12728" xr:uid="{221103EE-DDEC-4D64-80CA-1E425D448E55}"/>
    <cellStyle name="Normal 2 5 8 2 4" xfId="21166" xr:uid="{B58104A7-9DCE-485E-BEEC-7547F39DE35B}"/>
    <cellStyle name="Normal 2 5 8 3" xfId="6359" xr:uid="{00000000-0005-0000-0000-000074110000}"/>
    <cellStyle name="Normal 2 5 8 3 2" xfId="14801" xr:uid="{79D8B961-B4A9-4626-91AE-3DA8EDFD683D}"/>
    <cellStyle name="Normal 2 5 8 3 3" xfId="23238" xr:uid="{1B4CF886-3F9D-4CF6-8558-06B1884A3413}"/>
    <cellStyle name="Normal 2 5 8 4" xfId="10583" xr:uid="{6F851F56-F34F-4D7F-9262-CE2C4F0D2E1A}"/>
    <cellStyle name="Normal 2 5 8 5" xfId="19021" xr:uid="{F193B6D7-FB8D-41D2-8F81-FA35AEE40987}"/>
    <cellStyle name="Normal 2 5 9" xfId="2488" xr:uid="{00000000-0005-0000-0000-000075110000}"/>
    <cellStyle name="Normal 2 5 9 2" xfId="6772" xr:uid="{00000000-0005-0000-0000-000076110000}"/>
    <cellStyle name="Normal 2 5 9 2 2" xfId="15214" xr:uid="{55138F46-87CF-496C-87B0-53908B46C3BA}"/>
    <cellStyle name="Normal 2 5 9 2 3" xfId="23651" xr:uid="{63A020DB-B63C-46AF-A376-C64F2696BC02}"/>
    <cellStyle name="Normal 2 5 9 3" xfId="10996" xr:uid="{65D7633E-C419-44A7-B29D-14DB0D899C40}"/>
    <cellStyle name="Normal 2 5 9 4" xfId="19434" xr:uid="{19950A09-8821-4481-A0F4-C773CE8F4235}"/>
    <cellStyle name="Normal 2 6" xfId="322" xr:uid="{00000000-0005-0000-0000-000077110000}"/>
    <cellStyle name="Normal 2 7" xfId="769" xr:uid="{00000000-0005-0000-0000-000078110000}"/>
    <cellStyle name="Normal 2 8" xfId="4495" xr:uid="{00000000-0005-0000-0000-000079110000}"/>
    <cellStyle name="Normal 2 8 2" xfId="12940" xr:uid="{0BAE5019-BA1F-4DE7-A86F-41347731B5C4}"/>
    <cellStyle name="Normal 3" xfId="323" xr:uid="{00000000-0005-0000-0000-00007A110000}"/>
    <cellStyle name="Normal 3 2" xfId="324" xr:uid="{00000000-0005-0000-0000-00007B110000}"/>
    <cellStyle name="Normal 3 2 10" xfId="8935" xr:uid="{760583A8-BECB-47B0-8800-650D8F139B7B}"/>
    <cellStyle name="Normal 3 2 11" xfId="17373" xr:uid="{2A53E10F-3332-4E87-B544-05155430E6A9}"/>
    <cellStyle name="Normal 3 2 2" xfId="325" xr:uid="{00000000-0005-0000-0000-00007C110000}"/>
    <cellStyle name="Normal 3 2 2 2" xfId="810" xr:uid="{00000000-0005-0000-0000-00007D110000}"/>
    <cellStyle name="Normal 3 2 3" xfId="326" xr:uid="{00000000-0005-0000-0000-00007E110000}"/>
    <cellStyle name="Normal 3 2 3 10" xfId="8936" xr:uid="{2A49A3DF-AE5F-427F-AF2A-76D66FD4C072}"/>
    <cellStyle name="Normal 3 2 3 11" xfId="17374" xr:uid="{2E204CE8-D42C-4A53-B1E3-930697A646BF}"/>
    <cellStyle name="Normal 3 2 3 2" xfId="327" xr:uid="{00000000-0005-0000-0000-00007F110000}"/>
    <cellStyle name="Normal 3 2 3 2 10" xfId="17375" xr:uid="{1A480F59-3FA1-4D53-B4B9-7BD43D8EF0D4}"/>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2 2 2" xfId="15715" xr:uid="{6BEED323-3C04-4AFD-A571-CD157F6D68C9}"/>
    <cellStyle name="Normal 3 2 3 2 2 2 2 2 3" xfId="24152" xr:uid="{90B1D5A9-FB09-4D4F-8E2B-8DFDCD438E3F}"/>
    <cellStyle name="Normal 3 2 3 2 2 2 2 3" xfId="11497" xr:uid="{ECC5D510-60A0-4EE6-B4AE-110C46C024BC}"/>
    <cellStyle name="Normal 3 2 3 2 2 2 2 4" xfId="19935" xr:uid="{1154D6A7-754B-48EB-AE81-CE72325DEEE6}"/>
    <cellStyle name="Normal 3 2 3 2 2 2 3" xfId="5128" xr:uid="{00000000-0005-0000-0000-000084110000}"/>
    <cellStyle name="Normal 3 2 3 2 2 2 3 2" xfId="13570" xr:uid="{C749761A-F69C-40C7-90F4-B4318BB86F2F}"/>
    <cellStyle name="Normal 3 2 3 2 2 2 3 3" xfId="22007" xr:uid="{2BBECF4F-69EE-4618-B77B-6FB0E9FEBDA7}"/>
    <cellStyle name="Normal 3 2 3 2 2 2 4" xfId="9352" xr:uid="{2B38C795-39CD-41DA-BD3F-A9AD64B05746}"/>
    <cellStyle name="Normal 3 2 3 2 2 2 5" xfId="17790" xr:uid="{CDF6DB30-18B5-4D3E-AB29-1B9682E5BB25}"/>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2 2 2" xfId="16128" xr:uid="{51F0BE9B-26CF-46A1-9C7D-9DAFADCFA38A}"/>
    <cellStyle name="Normal 3 2 3 2 2 3 2 2 3" xfId="24565" xr:uid="{1AA1F7F3-D8F2-4C76-B347-076DDD8CC94A}"/>
    <cellStyle name="Normal 3 2 3 2 2 3 2 3" xfId="11910" xr:uid="{BBC92B19-6914-4B0F-B0FC-9FDB57D276B9}"/>
    <cellStyle name="Normal 3 2 3 2 2 3 2 4" xfId="20348" xr:uid="{A381AA92-86F8-4613-A399-C6C106D0E2A9}"/>
    <cellStyle name="Normal 3 2 3 2 2 3 3" xfId="5541" xr:uid="{00000000-0005-0000-0000-000088110000}"/>
    <cellStyle name="Normal 3 2 3 2 2 3 3 2" xfId="13983" xr:uid="{86ACFE41-C5BC-4CAB-B8A7-7AB818C7C81C}"/>
    <cellStyle name="Normal 3 2 3 2 2 3 3 3" xfId="22420" xr:uid="{C90AAC4F-D46C-40BF-BACB-F41B9F8E100E}"/>
    <cellStyle name="Normal 3 2 3 2 2 3 4" xfId="9765" xr:uid="{7F20679E-8A16-4A55-8238-4CD203B332B3}"/>
    <cellStyle name="Normal 3 2 3 2 2 3 5" xfId="18203" xr:uid="{E07FDEE0-BB6C-4505-AA6F-D3DF69F79BC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2 2 2" xfId="16541" xr:uid="{0B6C7CE3-B31E-4EED-85BE-0824E07D0837}"/>
    <cellStyle name="Normal 3 2 3 2 2 4 2 2 3" xfId="24978" xr:uid="{72C70D90-5D33-4E0B-BDA3-FBD2682764C2}"/>
    <cellStyle name="Normal 3 2 3 2 2 4 2 3" xfId="12323" xr:uid="{FAE645F4-9137-440B-8B1D-F6E2EBD86957}"/>
    <cellStyle name="Normal 3 2 3 2 2 4 2 4" xfId="20761" xr:uid="{5CF333A1-6828-4BEE-AB1E-6FB61F0A9032}"/>
    <cellStyle name="Normal 3 2 3 2 2 4 3" xfId="5954" xr:uid="{00000000-0005-0000-0000-00008C110000}"/>
    <cellStyle name="Normal 3 2 3 2 2 4 3 2" xfId="14396" xr:uid="{C7C35E61-6B2E-4C80-87EA-09C96F6B152B}"/>
    <cellStyle name="Normal 3 2 3 2 2 4 3 3" xfId="22833" xr:uid="{EE503442-DACC-4797-AA4A-D2D6552E66E9}"/>
    <cellStyle name="Normal 3 2 3 2 2 4 4" xfId="10178" xr:uid="{3A276EBB-FCB8-4D27-9AA3-A431D223E32D}"/>
    <cellStyle name="Normal 3 2 3 2 2 4 5" xfId="18616" xr:uid="{3EECDFC7-0195-4247-8FCB-6668D20CA7BD}"/>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2 2 2" xfId="16954" xr:uid="{A1E458BD-9231-4955-8692-5506F27B1A2A}"/>
    <cellStyle name="Normal 3 2 3 2 2 5 2 2 3" xfId="25391" xr:uid="{73D40408-108C-43AE-965B-FD8D125479E2}"/>
    <cellStyle name="Normal 3 2 3 2 2 5 2 3" xfId="12736" xr:uid="{892C8B57-0122-496E-90CF-909227AE11DF}"/>
    <cellStyle name="Normal 3 2 3 2 2 5 2 4" xfId="21174" xr:uid="{4E6EDB01-C5F1-4D28-97F9-1C9304434966}"/>
    <cellStyle name="Normal 3 2 3 2 2 5 3" xfId="6367" xr:uid="{00000000-0005-0000-0000-000090110000}"/>
    <cellStyle name="Normal 3 2 3 2 2 5 3 2" xfId="14809" xr:uid="{EA664E25-40FE-4BD8-BCC3-79DAD64200CC}"/>
    <cellStyle name="Normal 3 2 3 2 2 5 3 3" xfId="23246" xr:uid="{2D81CBF5-462D-44F2-B663-9B774F7594DF}"/>
    <cellStyle name="Normal 3 2 3 2 2 5 4" xfId="10591" xr:uid="{AFAB4C5C-F239-4D31-8699-7C6A6D6DB618}"/>
    <cellStyle name="Normal 3 2 3 2 2 5 5" xfId="19029" xr:uid="{7974D902-98A1-48E8-BBEC-562979157335}"/>
    <cellStyle name="Normal 3 2 3 2 2 6" xfId="2496" xr:uid="{00000000-0005-0000-0000-000091110000}"/>
    <cellStyle name="Normal 3 2 3 2 2 6 2" xfId="6780" xr:uid="{00000000-0005-0000-0000-000092110000}"/>
    <cellStyle name="Normal 3 2 3 2 2 6 2 2" xfId="15222" xr:uid="{A63CEB3B-60D3-435E-8D07-A71238D45226}"/>
    <cellStyle name="Normal 3 2 3 2 2 6 2 3" xfId="23659" xr:uid="{CFB7C42D-05B0-4891-ABEE-C5B004EB43D6}"/>
    <cellStyle name="Normal 3 2 3 2 2 6 3" xfId="11004" xr:uid="{D00E0D30-4C1F-4792-B4A8-7BF3A8E40713}"/>
    <cellStyle name="Normal 3 2 3 2 2 6 4" xfId="19442" xr:uid="{5967FCF2-2676-4F3A-8AD5-919D87ABA5DC}"/>
    <cellStyle name="Normal 3 2 3 2 2 7" xfId="4714" xr:uid="{00000000-0005-0000-0000-000093110000}"/>
    <cellStyle name="Normal 3 2 3 2 2 7 2" xfId="13156" xr:uid="{8A5F6ABA-C3A5-4E11-8AAB-CD529B445F3E}"/>
    <cellStyle name="Normal 3 2 3 2 2 7 3" xfId="21593" xr:uid="{687FF720-1585-45F9-B001-8FEDBD821224}"/>
    <cellStyle name="Normal 3 2 3 2 2 8" xfId="8938" xr:uid="{86E2C44E-FA08-4301-ABC6-6E160A8D5990}"/>
    <cellStyle name="Normal 3 2 3 2 2 9" xfId="17376" xr:uid="{A05792C0-16CE-4D72-9F17-0C912D9B0779}"/>
    <cellStyle name="Normal 3 2 3 2 3" xfId="812" xr:uid="{00000000-0005-0000-0000-000094110000}"/>
    <cellStyle name="Normal 3 2 3 2 3 2" xfId="3049" xr:uid="{00000000-0005-0000-0000-000095110000}"/>
    <cellStyle name="Normal 3 2 3 2 3 2 2" xfId="7272" xr:uid="{00000000-0005-0000-0000-000096110000}"/>
    <cellStyle name="Normal 3 2 3 2 3 2 2 2" xfId="15714" xr:uid="{4E100BF3-934D-4637-81DC-6BBA39D2C02E}"/>
    <cellStyle name="Normal 3 2 3 2 3 2 2 3" xfId="24151" xr:uid="{538AA18E-88FC-4944-80C3-6A46E4842683}"/>
    <cellStyle name="Normal 3 2 3 2 3 2 3" xfId="11496" xr:uid="{827F4B61-C027-4DA6-92C8-BA13973BA1D2}"/>
    <cellStyle name="Normal 3 2 3 2 3 2 4" xfId="19934" xr:uid="{34EF5457-FA3A-4F27-9EAD-C5CB80860CA3}"/>
    <cellStyle name="Normal 3 2 3 2 3 3" xfId="5127" xr:uid="{00000000-0005-0000-0000-000097110000}"/>
    <cellStyle name="Normal 3 2 3 2 3 3 2" xfId="13569" xr:uid="{CA38BB02-45CA-470E-92C2-DF644918D6C7}"/>
    <cellStyle name="Normal 3 2 3 2 3 3 3" xfId="22006" xr:uid="{AF1B61B4-8D84-419B-B3A6-81A4DCCCFD99}"/>
    <cellStyle name="Normal 3 2 3 2 3 4" xfId="9351" xr:uid="{2A767B4B-E91E-4342-9A6C-E63F48E8660D}"/>
    <cellStyle name="Normal 3 2 3 2 3 5" xfId="17789" xr:uid="{A2E97569-AD62-4B29-BF96-196CAD0041B8}"/>
    <cellStyle name="Normal 3 2 3 2 4" xfId="1232" xr:uid="{00000000-0005-0000-0000-000098110000}"/>
    <cellStyle name="Normal 3 2 3 2 4 2" xfId="3462" xr:uid="{00000000-0005-0000-0000-000099110000}"/>
    <cellStyle name="Normal 3 2 3 2 4 2 2" xfId="7685" xr:uid="{00000000-0005-0000-0000-00009A110000}"/>
    <cellStyle name="Normal 3 2 3 2 4 2 2 2" xfId="16127" xr:uid="{2A78B498-B4B8-40D1-A8C0-3EF714456F1E}"/>
    <cellStyle name="Normal 3 2 3 2 4 2 2 3" xfId="24564" xr:uid="{BFE8461C-40DD-462E-B057-7F7E27F9A9E5}"/>
    <cellStyle name="Normal 3 2 3 2 4 2 3" xfId="11909" xr:uid="{4D3584EE-0402-4C88-9540-A9AA0B31A3DE}"/>
    <cellStyle name="Normal 3 2 3 2 4 2 4" xfId="20347" xr:uid="{10C015BA-B5DB-4BF3-ACDF-EB7DEEB522EF}"/>
    <cellStyle name="Normal 3 2 3 2 4 3" xfId="5540" xr:uid="{00000000-0005-0000-0000-00009B110000}"/>
    <cellStyle name="Normal 3 2 3 2 4 3 2" xfId="13982" xr:uid="{BAAC648B-BC09-4762-BBA3-5376A3D8F037}"/>
    <cellStyle name="Normal 3 2 3 2 4 3 3" xfId="22419" xr:uid="{E55FF29A-91FF-44C0-B2F4-47D60AE1BD84}"/>
    <cellStyle name="Normal 3 2 3 2 4 4" xfId="9764" xr:uid="{7967BCF3-FE17-49C3-994E-92CE389BDF6C}"/>
    <cellStyle name="Normal 3 2 3 2 4 5" xfId="18202" xr:uid="{171FC767-A32F-4806-B05D-A1DED57FB1E4}"/>
    <cellStyle name="Normal 3 2 3 2 5" xfId="1645" xr:uid="{00000000-0005-0000-0000-00009C110000}"/>
    <cellStyle name="Normal 3 2 3 2 5 2" xfId="3875" xr:uid="{00000000-0005-0000-0000-00009D110000}"/>
    <cellStyle name="Normal 3 2 3 2 5 2 2" xfId="8098" xr:uid="{00000000-0005-0000-0000-00009E110000}"/>
    <cellStyle name="Normal 3 2 3 2 5 2 2 2" xfId="16540" xr:uid="{6F7851E6-C0D1-454F-91E8-D7F89474AF64}"/>
    <cellStyle name="Normal 3 2 3 2 5 2 2 3" xfId="24977" xr:uid="{3C6972D5-AA22-43C7-ACCF-B8AB9F4B10F3}"/>
    <cellStyle name="Normal 3 2 3 2 5 2 3" xfId="12322" xr:uid="{7FB9886C-0298-4383-A46E-90987224653D}"/>
    <cellStyle name="Normal 3 2 3 2 5 2 4" xfId="20760" xr:uid="{C3BF0E02-687A-42A4-B6EF-C8819BFBD490}"/>
    <cellStyle name="Normal 3 2 3 2 5 3" xfId="5953" xr:uid="{00000000-0005-0000-0000-00009F110000}"/>
    <cellStyle name="Normal 3 2 3 2 5 3 2" xfId="14395" xr:uid="{C6F0D015-B119-4AD1-901E-1CEE629079E8}"/>
    <cellStyle name="Normal 3 2 3 2 5 3 3" xfId="22832" xr:uid="{C8E7A305-2795-4A32-9B10-315A101FD9BB}"/>
    <cellStyle name="Normal 3 2 3 2 5 4" xfId="10177" xr:uid="{A1DF538F-FE45-45A2-867C-3B9EC259DA7F}"/>
    <cellStyle name="Normal 3 2 3 2 5 5" xfId="18615" xr:uid="{530F8F36-E078-4191-87F8-8F00EEC2E443}"/>
    <cellStyle name="Normal 3 2 3 2 6" xfId="2059" xr:uid="{00000000-0005-0000-0000-0000A0110000}"/>
    <cellStyle name="Normal 3 2 3 2 6 2" xfId="4288" xr:uid="{00000000-0005-0000-0000-0000A1110000}"/>
    <cellStyle name="Normal 3 2 3 2 6 2 2" xfId="8511" xr:uid="{00000000-0005-0000-0000-0000A2110000}"/>
    <cellStyle name="Normal 3 2 3 2 6 2 2 2" xfId="16953" xr:uid="{49C6A088-8903-4776-A208-CB22BC57A75E}"/>
    <cellStyle name="Normal 3 2 3 2 6 2 2 3" xfId="25390" xr:uid="{62835840-A1AC-4538-B247-58DAA52077DA}"/>
    <cellStyle name="Normal 3 2 3 2 6 2 3" xfId="12735" xr:uid="{F425283E-0CE9-49BD-9611-F90B6A68FFDF}"/>
    <cellStyle name="Normal 3 2 3 2 6 2 4" xfId="21173" xr:uid="{337A3ABB-114B-4A84-BC0D-63D84FC30B25}"/>
    <cellStyle name="Normal 3 2 3 2 6 3" xfId="6366" xr:uid="{00000000-0005-0000-0000-0000A3110000}"/>
    <cellStyle name="Normal 3 2 3 2 6 3 2" xfId="14808" xr:uid="{24AA7A4A-E740-4542-AE7F-A33D21FD777C}"/>
    <cellStyle name="Normal 3 2 3 2 6 3 3" xfId="23245" xr:uid="{677795C4-C9A3-49A0-B82B-CEAEA4114DC8}"/>
    <cellStyle name="Normal 3 2 3 2 6 4" xfId="10590" xr:uid="{CDA9B5DE-6A42-402B-895D-9EE9BDCE9FCE}"/>
    <cellStyle name="Normal 3 2 3 2 6 5" xfId="19028" xr:uid="{58900FAE-EDAA-4AD7-A290-7C8BE2EC14BC}"/>
    <cellStyle name="Normal 3 2 3 2 7" xfId="2495" xr:uid="{00000000-0005-0000-0000-0000A4110000}"/>
    <cellStyle name="Normal 3 2 3 2 7 2" xfId="6779" xr:uid="{00000000-0005-0000-0000-0000A5110000}"/>
    <cellStyle name="Normal 3 2 3 2 7 2 2" xfId="15221" xr:uid="{8868EF8E-59E7-4C20-9F12-BF29CDAA1F14}"/>
    <cellStyle name="Normal 3 2 3 2 7 2 3" xfId="23658" xr:uid="{96B22383-BE35-4C91-9BED-ED9D32CFE870}"/>
    <cellStyle name="Normal 3 2 3 2 7 3" xfId="11003" xr:uid="{6C1397D5-E057-434E-BAB0-9D24367C95F0}"/>
    <cellStyle name="Normal 3 2 3 2 7 4" xfId="19441" xr:uid="{725E1263-88F9-4C5D-974A-C1F50E6EE0D3}"/>
    <cellStyle name="Normal 3 2 3 2 8" xfId="4713" xr:uid="{00000000-0005-0000-0000-0000A6110000}"/>
    <cellStyle name="Normal 3 2 3 2 8 2" xfId="13155" xr:uid="{AB586596-C98D-4802-B6ED-D1161D6A6070}"/>
    <cellStyle name="Normal 3 2 3 2 8 3" xfId="21592" xr:uid="{A31ED122-E8E6-49CF-8AAA-4C72EC699915}"/>
    <cellStyle name="Normal 3 2 3 2 9" xfId="8937" xr:uid="{A67C85B3-8568-440F-9918-7FD9E50EBEE1}"/>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2 2 2" xfId="15716" xr:uid="{62C85F8B-4017-49CE-A981-C4D416A35C2A}"/>
    <cellStyle name="Normal 3 2 3 3 2 2 2 3" xfId="24153" xr:uid="{99CA8396-E949-4A42-8CF1-655CD7CBF1F5}"/>
    <cellStyle name="Normal 3 2 3 3 2 2 3" xfId="11498" xr:uid="{D2A1BD27-ABEE-44B5-903D-DCCBE2823655}"/>
    <cellStyle name="Normal 3 2 3 3 2 2 4" xfId="19936" xr:uid="{C44BFA06-6BDA-4FA6-919D-A65F7DFB93A6}"/>
    <cellStyle name="Normal 3 2 3 3 2 3" xfId="5129" xr:uid="{00000000-0005-0000-0000-0000AB110000}"/>
    <cellStyle name="Normal 3 2 3 3 2 3 2" xfId="13571" xr:uid="{BB830AB6-A2E4-4F2A-BACB-FDF8BB2506B9}"/>
    <cellStyle name="Normal 3 2 3 3 2 3 3" xfId="22008" xr:uid="{893E121A-0797-413F-9C69-27E4270F5119}"/>
    <cellStyle name="Normal 3 2 3 3 2 4" xfId="9353" xr:uid="{1D5809CE-F0AE-498D-B8BD-E7519748E21A}"/>
    <cellStyle name="Normal 3 2 3 3 2 5" xfId="17791" xr:uid="{92CD6773-6AA6-4F01-843C-A7C678E5758F}"/>
    <cellStyle name="Normal 3 2 3 3 3" xfId="1234" xr:uid="{00000000-0005-0000-0000-0000AC110000}"/>
    <cellStyle name="Normal 3 2 3 3 3 2" xfId="3464" xr:uid="{00000000-0005-0000-0000-0000AD110000}"/>
    <cellStyle name="Normal 3 2 3 3 3 2 2" xfId="7687" xr:uid="{00000000-0005-0000-0000-0000AE110000}"/>
    <cellStyle name="Normal 3 2 3 3 3 2 2 2" xfId="16129" xr:uid="{A6A58C71-85BE-4249-9A4A-87DB2A9205E7}"/>
    <cellStyle name="Normal 3 2 3 3 3 2 2 3" xfId="24566" xr:uid="{41B9D4D5-F4FB-45C5-B1D9-EB0F3E020C46}"/>
    <cellStyle name="Normal 3 2 3 3 3 2 3" xfId="11911" xr:uid="{5A18F8C4-DE38-4AC4-A6DA-699743C00473}"/>
    <cellStyle name="Normal 3 2 3 3 3 2 4" xfId="20349" xr:uid="{CF01CF25-64AF-43B6-90D4-9723A7355BC7}"/>
    <cellStyle name="Normal 3 2 3 3 3 3" xfId="5542" xr:uid="{00000000-0005-0000-0000-0000AF110000}"/>
    <cellStyle name="Normal 3 2 3 3 3 3 2" xfId="13984" xr:uid="{1FE7D0E7-EE06-41A0-AA5A-1663E454930D}"/>
    <cellStyle name="Normal 3 2 3 3 3 3 3" xfId="22421" xr:uid="{21D1ED3D-91C1-4833-B03F-DA71C4FBD467}"/>
    <cellStyle name="Normal 3 2 3 3 3 4" xfId="9766" xr:uid="{69C139EB-0D4E-4F04-BBB5-9132ED6B10B0}"/>
    <cellStyle name="Normal 3 2 3 3 3 5" xfId="18204" xr:uid="{668E8895-0211-4E72-91AF-B9B8F5EAE70B}"/>
    <cellStyle name="Normal 3 2 3 3 4" xfId="1647" xr:uid="{00000000-0005-0000-0000-0000B0110000}"/>
    <cellStyle name="Normal 3 2 3 3 4 2" xfId="3877" xr:uid="{00000000-0005-0000-0000-0000B1110000}"/>
    <cellStyle name="Normal 3 2 3 3 4 2 2" xfId="8100" xr:uid="{00000000-0005-0000-0000-0000B2110000}"/>
    <cellStyle name="Normal 3 2 3 3 4 2 2 2" xfId="16542" xr:uid="{F192CF5A-186C-4911-B4C8-572789579129}"/>
    <cellStyle name="Normal 3 2 3 3 4 2 2 3" xfId="24979" xr:uid="{03A1DD56-0412-48E8-AE77-EAD33CD41E28}"/>
    <cellStyle name="Normal 3 2 3 3 4 2 3" xfId="12324" xr:uid="{6741A45A-1423-46CC-A82C-CBE407E31E32}"/>
    <cellStyle name="Normal 3 2 3 3 4 2 4" xfId="20762" xr:uid="{E9DC5869-EF51-4347-B61A-0772A3827E86}"/>
    <cellStyle name="Normal 3 2 3 3 4 3" xfId="5955" xr:uid="{00000000-0005-0000-0000-0000B3110000}"/>
    <cellStyle name="Normal 3 2 3 3 4 3 2" xfId="14397" xr:uid="{413F4049-F2FC-4F34-A961-B3E147969706}"/>
    <cellStyle name="Normal 3 2 3 3 4 3 3" xfId="22834" xr:uid="{12F1CC68-F3C1-4685-85DE-06F355003AFB}"/>
    <cellStyle name="Normal 3 2 3 3 4 4" xfId="10179" xr:uid="{4D8D68A3-7B94-4DAB-A6BF-0F24F8339ED8}"/>
    <cellStyle name="Normal 3 2 3 3 4 5" xfId="18617" xr:uid="{AA0A7B6C-41D3-40CC-B192-9F1A93EB7F83}"/>
    <cellStyle name="Normal 3 2 3 3 5" xfId="2061" xr:uid="{00000000-0005-0000-0000-0000B4110000}"/>
    <cellStyle name="Normal 3 2 3 3 5 2" xfId="4290" xr:uid="{00000000-0005-0000-0000-0000B5110000}"/>
    <cellStyle name="Normal 3 2 3 3 5 2 2" xfId="8513" xr:uid="{00000000-0005-0000-0000-0000B6110000}"/>
    <cellStyle name="Normal 3 2 3 3 5 2 2 2" xfId="16955" xr:uid="{2550BFC0-C087-4978-BE04-DD82AAED2B69}"/>
    <cellStyle name="Normal 3 2 3 3 5 2 2 3" xfId="25392" xr:uid="{2DB4DAE7-85B9-4DD6-88BE-8FD0AFE5BB30}"/>
    <cellStyle name="Normal 3 2 3 3 5 2 3" xfId="12737" xr:uid="{6E1CA886-B91B-4CDA-8E7A-7D4A0613505E}"/>
    <cellStyle name="Normal 3 2 3 3 5 2 4" xfId="21175" xr:uid="{79CB69CC-593D-434F-8039-65D029E9695A}"/>
    <cellStyle name="Normal 3 2 3 3 5 3" xfId="6368" xr:uid="{00000000-0005-0000-0000-0000B7110000}"/>
    <cellStyle name="Normal 3 2 3 3 5 3 2" xfId="14810" xr:uid="{1048DA4B-5D34-4AE4-9970-1EDCD7167431}"/>
    <cellStyle name="Normal 3 2 3 3 5 3 3" xfId="23247" xr:uid="{7D95BAA5-346D-4C58-9C3C-4951B58321AA}"/>
    <cellStyle name="Normal 3 2 3 3 5 4" xfId="10592" xr:uid="{0FC156EB-E7C8-4DB7-BF27-DB43029459D4}"/>
    <cellStyle name="Normal 3 2 3 3 5 5" xfId="19030" xr:uid="{D1163A4F-E513-44A9-BE1A-DEC4ECB33020}"/>
    <cellStyle name="Normal 3 2 3 3 6" xfId="2497" xr:uid="{00000000-0005-0000-0000-0000B8110000}"/>
    <cellStyle name="Normal 3 2 3 3 6 2" xfId="6781" xr:uid="{00000000-0005-0000-0000-0000B9110000}"/>
    <cellStyle name="Normal 3 2 3 3 6 2 2" xfId="15223" xr:uid="{C5A70FBE-056E-4E79-BD04-11EF160C2954}"/>
    <cellStyle name="Normal 3 2 3 3 6 2 3" xfId="23660" xr:uid="{9C04170D-E073-47F2-BD14-3A0773674529}"/>
    <cellStyle name="Normal 3 2 3 3 6 3" xfId="11005" xr:uid="{3038DE51-304D-49CD-9EE6-6C65C7A9737E}"/>
    <cellStyle name="Normal 3 2 3 3 6 4" xfId="19443" xr:uid="{7BDD52B9-EFE2-471E-A936-44063E3F37FD}"/>
    <cellStyle name="Normal 3 2 3 3 7" xfId="4715" xr:uid="{00000000-0005-0000-0000-0000BA110000}"/>
    <cellStyle name="Normal 3 2 3 3 7 2" xfId="13157" xr:uid="{A1F14201-9E16-4127-8795-47335072300C}"/>
    <cellStyle name="Normal 3 2 3 3 7 3" xfId="21594" xr:uid="{B476D7D9-A314-438A-8997-B63AA484F906}"/>
    <cellStyle name="Normal 3 2 3 3 8" xfId="8939" xr:uid="{A6ACA4F0-984F-47C9-BE0A-0EA7CCAC7519}"/>
    <cellStyle name="Normal 3 2 3 3 9" xfId="17377" xr:uid="{5905A873-DF33-4B04-9126-C501CDD3EB03}"/>
    <cellStyle name="Normal 3 2 3 4" xfId="811" xr:uid="{00000000-0005-0000-0000-0000BB110000}"/>
    <cellStyle name="Normal 3 2 3 4 2" xfId="3048" xr:uid="{00000000-0005-0000-0000-0000BC110000}"/>
    <cellStyle name="Normal 3 2 3 4 2 2" xfId="7271" xr:uid="{00000000-0005-0000-0000-0000BD110000}"/>
    <cellStyle name="Normal 3 2 3 4 2 2 2" xfId="15713" xr:uid="{A86B7717-6569-4BBB-A405-F170DBC82819}"/>
    <cellStyle name="Normal 3 2 3 4 2 2 3" xfId="24150" xr:uid="{6F860290-C74A-4F8E-9FE9-4B7A10EDE321}"/>
    <cellStyle name="Normal 3 2 3 4 2 3" xfId="11495" xr:uid="{849B67C8-21A7-471B-B34D-D455375DA9BD}"/>
    <cellStyle name="Normal 3 2 3 4 2 4" xfId="19933" xr:uid="{725C564B-27FC-43E3-A15D-BC695E9C982F}"/>
    <cellStyle name="Normal 3 2 3 4 3" xfId="5126" xr:uid="{00000000-0005-0000-0000-0000BE110000}"/>
    <cellStyle name="Normal 3 2 3 4 3 2" xfId="13568" xr:uid="{B6638DE0-C8EC-40C6-ACB5-7DB167DF4D2F}"/>
    <cellStyle name="Normal 3 2 3 4 3 3" xfId="22005" xr:uid="{CC1484A3-2763-40EF-9C90-D37BBC717F24}"/>
    <cellStyle name="Normal 3 2 3 4 4" xfId="9350" xr:uid="{205A5B58-5989-4BF1-B804-017A6FFE95CE}"/>
    <cellStyle name="Normal 3 2 3 4 5" xfId="17788" xr:uid="{C4864846-B67E-421C-B772-B71A38519D5D}"/>
    <cellStyle name="Normal 3 2 3 5" xfId="1231" xr:uid="{00000000-0005-0000-0000-0000BF110000}"/>
    <cellStyle name="Normal 3 2 3 5 2" xfId="3461" xr:uid="{00000000-0005-0000-0000-0000C0110000}"/>
    <cellStyle name="Normal 3 2 3 5 2 2" xfId="7684" xr:uid="{00000000-0005-0000-0000-0000C1110000}"/>
    <cellStyle name="Normal 3 2 3 5 2 2 2" xfId="16126" xr:uid="{CE9E9305-5CA4-4801-A723-025F7481AF9D}"/>
    <cellStyle name="Normal 3 2 3 5 2 2 3" xfId="24563" xr:uid="{5061CA8B-A958-429B-90BB-C4F95F532091}"/>
    <cellStyle name="Normal 3 2 3 5 2 3" xfId="11908" xr:uid="{B4F55675-AD46-4C4B-952B-1D62DD6546D7}"/>
    <cellStyle name="Normal 3 2 3 5 2 4" xfId="20346" xr:uid="{A53C1E36-08D1-4008-96DC-9D739A97A7F3}"/>
    <cellStyle name="Normal 3 2 3 5 3" xfId="5539" xr:uid="{00000000-0005-0000-0000-0000C2110000}"/>
    <cellStyle name="Normal 3 2 3 5 3 2" xfId="13981" xr:uid="{6353E0E4-E926-48E0-8971-BD3D09BD196A}"/>
    <cellStyle name="Normal 3 2 3 5 3 3" xfId="22418" xr:uid="{62F6C380-4C89-4FE5-ACB0-62C7029A7275}"/>
    <cellStyle name="Normal 3 2 3 5 4" xfId="9763" xr:uid="{32AFD374-4D59-4A22-848E-818A185F39EE}"/>
    <cellStyle name="Normal 3 2 3 5 5" xfId="18201" xr:uid="{A4FE0036-FED3-4049-8184-D3F3DE7B12E3}"/>
    <cellStyle name="Normal 3 2 3 6" xfId="1644" xr:uid="{00000000-0005-0000-0000-0000C3110000}"/>
    <cellStyle name="Normal 3 2 3 6 2" xfId="3874" xr:uid="{00000000-0005-0000-0000-0000C4110000}"/>
    <cellStyle name="Normal 3 2 3 6 2 2" xfId="8097" xr:uid="{00000000-0005-0000-0000-0000C5110000}"/>
    <cellStyle name="Normal 3 2 3 6 2 2 2" xfId="16539" xr:uid="{DD76E628-F402-4118-8776-E0092C3E0D75}"/>
    <cellStyle name="Normal 3 2 3 6 2 2 3" xfId="24976" xr:uid="{3DDA7AF5-2FEB-48CF-BA87-2989C758472D}"/>
    <cellStyle name="Normal 3 2 3 6 2 3" xfId="12321" xr:uid="{090FE259-F71C-4815-BCBF-76682C15B90D}"/>
    <cellStyle name="Normal 3 2 3 6 2 4" xfId="20759" xr:uid="{D75E61D2-4FE3-49F4-ABEB-3DE39AA4BE00}"/>
    <cellStyle name="Normal 3 2 3 6 3" xfId="5952" xr:uid="{00000000-0005-0000-0000-0000C6110000}"/>
    <cellStyle name="Normal 3 2 3 6 3 2" xfId="14394" xr:uid="{C8FDC7F2-5262-4909-A442-3F4CC05BFAC2}"/>
    <cellStyle name="Normal 3 2 3 6 3 3" xfId="22831" xr:uid="{174D79BA-73E1-4F38-AFE1-555A8206769C}"/>
    <cellStyle name="Normal 3 2 3 6 4" xfId="10176" xr:uid="{A9BD834C-AA52-43EC-8542-887719A9CA57}"/>
    <cellStyle name="Normal 3 2 3 6 5" xfId="18614" xr:uid="{8692984D-A0FE-4BED-B710-9309ECCC1B04}"/>
    <cellStyle name="Normal 3 2 3 7" xfId="2058" xr:uid="{00000000-0005-0000-0000-0000C7110000}"/>
    <cellStyle name="Normal 3 2 3 7 2" xfId="4287" xr:uid="{00000000-0005-0000-0000-0000C8110000}"/>
    <cellStyle name="Normal 3 2 3 7 2 2" xfId="8510" xr:uid="{00000000-0005-0000-0000-0000C9110000}"/>
    <cellStyle name="Normal 3 2 3 7 2 2 2" xfId="16952" xr:uid="{3E2C8AEB-AC24-41E0-A6F7-E189786EA494}"/>
    <cellStyle name="Normal 3 2 3 7 2 2 3" xfId="25389" xr:uid="{DC0B7FD9-936C-497B-8A84-BB84D4CBBAE5}"/>
    <cellStyle name="Normal 3 2 3 7 2 3" xfId="12734" xr:uid="{D3738DC0-D2A1-4566-AD2B-AC38DCCD24CD}"/>
    <cellStyle name="Normal 3 2 3 7 2 4" xfId="21172" xr:uid="{3C29553C-ECF2-4BC2-B41E-F96EA0E20F86}"/>
    <cellStyle name="Normal 3 2 3 7 3" xfId="6365" xr:uid="{00000000-0005-0000-0000-0000CA110000}"/>
    <cellStyle name="Normal 3 2 3 7 3 2" xfId="14807" xr:uid="{CB1FE553-8DD4-45A4-85E6-0B9443DCCC23}"/>
    <cellStyle name="Normal 3 2 3 7 3 3" xfId="23244" xr:uid="{4361E82B-FE37-4DB1-9EFA-05F7230F214E}"/>
    <cellStyle name="Normal 3 2 3 7 4" xfId="10589" xr:uid="{5F7F35DD-1E81-48DF-B28D-C36136890845}"/>
    <cellStyle name="Normal 3 2 3 7 5" xfId="19027" xr:uid="{C73750A0-020D-4ACD-9EE8-9380BB14AC02}"/>
    <cellStyle name="Normal 3 2 3 8" xfId="2494" xr:uid="{00000000-0005-0000-0000-0000CB110000}"/>
    <cellStyle name="Normal 3 2 3 8 2" xfId="6778" xr:uid="{00000000-0005-0000-0000-0000CC110000}"/>
    <cellStyle name="Normal 3 2 3 8 2 2" xfId="15220" xr:uid="{FB00BDC6-4E89-4080-B9C9-28E847C0112C}"/>
    <cellStyle name="Normal 3 2 3 8 2 3" xfId="23657" xr:uid="{87F6876E-DE50-429F-A7CA-489C1D4B6527}"/>
    <cellStyle name="Normal 3 2 3 8 3" xfId="11002" xr:uid="{DF8780D8-2376-4AA7-8857-ED23C39D32B6}"/>
    <cellStyle name="Normal 3 2 3 8 4" xfId="19440" xr:uid="{E1F966D6-8BBD-4BD6-BEDF-5C9664C76714}"/>
    <cellStyle name="Normal 3 2 3 9" xfId="4712" xr:uid="{00000000-0005-0000-0000-0000CD110000}"/>
    <cellStyle name="Normal 3 2 3 9 2" xfId="13154" xr:uid="{CA26754D-CA4F-4BC9-B3DB-70A8600E1CB0}"/>
    <cellStyle name="Normal 3 2 3 9 3" xfId="21591" xr:uid="{727B6891-F179-4B79-B9C7-38082B075A57}"/>
    <cellStyle name="Normal 3 2 4" xfId="809" xr:uid="{00000000-0005-0000-0000-0000CE110000}"/>
    <cellStyle name="Normal 3 2 4 2" xfId="3047" xr:uid="{00000000-0005-0000-0000-0000CF110000}"/>
    <cellStyle name="Normal 3 2 4 2 2" xfId="7270" xr:uid="{00000000-0005-0000-0000-0000D0110000}"/>
    <cellStyle name="Normal 3 2 4 2 2 2" xfId="15712" xr:uid="{2927CA77-EEE3-40AC-892F-8B60481A957E}"/>
    <cellStyle name="Normal 3 2 4 2 2 3" xfId="24149" xr:uid="{E47BD7B9-5417-4BC7-95BB-8060E2864165}"/>
    <cellStyle name="Normal 3 2 4 2 3" xfId="11494" xr:uid="{0C605876-B7E8-4D57-A690-EBED83A14003}"/>
    <cellStyle name="Normal 3 2 4 2 4" xfId="19932" xr:uid="{73F13D1D-1D7E-4679-AA1E-DF18AD8D3FA7}"/>
    <cellStyle name="Normal 3 2 4 3" xfId="5125" xr:uid="{00000000-0005-0000-0000-0000D1110000}"/>
    <cellStyle name="Normal 3 2 4 3 2" xfId="13567" xr:uid="{5117AAB5-8FAD-4FB6-B36A-3B4D4B2EF7B5}"/>
    <cellStyle name="Normal 3 2 4 3 3" xfId="22004" xr:uid="{B5F5C16F-6CEA-48BB-A282-63D42D205474}"/>
    <cellStyle name="Normal 3 2 4 4" xfId="9349" xr:uid="{25B43E7C-5BA7-403A-8D74-9C3321AB0ADE}"/>
    <cellStyle name="Normal 3 2 4 5" xfId="17787" xr:uid="{90EA5EE3-FF0E-416D-9397-9BE2F1F0055B}"/>
    <cellStyle name="Normal 3 2 5" xfId="1230" xr:uid="{00000000-0005-0000-0000-0000D2110000}"/>
    <cellStyle name="Normal 3 2 5 2" xfId="3460" xr:uid="{00000000-0005-0000-0000-0000D3110000}"/>
    <cellStyle name="Normal 3 2 5 2 2" xfId="7683" xr:uid="{00000000-0005-0000-0000-0000D4110000}"/>
    <cellStyle name="Normal 3 2 5 2 2 2" xfId="16125" xr:uid="{7F9A1C77-5C28-4099-BFBA-D1FF727CDE2B}"/>
    <cellStyle name="Normal 3 2 5 2 2 3" xfId="24562" xr:uid="{F664AB18-80C7-4F23-ACB7-3863F218B40E}"/>
    <cellStyle name="Normal 3 2 5 2 3" xfId="11907" xr:uid="{79F81D2C-03F6-4C3A-A656-461B9B003FFC}"/>
    <cellStyle name="Normal 3 2 5 2 4" xfId="20345" xr:uid="{2ACA1274-6E17-4AF1-9F56-83B9C669920A}"/>
    <cellStyle name="Normal 3 2 5 3" xfId="5538" xr:uid="{00000000-0005-0000-0000-0000D5110000}"/>
    <cellStyle name="Normal 3 2 5 3 2" xfId="13980" xr:uid="{1BF2C420-AD6F-4220-8F65-8364F60F56EB}"/>
    <cellStyle name="Normal 3 2 5 3 3" xfId="22417" xr:uid="{BA7214EF-AA0B-4B11-9387-32F369D12169}"/>
    <cellStyle name="Normal 3 2 5 4" xfId="9762" xr:uid="{506C6A64-802B-4D8E-A7DA-833569B29D5F}"/>
    <cellStyle name="Normal 3 2 5 5" xfId="18200" xr:uid="{263104AC-7B02-431A-80EA-B91058A39A22}"/>
    <cellStyle name="Normal 3 2 6" xfId="1643" xr:uid="{00000000-0005-0000-0000-0000D6110000}"/>
    <cellStyle name="Normal 3 2 6 2" xfId="3873" xr:uid="{00000000-0005-0000-0000-0000D7110000}"/>
    <cellStyle name="Normal 3 2 6 2 2" xfId="8096" xr:uid="{00000000-0005-0000-0000-0000D8110000}"/>
    <cellStyle name="Normal 3 2 6 2 2 2" xfId="16538" xr:uid="{DCF9D403-2715-498B-BC08-BD6E21FFFE20}"/>
    <cellStyle name="Normal 3 2 6 2 2 3" xfId="24975" xr:uid="{B20AC62D-91A5-48BD-BFC8-B6021A75FF4A}"/>
    <cellStyle name="Normal 3 2 6 2 3" xfId="12320" xr:uid="{ADEFC3D2-CB30-418C-897B-769123ACFED5}"/>
    <cellStyle name="Normal 3 2 6 2 4" xfId="20758" xr:uid="{D112CC0F-FEC3-42C0-A2E9-AD5ADF6C4FF1}"/>
    <cellStyle name="Normal 3 2 6 3" xfId="5951" xr:uid="{00000000-0005-0000-0000-0000D9110000}"/>
    <cellStyle name="Normal 3 2 6 3 2" xfId="14393" xr:uid="{9E52536E-FB9C-4A5E-9B3C-B0308E8A9E26}"/>
    <cellStyle name="Normal 3 2 6 3 3" xfId="22830" xr:uid="{BAF2769E-83C9-469E-A406-5925D72304F7}"/>
    <cellStyle name="Normal 3 2 6 4" xfId="10175" xr:uid="{FE2DD911-6ABA-4BDB-885C-BCB279BB372B}"/>
    <cellStyle name="Normal 3 2 6 5" xfId="18613" xr:uid="{1FC78313-5C46-4496-9D1D-5A8554CB1613}"/>
    <cellStyle name="Normal 3 2 7" xfId="2057" xr:uid="{00000000-0005-0000-0000-0000DA110000}"/>
    <cellStyle name="Normal 3 2 7 2" xfId="4286" xr:uid="{00000000-0005-0000-0000-0000DB110000}"/>
    <cellStyle name="Normal 3 2 7 2 2" xfId="8509" xr:uid="{00000000-0005-0000-0000-0000DC110000}"/>
    <cellStyle name="Normal 3 2 7 2 2 2" xfId="16951" xr:uid="{FE426962-E51D-4F20-85D1-C362A7C80DAB}"/>
    <cellStyle name="Normal 3 2 7 2 2 3" xfId="25388" xr:uid="{92A06508-8DCF-4D38-A4A4-3F6F5FF3DEF0}"/>
    <cellStyle name="Normal 3 2 7 2 3" xfId="12733" xr:uid="{D2BD74AD-802B-44C2-A954-50017755C3BE}"/>
    <cellStyle name="Normal 3 2 7 2 4" xfId="21171" xr:uid="{3E2E4844-38A2-4F48-93B1-883C90405045}"/>
    <cellStyle name="Normal 3 2 7 3" xfId="6364" xr:uid="{00000000-0005-0000-0000-0000DD110000}"/>
    <cellStyle name="Normal 3 2 7 3 2" xfId="14806" xr:uid="{11C39B5D-A09F-4074-AC42-27604B739831}"/>
    <cellStyle name="Normal 3 2 7 3 3" xfId="23243" xr:uid="{3943F767-8203-4DB6-ABC4-2C987BB1B8B1}"/>
    <cellStyle name="Normal 3 2 7 4" xfId="10588" xr:uid="{577EE371-58B7-4152-BF21-85F2D422C059}"/>
    <cellStyle name="Normal 3 2 7 5" xfId="19026" xr:uid="{24365CC1-A54A-482E-94B9-1F45D7138242}"/>
    <cellStyle name="Normal 3 2 8" xfId="2493" xr:uid="{00000000-0005-0000-0000-0000DE110000}"/>
    <cellStyle name="Normal 3 2 8 2" xfId="6777" xr:uid="{00000000-0005-0000-0000-0000DF110000}"/>
    <cellStyle name="Normal 3 2 8 2 2" xfId="15219" xr:uid="{CF2540E6-EBB3-42B9-989B-0A3EFA2F48EB}"/>
    <cellStyle name="Normal 3 2 8 2 3" xfId="23656" xr:uid="{5647E375-EBDD-4E6B-A23F-8670304BFEDA}"/>
    <cellStyle name="Normal 3 2 8 3" xfId="11001" xr:uid="{C3867C96-E83B-4015-9AE6-3665A50E0196}"/>
    <cellStyle name="Normal 3 2 8 4" xfId="19439" xr:uid="{DE83B8CD-8C7B-4878-A99C-EC47148456F3}"/>
    <cellStyle name="Normal 3 2 9" xfId="4711" xr:uid="{00000000-0005-0000-0000-0000E0110000}"/>
    <cellStyle name="Normal 3 2 9 2" xfId="13153" xr:uid="{D3008C93-F5C4-4179-9334-D20E76721575}"/>
    <cellStyle name="Normal 3 2 9 3" xfId="21590" xr:uid="{44DF76C0-6480-46DA-B6B4-3D011F1FDD74}"/>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40" xr:uid="{0473D7DE-6FB9-4F55-890C-BBEF05A1BCE2}"/>
    <cellStyle name="Normal 4 11" xfId="17378" xr:uid="{37CA2529-CA4C-41AF-A351-81AD008D720C}"/>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2 2 2" xfId="16956" xr:uid="{E5FD7061-76C2-4EE7-A58E-8E879E4AE79E}"/>
    <cellStyle name="Normal 4 2 2 10 2 2 3" xfId="25393" xr:uid="{2AB929F1-7014-4AAB-9C7C-3C271EE548D8}"/>
    <cellStyle name="Normal 4 2 2 10 2 3" xfId="12738" xr:uid="{1D5D0888-6C2B-4AF8-8F09-F6F9276B873E}"/>
    <cellStyle name="Normal 4 2 2 10 2 4" xfId="21176" xr:uid="{01D9052C-1A9C-42B3-B5D4-5688C8C5A8CD}"/>
    <cellStyle name="Normal 4 2 2 10 3" xfId="6369" xr:uid="{00000000-0005-0000-0000-0000ED110000}"/>
    <cellStyle name="Normal 4 2 2 10 3 2" xfId="14811" xr:uid="{F40A6225-7865-4614-BEAC-0B8EF0AC8BED}"/>
    <cellStyle name="Normal 4 2 2 10 3 3" xfId="23248" xr:uid="{80937634-3CDE-4334-B611-CDF009B65E06}"/>
    <cellStyle name="Normal 4 2 2 10 4" xfId="10593" xr:uid="{093A6316-6A92-4D51-B83B-9F6D68E67EB0}"/>
    <cellStyle name="Normal 4 2 2 10 5" xfId="19031" xr:uid="{C00E720F-44A0-4F33-8638-228D81410652}"/>
    <cellStyle name="Normal 4 2 2 11" xfId="2498" xr:uid="{00000000-0005-0000-0000-0000EE110000}"/>
    <cellStyle name="Normal 4 2 2 11 2" xfId="6782" xr:uid="{00000000-0005-0000-0000-0000EF110000}"/>
    <cellStyle name="Normal 4 2 2 11 2 2" xfId="15224" xr:uid="{BB1417F6-9E7C-4AD8-ADDB-3B0EC06BB689}"/>
    <cellStyle name="Normal 4 2 2 11 2 3" xfId="23661" xr:uid="{0B396530-37C9-452B-96E4-6A75F5A76EEA}"/>
    <cellStyle name="Normal 4 2 2 11 3" xfId="11006" xr:uid="{A4002CA3-2AC0-49F2-AC62-F47D312F92AC}"/>
    <cellStyle name="Normal 4 2 2 11 4" xfId="19444" xr:uid="{FF03B950-D3B6-458C-9794-5E9FD177DAB3}"/>
    <cellStyle name="Normal 4 2 2 12" xfId="4717" xr:uid="{00000000-0005-0000-0000-0000F0110000}"/>
    <cellStyle name="Normal 4 2 2 12 2" xfId="13159" xr:uid="{B0815A7D-ACB5-4B77-9D80-E75CF4C70903}"/>
    <cellStyle name="Normal 4 2 2 12 3" xfId="21596" xr:uid="{05FF69A6-EC7F-41C4-B75B-628A43424A0D}"/>
    <cellStyle name="Normal 4 2 2 13" xfId="8941" xr:uid="{C8098028-03E2-4BFD-94FB-C4E2D7213F52}"/>
    <cellStyle name="Normal 4 2 2 14" xfId="17379" xr:uid="{B50229CB-4CB5-4CFA-B1F2-B2876DEB14E7}"/>
    <cellStyle name="Normal 4 2 2 2" xfId="338" xr:uid="{00000000-0005-0000-0000-0000F1110000}"/>
    <cellStyle name="Normal 4 2 2 3" xfId="339" xr:uid="{00000000-0005-0000-0000-0000F2110000}"/>
    <cellStyle name="Normal 4 2 2 3 10" xfId="4718" xr:uid="{00000000-0005-0000-0000-0000F3110000}"/>
    <cellStyle name="Normal 4 2 2 3 10 2" xfId="13160" xr:uid="{23242818-375E-4246-9609-5B3535442D59}"/>
    <cellStyle name="Normal 4 2 2 3 10 3" xfId="21597" xr:uid="{16D969BB-995A-4D44-9AE5-77F7F1A75C0E}"/>
    <cellStyle name="Normal 4 2 2 3 11" xfId="8942" xr:uid="{C199082C-E845-42CB-81CD-D1474D2BE9D9}"/>
    <cellStyle name="Normal 4 2 2 3 12" xfId="17380" xr:uid="{25AA2B72-C8EE-458E-9B3F-BB349A87CCD2}"/>
    <cellStyle name="Normal 4 2 2 3 2" xfId="340" xr:uid="{00000000-0005-0000-0000-0000F4110000}"/>
    <cellStyle name="Normal 4 2 2 3 2 10" xfId="8943" xr:uid="{27DF6F0B-E73B-466A-AF63-63A9F0355614}"/>
    <cellStyle name="Normal 4 2 2 3 2 11" xfId="17381" xr:uid="{D5F35CFD-F438-465E-9757-60C366F883F5}"/>
    <cellStyle name="Normal 4 2 2 3 2 2" xfId="341" xr:uid="{00000000-0005-0000-0000-0000F5110000}"/>
    <cellStyle name="Normal 4 2 2 3 2 2 10" xfId="17382" xr:uid="{09F47FCC-B7AC-4043-B158-63E405D16CE5}"/>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2 2 2" xfId="15721" xr:uid="{61B43115-6106-4C61-A4AB-BD5016FD43BB}"/>
    <cellStyle name="Normal 4 2 2 3 2 2 2 2 2 2 3" xfId="24158" xr:uid="{88B597AE-AEB6-4300-8E76-666028932841}"/>
    <cellStyle name="Normal 4 2 2 3 2 2 2 2 2 3" xfId="11503" xr:uid="{B57EEADA-FAFB-4BE0-8F7B-CE80DC5BFAF0}"/>
    <cellStyle name="Normal 4 2 2 3 2 2 2 2 2 4" xfId="19941" xr:uid="{6C3F14CD-A342-4001-8C8E-ABDCF0E83381}"/>
    <cellStyle name="Normal 4 2 2 3 2 2 2 2 3" xfId="5134" xr:uid="{00000000-0005-0000-0000-0000FA110000}"/>
    <cellStyle name="Normal 4 2 2 3 2 2 2 2 3 2" xfId="13576" xr:uid="{0483A429-F12A-41D3-9394-FDF42262AAEE}"/>
    <cellStyle name="Normal 4 2 2 3 2 2 2 2 3 3" xfId="22013" xr:uid="{531F76F4-13CC-4184-8EED-54A56FAB7EF9}"/>
    <cellStyle name="Normal 4 2 2 3 2 2 2 2 4" xfId="9358" xr:uid="{EF483938-0BCE-486E-8DBF-254A0190D989}"/>
    <cellStyle name="Normal 4 2 2 3 2 2 2 2 5" xfId="17796" xr:uid="{E491D3F0-5A91-49E9-B667-A7EF3F48C906}"/>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2 2 2" xfId="16134" xr:uid="{05179949-129B-4150-9EE0-5E948A6680DB}"/>
    <cellStyle name="Normal 4 2 2 3 2 2 2 3 2 2 3" xfId="24571" xr:uid="{AA839B34-C1A7-44BB-98C8-791382510BD1}"/>
    <cellStyle name="Normal 4 2 2 3 2 2 2 3 2 3" xfId="11916" xr:uid="{6B4DF0A4-DDCF-4E56-842F-4EBC58BE796B}"/>
    <cellStyle name="Normal 4 2 2 3 2 2 2 3 2 4" xfId="20354" xr:uid="{263A54FD-6272-4827-8282-AB4A1F04F5E3}"/>
    <cellStyle name="Normal 4 2 2 3 2 2 2 3 3" xfId="5547" xr:uid="{00000000-0005-0000-0000-0000FE110000}"/>
    <cellStyle name="Normal 4 2 2 3 2 2 2 3 3 2" xfId="13989" xr:uid="{119AC730-CF60-453A-BF3B-A0B43825F7F9}"/>
    <cellStyle name="Normal 4 2 2 3 2 2 2 3 3 3" xfId="22426" xr:uid="{EFC1A6C2-0FAE-4C68-8AD6-ADE12EC4DC08}"/>
    <cellStyle name="Normal 4 2 2 3 2 2 2 3 4" xfId="9771" xr:uid="{6F0EB34B-8909-4B9B-9B1F-7F41C60F8644}"/>
    <cellStyle name="Normal 4 2 2 3 2 2 2 3 5" xfId="18209" xr:uid="{F44034B0-9992-465E-B9DD-251C2EEF1BDC}"/>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2 2 2" xfId="16547" xr:uid="{22F99B2E-6843-49DC-8B2A-EE24722FB049}"/>
    <cellStyle name="Normal 4 2 2 3 2 2 2 4 2 2 3" xfId="24984" xr:uid="{6453BBB9-9D28-4B1A-9D75-771AC1A4B48E}"/>
    <cellStyle name="Normal 4 2 2 3 2 2 2 4 2 3" xfId="12329" xr:uid="{4788023A-53DD-4072-B8C1-F39D0461B4B0}"/>
    <cellStyle name="Normal 4 2 2 3 2 2 2 4 2 4" xfId="20767" xr:uid="{12829876-5E9B-4304-9EEE-11D06E60B49F}"/>
    <cellStyle name="Normal 4 2 2 3 2 2 2 4 3" xfId="5960" xr:uid="{00000000-0005-0000-0000-000002120000}"/>
    <cellStyle name="Normal 4 2 2 3 2 2 2 4 3 2" xfId="14402" xr:uid="{8A44DDEA-4EE2-4B6D-B964-EA27134BE9FA}"/>
    <cellStyle name="Normal 4 2 2 3 2 2 2 4 3 3" xfId="22839" xr:uid="{CB469B06-45DE-4604-B830-A13BEACBDBB5}"/>
    <cellStyle name="Normal 4 2 2 3 2 2 2 4 4" xfId="10184" xr:uid="{DAF1AFBE-CFFC-4D47-B380-DDF326932715}"/>
    <cellStyle name="Normal 4 2 2 3 2 2 2 4 5" xfId="18622" xr:uid="{65EE18CB-E729-4E1E-B6BD-66751F643275}"/>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2 2 2" xfId="16960" xr:uid="{481D9A46-901F-438C-B7AF-15E033546D1F}"/>
    <cellStyle name="Normal 4 2 2 3 2 2 2 5 2 2 3" xfId="25397" xr:uid="{9CA6CF45-B7A3-4602-8ECC-0E3D705EDB79}"/>
    <cellStyle name="Normal 4 2 2 3 2 2 2 5 2 3" xfId="12742" xr:uid="{6CEDA6CC-9413-45F4-AB35-231890E074C5}"/>
    <cellStyle name="Normal 4 2 2 3 2 2 2 5 2 4" xfId="21180" xr:uid="{173F283E-0667-451E-A916-554CB2461675}"/>
    <cellStyle name="Normal 4 2 2 3 2 2 2 5 3" xfId="6373" xr:uid="{00000000-0005-0000-0000-000006120000}"/>
    <cellStyle name="Normal 4 2 2 3 2 2 2 5 3 2" xfId="14815" xr:uid="{57B5DC33-7EA9-4D74-9A66-93E4CBE3D06A}"/>
    <cellStyle name="Normal 4 2 2 3 2 2 2 5 3 3" xfId="23252" xr:uid="{CD24C5F9-AD3C-4C70-9C9E-02F5FFD11982}"/>
    <cellStyle name="Normal 4 2 2 3 2 2 2 5 4" xfId="10597" xr:uid="{54F70BDA-5F9C-416C-B440-3677B18161D4}"/>
    <cellStyle name="Normal 4 2 2 3 2 2 2 5 5" xfId="19035" xr:uid="{5A25F6FE-E1E8-4A90-A822-10D42FFEB21B}"/>
    <cellStyle name="Normal 4 2 2 3 2 2 2 6" xfId="2502" xr:uid="{00000000-0005-0000-0000-000007120000}"/>
    <cellStyle name="Normal 4 2 2 3 2 2 2 6 2" xfId="6786" xr:uid="{00000000-0005-0000-0000-000008120000}"/>
    <cellStyle name="Normal 4 2 2 3 2 2 2 6 2 2" xfId="15228" xr:uid="{8EC6C58F-9EF5-4CBF-AD73-E8CB43567D7A}"/>
    <cellStyle name="Normal 4 2 2 3 2 2 2 6 2 3" xfId="23665" xr:uid="{0E976D6D-2B3E-416E-B738-AA6850892FDD}"/>
    <cellStyle name="Normal 4 2 2 3 2 2 2 6 3" xfId="11010" xr:uid="{F09CE26D-E5C8-44B7-90EA-10C567FB3302}"/>
    <cellStyle name="Normal 4 2 2 3 2 2 2 6 4" xfId="19448" xr:uid="{18459451-A04A-42EB-A0D1-9901F4204798}"/>
    <cellStyle name="Normal 4 2 2 3 2 2 2 7" xfId="4721" xr:uid="{00000000-0005-0000-0000-000009120000}"/>
    <cellStyle name="Normal 4 2 2 3 2 2 2 7 2" xfId="13163" xr:uid="{C604475A-3818-41D3-95B7-C327EA9E7796}"/>
    <cellStyle name="Normal 4 2 2 3 2 2 2 7 3" xfId="21600" xr:uid="{F52EA69F-17F5-49C3-AC83-25D2057F5603}"/>
    <cellStyle name="Normal 4 2 2 3 2 2 2 8" xfId="8945" xr:uid="{370CC2D3-8010-4E0F-A2B8-154150C4DBBE}"/>
    <cellStyle name="Normal 4 2 2 3 2 2 2 9" xfId="17383" xr:uid="{CE5BCCDA-8CAC-495A-B185-0D520207474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2 2 2" xfId="15720" xr:uid="{FA4B5412-91C4-4FFF-B1FA-2403A89C836A}"/>
    <cellStyle name="Normal 4 2 2 3 2 2 3 2 2 3" xfId="24157" xr:uid="{C5F8467F-19B6-4A25-9417-BFEF0F100687}"/>
    <cellStyle name="Normal 4 2 2 3 2 2 3 2 3" xfId="11502" xr:uid="{BF689ACE-BAD4-44E7-A96C-360F72B8197E}"/>
    <cellStyle name="Normal 4 2 2 3 2 2 3 2 4" xfId="19940" xr:uid="{0F522411-C3A1-406D-88F8-E7BCCEE38895}"/>
    <cellStyle name="Normal 4 2 2 3 2 2 3 3" xfId="5133" xr:uid="{00000000-0005-0000-0000-00000D120000}"/>
    <cellStyle name="Normal 4 2 2 3 2 2 3 3 2" xfId="13575" xr:uid="{3FA67D3B-9F39-4BC5-8F99-32CE4490CAB8}"/>
    <cellStyle name="Normal 4 2 2 3 2 2 3 3 3" xfId="22012" xr:uid="{E8A38AF9-6F0F-42B9-998E-6585F4DBEE6E}"/>
    <cellStyle name="Normal 4 2 2 3 2 2 3 4" xfId="9357" xr:uid="{916EC793-9A6D-40BE-BDBA-284E0C1D9684}"/>
    <cellStyle name="Normal 4 2 2 3 2 2 3 5" xfId="17795" xr:uid="{1A9BD1A4-C70E-4300-80C1-BB75A7D40237}"/>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2 2 2" xfId="16133" xr:uid="{25EA646D-0A59-45DD-9662-8E043E9F605C}"/>
    <cellStyle name="Normal 4 2 2 3 2 2 4 2 2 3" xfId="24570" xr:uid="{A43FC0BA-7187-43E7-864B-BEEC51733AB1}"/>
    <cellStyle name="Normal 4 2 2 3 2 2 4 2 3" xfId="11915" xr:uid="{326A72BD-B6A4-4359-AA0A-8D994FF71B8C}"/>
    <cellStyle name="Normal 4 2 2 3 2 2 4 2 4" xfId="20353" xr:uid="{298F7129-E922-4A32-ACCE-137A08D1DB0A}"/>
    <cellStyle name="Normal 4 2 2 3 2 2 4 3" xfId="5546" xr:uid="{00000000-0005-0000-0000-000011120000}"/>
    <cellStyle name="Normal 4 2 2 3 2 2 4 3 2" xfId="13988" xr:uid="{7DD24796-E7B3-4496-9731-A02F7DB5FEF0}"/>
    <cellStyle name="Normal 4 2 2 3 2 2 4 3 3" xfId="22425" xr:uid="{A472877A-251E-401B-8C76-C2719B4CE2D1}"/>
    <cellStyle name="Normal 4 2 2 3 2 2 4 4" xfId="9770" xr:uid="{054430A2-88DB-4834-9B21-C03DEEBD7623}"/>
    <cellStyle name="Normal 4 2 2 3 2 2 4 5" xfId="18208" xr:uid="{B5147514-5514-47D8-8E4A-9B4B4966A4F4}"/>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2 2 2" xfId="16546" xr:uid="{3E3324AB-3D42-446F-BD63-F647248489C5}"/>
    <cellStyle name="Normal 4 2 2 3 2 2 5 2 2 3" xfId="24983" xr:uid="{2132F2E5-3064-4117-9256-48591697550C}"/>
    <cellStyle name="Normal 4 2 2 3 2 2 5 2 3" xfId="12328" xr:uid="{EFCDB58E-120D-418D-84E4-5AA7229F887B}"/>
    <cellStyle name="Normal 4 2 2 3 2 2 5 2 4" xfId="20766" xr:uid="{E11513F2-B9DD-4B46-AA33-08B79355D1F8}"/>
    <cellStyle name="Normal 4 2 2 3 2 2 5 3" xfId="5959" xr:uid="{00000000-0005-0000-0000-000015120000}"/>
    <cellStyle name="Normal 4 2 2 3 2 2 5 3 2" xfId="14401" xr:uid="{D66EBC6A-DC26-4141-97A5-B52F8E64B272}"/>
    <cellStyle name="Normal 4 2 2 3 2 2 5 3 3" xfId="22838" xr:uid="{778EF633-5339-4C28-8C7C-6A8AE44A4316}"/>
    <cellStyle name="Normal 4 2 2 3 2 2 5 4" xfId="10183" xr:uid="{DBED7BB7-D061-4D96-85A2-BD6A9D7396B4}"/>
    <cellStyle name="Normal 4 2 2 3 2 2 5 5" xfId="18621" xr:uid="{BE7C4265-B626-4946-9955-603D5D5B53D1}"/>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2 2 2" xfId="16959" xr:uid="{56B8CD08-8767-460C-BB10-D8DAE3FDFB1B}"/>
    <cellStyle name="Normal 4 2 2 3 2 2 6 2 2 3" xfId="25396" xr:uid="{0082CF5E-234C-4F2E-8926-33D89E1BE2A2}"/>
    <cellStyle name="Normal 4 2 2 3 2 2 6 2 3" xfId="12741" xr:uid="{08FE1BA8-FF3B-4F7A-AF43-E0BB5A461047}"/>
    <cellStyle name="Normal 4 2 2 3 2 2 6 2 4" xfId="21179" xr:uid="{A897F2FF-1FDD-46D1-A37F-A80B91B7CCAA}"/>
    <cellStyle name="Normal 4 2 2 3 2 2 6 3" xfId="6372" xr:uid="{00000000-0005-0000-0000-000019120000}"/>
    <cellStyle name="Normal 4 2 2 3 2 2 6 3 2" xfId="14814" xr:uid="{CCF1AC67-5F12-4ED4-9AF1-37894B5E7AB6}"/>
    <cellStyle name="Normal 4 2 2 3 2 2 6 3 3" xfId="23251" xr:uid="{329843C2-6479-493C-9081-22AC9E809597}"/>
    <cellStyle name="Normal 4 2 2 3 2 2 6 4" xfId="10596" xr:uid="{45D3DF99-4DB0-41C3-AD84-B9728655C0CE}"/>
    <cellStyle name="Normal 4 2 2 3 2 2 6 5" xfId="19034" xr:uid="{C20D4231-EBCF-4171-A178-F2A87F6EA3E7}"/>
    <cellStyle name="Normal 4 2 2 3 2 2 7" xfId="2501" xr:uid="{00000000-0005-0000-0000-00001A120000}"/>
    <cellStyle name="Normal 4 2 2 3 2 2 7 2" xfId="6785" xr:uid="{00000000-0005-0000-0000-00001B120000}"/>
    <cellStyle name="Normal 4 2 2 3 2 2 7 2 2" xfId="15227" xr:uid="{BA1E2D82-BDE6-408C-BD15-D2447D885F37}"/>
    <cellStyle name="Normal 4 2 2 3 2 2 7 2 3" xfId="23664" xr:uid="{9A4BDD96-3024-4DDB-9780-B2DF48FD17A4}"/>
    <cellStyle name="Normal 4 2 2 3 2 2 7 3" xfId="11009" xr:uid="{0A5FD465-1364-4DE1-94F1-51036C54E48F}"/>
    <cellStyle name="Normal 4 2 2 3 2 2 7 4" xfId="19447" xr:uid="{C752F727-4973-458D-960A-0DC0CA5570E3}"/>
    <cellStyle name="Normal 4 2 2 3 2 2 8" xfId="4720" xr:uid="{00000000-0005-0000-0000-00001C120000}"/>
    <cellStyle name="Normal 4 2 2 3 2 2 8 2" xfId="13162" xr:uid="{8281FFD2-3D72-4120-9DA9-515B101E3F35}"/>
    <cellStyle name="Normal 4 2 2 3 2 2 8 3" xfId="21599" xr:uid="{0CD63A84-AAA1-4C02-81CB-94F831E98F33}"/>
    <cellStyle name="Normal 4 2 2 3 2 2 9" xfId="8944" xr:uid="{24AFDA83-50C8-4BFC-BA34-4F52ABF8981E}"/>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2 2 2" xfId="15722" xr:uid="{15B61BD4-FFA8-4836-BF54-364A2EC974B4}"/>
    <cellStyle name="Normal 4 2 2 3 2 3 2 2 2 3" xfId="24159" xr:uid="{39099AB0-9844-45A3-899A-6A2B114E8A58}"/>
    <cellStyle name="Normal 4 2 2 3 2 3 2 2 3" xfId="11504" xr:uid="{BACAE8EF-6B0C-4543-A7EF-4C5311C777FC}"/>
    <cellStyle name="Normal 4 2 2 3 2 3 2 2 4" xfId="19942" xr:uid="{6957B722-17A2-4E30-9713-B53EA9191051}"/>
    <cellStyle name="Normal 4 2 2 3 2 3 2 3" xfId="5135" xr:uid="{00000000-0005-0000-0000-000021120000}"/>
    <cellStyle name="Normal 4 2 2 3 2 3 2 3 2" xfId="13577" xr:uid="{B8815ECA-57FE-49DA-B3D4-A544F0E37877}"/>
    <cellStyle name="Normal 4 2 2 3 2 3 2 3 3" xfId="22014" xr:uid="{CEE85B56-6010-4A58-9CD1-4156B4B2EC21}"/>
    <cellStyle name="Normal 4 2 2 3 2 3 2 4" xfId="9359" xr:uid="{3D354666-0307-41E8-A72D-AD99BC7603F7}"/>
    <cellStyle name="Normal 4 2 2 3 2 3 2 5" xfId="17797" xr:uid="{C7FA748A-42D5-4FDD-B7F8-A3045B52DA89}"/>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2 2 2" xfId="16135" xr:uid="{4746935D-E993-405E-8BED-33D4B3E6F3A3}"/>
    <cellStyle name="Normal 4 2 2 3 2 3 3 2 2 3" xfId="24572" xr:uid="{FAE6951C-2360-463C-9077-C212772EEA55}"/>
    <cellStyle name="Normal 4 2 2 3 2 3 3 2 3" xfId="11917" xr:uid="{84D30C70-7EB9-47D1-8E0E-BF8BBFBF0D34}"/>
    <cellStyle name="Normal 4 2 2 3 2 3 3 2 4" xfId="20355" xr:uid="{3977474E-3771-4295-90A3-D2F02DA03707}"/>
    <cellStyle name="Normal 4 2 2 3 2 3 3 3" xfId="5548" xr:uid="{00000000-0005-0000-0000-000025120000}"/>
    <cellStyle name="Normal 4 2 2 3 2 3 3 3 2" xfId="13990" xr:uid="{3BF3C7E3-4C92-442C-8912-E13346AFC613}"/>
    <cellStyle name="Normal 4 2 2 3 2 3 3 3 3" xfId="22427" xr:uid="{28057A21-B2FF-4917-BDA0-538688200844}"/>
    <cellStyle name="Normal 4 2 2 3 2 3 3 4" xfId="9772" xr:uid="{5D765CEE-25B4-43C9-ACB2-677CF3E2C7B1}"/>
    <cellStyle name="Normal 4 2 2 3 2 3 3 5" xfId="18210" xr:uid="{EB1EAF9C-DA20-4FB9-894B-251AA0CB513B}"/>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2 2 2" xfId="16548" xr:uid="{37A78E5C-799F-42F8-AE18-E6172B10015F}"/>
    <cellStyle name="Normal 4 2 2 3 2 3 4 2 2 3" xfId="24985" xr:uid="{86B6B4C8-3347-4B94-BE36-DFC85A1B9029}"/>
    <cellStyle name="Normal 4 2 2 3 2 3 4 2 3" xfId="12330" xr:uid="{3CC646B9-53F3-418D-9B32-A46B977CE256}"/>
    <cellStyle name="Normal 4 2 2 3 2 3 4 2 4" xfId="20768" xr:uid="{11097931-3A66-4A89-ABA8-E6EF3506440D}"/>
    <cellStyle name="Normal 4 2 2 3 2 3 4 3" xfId="5961" xr:uid="{00000000-0005-0000-0000-000029120000}"/>
    <cellStyle name="Normal 4 2 2 3 2 3 4 3 2" xfId="14403" xr:uid="{7153A0CC-6F8E-4259-B3D8-B58B7DF7A343}"/>
    <cellStyle name="Normal 4 2 2 3 2 3 4 3 3" xfId="22840" xr:uid="{3EC277C6-85E8-42E9-8DD3-4E4427DD0195}"/>
    <cellStyle name="Normal 4 2 2 3 2 3 4 4" xfId="10185" xr:uid="{3A41FB77-2545-49F1-8A71-41D687293346}"/>
    <cellStyle name="Normal 4 2 2 3 2 3 4 5" xfId="18623" xr:uid="{47861F08-AFED-430F-BA9D-2A4D7617AC59}"/>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2 2 2" xfId="16961" xr:uid="{9AD2F024-25E6-411D-9017-18C5D5880C4B}"/>
    <cellStyle name="Normal 4 2 2 3 2 3 5 2 2 3" xfId="25398" xr:uid="{A10168EF-E412-4E5E-A418-0BF18472B038}"/>
    <cellStyle name="Normal 4 2 2 3 2 3 5 2 3" xfId="12743" xr:uid="{5CA12DE0-09FB-4161-B7D8-FE96EAF23FBE}"/>
    <cellStyle name="Normal 4 2 2 3 2 3 5 2 4" xfId="21181" xr:uid="{E3032ED3-434D-467B-9251-CF499250C31A}"/>
    <cellStyle name="Normal 4 2 2 3 2 3 5 3" xfId="6374" xr:uid="{00000000-0005-0000-0000-00002D120000}"/>
    <cellStyle name="Normal 4 2 2 3 2 3 5 3 2" xfId="14816" xr:uid="{A57946CC-F8D9-4A32-B4D5-53DBB4FC4FAF}"/>
    <cellStyle name="Normal 4 2 2 3 2 3 5 3 3" xfId="23253" xr:uid="{1D4FE217-124D-49F3-8DC5-5D64C1D8FC52}"/>
    <cellStyle name="Normal 4 2 2 3 2 3 5 4" xfId="10598" xr:uid="{909D02BD-827C-4116-B6C8-226FBCAD1CDD}"/>
    <cellStyle name="Normal 4 2 2 3 2 3 5 5" xfId="19036" xr:uid="{344924C8-CE24-4054-BB48-E11307BF9B35}"/>
    <cellStyle name="Normal 4 2 2 3 2 3 6" xfId="2503" xr:uid="{00000000-0005-0000-0000-00002E120000}"/>
    <cellStyle name="Normal 4 2 2 3 2 3 6 2" xfId="6787" xr:uid="{00000000-0005-0000-0000-00002F120000}"/>
    <cellStyle name="Normal 4 2 2 3 2 3 6 2 2" xfId="15229" xr:uid="{B60A97AB-675A-4BC1-9A71-E953EC3FB232}"/>
    <cellStyle name="Normal 4 2 2 3 2 3 6 2 3" xfId="23666" xr:uid="{8FF73D81-7542-4D0A-BF70-3052676EA6E2}"/>
    <cellStyle name="Normal 4 2 2 3 2 3 6 3" xfId="11011" xr:uid="{32C61A8C-CE06-451F-90E5-64FFC0745563}"/>
    <cellStyle name="Normal 4 2 2 3 2 3 6 4" xfId="19449" xr:uid="{028781A8-0C96-4289-A6E6-3909D746B5C1}"/>
    <cellStyle name="Normal 4 2 2 3 2 3 7" xfId="4722" xr:uid="{00000000-0005-0000-0000-000030120000}"/>
    <cellStyle name="Normal 4 2 2 3 2 3 7 2" xfId="13164" xr:uid="{BB579C00-46E9-465F-B873-7B586521C86F}"/>
    <cellStyle name="Normal 4 2 2 3 2 3 7 3" xfId="21601" xr:uid="{28E9FBDA-9411-485E-9B4D-343DA1667B12}"/>
    <cellStyle name="Normal 4 2 2 3 2 3 8" xfId="8946" xr:uid="{618E699C-A778-42A2-8115-6F8A67A34C05}"/>
    <cellStyle name="Normal 4 2 2 3 2 3 9" xfId="17384" xr:uid="{BC8D5862-582A-4CDD-BA4A-67B4DDB7857C}"/>
    <cellStyle name="Normal 4 2 2 3 2 4" xfId="817" xr:uid="{00000000-0005-0000-0000-000031120000}"/>
    <cellStyle name="Normal 4 2 2 3 2 4 2" xfId="3054" xr:uid="{00000000-0005-0000-0000-000032120000}"/>
    <cellStyle name="Normal 4 2 2 3 2 4 2 2" xfId="7277" xr:uid="{00000000-0005-0000-0000-000033120000}"/>
    <cellStyle name="Normal 4 2 2 3 2 4 2 2 2" xfId="15719" xr:uid="{8A6C7F5D-B932-49B1-8CDB-A9898C4D579A}"/>
    <cellStyle name="Normal 4 2 2 3 2 4 2 2 3" xfId="24156" xr:uid="{76DE4986-E06B-4AE6-A0E2-95278194D832}"/>
    <cellStyle name="Normal 4 2 2 3 2 4 2 3" xfId="11501" xr:uid="{94DB0AC2-B909-4EAF-BB7A-D970D0DC40AC}"/>
    <cellStyle name="Normal 4 2 2 3 2 4 2 4" xfId="19939" xr:uid="{AB29EB07-3317-4859-BFBA-A2B6EE7DC5B5}"/>
    <cellStyle name="Normal 4 2 2 3 2 4 3" xfId="5132" xr:uid="{00000000-0005-0000-0000-000034120000}"/>
    <cellStyle name="Normal 4 2 2 3 2 4 3 2" xfId="13574" xr:uid="{2EF588EB-9315-4842-8C40-F804DFC02EBC}"/>
    <cellStyle name="Normal 4 2 2 3 2 4 3 3" xfId="22011" xr:uid="{0722BE17-A30D-4367-A563-CAF2EE77AA62}"/>
    <cellStyle name="Normal 4 2 2 3 2 4 4" xfId="9356" xr:uid="{4575C21D-5A07-4CA6-A53E-FCAB39C21BCA}"/>
    <cellStyle name="Normal 4 2 2 3 2 4 5" xfId="17794" xr:uid="{7C724917-290A-46D8-BD2F-5A931717E5B8}"/>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2 2 2" xfId="16132" xr:uid="{66998C62-2A60-4920-B01C-06E469A21F85}"/>
    <cellStyle name="Normal 4 2 2 3 2 5 2 2 3" xfId="24569" xr:uid="{46CBC475-DB19-4DF4-811F-3D4DFAE2913F}"/>
    <cellStyle name="Normal 4 2 2 3 2 5 2 3" xfId="11914" xr:uid="{50ACFF7C-B37F-4C73-A21B-1D774951BD9C}"/>
    <cellStyle name="Normal 4 2 2 3 2 5 2 4" xfId="20352" xr:uid="{8876C6AB-1094-46DD-9BBD-64491293D037}"/>
    <cellStyle name="Normal 4 2 2 3 2 5 3" xfId="5545" xr:uid="{00000000-0005-0000-0000-000038120000}"/>
    <cellStyle name="Normal 4 2 2 3 2 5 3 2" xfId="13987" xr:uid="{F82BA695-23F4-485F-83D4-A384D1C869F5}"/>
    <cellStyle name="Normal 4 2 2 3 2 5 3 3" xfId="22424" xr:uid="{89F63AFC-D22E-4653-84F8-8B32223F4389}"/>
    <cellStyle name="Normal 4 2 2 3 2 5 4" xfId="9769" xr:uid="{2D2EA57D-5852-4451-90AF-20B5D6F5638D}"/>
    <cellStyle name="Normal 4 2 2 3 2 5 5" xfId="18207" xr:uid="{D101A24E-E386-4FB7-B560-981E56A3A0C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2 2 2" xfId="16545" xr:uid="{BE25F391-F992-46DB-BC91-AB05E98062EA}"/>
    <cellStyle name="Normal 4 2 2 3 2 6 2 2 3" xfId="24982" xr:uid="{4298B0C7-FE8E-4DFC-92C5-AB874FCBDEDD}"/>
    <cellStyle name="Normal 4 2 2 3 2 6 2 3" xfId="12327" xr:uid="{EBDCD5AB-4AFF-4A64-B10F-FDE8C64BF8F4}"/>
    <cellStyle name="Normal 4 2 2 3 2 6 2 4" xfId="20765" xr:uid="{BB06DD29-E8D4-465F-BA13-62497989BE27}"/>
    <cellStyle name="Normal 4 2 2 3 2 6 3" xfId="5958" xr:uid="{00000000-0005-0000-0000-00003C120000}"/>
    <cellStyle name="Normal 4 2 2 3 2 6 3 2" xfId="14400" xr:uid="{221A3DF1-79E3-4447-A11C-6F60E5DA41BE}"/>
    <cellStyle name="Normal 4 2 2 3 2 6 3 3" xfId="22837" xr:uid="{844C650F-B362-4D61-819D-D6CD91B98C7E}"/>
    <cellStyle name="Normal 4 2 2 3 2 6 4" xfId="10182" xr:uid="{6806CE06-3B2E-4BE1-B133-DD02A3214F7B}"/>
    <cellStyle name="Normal 4 2 2 3 2 6 5" xfId="18620" xr:uid="{800E411B-28D3-4CA9-9F9F-51EB9AA4C27B}"/>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2 2 2" xfId="16958" xr:uid="{0C80DA49-6981-4A75-B62F-68E4EE6449B0}"/>
    <cellStyle name="Normal 4 2 2 3 2 7 2 2 3" xfId="25395" xr:uid="{3708DD67-CE6B-4018-B449-69FFA2679E1C}"/>
    <cellStyle name="Normal 4 2 2 3 2 7 2 3" xfId="12740" xr:uid="{597F914E-6DE0-431F-A4C3-E5DFB4099FD0}"/>
    <cellStyle name="Normal 4 2 2 3 2 7 2 4" xfId="21178" xr:uid="{CE9C0139-55B2-4DB4-89DF-7718FDE6FE70}"/>
    <cellStyle name="Normal 4 2 2 3 2 7 3" xfId="6371" xr:uid="{00000000-0005-0000-0000-000040120000}"/>
    <cellStyle name="Normal 4 2 2 3 2 7 3 2" xfId="14813" xr:uid="{38F1DEE6-B6B8-432D-94DF-A8654C73C783}"/>
    <cellStyle name="Normal 4 2 2 3 2 7 3 3" xfId="23250" xr:uid="{709AA9D7-FD80-4D51-9D20-2C1012856536}"/>
    <cellStyle name="Normal 4 2 2 3 2 7 4" xfId="10595" xr:uid="{617C4805-B6CB-4B61-BA68-2CE398A4CF3E}"/>
    <cellStyle name="Normal 4 2 2 3 2 7 5" xfId="19033" xr:uid="{B256C3FF-6603-4AEC-99E0-AAC78D638FBF}"/>
    <cellStyle name="Normal 4 2 2 3 2 8" xfId="2500" xr:uid="{00000000-0005-0000-0000-000041120000}"/>
    <cellStyle name="Normal 4 2 2 3 2 8 2" xfId="6784" xr:uid="{00000000-0005-0000-0000-000042120000}"/>
    <cellStyle name="Normal 4 2 2 3 2 8 2 2" xfId="15226" xr:uid="{CC2BC658-0A32-4F79-AAAD-280244E1AEF5}"/>
    <cellStyle name="Normal 4 2 2 3 2 8 2 3" xfId="23663" xr:uid="{8782D5A1-DF30-4316-ADF2-91ADF4FE0941}"/>
    <cellStyle name="Normal 4 2 2 3 2 8 3" xfId="11008" xr:uid="{B4921ECD-BA8B-4D30-81C5-18D5BB313199}"/>
    <cellStyle name="Normal 4 2 2 3 2 8 4" xfId="19446" xr:uid="{3050C69B-4FF3-4B7F-A9CE-90744EC8D9A3}"/>
    <cellStyle name="Normal 4 2 2 3 2 9" xfId="4719" xr:uid="{00000000-0005-0000-0000-000043120000}"/>
    <cellStyle name="Normal 4 2 2 3 2 9 2" xfId="13161" xr:uid="{74B16EB0-9A09-409C-9BEE-489D763F9119}"/>
    <cellStyle name="Normal 4 2 2 3 2 9 3" xfId="21598" xr:uid="{3AF9BBB7-62DA-447C-8DE1-B68BCAFBE614}"/>
    <cellStyle name="Normal 4 2 2 3 3" xfId="344" xr:uid="{00000000-0005-0000-0000-000044120000}"/>
    <cellStyle name="Normal 4 2 2 3 3 10" xfId="17385" xr:uid="{A9BA603A-B865-4EF7-B5D1-CE0F98920446}"/>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2 2 2" xfId="15724" xr:uid="{2199082F-A3BA-4412-B5F3-E46C27707845}"/>
    <cellStyle name="Normal 4 2 2 3 3 2 2 2 2 3" xfId="24161" xr:uid="{23A613F7-7D33-4013-BCDC-A0CA9872F5F4}"/>
    <cellStyle name="Normal 4 2 2 3 3 2 2 2 3" xfId="11506" xr:uid="{7909848E-3833-4FD3-8CB2-E7BB73CECE8B}"/>
    <cellStyle name="Normal 4 2 2 3 3 2 2 2 4" xfId="19944" xr:uid="{577D93D2-CF1C-4B95-8BE3-385514410DF3}"/>
    <cellStyle name="Normal 4 2 2 3 3 2 2 3" xfId="5137" xr:uid="{00000000-0005-0000-0000-000049120000}"/>
    <cellStyle name="Normal 4 2 2 3 3 2 2 3 2" xfId="13579" xr:uid="{70EAE3D0-F587-4588-BE92-AD99F1F8A581}"/>
    <cellStyle name="Normal 4 2 2 3 3 2 2 3 3" xfId="22016" xr:uid="{54840033-9281-4FAB-AA82-68DCD7CBE729}"/>
    <cellStyle name="Normal 4 2 2 3 3 2 2 4" xfId="9361" xr:uid="{8BA2E069-D849-4FA6-8C3D-1487A3C0C37C}"/>
    <cellStyle name="Normal 4 2 2 3 3 2 2 5" xfId="17799" xr:uid="{1DE25BC2-38BA-4470-B478-B16536BB0DA5}"/>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2 2 2" xfId="16137" xr:uid="{0620FEA6-3072-4D83-BB61-050A8D527562}"/>
    <cellStyle name="Normal 4 2 2 3 3 2 3 2 2 3" xfId="24574" xr:uid="{AE7979AE-66EE-4E88-97CE-684A497DB85E}"/>
    <cellStyle name="Normal 4 2 2 3 3 2 3 2 3" xfId="11919" xr:uid="{D4146756-196E-4F00-B789-351C7F031517}"/>
    <cellStyle name="Normal 4 2 2 3 3 2 3 2 4" xfId="20357" xr:uid="{3A7C43B7-557C-4430-BA93-BD305D61A912}"/>
    <cellStyle name="Normal 4 2 2 3 3 2 3 3" xfId="5550" xr:uid="{00000000-0005-0000-0000-00004D120000}"/>
    <cellStyle name="Normal 4 2 2 3 3 2 3 3 2" xfId="13992" xr:uid="{FDE07A1D-8978-40CD-9A36-04FD2A85088D}"/>
    <cellStyle name="Normal 4 2 2 3 3 2 3 3 3" xfId="22429" xr:uid="{BF75E052-A748-456A-A320-CB3FDEFEF437}"/>
    <cellStyle name="Normal 4 2 2 3 3 2 3 4" xfId="9774" xr:uid="{7D25B8A5-3E80-4387-92BF-2199E7C78565}"/>
    <cellStyle name="Normal 4 2 2 3 3 2 3 5" xfId="18212" xr:uid="{5D537A9F-BD3F-401E-AB78-8DD428C7ECAF}"/>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2 2 2" xfId="16550" xr:uid="{FB7739BD-5E83-4582-AA08-0C438F354BA4}"/>
    <cellStyle name="Normal 4 2 2 3 3 2 4 2 2 3" xfId="24987" xr:uid="{0A779C1A-32A9-48E0-B5B8-F3E8D856E4F1}"/>
    <cellStyle name="Normal 4 2 2 3 3 2 4 2 3" xfId="12332" xr:uid="{3463F937-FAA9-4F73-8BF8-5C10295C789A}"/>
    <cellStyle name="Normal 4 2 2 3 3 2 4 2 4" xfId="20770" xr:uid="{22A464C8-1DD3-42C4-8F83-7C04F482D505}"/>
    <cellStyle name="Normal 4 2 2 3 3 2 4 3" xfId="5963" xr:uid="{00000000-0005-0000-0000-000051120000}"/>
    <cellStyle name="Normal 4 2 2 3 3 2 4 3 2" xfId="14405" xr:uid="{1FB3E3C5-6C04-4E07-9294-31390D9464C7}"/>
    <cellStyle name="Normal 4 2 2 3 3 2 4 3 3" xfId="22842" xr:uid="{BA6DE2B4-5C0F-4F9A-96AE-2F05FF449A98}"/>
    <cellStyle name="Normal 4 2 2 3 3 2 4 4" xfId="10187" xr:uid="{B38939D2-167D-4AC2-A410-85A1EFAF268D}"/>
    <cellStyle name="Normal 4 2 2 3 3 2 4 5" xfId="18625" xr:uid="{596F58A0-068F-4FD6-9A2A-082B69756FEB}"/>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2 2 2" xfId="16963" xr:uid="{DA7865BB-BDA1-40E8-946B-16AE7760F10B}"/>
    <cellStyle name="Normal 4 2 2 3 3 2 5 2 2 3" xfId="25400" xr:uid="{9695E9D4-4623-494D-8D99-5DE685971B28}"/>
    <cellStyle name="Normal 4 2 2 3 3 2 5 2 3" xfId="12745" xr:uid="{8F2867B5-EBDE-4FBA-9B2D-70837D9C970E}"/>
    <cellStyle name="Normal 4 2 2 3 3 2 5 2 4" xfId="21183" xr:uid="{0FD9E01A-2169-4656-99B6-B9C2FDE0C038}"/>
    <cellStyle name="Normal 4 2 2 3 3 2 5 3" xfId="6376" xr:uid="{00000000-0005-0000-0000-000055120000}"/>
    <cellStyle name="Normal 4 2 2 3 3 2 5 3 2" xfId="14818" xr:uid="{B3876B1D-3A5A-4E9F-830D-48739212AEC4}"/>
    <cellStyle name="Normal 4 2 2 3 3 2 5 3 3" xfId="23255" xr:uid="{47AFA55C-BA17-4B63-A50F-FCD06A7B2CC9}"/>
    <cellStyle name="Normal 4 2 2 3 3 2 5 4" xfId="10600" xr:uid="{120EEDCF-56CF-4E55-BAD6-06C3CFD8B6A5}"/>
    <cellStyle name="Normal 4 2 2 3 3 2 5 5" xfId="19038" xr:uid="{DF351A2F-9EFD-4EC3-A5B0-4261DEF903FB}"/>
    <cellStyle name="Normal 4 2 2 3 3 2 6" xfId="2505" xr:uid="{00000000-0005-0000-0000-000056120000}"/>
    <cellStyle name="Normal 4 2 2 3 3 2 6 2" xfId="6789" xr:uid="{00000000-0005-0000-0000-000057120000}"/>
    <cellStyle name="Normal 4 2 2 3 3 2 6 2 2" xfId="15231" xr:uid="{13BBFD95-B564-4DBE-B272-EB8794015F53}"/>
    <cellStyle name="Normal 4 2 2 3 3 2 6 2 3" xfId="23668" xr:uid="{05C1589E-EFB8-4A31-A4F7-1A6956FF347D}"/>
    <cellStyle name="Normal 4 2 2 3 3 2 6 3" xfId="11013" xr:uid="{32524E8A-12E7-4BBE-89A8-1B38D76B9534}"/>
    <cellStyle name="Normal 4 2 2 3 3 2 6 4" xfId="19451" xr:uid="{22C418A9-2CC5-444A-ADEE-C77D9D82A6E5}"/>
    <cellStyle name="Normal 4 2 2 3 3 2 7" xfId="4724" xr:uid="{00000000-0005-0000-0000-000058120000}"/>
    <cellStyle name="Normal 4 2 2 3 3 2 7 2" xfId="13166" xr:uid="{F0B315A6-C0D0-481C-9D57-5A0EE19D9FCE}"/>
    <cellStyle name="Normal 4 2 2 3 3 2 7 3" xfId="21603" xr:uid="{4F9AB8F2-3963-4FB9-B2C8-F2F65D5958D6}"/>
    <cellStyle name="Normal 4 2 2 3 3 2 8" xfId="8948" xr:uid="{AE9E0170-11A2-4548-A9B3-2AC0E9D05C62}"/>
    <cellStyle name="Normal 4 2 2 3 3 2 9" xfId="17386" xr:uid="{33CA7EE7-3A32-4E7E-B888-E5799807AAC3}"/>
    <cellStyle name="Normal 4 2 2 3 3 3" xfId="821" xr:uid="{00000000-0005-0000-0000-000059120000}"/>
    <cellStyle name="Normal 4 2 2 3 3 3 2" xfId="3058" xr:uid="{00000000-0005-0000-0000-00005A120000}"/>
    <cellStyle name="Normal 4 2 2 3 3 3 2 2" xfId="7281" xr:uid="{00000000-0005-0000-0000-00005B120000}"/>
    <cellStyle name="Normal 4 2 2 3 3 3 2 2 2" xfId="15723" xr:uid="{06B88230-4CA1-4275-AF62-2C5F14A3B3C1}"/>
    <cellStyle name="Normal 4 2 2 3 3 3 2 2 3" xfId="24160" xr:uid="{FD648C68-2967-470E-95CB-3A35B7CD4DA2}"/>
    <cellStyle name="Normal 4 2 2 3 3 3 2 3" xfId="11505" xr:uid="{591BCE8D-EE16-48B8-A987-C5B849B4213C}"/>
    <cellStyle name="Normal 4 2 2 3 3 3 2 4" xfId="19943" xr:uid="{ECFF7790-5925-4122-B2AA-DED55F2AE3EE}"/>
    <cellStyle name="Normal 4 2 2 3 3 3 3" xfId="5136" xr:uid="{00000000-0005-0000-0000-00005C120000}"/>
    <cellStyle name="Normal 4 2 2 3 3 3 3 2" xfId="13578" xr:uid="{310B5C9E-33C5-435B-8773-47761C551DE1}"/>
    <cellStyle name="Normal 4 2 2 3 3 3 3 3" xfId="22015" xr:uid="{C32D8205-4929-4B70-8D42-0365CA6A8655}"/>
    <cellStyle name="Normal 4 2 2 3 3 3 4" xfId="9360" xr:uid="{A9971599-03EC-4279-82BA-280C2FBF0F87}"/>
    <cellStyle name="Normal 4 2 2 3 3 3 5" xfId="17798" xr:uid="{BED5ED4C-D187-4586-BBAE-47A35ED2AEC7}"/>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2 2 2" xfId="16136" xr:uid="{E64D1664-9B63-4F9B-B708-763A1D97DB65}"/>
    <cellStyle name="Normal 4 2 2 3 3 4 2 2 3" xfId="24573" xr:uid="{446B3DE1-2486-4EFA-A21C-0550E814F5B1}"/>
    <cellStyle name="Normal 4 2 2 3 3 4 2 3" xfId="11918" xr:uid="{C14B3A59-07F0-4120-A957-6A2463019D6E}"/>
    <cellStyle name="Normal 4 2 2 3 3 4 2 4" xfId="20356" xr:uid="{C2D770BD-58AE-4788-9AB7-406356B23DDE}"/>
    <cellStyle name="Normal 4 2 2 3 3 4 3" xfId="5549" xr:uid="{00000000-0005-0000-0000-000060120000}"/>
    <cellStyle name="Normal 4 2 2 3 3 4 3 2" xfId="13991" xr:uid="{23931838-26B1-4E98-AADC-D9B7B1F53AD7}"/>
    <cellStyle name="Normal 4 2 2 3 3 4 3 3" xfId="22428" xr:uid="{4DEF5F14-0ABB-4AA8-9F56-126656F5FF5E}"/>
    <cellStyle name="Normal 4 2 2 3 3 4 4" xfId="9773" xr:uid="{AD30C1C2-412F-4B6C-8330-A20B06487C29}"/>
    <cellStyle name="Normal 4 2 2 3 3 4 5" xfId="18211" xr:uid="{16F4BDBA-CCF7-46C0-8948-11C2BCD24422}"/>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2 2 2" xfId="16549" xr:uid="{6417545B-3E7D-4E0E-A4A0-54533D8EF5D3}"/>
    <cellStyle name="Normal 4 2 2 3 3 5 2 2 3" xfId="24986" xr:uid="{5B8A0B57-3325-4FB4-9C6B-DCBA9E6DB422}"/>
    <cellStyle name="Normal 4 2 2 3 3 5 2 3" xfId="12331" xr:uid="{5BFA9A80-9DC0-4BA6-A3DD-DE806081BBF1}"/>
    <cellStyle name="Normal 4 2 2 3 3 5 2 4" xfId="20769" xr:uid="{612DB7FD-155E-4E11-9778-07B59258B050}"/>
    <cellStyle name="Normal 4 2 2 3 3 5 3" xfId="5962" xr:uid="{00000000-0005-0000-0000-000064120000}"/>
    <cellStyle name="Normal 4 2 2 3 3 5 3 2" xfId="14404" xr:uid="{A808A688-00BB-4C99-8F52-9EC997C9D58A}"/>
    <cellStyle name="Normal 4 2 2 3 3 5 3 3" xfId="22841" xr:uid="{2F264C95-BF1D-4625-856D-7253A2438608}"/>
    <cellStyle name="Normal 4 2 2 3 3 5 4" xfId="10186" xr:uid="{946153CF-4431-4135-9DFD-BD333EB2CC6D}"/>
    <cellStyle name="Normal 4 2 2 3 3 5 5" xfId="18624" xr:uid="{CE1275E5-770A-40D9-A623-9FC6FCDB2A8F}"/>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2 2 2" xfId="16962" xr:uid="{7785DC04-F80B-4A14-BCD9-06BA41CA2016}"/>
    <cellStyle name="Normal 4 2 2 3 3 6 2 2 3" xfId="25399" xr:uid="{5A6FB20C-74BA-45CB-9B6E-90AF8A61D9DD}"/>
    <cellStyle name="Normal 4 2 2 3 3 6 2 3" xfId="12744" xr:uid="{0E5FB446-E4F5-4AD0-BA3B-D6708780DF61}"/>
    <cellStyle name="Normal 4 2 2 3 3 6 2 4" xfId="21182" xr:uid="{81554C10-CE8A-491A-8CB9-A39E2558C8B2}"/>
    <cellStyle name="Normal 4 2 2 3 3 6 3" xfId="6375" xr:uid="{00000000-0005-0000-0000-000068120000}"/>
    <cellStyle name="Normal 4 2 2 3 3 6 3 2" xfId="14817" xr:uid="{98419683-385A-4CE2-82A1-518C03484131}"/>
    <cellStyle name="Normal 4 2 2 3 3 6 3 3" xfId="23254" xr:uid="{000E0206-A007-4F8A-83E9-99EA57C2712F}"/>
    <cellStyle name="Normal 4 2 2 3 3 6 4" xfId="10599" xr:uid="{60E53A2A-8CD7-41F8-B135-48244FC96291}"/>
    <cellStyle name="Normal 4 2 2 3 3 6 5" xfId="19037" xr:uid="{35FFED76-B8D5-4472-9DA8-D5DB66378A23}"/>
    <cellStyle name="Normal 4 2 2 3 3 7" xfId="2504" xr:uid="{00000000-0005-0000-0000-000069120000}"/>
    <cellStyle name="Normal 4 2 2 3 3 7 2" xfId="6788" xr:uid="{00000000-0005-0000-0000-00006A120000}"/>
    <cellStyle name="Normal 4 2 2 3 3 7 2 2" xfId="15230" xr:uid="{56DB394C-7FE1-4DEE-9F15-7B6221EEE3C5}"/>
    <cellStyle name="Normal 4 2 2 3 3 7 2 3" xfId="23667" xr:uid="{79EBD4DA-BE74-4EDA-A802-76217D49CF6C}"/>
    <cellStyle name="Normal 4 2 2 3 3 7 3" xfId="11012" xr:uid="{EC06F98A-3556-4D4E-8E32-21DCD97FB7D0}"/>
    <cellStyle name="Normal 4 2 2 3 3 7 4" xfId="19450" xr:uid="{17457DFE-DDCC-44C6-BE7E-3456B67E104C}"/>
    <cellStyle name="Normal 4 2 2 3 3 8" xfId="4723" xr:uid="{00000000-0005-0000-0000-00006B120000}"/>
    <cellStyle name="Normal 4 2 2 3 3 8 2" xfId="13165" xr:uid="{CD5A2A1E-4C25-4AE0-BDB7-334F097EB157}"/>
    <cellStyle name="Normal 4 2 2 3 3 8 3" xfId="21602" xr:uid="{9E2E8646-2511-45F6-A2C6-66BFBF3F1242}"/>
    <cellStyle name="Normal 4 2 2 3 3 9" xfId="8947" xr:uid="{20BBEE6B-59A6-4F88-95E9-64845C04AF41}"/>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2 2 2" xfId="15725" xr:uid="{212CEE37-8E0C-4F1C-8F89-0F193F619463}"/>
    <cellStyle name="Normal 4 2 2 3 4 2 2 2 3" xfId="24162" xr:uid="{9B88B7CE-1E9A-4930-BF46-2046F0786C63}"/>
    <cellStyle name="Normal 4 2 2 3 4 2 2 3" xfId="11507" xr:uid="{8F94DBE9-7521-41F2-BDDB-DDFDED5B118D}"/>
    <cellStyle name="Normal 4 2 2 3 4 2 2 4" xfId="19945" xr:uid="{07DB5764-45E8-4D34-853B-8886B7EB80BD}"/>
    <cellStyle name="Normal 4 2 2 3 4 2 3" xfId="5138" xr:uid="{00000000-0005-0000-0000-000070120000}"/>
    <cellStyle name="Normal 4 2 2 3 4 2 3 2" xfId="13580" xr:uid="{70A2C146-1F87-4EE3-9263-1D25BCD4AD43}"/>
    <cellStyle name="Normal 4 2 2 3 4 2 3 3" xfId="22017" xr:uid="{1094ACE4-865D-4660-BB90-12919822CD27}"/>
    <cellStyle name="Normal 4 2 2 3 4 2 4" xfId="9362" xr:uid="{27456E73-0C8A-4E4E-8916-2F27DBD3D6A8}"/>
    <cellStyle name="Normal 4 2 2 3 4 2 5" xfId="17800" xr:uid="{12EEA5B0-F925-4920-BD4E-8709595D94DD}"/>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2 2 2" xfId="16138" xr:uid="{9ED6A897-2210-4E75-B07B-C1D5BD942B9A}"/>
    <cellStyle name="Normal 4 2 2 3 4 3 2 2 3" xfId="24575" xr:uid="{202D68F6-35AC-4BC7-8D52-3C989022C9C9}"/>
    <cellStyle name="Normal 4 2 2 3 4 3 2 3" xfId="11920" xr:uid="{C07C6CFB-D586-43EF-9495-F6E0D7F3467F}"/>
    <cellStyle name="Normal 4 2 2 3 4 3 2 4" xfId="20358" xr:uid="{DD10A567-7119-4D5D-B656-412C4043CA50}"/>
    <cellStyle name="Normal 4 2 2 3 4 3 3" xfId="5551" xr:uid="{00000000-0005-0000-0000-000074120000}"/>
    <cellStyle name="Normal 4 2 2 3 4 3 3 2" xfId="13993" xr:uid="{C27B5569-D86E-4654-A119-564B4BA8CE0A}"/>
    <cellStyle name="Normal 4 2 2 3 4 3 3 3" xfId="22430" xr:uid="{7CA02B40-DB20-4C2E-9A9E-51ADD61475DB}"/>
    <cellStyle name="Normal 4 2 2 3 4 3 4" xfId="9775" xr:uid="{BF805B04-A24A-4CDA-8AF3-83E9F5073758}"/>
    <cellStyle name="Normal 4 2 2 3 4 3 5" xfId="18213" xr:uid="{CC0E448A-005F-4090-A642-771E7FCC3A91}"/>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2 2 2" xfId="16551" xr:uid="{11B91BD6-D159-4CBB-B31E-8DB9D0A4AA71}"/>
    <cellStyle name="Normal 4 2 2 3 4 4 2 2 3" xfId="24988" xr:uid="{1FB22ECF-FF4F-4673-AEA3-6C5D044B80AC}"/>
    <cellStyle name="Normal 4 2 2 3 4 4 2 3" xfId="12333" xr:uid="{E5E69548-19DA-49C1-91DC-8D0ECB96D756}"/>
    <cellStyle name="Normal 4 2 2 3 4 4 2 4" xfId="20771" xr:uid="{858FCF67-A488-447F-8952-BC043BE404DB}"/>
    <cellStyle name="Normal 4 2 2 3 4 4 3" xfId="5964" xr:uid="{00000000-0005-0000-0000-000078120000}"/>
    <cellStyle name="Normal 4 2 2 3 4 4 3 2" xfId="14406" xr:uid="{313F14FC-A58D-4863-9E5B-707A2561C848}"/>
    <cellStyle name="Normal 4 2 2 3 4 4 3 3" xfId="22843" xr:uid="{2A8922BA-B560-4EAB-8716-5199F04C10F7}"/>
    <cellStyle name="Normal 4 2 2 3 4 4 4" xfId="10188" xr:uid="{9810FB9C-AD6B-4652-A1DA-9BF8B4590F99}"/>
    <cellStyle name="Normal 4 2 2 3 4 4 5" xfId="18626" xr:uid="{343E1EC0-58DA-486D-8A52-5E99FB8BF357}"/>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2 2 2" xfId="16964" xr:uid="{0043A779-B8C5-4AC8-9150-FD27F2870AB6}"/>
    <cellStyle name="Normal 4 2 2 3 4 5 2 2 3" xfId="25401" xr:uid="{F2171A4F-461B-4AAE-83C1-44E531A2722A}"/>
    <cellStyle name="Normal 4 2 2 3 4 5 2 3" xfId="12746" xr:uid="{7E860D73-BBC4-4D1B-9441-897D141345EA}"/>
    <cellStyle name="Normal 4 2 2 3 4 5 2 4" xfId="21184" xr:uid="{6659D8EF-E096-4939-B56F-E41F29EC911B}"/>
    <cellStyle name="Normal 4 2 2 3 4 5 3" xfId="6377" xr:uid="{00000000-0005-0000-0000-00007C120000}"/>
    <cellStyle name="Normal 4 2 2 3 4 5 3 2" xfId="14819" xr:uid="{C15D1C5A-6DA1-4664-B17F-0C46145928B8}"/>
    <cellStyle name="Normal 4 2 2 3 4 5 3 3" xfId="23256" xr:uid="{392A0580-823C-4304-8070-7F5A661855F7}"/>
    <cellStyle name="Normal 4 2 2 3 4 5 4" xfId="10601" xr:uid="{DBE68AA1-1D6A-443E-8BA8-E3AAFFEB93DE}"/>
    <cellStyle name="Normal 4 2 2 3 4 5 5" xfId="19039" xr:uid="{626A448D-4B72-4B0B-911A-863396102B4E}"/>
    <cellStyle name="Normal 4 2 2 3 4 6" xfId="2506" xr:uid="{00000000-0005-0000-0000-00007D120000}"/>
    <cellStyle name="Normal 4 2 2 3 4 6 2" xfId="6790" xr:uid="{00000000-0005-0000-0000-00007E120000}"/>
    <cellStyle name="Normal 4 2 2 3 4 6 2 2" xfId="15232" xr:uid="{D3264EA4-73AD-4A2D-BA71-A6F2142DD584}"/>
    <cellStyle name="Normal 4 2 2 3 4 6 2 3" xfId="23669" xr:uid="{26F4BF0F-40AB-413C-AD69-B1EDF36F500A}"/>
    <cellStyle name="Normal 4 2 2 3 4 6 3" xfId="11014" xr:uid="{42764BF9-199D-4120-8F49-ABEDE83A1D72}"/>
    <cellStyle name="Normal 4 2 2 3 4 6 4" xfId="19452" xr:uid="{5E296A80-F057-4AB7-87C7-52ADC9841050}"/>
    <cellStyle name="Normal 4 2 2 3 4 7" xfId="4725" xr:uid="{00000000-0005-0000-0000-00007F120000}"/>
    <cellStyle name="Normal 4 2 2 3 4 7 2" xfId="13167" xr:uid="{5E2E72A9-7BDC-4575-9C44-A60910E5F97B}"/>
    <cellStyle name="Normal 4 2 2 3 4 7 3" xfId="21604" xr:uid="{BCCB1EC0-56BB-4612-AAF7-39B877B2BD98}"/>
    <cellStyle name="Normal 4 2 2 3 4 8" xfId="8949" xr:uid="{508B1E19-5F1F-49C9-BF0D-BC77D4A97D5E}"/>
    <cellStyle name="Normal 4 2 2 3 4 9" xfId="17387" xr:uid="{5A3CE580-3AEF-4490-A31D-9280E36EB843}"/>
    <cellStyle name="Normal 4 2 2 3 5" xfId="816" xr:uid="{00000000-0005-0000-0000-000080120000}"/>
    <cellStyle name="Normal 4 2 2 3 5 2" xfId="3053" xr:uid="{00000000-0005-0000-0000-000081120000}"/>
    <cellStyle name="Normal 4 2 2 3 5 2 2" xfId="7276" xr:uid="{00000000-0005-0000-0000-000082120000}"/>
    <cellStyle name="Normal 4 2 2 3 5 2 2 2" xfId="15718" xr:uid="{EA9E3126-B980-4F2B-A5B2-DC3A27C278C0}"/>
    <cellStyle name="Normal 4 2 2 3 5 2 2 3" xfId="24155" xr:uid="{E9052B37-D95E-43A8-A7B4-F1264A53845B}"/>
    <cellStyle name="Normal 4 2 2 3 5 2 3" xfId="11500" xr:uid="{C8F66246-6849-4045-A687-B3D11470B277}"/>
    <cellStyle name="Normal 4 2 2 3 5 2 4" xfId="19938" xr:uid="{6FA51420-FDC5-458B-8FC0-A9D74DF03F37}"/>
    <cellStyle name="Normal 4 2 2 3 5 3" xfId="5131" xr:uid="{00000000-0005-0000-0000-000083120000}"/>
    <cellStyle name="Normal 4 2 2 3 5 3 2" xfId="13573" xr:uid="{1003AE1F-9E1E-45D5-8489-0184AB17DFA5}"/>
    <cellStyle name="Normal 4 2 2 3 5 3 3" xfId="22010" xr:uid="{AAAC6FA3-730D-478C-8B8E-06D36AB35B46}"/>
    <cellStyle name="Normal 4 2 2 3 5 4" xfId="9355" xr:uid="{C92F3860-741B-472D-A693-EE5F7CC29A76}"/>
    <cellStyle name="Normal 4 2 2 3 5 5" xfId="17793" xr:uid="{A2F9BECF-62CC-4A4F-81C5-AE6506BB1285}"/>
    <cellStyle name="Normal 4 2 2 3 6" xfId="1236" xr:uid="{00000000-0005-0000-0000-000084120000}"/>
    <cellStyle name="Normal 4 2 2 3 6 2" xfId="3466" xr:uid="{00000000-0005-0000-0000-000085120000}"/>
    <cellStyle name="Normal 4 2 2 3 6 2 2" xfId="7689" xr:uid="{00000000-0005-0000-0000-000086120000}"/>
    <cellStyle name="Normal 4 2 2 3 6 2 2 2" xfId="16131" xr:uid="{B523D1C1-36F0-4357-8F26-6E95DDCD9B2C}"/>
    <cellStyle name="Normal 4 2 2 3 6 2 2 3" xfId="24568" xr:uid="{8FBF84A0-8BE7-4673-8897-5B776686101D}"/>
    <cellStyle name="Normal 4 2 2 3 6 2 3" xfId="11913" xr:uid="{FC048428-5D4F-4E80-8667-CB2C7E24C31D}"/>
    <cellStyle name="Normal 4 2 2 3 6 2 4" xfId="20351" xr:uid="{85445B7D-58DD-4ED2-83A8-D0224A3656ED}"/>
    <cellStyle name="Normal 4 2 2 3 6 3" xfId="5544" xr:uid="{00000000-0005-0000-0000-000087120000}"/>
    <cellStyle name="Normal 4 2 2 3 6 3 2" xfId="13986" xr:uid="{C4917707-FC37-449B-A7F9-DBAF34CC9BE6}"/>
    <cellStyle name="Normal 4 2 2 3 6 3 3" xfId="22423" xr:uid="{7BEC873B-9D05-4752-B72F-CC0C6EDC7629}"/>
    <cellStyle name="Normal 4 2 2 3 6 4" xfId="9768" xr:uid="{D7895AA8-8109-4D3E-8859-F00D6F44D574}"/>
    <cellStyle name="Normal 4 2 2 3 6 5" xfId="18206" xr:uid="{F5028F9D-7F97-41C2-87C0-3CF5AFA7C026}"/>
    <cellStyle name="Normal 4 2 2 3 7" xfId="1649" xr:uid="{00000000-0005-0000-0000-000088120000}"/>
    <cellStyle name="Normal 4 2 2 3 7 2" xfId="3879" xr:uid="{00000000-0005-0000-0000-000089120000}"/>
    <cellStyle name="Normal 4 2 2 3 7 2 2" xfId="8102" xr:uid="{00000000-0005-0000-0000-00008A120000}"/>
    <cellStyle name="Normal 4 2 2 3 7 2 2 2" xfId="16544" xr:uid="{6A0653FC-10E3-44B4-8BBE-185F6B1B13D8}"/>
    <cellStyle name="Normal 4 2 2 3 7 2 2 3" xfId="24981" xr:uid="{DE12AC8F-C890-4AC0-AC8C-888FDF0C5D86}"/>
    <cellStyle name="Normal 4 2 2 3 7 2 3" xfId="12326" xr:uid="{C8AC3C5E-DEC4-4335-9167-58D109407199}"/>
    <cellStyle name="Normal 4 2 2 3 7 2 4" xfId="20764" xr:uid="{6CBF8511-E80A-4E0B-86F5-9FA89FB58C69}"/>
    <cellStyle name="Normal 4 2 2 3 7 3" xfId="5957" xr:uid="{00000000-0005-0000-0000-00008B120000}"/>
    <cellStyle name="Normal 4 2 2 3 7 3 2" xfId="14399" xr:uid="{A2EB30DB-A4A9-41F5-A11E-E89F3695E0B2}"/>
    <cellStyle name="Normal 4 2 2 3 7 3 3" xfId="22836" xr:uid="{557BB2D4-EEB0-4DB4-A9CF-9CC7C7DD35E9}"/>
    <cellStyle name="Normal 4 2 2 3 7 4" xfId="10181" xr:uid="{B93A3F5D-EE77-4AED-845D-B43B37137D46}"/>
    <cellStyle name="Normal 4 2 2 3 7 5" xfId="18619" xr:uid="{30679942-3872-454E-B777-BC4213F46EB2}"/>
    <cellStyle name="Normal 4 2 2 3 8" xfId="2063" xr:uid="{00000000-0005-0000-0000-00008C120000}"/>
    <cellStyle name="Normal 4 2 2 3 8 2" xfId="4292" xr:uid="{00000000-0005-0000-0000-00008D120000}"/>
    <cellStyle name="Normal 4 2 2 3 8 2 2" xfId="8515" xr:uid="{00000000-0005-0000-0000-00008E120000}"/>
    <cellStyle name="Normal 4 2 2 3 8 2 2 2" xfId="16957" xr:uid="{E1B142A6-E1D6-42F1-8BC5-BE670B78F22A}"/>
    <cellStyle name="Normal 4 2 2 3 8 2 2 3" xfId="25394" xr:uid="{E7BD2D61-BE69-4930-BA5D-FFDD6C2D6937}"/>
    <cellStyle name="Normal 4 2 2 3 8 2 3" xfId="12739" xr:uid="{E5A35AB1-57DC-4564-8AEF-3B215677A14C}"/>
    <cellStyle name="Normal 4 2 2 3 8 2 4" xfId="21177" xr:uid="{656B1A54-ACDC-46A1-AD46-07FCB469F659}"/>
    <cellStyle name="Normal 4 2 2 3 8 3" xfId="6370" xr:uid="{00000000-0005-0000-0000-00008F120000}"/>
    <cellStyle name="Normal 4 2 2 3 8 3 2" xfId="14812" xr:uid="{D71295E5-D6D4-464A-82F2-CE23265D9CBA}"/>
    <cellStyle name="Normal 4 2 2 3 8 3 3" xfId="23249" xr:uid="{DD7A6B84-F4F1-42BC-8076-DD941D0700B2}"/>
    <cellStyle name="Normal 4 2 2 3 8 4" xfId="10594" xr:uid="{D34AC806-CD74-4B04-86AC-A1527C280A2A}"/>
    <cellStyle name="Normal 4 2 2 3 8 5" xfId="19032" xr:uid="{9A9D944C-E5CB-4DA7-B499-041DB5C40A12}"/>
    <cellStyle name="Normal 4 2 2 3 9" xfId="2499" xr:uid="{00000000-0005-0000-0000-000090120000}"/>
    <cellStyle name="Normal 4 2 2 3 9 2" xfId="6783" xr:uid="{00000000-0005-0000-0000-000091120000}"/>
    <cellStyle name="Normal 4 2 2 3 9 2 2" xfId="15225" xr:uid="{43F587AF-3174-4237-8FFB-738B37980A4C}"/>
    <cellStyle name="Normal 4 2 2 3 9 2 3" xfId="23662" xr:uid="{32972D6D-1FBA-4547-B4BD-6B13699AD2B9}"/>
    <cellStyle name="Normal 4 2 2 3 9 3" xfId="11007" xr:uid="{2B2829D6-67D4-47BC-ADCA-E4899345D743}"/>
    <cellStyle name="Normal 4 2 2 3 9 4" xfId="19445" xr:uid="{34E810A9-3600-460E-ABF2-C8B1D5CBBE69}"/>
    <cellStyle name="Normal 4 2 2 4" xfId="347" xr:uid="{00000000-0005-0000-0000-000092120000}"/>
    <cellStyle name="Normal 4 2 2 4 10" xfId="8950" xr:uid="{C4C2BF5C-380E-4E32-8192-980E2E8A6462}"/>
    <cellStyle name="Normal 4 2 2 4 11" xfId="17388" xr:uid="{821B60E4-DAC5-4F79-A07D-4BCF018DF8B9}"/>
    <cellStyle name="Normal 4 2 2 4 2" xfId="348" xr:uid="{00000000-0005-0000-0000-000093120000}"/>
    <cellStyle name="Normal 4 2 2 4 2 10" xfId="17389" xr:uid="{B62C2929-B06E-4E8C-AD67-CC51597E4685}"/>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2 2 2" xfId="15728" xr:uid="{A6BA170C-CD21-4556-BC72-D3A91589C7B5}"/>
    <cellStyle name="Normal 4 2 2 4 2 2 2 2 2 3" xfId="24165" xr:uid="{1C0F0420-A948-4F9D-B2E7-92E552A1E955}"/>
    <cellStyle name="Normal 4 2 2 4 2 2 2 2 3" xfId="11510" xr:uid="{19E959A2-F2EC-4117-B2C2-E8383C573417}"/>
    <cellStyle name="Normal 4 2 2 4 2 2 2 2 4" xfId="19948" xr:uid="{24145101-B478-4C45-9557-54A0FE701215}"/>
    <cellStyle name="Normal 4 2 2 4 2 2 2 3" xfId="5141" xr:uid="{00000000-0005-0000-0000-000098120000}"/>
    <cellStyle name="Normal 4 2 2 4 2 2 2 3 2" xfId="13583" xr:uid="{E1763ED4-4EA9-4B74-9DE2-411D2BAE0DAD}"/>
    <cellStyle name="Normal 4 2 2 4 2 2 2 3 3" xfId="22020" xr:uid="{C55655CD-3D94-4E6B-AC42-D7C2BCA52337}"/>
    <cellStyle name="Normal 4 2 2 4 2 2 2 4" xfId="9365" xr:uid="{50A6267D-4D8B-45DA-9D47-627977C438DE}"/>
    <cellStyle name="Normal 4 2 2 4 2 2 2 5" xfId="17803" xr:uid="{0525491E-B076-4EFC-A9A2-D6D4C878A96E}"/>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2 2 2" xfId="16141" xr:uid="{EDAD17A4-8B37-4E04-A05F-C2A772A7C28C}"/>
    <cellStyle name="Normal 4 2 2 4 2 2 3 2 2 3" xfId="24578" xr:uid="{2D2A1DBB-4115-4364-A764-7EFC4C3FB05D}"/>
    <cellStyle name="Normal 4 2 2 4 2 2 3 2 3" xfId="11923" xr:uid="{483AE01E-1456-445C-8F98-6B4A73943733}"/>
    <cellStyle name="Normal 4 2 2 4 2 2 3 2 4" xfId="20361" xr:uid="{DC93160A-CE43-4D69-8E43-1B525DC67030}"/>
    <cellStyle name="Normal 4 2 2 4 2 2 3 3" xfId="5554" xr:uid="{00000000-0005-0000-0000-00009C120000}"/>
    <cellStyle name="Normal 4 2 2 4 2 2 3 3 2" xfId="13996" xr:uid="{DB480767-A09B-4B1E-A84A-8E3771AC5BC9}"/>
    <cellStyle name="Normal 4 2 2 4 2 2 3 3 3" xfId="22433" xr:uid="{FEACD4B6-4529-41F6-B9EB-B89947E057E3}"/>
    <cellStyle name="Normal 4 2 2 4 2 2 3 4" xfId="9778" xr:uid="{966FEF83-A7FE-4E9D-815C-E1B6ED9403B1}"/>
    <cellStyle name="Normal 4 2 2 4 2 2 3 5" xfId="18216" xr:uid="{9D3A885E-4344-4504-A26E-C59DED6FFBA1}"/>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2 2 2" xfId="16554" xr:uid="{46DA2897-A097-4A9B-BE91-92D9DC54C575}"/>
    <cellStyle name="Normal 4 2 2 4 2 2 4 2 2 3" xfId="24991" xr:uid="{64CF38C9-D280-46AC-9732-2C8AD47EEE05}"/>
    <cellStyle name="Normal 4 2 2 4 2 2 4 2 3" xfId="12336" xr:uid="{1D17CD1D-2338-445C-92B9-89E416897666}"/>
    <cellStyle name="Normal 4 2 2 4 2 2 4 2 4" xfId="20774" xr:uid="{2AF51534-F003-48D1-937B-835DB886A5A1}"/>
    <cellStyle name="Normal 4 2 2 4 2 2 4 3" xfId="5967" xr:uid="{00000000-0005-0000-0000-0000A0120000}"/>
    <cellStyle name="Normal 4 2 2 4 2 2 4 3 2" xfId="14409" xr:uid="{380DA815-0A91-44DB-848C-92CE276F6C44}"/>
    <cellStyle name="Normal 4 2 2 4 2 2 4 3 3" xfId="22846" xr:uid="{CDE5AC10-B226-47AD-8834-D3E049FCDB34}"/>
    <cellStyle name="Normal 4 2 2 4 2 2 4 4" xfId="10191" xr:uid="{0DA0E87D-3958-47A9-A4E3-8A22458582D6}"/>
    <cellStyle name="Normal 4 2 2 4 2 2 4 5" xfId="18629" xr:uid="{A020C671-A886-48B3-9714-D4356B66E02E}"/>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2 2 2" xfId="16967" xr:uid="{032676FC-E000-4A56-ADFE-2F430C53F469}"/>
    <cellStyle name="Normal 4 2 2 4 2 2 5 2 2 3" xfId="25404" xr:uid="{0EC11C33-2834-4DCD-9EE4-F90AFE3BC78D}"/>
    <cellStyle name="Normal 4 2 2 4 2 2 5 2 3" xfId="12749" xr:uid="{B3728CA6-F23A-4F00-AC63-25BF7A354C00}"/>
    <cellStyle name="Normal 4 2 2 4 2 2 5 2 4" xfId="21187" xr:uid="{7D57C59D-B7F2-42AA-A68C-6D467B609FF7}"/>
    <cellStyle name="Normal 4 2 2 4 2 2 5 3" xfId="6380" xr:uid="{00000000-0005-0000-0000-0000A4120000}"/>
    <cellStyle name="Normal 4 2 2 4 2 2 5 3 2" xfId="14822" xr:uid="{8827063A-A71D-432F-9DF9-D46B009BDD81}"/>
    <cellStyle name="Normal 4 2 2 4 2 2 5 3 3" xfId="23259" xr:uid="{2691DD96-27DD-4B2F-BE83-2923E50DF259}"/>
    <cellStyle name="Normal 4 2 2 4 2 2 5 4" xfId="10604" xr:uid="{DD0E65D5-669E-40D1-A8D9-78479644F7BE}"/>
    <cellStyle name="Normal 4 2 2 4 2 2 5 5" xfId="19042" xr:uid="{A43DCC75-9C1A-44B2-A888-E1C7CFC54B69}"/>
    <cellStyle name="Normal 4 2 2 4 2 2 6" xfId="2509" xr:uid="{00000000-0005-0000-0000-0000A5120000}"/>
    <cellStyle name="Normal 4 2 2 4 2 2 6 2" xfId="6793" xr:uid="{00000000-0005-0000-0000-0000A6120000}"/>
    <cellStyle name="Normal 4 2 2 4 2 2 6 2 2" xfId="15235" xr:uid="{FDBC8325-EE2B-4ACA-8B91-E5DFAD62D1D8}"/>
    <cellStyle name="Normal 4 2 2 4 2 2 6 2 3" xfId="23672" xr:uid="{E3C96987-A57F-4AAD-A98A-B358EA0D32ED}"/>
    <cellStyle name="Normal 4 2 2 4 2 2 6 3" xfId="11017" xr:uid="{58F85EAB-9296-4F0F-B259-3CD986FECD0A}"/>
    <cellStyle name="Normal 4 2 2 4 2 2 6 4" xfId="19455" xr:uid="{D3CD51AA-45C4-4E39-A361-123ED47C2E8F}"/>
    <cellStyle name="Normal 4 2 2 4 2 2 7" xfId="4728" xr:uid="{00000000-0005-0000-0000-0000A7120000}"/>
    <cellStyle name="Normal 4 2 2 4 2 2 7 2" xfId="13170" xr:uid="{0384596D-C3DF-41D9-92FC-3E0980199DA4}"/>
    <cellStyle name="Normal 4 2 2 4 2 2 7 3" xfId="21607" xr:uid="{211E8BEB-9769-48A4-BC98-7C2E27FFE60E}"/>
    <cellStyle name="Normal 4 2 2 4 2 2 8" xfId="8952" xr:uid="{7B369713-0736-4F1E-97BD-2B50F97D0984}"/>
    <cellStyle name="Normal 4 2 2 4 2 2 9" xfId="17390" xr:uid="{22A4A338-2E70-49E6-9F52-46D827E19D8A}"/>
    <cellStyle name="Normal 4 2 2 4 2 3" xfId="825" xr:uid="{00000000-0005-0000-0000-0000A8120000}"/>
    <cellStyle name="Normal 4 2 2 4 2 3 2" xfId="3062" xr:uid="{00000000-0005-0000-0000-0000A9120000}"/>
    <cellStyle name="Normal 4 2 2 4 2 3 2 2" xfId="7285" xr:uid="{00000000-0005-0000-0000-0000AA120000}"/>
    <cellStyle name="Normal 4 2 2 4 2 3 2 2 2" xfId="15727" xr:uid="{D15423AF-1D53-49DB-A9BE-EB86E8FF0357}"/>
    <cellStyle name="Normal 4 2 2 4 2 3 2 2 3" xfId="24164" xr:uid="{E16F761F-DF0A-4095-97B9-6313CC9D58EC}"/>
    <cellStyle name="Normal 4 2 2 4 2 3 2 3" xfId="11509" xr:uid="{55246659-4724-4722-8FF0-2984CD09EB9B}"/>
    <cellStyle name="Normal 4 2 2 4 2 3 2 4" xfId="19947" xr:uid="{871D388D-6CC7-4C7B-860B-6FB2AFA28285}"/>
    <cellStyle name="Normal 4 2 2 4 2 3 3" xfId="5140" xr:uid="{00000000-0005-0000-0000-0000AB120000}"/>
    <cellStyle name="Normal 4 2 2 4 2 3 3 2" xfId="13582" xr:uid="{93429A7B-D77C-41B7-A114-6FAAD1C13BB2}"/>
    <cellStyle name="Normal 4 2 2 4 2 3 3 3" xfId="22019" xr:uid="{3FA6B0EB-F5CB-4B33-91A7-9295104E71E1}"/>
    <cellStyle name="Normal 4 2 2 4 2 3 4" xfId="9364" xr:uid="{F26AC9AB-EC59-444D-AF39-6A70C38590E0}"/>
    <cellStyle name="Normal 4 2 2 4 2 3 5" xfId="17802" xr:uid="{9F89DD2C-C798-4711-8151-88643F780D67}"/>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2 2 2" xfId="16140" xr:uid="{160136CF-E8BF-4444-83F9-590AE8870870}"/>
    <cellStyle name="Normal 4 2 2 4 2 4 2 2 3" xfId="24577" xr:uid="{83AB7EFC-2343-4164-9E7B-9CE90B14958C}"/>
    <cellStyle name="Normal 4 2 2 4 2 4 2 3" xfId="11922" xr:uid="{A01AF13A-FFA7-4C4E-8871-566F6267C0DA}"/>
    <cellStyle name="Normal 4 2 2 4 2 4 2 4" xfId="20360" xr:uid="{217758E2-847A-43A0-A0CB-0C01F77C29AC}"/>
    <cellStyle name="Normal 4 2 2 4 2 4 3" xfId="5553" xr:uid="{00000000-0005-0000-0000-0000AF120000}"/>
    <cellStyle name="Normal 4 2 2 4 2 4 3 2" xfId="13995" xr:uid="{B8ABF155-4000-4B87-8865-EA6684619E8C}"/>
    <cellStyle name="Normal 4 2 2 4 2 4 3 3" xfId="22432" xr:uid="{26B09300-779D-4BA2-8227-624EA57AD10D}"/>
    <cellStyle name="Normal 4 2 2 4 2 4 4" xfId="9777" xr:uid="{9992684F-1DD4-43B3-9458-F7979C2F053A}"/>
    <cellStyle name="Normal 4 2 2 4 2 4 5" xfId="18215" xr:uid="{97BE3A4F-9092-4C45-B75D-C0450B519A1E}"/>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2 2 2" xfId="16553" xr:uid="{C45C97CA-3E9E-4987-89A4-320026D3D39D}"/>
    <cellStyle name="Normal 4 2 2 4 2 5 2 2 3" xfId="24990" xr:uid="{8D7A88D2-4D69-4DF0-9528-7398A837AC91}"/>
    <cellStyle name="Normal 4 2 2 4 2 5 2 3" xfId="12335" xr:uid="{BA458152-ABCB-4657-B0C6-A6DD4CE35048}"/>
    <cellStyle name="Normal 4 2 2 4 2 5 2 4" xfId="20773" xr:uid="{461066A8-7F3E-4DB6-BC8B-BB59DB67FE20}"/>
    <cellStyle name="Normal 4 2 2 4 2 5 3" xfId="5966" xr:uid="{00000000-0005-0000-0000-0000B3120000}"/>
    <cellStyle name="Normal 4 2 2 4 2 5 3 2" xfId="14408" xr:uid="{01C0D815-26D0-4644-831B-67206C0438E9}"/>
    <cellStyle name="Normal 4 2 2 4 2 5 3 3" xfId="22845" xr:uid="{312D07AA-90E3-463A-8089-6751034B8B9C}"/>
    <cellStyle name="Normal 4 2 2 4 2 5 4" xfId="10190" xr:uid="{7E660CD9-D4B0-4263-9676-E71AAB66D8C1}"/>
    <cellStyle name="Normal 4 2 2 4 2 5 5" xfId="18628" xr:uid="{DC94823F-B987-445D-A42A-EBCD5A518E1A}"/>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2 2 2" xfId="16966" xr:uid="{FB137889-4783-4866-B14D-4083EB0122CE}"/>
    <cellStyle name="Normal 4 2 2 4 2 6 2 2 3" xfId="25403" xr:uid="{3878B0E0-ACB6-468A-B45B-941A1E283F43}"/>
    <cellStyle name="Normal 4 2 2 4 2 6 2 3" xfId="12748" xr:uid="{F837E667-77AD-4E25-9748-E62ABDB48910}"/>
    <cellStyle name="Normal 4 2 2 4 2 6 2 4" xfId="21186" xr:uid="{F9A738E4-2413-4282-AC75-C411878D44D8}"/>
    <cellStyle name="Normal 4 2 2 4 2 6 3" xfId="6379" xr:uid="{00000000-0005-0000-0000-0000B7120000}"/>
    <cellStyle name="Normal 4 2 2 4 2 6 3 2" xfId="14821" xr:uid="{285BBBEB-6D81-448B-BBFD-D014F1B28668}"/>
    <cellStyle name="Normal 4 2 2 4 2 6 3 3" xfId="23258" xr:uid="{15EF497E-702B-43ED-8291-960154683E27}"/>
    <cellStyle name="Normal 4 2 2 4 2 6 4" xfId="10603" xr:uid="{BA5EE7B0-E635-46A4-B661-4CFD6B106CEF}"/>
    <cellStyle name="Normal 4 2 2 4 2 6 5" xfId="19041" xr:uid="{42BBBA8C-B8E5-4A45-8CA7-C0E8B6F65F89}"/>
    <cellStyle name="Normal 4 2 2 4 2 7" xfId="2508" xr:uid="{00000000-0005-0000-0000-0000B8120000}"/>
    <cellStyle name="Normal 4 2 2 4 2 7 2" xfId="6792" xr:uid="{00000000-0005-0000-0000-0000B9120000}"/>
    <cellStyle name="Normal 4 2 2 4 2 7 2 2" xfId="15234" xr:uid="{395840AE-2DA2-43A8-B704-BC3F7CEAAD2D}"/>
    <cellStyle name="Normal 4 2 2 4 2 7 2 3" xfId="23671" xr:uid="{13411338-572F-41B1-9EBA-6A2D928301B6}"/>
    <cellStyle name="Normal 4 2 2 4 2 7 3" xfId="11016" xr:uid="{A3CFEE20-E6E7-44CB-B791-A4DD5F76EF89}"/>
    <cellStyle name="Normal 4 2 2 4 2 7 4" xfId="19454" xr:uid="{E06C6062-2581-4B04-8F3E-4477F62CD134}"/>
    <cellStyle name="Normal 4 2 2 4 2 8" xfId="4727" xr:uid="{00000000-0005-0000-0000-0000BA120000}"/>
    <cellStyle name="Normal 4 2 2 4 2 8 2" xfId="13169" xr:uid="{A400FFCD-E16A-459B-B8E4-727B012AB2BB}"/>
    <cellStyle name="Normal 4 2 2 4 2 8 3" xfId="21606" xr:uid="{1F01CF6F-7F32-4FF8-809B-B87F53CF5583}"/>
    <cellStyle name="Normal 4 2 2 4 2 9" xfId="8951" xr:uid="{4BA1DE32-B6CD-4D15-8D13-795D115378CF}"/>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2 2 2" xfId="15729" xr:uid="{B4713421-95A0-42A0-AAB2-8E679A2D07C5}"/>
    <cellStyle name="Normal 4 2 2 4 3 2 2 2 3" xfId="24166" xr:uid="{5FBFCB65-A446-479B-BF0C-608C4ACBC42C}"/>
    <cellStyle name="Normal 4 2 2 4 3 2 2 3" xfId="11511" xr:uid="{1E58F3BF-7F4B-410D-8FB9-24A5784E365F}"/>
    <cellStyle name="Normal 4 2 2 4 3 2 2 4" xfId="19949" xr:uid="{4911C278-B86F-4F91-A175-61BEB0E7A49C}"/>
    <cellStyle name="Normal 4 2 2 4 3 2 3" xfId="5142" xr:uid="{00000000-0005-0000-0000-0000BF120000}"/>
    <cellStyle name="Normal 4 2 2 4 3 2 3 2" xfId="13584" xr:uid="{9BC16C41-23B1-4A47-91C3-E7F15C2784FD}"/>
    <cellStyle name="Normal 4 2 2 4 3 2 3 3" xfId="22021" xr:uid="{8988594C-1EA3-463B-B01C-B1C35A0E006A}"/>
    <cellStyle name="Normal 4 2 2 4 3 2 4" xfId="9366" xr:uid="{38DAA7A6-616B-4328-BD64-62FA2EFB096C}"/>
    <cellStyle name="Normal 4 2 2 4 3 2 5" xfId="17804" xr:uid="{619D11A7-A8F3-4EC6-A311-56366A36D1E7}"/>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2 2 2" xfId="16142" xr:uid="{9BC756D6-2451-4329-8DC1-939FFA5FC271}"/>
    <cellStyle name="Normal 4 2 2 4 3 3 2 2 3" xfId="24579" xr:uid="{D3EF57AB-688B-4F9F-AA3E-96137EF7F75D}"/>
    <cellStyle name="Normal 4 2 2 4 3 3 2 3" xfId="11924" xr:uid="{BC6FA364-7A98-487C-A244-3079A8E1AA20}"/>
    <cellStyle name="Normal 4 2 2 4 3 3 2 4" xfId="20362" xr:uid="{CFABA708-DE07-4EF3-9928-93B5779E1A17}"/>
    <cellStyle name="Normal 4 2 2 4 3 3 3" xfId="5555" xr:uid="{00000000-0005-0000-0000-0000C3120000}"/>
    <cellStyle name="Normal 4 2 2 4 3 3 3 2" xfId="13997" xr:uid="{8B5F7783-8EBC-4659-8394-EC47F4ADBAB0}"/>
    <cellStyle name="Normal 4 2 2 4 3 3 3 3" xfId="22434" xr:uid="{6B9EE013-531C-46B9-8D42-514950832D29}"/>
    <cellStyle name="Normal 4 2 2 4 3 3 4" xfId="9779" xr:uid="{9A37CD96-BB1A-429C-ADE5-E61598F1395C}"/>
    <cellStyle name="Normal 4 2 2 4 3 3 5" xfId="18217" xr:uid="{C7EB5B39-D79C-429F-BF60-E775C265A28C}"/>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2 2 2" xfId="16555" xr:uid="{02709D45-6A98-4742-B689-D38CA320A95B}"/>
    <cellStyle name="Normal 4 2 2 4 3 4 2 2 3" xfId="24992" xr:uid="{2DB11501-16D0-4D85-A88A-6304AE39A45B}"/>
    <cellStyle name="Normal 4 2 2 4 3 4 2 3" xfId="12337" xr:uid="{5D99A483-35A8-4B89-B6C6-593EA14CFDC9}"/>
    <cellStyle name="Normal 4 2 2 4 3 4 2 4" xfId="20775" xr:uid="{2EA97639-5092-45C4-A024-6EB3640A4DC3}"/>
    <cellStyle name="Normal 4 2 2 4 3 4 3" xfId="5968" xr:uid="{00000000-0005-0000-0000-0000C7120000}"/>
    <cellStyle name="Normal 4 2 2 4 3 4 3 2" xfId="14410" xr:uid="{22CEE65C-5D83-4621-A485-2E37A55AAF09}"/>
    <cellStyle name="Normal 4 2 2 4 3 4 3 3" xfId="22847" xr:uid="{DCD6374A-2A64-4F3D-A9E2-AABE470D2A1F}"/>
    <cellStyle name="Normal 4 2 2 4 3 4 4" xfId="10192" xr:uid="{0875F90F-EE88-40F6-BC26-7F79F4B9EB8E}"/>
    <cellStyle name="Normal 4 2 2 4 3 4 5" xfId="18630" xr:uid="{8A759170-9B14-411A-98F4-51114E45CF35}"/>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2 2 2" xfId="16968" xr:uid="{2BD367F4-E985-4EEA-9CF6-445F3389E7D8}"/>
    <cellStyle name="Normal 4 2 2 4 3 5 2 2 3" xfId="25405" xr:uid="{83D0C1C7-217C-47DC-A4DD-A5C898001B08}"/>
    <cellStyle name="Normal 4 2 2 4 3 5 2 3" xfId="12750" xr:uid="{EBC9ED04-0571-4AAD-A730-B8FDE5587FE2}"/>
    <cellStyle name="Normal 4 2 2 4 3 5 2 4" xfId="21188" xr:uid="{20021AED-AECA-4BB2-827A-EC26117BA1F7}"/>
    <cellStyle name="Normal 4 2 2 4 3 5 3" xfId="6381" xr:uid="{00000000-0005-0000-0000-0000CB120000}"/>
    <cellStyle name="Normal 4 2 2 4 3 5 3 2" xfId="14823" xr:uid="{A67F0196-803D-417E-A5C5-284B1CF37BF8}"/>
    <cellStyle name="Normal 4 2 2 4 3 5 3 3" xfId="23260" xr:uid="{718A34AE-48AF-4D75-A40E-61888298E60B}"/>
    <cellStyle name="Normal 4 2 2 4 3 5 4" xfId="10605" xr:uid="{0087948B-08B2-4829-943B-13F8EA977D3E}"/>
    <cellStyle name="Normal 4 2 2 4 3 5 5" xfId="19043" xr:uid="{FBF41F72-CCEA-4DDC-9DC9-F9B71371EE96}"/>
    <cellStyle name="Normal 4 2 2 4 3 6" xfId="2510" xr:uid="{00000000-0005-0000-0000-0000CC120000}"/>
    <cellStyle name="Normal 4 2 2 4 3 6 2" xfId="6794" xr:uid="{00000000-0005-0000-0000-0000CD120000}"/>
    <cellStyle name="Normal 4 2 2 4 3 6 2 2" xfId="15236" xr:uid="{F31881E9-F64A-4360-B6AB-EE9DFDCDF38E}"/>
    <cellStyle name="Normal 4 2 2 4 3 6 2 3" xfId="23673" xr:uid="{CA0487C1-7825-4631-A8D2-8016CA5D547B}"/>
    <cellStyle name="Normal 4 2 2 4 3 6 3" xfId="11018" xr:uid="{EAB53FE2-3002-4F2E-BE05-A5211A040A18}"/>
    <cellStyle name="Normal 4 2 2 4 3 6 4" xfId="19456" xr:uid="{F46DD201-17B3-47CE-B88E-B46E506E0E5B}"/>
    <cellStyle name="Normal 4 2 2 4 3 7" xfId="4729" xr:uid="{00000000-0005-0000-0000-0000CE120000}"/>
    <cellStyle name="Normal 4 2 2 4 3 7 2" xfId="13171" xr:uid="{53ED9332-C4E4-4BC2-AAC5-093F19D22EB9}"/>
    <cellStyle name="Normal 4 2 2 4 3 7 3" xfId="21608" xr:uid="{59196C36-AFD4-41ED-85AB-3657B66E60F1}"/>
    <cellStyle name="Normal 4 2 2 4 3 8" xfId="8953" xr:uid="{6D68022A-BDF5-4114-9565-1BBEB2DB0200}"/>
    <cellStyle name="Normal 4 2 2 4 3 9" xfId="17391" xr:uid="{0713D1A7-FC50-4233-8A6E-0CC954B620C8}"/>
    <cellStyle name="Normal 4 2 2 4 4" xfId="824" xr:uid="{00000000-0005-0000-0000-0000CF120000}"/>
    <cellStyle name="Normal 4 2 2 4 4 2" xfId="3061" xr:uid="{00000000-0005-0000-0000-0000D0120000}"/>
    <cellStyle name="Normal 4 2 2 4 4 2 2" xfId="7284" xr:uid="{00000000-0005-0000-0000-0000D1120000}"/>
    <cellStyle name="Normal 4 2 2 4 4 2 2 2" xfId="15726" xr:uid="{6E3DF5A2-8480-457E-AB87-F4F04419E7F7}"/>
    <cellStyle name="Normal 4 2 2 4 4 2 2 3" xfId="24163" xr:uid="{484AD401-4E36-4FD2-8AF9-9C6C504E4F8A}"/>
    <cellStyle name="Normal 4 2 2 4 4 2 3" xfId="11508" xr:uid="{297B3C4C-A8E0-4BD6-AA8B-B61A6D39121E}"/>
    <cellStyle name="Normal 4 2 2 4 4 2 4" xfId="19946" xr:uid="{CC49B5FB-7336-45F9-87AB-F693910D0E85}"/>
    <cellStyle name="Normal 4 2 2 4 4 3" xfId="5139" xr:uid="{00000000-0005-0000-0000-0000D2120000}"/>
    <cellStyle name="Normal 4 2 2 4 4 3 2" xfId="13581" xr:uid="{5A2C5E24-9BD1-48F5-934E-106070936BFF}"/>
    <cellStyle name="Normal 4 2 2 4 4 3 3" xfId="22018" xr:uid="{FF2D9C6E-1A50-4264-8B64-D3D123721C23}"/>
    <cellStyle name="Normal 4 2 2 4 4 4" xfId="9363" xr:uid="{13129252-8015-4899-9B91-788DB978E818}"/>
    <cellStyle name="Normal 4 2 2 4 4 5" xfId="17801" xr:uid="{D1F8A713-45AE-488D-AAB4-8301575EB7D4}"/>
    <cellStyle name="Normal 4 2 2 4 5" xfId="1244" xr:uid="{00000000-0005-0000-0000-0000D3120000}"/>
    <cellStyle name="Normal 4 2 2 4 5 2" xfId="3474" xr:uid="{00000000-0005-0000-0000-0000D4120000}"/>
    <cellStyle name="Normal 4 2 2 4 5 2 2" xfId="7697" xr:uid="{00000000-0005-0000-0000-0000D5120000}"/>
    <cellStyle name="Normal 4 2 2 4 5 2 2 2" xfId="16139" xr:uid="{0655BEBD-55CF-41AF-9F9D-FCC9329C841F}"/>
    <cellStyle name="Normal 4 2 2 4 5 2 2 3" xfId="24576" xr:uid="{DAF04937-9980-4309-8423-C3E8B9E74A44}"/>
    <cellStyle name="Normal 4 2 2 4 5 2 3" xfId="11921" xr:uid="{10A925BE-BEA8-4FC0-8730-4763DC403BB1}"/>
    <cellStyle name="Normal 4 2 2 4 5 2 4" xfId="20359" xr:uid="{E86A4BDD-8676-49FB-B8C2-02576115C262}"/>
    <cellStyle name="Normal 4 2 2 4 5 3" xfId="5552" xr:uid="{00000000-0005-0000-0000-0000D6120000}"/>
    <cellStyle name="Normal 4 2 2 4 5 3 2" xfId="13994" xr:uid="{48322E6A-D5B0-4F68-ACB6-26F1E308AE96}"/>
    <cellStyle name="Normal 4 2 2 4 5 3 3" xfId="22431" xr:uid="{61BBFB13-E276-4E83-8CD4-2AB2CFBB0762}"/>
    <cellStyle name="Normal 4 2 2 4 5 4" xfId="9776" xr:uid="{2893CE0A-FAC2-4C30-B7D2-900C6D46A37A}"/>
    <cellStyle name="Normal 4 2 2 4 5 5" xfId="18214" xr:uid="{1CEA7F0C-1877-4D24-8CB2-59BEB9173F7B}"/>
    <cellStyle name="Normal 4 2 2 4 6" xfId="1657" xr:uid="{00000000-0005-0000-0000-0000D7120000}"/>
    <cellStyle name="Normal 4 2 2 4 6 2" xfId="3887" xr:uid="{00000000-0005-0000-0000-0000D8120000}"/>
    <cellStyle name="Normal 4 2 2 4 6 2 2" xfId="8110" xr:uid="{00000000-0005-0000-0000-0000D9120000}"/>
    <cellStyle name="Normal 4 2 2 4 6 2 2 2" xfId="16552" xr:uid="{955A992D-B0DA-43AA-B8A6-96C014504DF6}"/>
    <cellStyle name="Normal 4 2 2 4 6 2 2 3" xfId="24989" xr:uid="{46F8172D-E82E-4D22-8570-7F26D4480148}"/>
    <cellStyle name="Normal 4 2 2 4 6 2 3" xfId="12334" xr:uid="{4EBD2A25-7E68-4C34-BD41-E6FCBDB5AC17}"/>
    <cellStyle name="Normal 4 2 2 4 6 2 4" xfId="20772" xr:uid="{AF944186-055C-44F6-AB60-F2BCBBA4A0E3}"/>
    <cellStyle name="Normal 4 2 2 4 6 3" xfId="5965" xr:uid="{00000000-0005-0000-0000-0000DA120000}"/>
    <cellStyle name="Normal 4 2 2 4 6 3 2" xfId="14407" xr:uid="{880F9FAA-2889-4FDE-8A12-244B47BDC4AA}"/>
    <cellStyle name="Normal 4 2 2 4 6 3 3" xfId="22844" xr:uid="{A0B25DA7-6CE1-4AA4-952E-57418D737C9A}"/>
    <cellStyle name="Normal 4 2 2 4 6 4" xfId="10189" xr:uid="{2E890A52-0A67-4F56-8D4D-5C339EF0320D}"/>
    <cellStyle name="Normal 4 2 2 4 6 5" xfId="18627" xr:uid="{AD08856D-3E59-47CC-A8DB-4DEFD6CB483E}"/>
    <cellStyle name="Normal 4 2 2 4 7" xfId="2071" xr:uid="{00000000-0005-0000-0000-0000DB120000}"/>
    <cellStyle name="Normal 4 2 2 4 7 2" xfId="4300" xr:uid="{00000000-0005-0000-0000-0000DC120000}"/>
    <cellStyle name="Normal 4 2 2 4 7 2 2" xfId="8523" xr:uid="{00000000-0005-0000-0000-0000DD120000}"/>
    <cellStyle name="Normal 4 2 2 4 7 2 2 2" xfId="16965" xr:uid="{7574B702-8E99-4D0D-8798-ED6DE65FEFC5}"/>
    <cellStyle name="Normal 4 2 2 4 7 2 2 3" xfId="25402" xr:uid="{0EF9DAC4-0F74-4489-84A1-FDA2388E13B8}"/>
    <cellStyle name="Normal 4 2 2 4 7 2 3" xfId="12747" xr:uid="{1CF4EB3C-1F9E-44E5-8581-D1FC16A729ED}"/>
    <cellStyle name="Normal 4 2 2 4 7 2 4" xfId="21185" xr:uid="{EDBD2FD2-A08D-4944-BD70-DEB8C94F9098}"/>
    <cellStyle name="Normal 4 2 2 4 7 3" xfId="6378" xr:uid="{00000000-0005-0000-0000-0000DE120000}"/>
    <cellStyle name="Normal 4 2 2 4 7 3 2" xfId="14820" xr:uid="{CFE8F150-95E4-40BC-B633-79992EAF3D7A}"/>
    <cellStyle name="Normal 4 2 2 4 7 3 3" xfId="23257" xr:uid="{68D19DF2-ED2A-491A-B7DB-6CB229DAAC34}"/>
    <cellStyle name="Normal 4 2 2 4 7 4" xfId="10602" xr:uid="{1A0FB5B9-3AF7-48E0-A3A5-853E77B78076}"/>
    <cellStyle name="Normal 4 2 2 4 7 5" xfId="19040" xr:uid="{4EA670BB-2B0F-406D-B8B8-7D33833B645F}"/>
    <cellStyle name="Normal 4 2 2 4 8" xfId="2507" xr:uid="{00000000-0005-0000-0000-0000DF120000}"/>
    <cellStyle name="Normal 4 2 2 4 8 2" xfId="6791" xr:uid="{00000000-0005-0000-0000-0000E0120000}"/>
    <cellStyle name="Normal 4 2 2 4 8 2 2" xfId="15233" xr:uid="{1AC98FE8-811A-42D5-8498-4E4CD2ABB3B1}"/>
    <cellStyle name="Normal 4 2 2 4 8 2 3" xfId="23670" xr:uid="{FEA11EBF-64E8-4D76-9C4A-09860F39086E}"/>
    <cellStyle name="Normal 4 2 2 4 8 3" xfId="11015" xr:uid="{4B463677-43FD-4E4B-8B8B-4A03F27F5999}"/>
    <cellStyle name="Normal 4 2 2 4 8 4" xfId="19453" xr:uid="{5DCBA06E-7A6C-4BFD-9F23-7FF5D3CF04C2}"/>
    <cellStyle name="Normal 4 2 2 4 9" xfId="4726" xr:uid="{00000000-0005-0000-0000-0000E1120000}"/>
    <cellStyle name="Normal 4 2 2 4 9 2" xfId="13168" xr:uid="{211B1604-2FD3-4418-BE9C-3F84BD816078}"/>
    <cellStyle name="Normal 4 2 2 4 9 3" xfId="21605" xr:uid="{FABE47BC-9FFC-4899-BF26-A1E7B09E3458}"/>
    <cellStyle name="Normal 4 2 2 5" xfId="351" xr:uid="{00000000-0005-0000-0000-0000E2120000}"/>
    <cellStyle name="Normal 4 2 2 5 10" xfId="17392" xr:uid="{11A0C306-5206-4395-A194-94CBB3DBB82A}"/>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2 2 2" xfId="15731" xr:uid="{897397CC-72F0-4612-9C20-282F30A09D25}"/>
    <cellStyle name="Normal 4 2 2 5 2 2 2 2 3" xfId="24168" xr:uid="{1DBF3151-A4FE-42A8-999D-27A495BC0721}"/>
    <cellStyle name="Normal 4 2 2 5 2 2 2 3" xfId="11513" xr:uid="{B38B1C8A-A2A0-41AD-BCEF-900A0150D015}"/>
    <cellStyle name="Normal 4 2 2 5 2 2 2 4" xfId="19951" xr:uid="{82A72CB2-8F81-4833-8405-67F985FF872A}"/>
    <cellStyle name="Normal 4 2 2 5 2 2 3" xfId="5144" xr:uid="{00000000-0005-0000-0000-0000E7120000}"/>
    <cellStyle name="Normal 4 2 2 5 2 2 3 2" xfId="13586" xr:uid="{D08C8FF6-2ABF-4162-9C1D-285591AC0997}"/>
    <cellStyle name="Normal 4 2 2 5 2 2 3 3" xfId="22023" xr:uid="{A295C31F-C95D-47DE-9832-4FBFA76AAB36}"/>
    <cellStyle name="Normal 4 2 2 5 2 2 4" xfId="9368" xr:uid="{252507B2-0731-47B7-BC16-4E11721AE195}"/>
    <cellStyle name="Normal 4 2 2 5 2 2 5" xfId="17806" xr:uid="{C2F4A4EF-48AB-44C5-8230-076AC68C1531}"/>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2 2 2" xfId="16144" xr:uid="{C6235B0A-87AE-46DD-B53C-4ABED65438B4}"/>
    <cellStyle name="Normal 4 2 2 5 2 3 2 2 3" xfId="24581" xr:uid="{ACF54ECC-C83A-4E00-BCBF-BCF93A212594}"/>
    <cellStyle name="Normal 4 2 2 5 2 3 2 3" xfId="11926" xr:uid="{14BE4712-246C-4CB2-929D-84969B3F6D47}"/>
    <cellStyle name="Normal 4 2 2 5 2 3 2 4" xfId="20364" xr:uid="{3FDAF864-90D5-45F8-9D21-9E2B94A14945}"/>
    <cellStyle name="Normal 4 2 2 5 2 3 3" xfId="5557" xr:uid="{00000000-0005-0000-0000-0000EB120000}"/>
    <cellStyle name="Normal 4 2 2 5 2 3 3 2" xfId="13999" xr:uid="{27068CE0-9895-4293-BCAB-D95163A45E42}"/>
    <cellStyle name="Normal 4 2 2 5 2 3 3 3" xfId="22436" xr:uid="{76B31B7E-E1B2-4BE2-87B0-B9AE09B5672D}"/>
    <cellStyle name="Normal 4 2 2 5 2 3 4" xfId="9781" xr:uid="{7BF233C3-5BD8-4A0E-8781-440FE453BC31}"/>
    <cellStyle name="Normal 4 2 2 5 2 3 5" xfId="18219" xr:uid="{FE5FF20B-C052-4933-984B-832CEF4533C2}"/>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2 2 2" xfId="16557" xr:uid="{915BD9DD-48A3-4C6C-87CB-6210A7CB02A0}"/>
    <cellStyle name="Normal 4 2 2 5 2 4 2 2 3" xfId="24994" xr:uid="{A836AC6D-CFC6-4786-8B39-15FFFFAF3D83}"/>
    <cellStyle name="Normal 4 2 2 5 2 4 2 3" xfId="12339" xr:uid="{D82CE800-FC5F-4C22-B135-BC333F8C97AB}"/>
    <cellStyle name="Normal 4 2 2 5 2 4 2 4" xfId="20777" xr:uid="{F3436693-221C-4A5E-9CC2-A95C18F3A876}"/>
    <cellStyle name="Normal 4 2 2 5 2 4 3" xfId="5970" xr:uid="{00000000-0005-0000-0000-0000EF120000}"/>
    <cellStyle name="Normal 4 2 2 5 2 4 3 2" xfId="14412" xr:uid="{465ED361-5896-48B8-AFCC-5879C2FDB465}"/>
    <cellStyle name="Normal 4 2 2 5 2 4 3 3" xfId="22849" xr:uid="{C7E35CCC-48F5-4AC3-99AA-EC5E1B1CCAAB}"/>
    <cellStyle name="Normal 4 2 2 5 2 4 4" xfId="10194" xr:uid="{7AD441C3-F35A-49ED-A657-1E9EC0A75695}"/>
    <cellStyle name="Normal 4 2 2 5 2 4 5" xfId="18632" xr:uid="{FC4EC57E-95AE-4B52-8E6A-1233AE07B995}"/>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2 2 2" xfId="16970" xr:uid="{EC180E06-EBE5-49D7-B938-2A4C24B93314}"/>
    <cellStyle name="Normal 4 2 2 5 2 5 2 2 3" xfId="25407" xr:uid="{0939CB78-9F31-43CF-9F8A-64BF89D75DF9}"/>
    <cellStyle name="Normal 4 2 2 5 2 5 2 3" xfId="12752" xr:uid="{1DC4BEC5-7A53-4BDA-A332-E6053672173C}"/>
    <cellStyle name="Normal 4 2 2 5 2 5 2 4" xfId="21190" xr:uid="{A860C4AA-EF77-4BBE-BA2B-5C90848E1BD7}"/>
    <cellStyle name="Normal 4 2 2 5 2 5 3" xfId="6383" xr:uid="{00000000-0005-0000-0000-0000F3120000}"/>
    <cellStyle name="Normal 4 2 2 5 2 5 3 2" xfId="14825" xr:uid="{F5604662-E5D0-43B6-89CF-8A60E1DD5188}"/>
    <cellStyle name="Normal 4 2 2 5 2 5 3 3" xfId="23262" xr:uid="{3A8042F7-71F9-4C05-B50F-D99049B2F10E}"/>
    <cellStyle name="Normal 4 2 2 5 2 5 4" xfId="10607" xr:uid="{DA622783-5D5C-4C14-8B22-E723AECA563D}"/>
    <cellStyle name="Normal 4 2 2 5 2 5 5" xfId="19045" xr:uid="{06B07E0D-4F78-4DDE-9870-2B992B16E7E0}"/>
    <cellStyle name="Normal 4 2 2 5 2 6" xfId="2512" xr:uid="{00000000-0005-0000-0000-0000F4120000}"/>
    <cellStyle name="Normal 4 2 2 5 2 6 2" xfId="6796" xr:uid="{00000000-0005-0000-0000-0000F5120000}"/>
    <cellStyle name="Normal 4 2 2 5 2 6 2 2" xfId="15238" xr:uid="{01E31934-B04C-4B57-9D5A-52CD856BEF6D}"/>
    <cellStyle name="Normal 4 2 2 5 2 6 2 3" xfId="23675" xr:uid="{AEFA997D-A8AE-404F-9E36-573399A7EBC3}"/>
    <cellStyle name="Normal 4 2 2 5 2 6 3" xfId="11020" xr:uid="{24E7BA72-0574-4DDC-94C6-09C9FE2D15F2}"/>
    <cellStyle name="Normal 4 2 2 5 2 6 4" xfId="19458" xr:uid="{5D8DF8A6-A49A-481B-B2BF-9967A115A441}"/>
    <cellStyle name="Normal 4 2 2 5 2 7" xfId="4731" xr:uid="{00000000-0005-0000-0000-0000F6120000}"/>
    <cellStyle name="Normal 4 2 2 5 2 7 2" xfId="13173" xr:uid="{6D7440F1-B96F-4A21-A105-C2FCC2416505}"/>
    <cellStyle name="Normal 4 2 2 5 2 7 3" xfId="21610" xr:uid="{2BA8EF0D-20C6-462D-9674-F1259C50C2A2}"/>
    <cellStyle name="Normal 4 2 2 5 2 8" xfId="8955" xr:uid="{B1F0E0C3-4812-4C5F-B693-FFA8C6959CDB}"/>
    <cellStyle name="Normal 4 2 2 5 2 9" xfId="17393" xr:uid="{1D43E3D1-D949-4555-9014-1D08857549A9}"/>
    <cellStyle name="Normal 4 2 2 5 3" xfId="828" xr:uid="{00000000-0005-0000-0000-0000F7120000}"/>
    <cellStyle name="Normal 4 2 2 5 3 2" xfId="3065" xr:uid="{00000000-0005-0000-0000-0000F8120000}"/>
    <cellStyle name="Normal 4 2 2 5 3 2 2" xfId="7288" xr:uid="{00000000-0005-0000-0000-0000F9120000}"/>
    <cellStyle name="Normal 4 2 2 5 3 2 2 2" xfId="15730" xr:uid="{35C869FF-ED54-4117-8DF4-BB09CC2D6BB9}"/>
    <cellStyle name="Normal 4 2 2 5 3 2 2 3" xfId="24167" xr:uid="{421E63C0-1755-4352-9E50-30D37DB268A3}"/>
    <cellStyle name="Normal 4 2 2 5 3 2 3" xfId="11512" xr:uid="{0F450F99-4C40-4B32-9FEA-7FB1E0BF6866}"/>
    <cellStyle name="Normal 4 2 2 5 3 2 4" xfId="19950" xr:uid="{6046EA43-70F8-4570-92E4-97ADBE2E12D4}"/>
    <cellStyle name="Normal 4 2 2 5 3 3" xfId="5143" xr:uid="{00000000-0005-0000-0000-0000FA120000}"/>
    <cellStyle name="Normal 4 2 2 5 3 3 2" xfId="13585" xr:uid="{7D7D304D-BB5A-41A2-8555-EC316E4F7386}"/>
    <cellStyle name="Normal 4 2 2 5 3 3 3" xfId="22022" xr:uid="{031EAA28-A760-49BF-8D91-1FA7499DE020}"/>
    <cellStyle name="Normal 4 2 2 5 3 4" xfId="9367" xr:uid="{42A93D6E-C7DA-4BDC-8643-4145ECEAAC44}"/>
    <cellStyle name="Normal 4 2 2 5 3 5" xfId="17805" xr:uid="{663D5FF9-1755-4CB2-AA64-07EE29D6A3CD}"/>
    <cellStyle name="Normal 4 2 2 5 4" xfId="1248" xr:uid="{00000000-0005-0000-0000-0000FB120000}"/>
    <cellStyle name="Normal 4 2 2 5 4 2" xfId="3478" xr:uid="{00000000-0005-0000-0000-0000FC120000}"/>
    <cellStyle name="Normal 4 2 2 5 4 2 2" xfId="7701" xr:uid="{00000000-0005-0000-0000-0000FD120000}"/>
    <cellStyle name="Normal 4 2 2 5 4 2 2 2" xfId="16143" xr:uid="{B90D6A13-9889-4762-8C44-A134805590FA}"/>
    <cellStyle name="Normal 4 2 2 5 4 2 2 3" xfId="24580" xr:uid="{84BEF35E-D7B8-43F1-9359-37282E469CA3}"/>
    <cellStyle name="Normal 4 2 2 5 4 2 3" xfId="11925" xr:uid="{4A68CB3C-F38C-45E3-80E9-025E62E9C4B5}"/>
    <cellStyle name="Normal 4 2 2 5 4 2 4" xfId="20363" xr:uid="{DB60F3FA-FCD9-45CA-B0AB-01E415A89206}"/>
    <cellStyle name="Normal 4 2 2 5 4 3" xfId="5556" xr:uid="{00000000-0005-0000-0000-0000FE120000}"/>
    <cellStyle name="Normal 4 2 2 5 4 3 2" xfId="13998" xr:uid="{55791FD3-DA9B-45E7-B2BD-887A1E4BA3DC}"/>
    <cellStyle name="Normal 4 2 2 5 4 3 3" xfId="22435" xr:uid="{519BD575-BCD5-427B-BFC4-8B268DB30273}"/>
    <cellStyle name="Normal 4 2 2 5 4 4" xfId="9780" xr:uid="{3D546E0F-4BCC-4B38-8E95-61864D8E0417}"/>
    <cellStyle name="Normal 4 2 2 5 4 5" xfId="18218" xr:uid="{079B0B1C-4A8D-4184-88C2-300F4E12C69D}"/>
    <cellStyle name="Normal 4 2 2 5 5" xfId="1661" xr:uid="{00000000-0005-0000-0000-0000FF120000}"/>
    <cellStyle name="Normal 4 2 2 5 5 2" xfId="3891" xr:uid="{00000000-0005-0000-0000-000000130000}"/>
    <cellStyle name="Normal 4 2 2 5 5 2 2" xfId="8114" xr:uid="{00000000-0005-0000-0000-000001130000}"/>
    <cellStyle name="Normal 4 2 2 5 5 2 2 2" xfId="16556" xr:uid="{BFECD01B-E645-4FFD-9FA7-9C20F3CB752C}"/>
    <cellStyle name="Normal 4 2 2 5 5 2 2 3" xfId="24993" xr:uid="{EC422387-1186-4C74-99F2-83E4AD1F6C42}"/>
    <cellStyle name="Normal 4 2 2 5 5 2 3" xfId="12338" xr:uid="{32D2490A-8789-488C-B1AF-422E9DDA32BC}"/>
    <cellStyle name="Normal 4 2 2 5 5 2 4" xfId="20776" xr:uid="{2A8C0181-C558-44AD-8AAC-A3846D6AC2EF}"/>
    <cellStyle name="Normal 4 2 2 5 5 3" xfId="5969" xr:uid="{00000000-0005-0000-0000-000002130000}"/>
    <cellStyle name="Normal 4 2 2 5 5 3 2" xfId="14411" xr:uid="{60D014CE-86A6-49FE-830F-87BDF512AC57}"/>
    <cellStyle name="Normal 4 2 2 5 5 3 3" xfId="22848" xr:uid="{3EE4E7CA-252D-493C-BEAE-072A001FF83B}"/>
    <cellStyle name="Normal 4 2 2 5 5 4" xfId="10193" xr:uid="{A1971428-9366-4300-B608-E5F177469690}"/>
    <cellStyle name="Normal 4 2 2 5 5 5" xfId="18631" xr:uid="{D69D578C-72CC-4186-938B-05E66DD4B11B}"/>
    <cellStyle name="Normal 4 2 2 5 6" xfId="2075" xr:uid="{00000000-0005-0000-0000-000003130000}"/>
    <cellStyle name="Normal 4 2 2 5 6 2" xfId="4304" xr:uid="{00000000-0005-0000-0000-000004130000}"/>
    <cellStyle name="Normal 4 2 2 5 6 2 2" xfId="8527" xr:uid="{00000000-0005-0000-0000-000005130000}"/>
    <cellStyle name="Normal 4 2 2 5 6 2 2 2" xfId="16969" xr:uid="{77AC3734-80C7-4EC6-BDB7-440D1CA2C787}"/>
    <cellStyle name="Normal 4 2 2 5 6 2 2 3" xfId="25406" xr:uid="{55039D09-DFB4-4603-941D-A5D483FD0452}"/>
    <cellStyle name="Normal 4 2 2 5 6 2 3" xfId="12751" xr:uid="{6EAAE544-95DE-467F-9537-4B74FEB49983}"/>
    <cellStyle name="Normal 4 2 2 5 6 2 4" xfId="21189" xr:uid="{61DF4BB1-E19D-459B-9C96-C570F4AC3764}"/>
    <cellStyle name="Normal 4 2 2 5 6 3" xfId="6382" xr:uid="{00000000-0005-0000-0000-000006130000}"/>
    <cellStyle name="Normal 4 2 2 5 6 3 2" xfId="14824" xr:uid="{67B93BA0-9E8A-4492-880A-C140CCDD184C}"/>
    <cellStyle name="Normal 4 2 2 5 6 3 3" xfId="23261" xr:uid="{C16D4083-070E-41A5-B7FB-5F4F215DEB10}"/>
    <cellStyle name="Normal 4 2 2 5 6 4" xfId="10606" xr:uid="{260D2F05-4D97-4269-9422-01DE143D2781}"/>
    <cellStyle name="Normal 4 2 2 5 6 5" xfId="19044" xr:uid="{B869FBAA-473F-4027-A641-23E923E4C2E7}"/>
    <cellStyle name="Normal 4 2 2 5 7" xfId="2511" xr:uid="{00000000-0005-0000-0000-000007130000}"/>
    <cellStyle name="Normal 4 2 2 5 7 2" xfId="6795" xr:uid="{00000000-0005-0000-0000-000008130000}"/>
    <cellStyle name="Normal 4 2 2 5 7 2 2" xfId="15237" xr:uid="{94E4EFE3-C773-48AF-898D-5833BF2A4B13}"/>
    <cellStyle name="Normal 4 2 2 5 7 2 3" xfId="23674" xr:uid="{0D7C8B26-8E14-4C50-8EE1-CE104107E6DA}"/>
    <cellStyle name="Normal 4 2 2 5 7 3" xfId="11019" xr:uid="{3CF737F2-C243-4FBE-B9D9-3F8506924225}"/>
    <cellStyle name="Normal 4 2 2 5 7 4" xfId="19457" xr:uid="{D052B1B4-0E8A-4FEC-B495-FB50C766412C}"/>
    <cellStyle name="Normal 4 2 2 5 8" xfId="4730" xr:uid="{00000000-0005-0000-0000-000009130000}"/>
    <cellStyle name="Normal 4 2 2 5 8 2" xfId="13172" xr:uid="{C37594FE-E7A0-4A19-A85A-B39E8D8A0AA0}"/>
    <cellStyle name="Normal 4 2 2 5 8 3" xfId="21609" xr:uid="{0A13557E-3760-47E4-B58F-71AF53AE5477}"/>
    <cellStyle name="Normal 4 2 2 5 9" xfId="8954" xr:uid="{AFF98898-7580-4B00-A846-F48D81A75CF8}"/>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2 2 2" xfId="15732" xr:uid="{9A278B7F-EDF5-4A42-8BEB-13785F3CB914}"/>
    <cellStyle name="Normal 4 2 2 6 2 2 2 3" xfId="24169" xr:uid="{7C67045F-03A8-494F-BAC5-B3FB35258CA3}"/>
    <cellStyle name="Normal 4 2 2 6 2 2 3" xfId="11514" xr:uid="{1CBFA33F-B886-43F1-BA42-2FB288092A80}"/>
    <cellStyle name="Normal 4 2 2 6 2 2 4" xfId="19952" xr:uid="{068A4D88-214E-4821-8C27-2DEF4842751E}"/>
    <cellStyle name="Normal 4 2 2 6 2 3" xfId="5145" xr:uid="{00000000-0005-0000-0000-00000E130000}"/>
    <cellStyle name="Normal 4 2 2 6 2 3 2" xfId="13587" xr:uid="{41081462-BD8B-4417-9522-EBB54840087C}"/>
    <cellStyle name="Normal 4 2 2 6 2 3 3" xfId="22024" xr:uid="{92C28DD6-9188-439D-BF31-3E0280389608}"/>
    <cellStyle name="Normal 4 2 2 6 2 4" xfId="9369" xr:uid="{8B7BC0AD-BB27-42FD-BE25-32A9D79861A9}"/>
    <cellStyle name="Normal 4 2 2 6 2 5" xfId="17807" xr:uid="{402A7572-9AC5-4453-AA6B-24C8EB46F9EA}"/>
    <cellStyle name="Normal 4 2 2 6 3" xfId="1250" xr:uid="{00000000-0005-0000-0000-00000F130000}"/>
    <cellStyle name="Normal 4 2 2 6 3 2" xfId="3480" xr:uid="{00000000-0005-0000-0000-000010130000}"/>
    <cellStyle name="Normal 4 2 2 6 3 2 2" xfId="7703" xr:uid="{00000000-0005-0000-0000-000011130000}"/>
    <cellStyle name="Normal 4 2 2 6 3 2 2 2" xfId="16145" xr:uid="{0688FEFE-EECC-48B5-9942-3DA828FB44A7}"/>
    <cellStyle name="Normal 4 2 2 6 3 2 2 3" xfId="24582" xr:uid="{8A824DED-4BCC-4158-A292-67E43262884C}"/>
    <cellStyle name="Normal 4 2 2 6 3 2 3" xfId="11927" xr:uid="{37C1D2CB-AC36-4B06-84BD-F507D95324EC}"/>
    <cellStyle name="Normal 4 2 2 6 3 2 4" xfId="20365" xr:uid="{244494F4-F3C7-4A6C-ABAB-73F550C40C41}"/>
    <cellStyle name="Normal 4 2 2 6 3 3" xfId="5558" xr:uid="{00000000-0005-0000-0000-000012130000}"/>
    <cellStyle name="Normal 4 2 2 6 3 3 2" xfId="14000" xr:uid="{957517FD-CFF2-42C6-AD8A-35F1ADF02485}"/>
    <cellStyle name="Normal 4 2 2 6 3 3 3" xfId="22437" xr:uid="{F6B76C26-7497-465E-9031-3C22D13E9684}"/>
    <cellStyle name="Normal 4 2 2 6 3 4" xfId="9782" xr:uid="{567B66CE-C61D-4A17-B0C5-FB061CF036A6}"/>
    <cellStyle name="Normal 4 2 2 6 3 5" xfId="18220" xr:uid="{F4E08FAC-FF77-48B3-A95E-A96647F8F559}"/>
    <cellStyle name="Normal 4 2 2 6 4" xfId="1663" xr:uid="{00000000-0005-0000-0000-000013130000}"/>
    <cellStyle name="Normal 4 2 2 6 4 2" xfId="3893" xr:uid="{00000000-0005-0000-0000-000014130000}"/>
    <cellStyle name="Normal 4 2 2 6 4 2 2" xfId="8116" xr:uid="{00000000-0005-0000-0000-000015130000}"/>
    <cellStyle name="Normal 4 2 2 6 4 2 2 2" xfId="16558" xr:uid="{C72E7C1A-D006-475E-B5F0-42C7E5B64F6A}"/>
    <cellStyle name="Normal 4 2 2 6 4 2 2 3" xfId="24995" xr:uid="{E00AC773-ECC8-4A5B-8676-4988416F53DA}"/>
    <cellStyle name="Normal 4 2 2 6 4 2 3" xfId="12340" xr:uid="{91CCE904-7C90-4C54-B1FA-DADEDEAD054A}"/>
    <cellStyle name="Normal 4 2 2 6 4 2 4" xfId="20778" xr:uid="{80000D26-9C40-48E3-B83E-11E70B9056CF}"/>
    <cellStyle name="Normal 4 2 2 6 4 3" xfId="5971" xr:uid="{00000000-0005-0000-0000-000016130000}"/>
    <cellStyle name="Normal 4 2 2 6 4 3 2" xfId="14413" xr:uid="{46993102-2800-4199-AE32-1E9F84EAA552}"/>
    <cellStyle name="Normal 4 2 2 6 4 3 3" xfId="22850" xr:uid="{09E8C9C5-3309-4F52-BA10-53A3EE6432CA}"/>
    <cellStyle name="Normal 4 2 2 6 4 4" xfId="10195" xr:uid="{C7C73B11-7C62-4866-A1D3-7C0790C11CE7}"/>
    <cellStyle name="Normal 4 2 2 6 4 5" xfId="18633" xr:uid="{350A0C6C-DA5A-4218-BC2E-C0E168AA6D0A}"/>
    <cellStyle name="Normal 4 2 2 6 5" xfId="2077" xr:uid="{00000000-0005-0000-0000-000017130000}"/>
    <cellStyle name="Normal 4 2 2 6 5 2" xfId="4306" xr:uid="{00000000-0005-0000-0000-000018130000}"/>
    <cellStyle name="Normal 4 2 2 6 5 2 2" xfId="8529" xr:uid="{00000000-0005-0000-0000-000019130000}"/>
    <cellStyle name="Normal 4 2 2 6 5 2 2 2" xfId="16971" xr:uid="{4C4AD380-C0C6-4FD0-AB63-04AAB6184280}"/>
    <cellStyle name="Normal 4 2 2 6 5 2 2 3" xfId="25408" xr:uid="{DF773555-93A3-4D71-A38B-0FCC85DBCB1E}"/>
    <cellStyle name="Normal 4 2 2 6 5 2 3" xfId="12753" xr:uid="{CB36E1D3-929A-4F43-AD9E-41DD4C9373BB}"/>
    <cellStyle name="Normal 4 2 2 6 5 2 4" xfId="21191" xr:uid="{163848EC-02E7-402F-A406-D85EB2EF0379}"/>
    <cellStyle name="Normal 4 2 2 6 5 3" xfId="6384" xr:uid="{00000000-0005-0000-0000-00001A130000}"/>
    <cellStyle name="Normal 4 2 2 6 5 3 2" xfId="14826" xr:uid="{7A995520-267F-4282-B114-DBA55C83E399}"/>
    <cellStyle name="Normal 4 2 2 6 5 3 3" xfId="23263" xr:uid="{57D2BD5B-C545-4EE1-96F5-BCFE8EB00404}"/>
    <cellStyle name="Normal 4 2 2 6 5 4" xfId="10608" xr:uid="{925A89DB-BA0A-40B4-9F55-FBFA13167DA2}"/>
    <cellStyle name="Normal 4 2 2 6 5 5" xfId="19046" xr:uid="{10343CEF-2AC1-432B-9CD7-465FF67E5B19}"/>
    <cellStyle name="Normal 4 2 2 6 6" xfId="2513" xr:uid="{00000000-0005-0000-0000-00001B130000}"/>
    <cellStyle name="Normal 4 2 2 6 6 2" xfId="6797" xr:uid="{00000000-0005-0000-0000-00001C130000}"/>
    <cellStyle name="Normal 4 2 2 6 6 2 2" xfId="15239" xr:uid="{4CAA11B0-9CB1-410D-8CD8-2F8E090997D9}"/>
    <cellStyle name="Normal 4 2 2 6 6 2 3" xfId="23676" xr:uid="{099EA251-AB54-40BF-9818-15B7B595D07A}"/>
    <cellStyle name="Normal 4 2 2 6 6 3" xfId="11021" xr:uid="{ABA07501-8F72-4F62-8CB5-7A71845A497F}"/>
    <cellStyle name="Normal 4 2 2 6 6 4" xfId="19459" xr:uid="{91CB2951-27B2-4975-84F1-119F976607E4}"/>
    <cellStyle name="Normal 4 2 2 6 7" xfId="4732" xr:uid="{00000000-0005-0000-0000-00001D130000}"/>
    <cellStyle name="Normal 4 2 2 6 7 2" xfId="13174" xr:uid="{7D137368-D000-4635-9142-70A2BC7F305A}"/>
    <cellStyle name="Normal 4 2 2 6 7 3" xfId="21611" xr:uid="{4DBC4EB6-12F1-496C-ACAC-42DB176113D5}"/>
    <cellStyle name="Normal 4 2 2 6 8" xfId="8956" xr:uid="{548797A9-EBE4-45F7-BB00-D6178BE58482}"/>
    <cellStyle name="Normal 4 2 2 6 9" xfId="17394" xr:uid="{C598F94E-3B0A-4651-A141-AA6EB9040CB4}"/>
    <cellStyle name="Normal 4 2 2 7" xfId="815" xr:uid="{00000000-0005-0000-0000-00001E130000}"/>
    <cellStyle name="Normal 4 2 2 7 2" xfId="3052" xr:uid="{00000000-0005-0000-0000-00001F130000}"/>
    <cellStyle name="Normal 4 2 2 7 2 2" xfId="7275" xr:uid="{00000000-0005-0000-0000-000020130000}"/>
    <cellStyle name="Normal 4 2 2 7 2 2 2" xfId="15717" xr:uid="{B0B2CCC9-086E-4CEF-A6B1-FEAC6EB8D93A}"/>
    <cellStyle name="Normal 4 2 2 7 2 2 3" xfId="24154" xr:uid="{C57C1E54-529C-4192-A7F6-B2552FBFFD60}"/>
    <cellStyle name="Normal 4 2 2 7 2 3" xfId="11499" xr:uid="{E3554548-4921-47FF-AF1C-7ADDBD090E13}"/>
    <cellStyle name="Normal 4 2 2 7 2 4" xfId="19937" xr:uid="{87AF7574-CE75-496D-8EA4-FEF35A6C2B88}"/>
    <cellStyle name="Normal 4 2 2 7 3" xfId="5130" xr:uid="{00000000-0005-0000-0000-000021130000}"/>
    <cellStyle name="Normal 4 2 2 7 3 2" xfId="13572" xr:uid="{A036DA43-925C-4BF4-850F-0088B5A3CC01}"/>
    <cellStyle name="Normal 4 2 2 7 3 3" xfId="22009" xr:uid="{24AFCABA-CA3D-44FA-96CA-7FE546EC599F}"/>
    <cellStyle name="Normal 4 2 2 7 4" xfId="9354" xr:uid="{D491D279-CDF3-4142-9D8B-C27DC6572537}"/>
    <cellStyle name="Normal 4 2 2 7 5" xfId="17792" xr:uid="{6B8B1B52-6CA7-4951-A599-E41991E62728}"/>
    <cellStyle name="Normal 4 2 2 8" xfId="1235" xr:uid="{00000000-0005-0000-0000-000022130000}"/>
    <cellStyle name="Normal 4 2 2 8 2" xfId="3465" xr:uid="{00000000-0005-0000-0000-000023130000}"/>
    <cellStyle name="Normal 4 2 2 8 2 2" xfId="7688" xr:uid="{00000000-0005-0000-0000-000024130000}"/>
    <cellStyle name="Normal 4 2 2 8 2 2 2" xfId="16130" xr:uid="{E72DB511-6076-4E9B-B7DF-743F31DEB6F4}"/>
    <cellStyle name="Normal 4 2 2 8 2 2 3" xfId="24567" xr:uid="{E5DD9A3A-1E8F-454A-AC10-CD611F64ECB6}"/>
    <cellStyle name="Normal 4 2 2 8 2 3" xfId="11912" xr:uid="{6612FCFC-2B38-4D08-9F59-C876BC7787D9}"/>
    <cellStyle name="Normal 4 2 2 8 2 4" xfId="20350" xr:uid="{AFF40182-DA9E-4EC4-A9D1-52C569A03436}"/>
    <cellStyle name="Normal 4 2 2 8 3" xfId="5543" xr:uid="{00000000-0005-0000-0000-000025130000}"/>
    <cellStyle name="Normal 4 2 2 8 3 2" xfId="13985" xr:uid="{8F4D8D18-74A1-498C-B998-D943B9324050}"/>
    <cellStyle name="Normal 4 2 2 8 3 3" xfId="22422" xr:uid="{E962D75F-6DFB-426A-8C0E-946D3BC1C797}"/>
    <cellStyle name="Normal 4 2 2 8 4" xfId="9767" xr:uid="{108A3CD9-55DD-49F5-B504-3327A2A986DC}"/>
    <cellStyle name="Normal 4 2 2 8 5" xfId="18205" xr:uid="{C76BE17E-1778-4013-BCE3-A44507B1ECE4}"/>
    <cellStyle name="Normal 4 2 2 9" xfId="1648" xr:uid="{00000000-0005-0000-0000-000026130000}"/>
    <cellStyle name="Normal 4 2 2 9 2" xfId="3878" xr:uid="{00000000-0005-0000-0000-000027130000}"/>
    <cellStyle name="Normal 4 2 2 9 2 2" xfId="8101" xr:uid="{00000000-0005-0000-0000-000028130000}"/>
    <cellStyle name="Normal 4 2 2 9 2 2 2" xfId="16543" xr:uid="{B1B506AA-2AEE-4885-BF85-A8741790C5F9}"/>
    <cellStyle name="Normal 4 2 2 9 2 2 3" xfId="24980" xr:uid="{EF4903AD-E5C3-4724-B8CC-9B65F67D05B6}"/>
    <cellStyle name="Normal 4 2 2 9 2 3" xfId="12325" xr:uid="{95AD8A51-EA6B-4483-82BF-8AC43A9ED3D7}"/>
    <cellStyle name="Normal 4 2 2 9 2 4" xfId="20763" xr:uid="{015DC376-51DD-4CA4-BE21-14E5B6AB31BB}"/>
    <cellStyle name="Normal 4 2 2 9 3" xfId="5956" xr:uid="{00000000-0005-0000-0000-000029130000}"/>
    <cellStyle name="Normal 4 2 2 9 3 2" xfId="14398" xr:uid="{E5EFD0EB-FAF9-4648-8E6F-C89D93C08F38}"/>
    <cellStyle name="Normal 4 2 2 9 3 3" xfId="22835" xr:uid="{9FAB661F-FE34-4D11-976A-DF4F7D040FBE}"/>
    <cellStyle name="Normal 4 2 2 9 4" xfId="10180" xr:uid="{A104E4F7-588C-4F28-8DDC-2D2ECA3A3D81}"/>
    <cellStyle name="Normal 4 2 2 9 5" xfId="18618" xr:uid="{3F9056BB-1AC5-44FD-84F6-188022E2B334}"/>
    <cellStyle name="Normal 4 2 3" xfId="354" xr:uid="{00000000-0005-0000-0000-00002A130000}"/>
    <cellStyle name="Normal 4 2 4" xfId="355" xr:uid="{00000000-0005-0000-0000-00002B130000}"/>
    <cellStyle name="Normal 4 2 4 10" xfId="4733" xr:uid="{00000000-0005-0000-0000-00002C130000}"/>
    <cellStyle name="Normal 4 2 4 10 2" xfId="13175" xr:uid="{6591BDDF-6586-45B6-B2C9-24A3F75F6888}"/>
    <cellStyle name="Normal 4 2 4 10 3" xfId="21612" xr:uid="{795038D4-0296-4082-81AB-8FDDFF180948}"/>
    <cellStyle name="Normal 4 2 4 11" xfId="8957" xr:uid="{2B4FB237-2406-4B43-9388-FAFE147B763D}"/>
    <cellStyle name="Normal 4 2 4 12" xfId="17395" xr:uid="{7864C36D-49C7-4CA5-95D2-5BE6EEDFEDC9}"/>
    <cellStyle name="Normal 4 2 4 2" xfId="356" xr:uid="{00000000-0005-0000-0000-00002D130000}"/>
    <cellStyle name="Normal 4 2 4 2 10" xfId="8958" xr:uid="{C8E437DF-E2C6-4811-898C-16F4E39770D2}"/>
    <cellStyle name="Normal 4 2 4 2 11" xfId="17396" xr:uid="{0E5DBB9D-F8E7-4986-AE63-B912248582B4}"/>
    <cellStyle name="Normal 4 2 4 2 2" xfId="357" xr:uid="{00000000-0005-0000-0000-00002E130000}"/>
    <cellStyle name="Normal 4 2 4 2 2 10" xfId="17397" xr:uid="{6A24DF0A-1B5C-41C5-86CE-D0AC04DE2162}"/>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2 2 2" xfId="15736" xr:uid="{511B9F5E-FE18-44CF-A979-6B0D6C2E8EFC}"/>
    <cellStyle name="Normal 4 2 4 2 2 2 2 2 2 3" xfId="24173" xr:uid="{1EC94965-59E6-4A2F-A02E-87D136DE875D}"/>
    <cellStyle name="Normal 4 2 4 2 2 2 2 2 3" xfId="11518" xr:uid="{7542A19E-9F9F-4F15-9A95-C800D8C578AF}"/>
    <cellStyle name="Normal 4 2 4 2 2 2 2 2 4" xfId="19956" xr:uid="{BE67DC98-978A-4E26-8DC8-5D705764CD56}"/>
    <cellStyle name="Normal 4 2 4 2 2 2 2 3" xfId="5149" xr:uid="{00000000-0005-0000-0000-000033130000}"/>
    <cellStyle name="Normal 4 2 4 2 2 2 2 3 2" xfId="13591" xr:uid="{65AE6549-5421-456E-AC31-34B0784BFA8F}"/>
    <cellStyle name="Normal 4 2 4 2 2 2 2 3 3" xfId="22028" xr:uid="{733659C7-7A8F-4221-851E-EF637C9B593A}"/>
    <cellStyle name="Normal 4 2 4 2 2 2 2 4" xfId="9373" xr:uid="{1D95B816-CF50-479C-8746-77FEC7216E1C}"/>
    <cellStyle name="Normal 4 2 4 2 2 2 2 5" xfId="17811" xr:uid="{C969E020-1068-43A9-B9AA-D83E17BFC331}"/>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2 2 2" xfId="16149" xr:uid="{FCF1F9A9-366B-4A01-8C90-889BED49EFF7}"/>
    <cellStyle name="Normal 4 2 4 2 2 2 3 2 2 3" xfId="24586" xr:uid="{9E16DE54-6E06-4BF7-B6F2-108D5FC62B8E}"/>
    <cellStyle name="Normal 4 2 4 2 2 2 3 2 3" xfId="11931" xr:uid="{8E663AB1-0A04-4F57-AA2E-D8DFA1F4A7FA}"/>
    <cellStyle name="Normal 4 2 4 2 2 2 3 2 4" xfId="20369" xr:uid="{93E01954-60F5-4D24-A31A-42FEEC14053D}"/>
    <cellStyle name="Normal 4 2 4 2 2 2 3 3" xfId="5562" xr:uid="{00000000-0005-0000-0000-000037130000}"/>
    <cellStyle name="Normal 4 2 4 2 2 2 3 3 2" xfId="14004" xr:uid="{832224B4-5752-451D-9DB8-AAE1D921AC45}"/>
    <cellStyle name="Normal 4 2 4 2 2 2 3 3 3" xfId="22441" xr:uid="{2555CA40-F9CD-4068-815B-956D124BA81C}"/>
    <cellStyle name="Normal 4 2 4 2 2 2 3 4" xfId="9786" xr:uid="{03BFC7DD-36C4-475F-993C-D082EC193A1E}"/>
    <cellStyle name="Normal 4 2 4 2 2 2 3 5" xfId="18224" xr:uid="{EEF78DDD-D3EB-4D9B-8D8C-6EF9278C5E53}"/>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2 2 2" xfId="16562" xr:uid="{A9DCD341-6C91-42E2-B9FE-11AC828D4E8A}"/>
    <cellStyle name="Normal 4 2 4 2 2 2 4 2 2 3" xfId="24999" xr:uid="{739E6D3B-98B1-4111-9928-656717EE192C}"/>
    <cellStyle name="Normal 4 2 4 2 2 2 4 2 3" xfId="12344" xr:uid="{C5AEDC42-AACF-45A8-9917-E38B21F701A6}"/>
    <cellStyle name="Normal 4 2 4 2 2 2 4 2 4" xfId="20782" xr:uid="{F64611B2-414A-45A0-AEE0-9D3444E2845E}"/>
    <cellStyle name="Normal 4 2 4 2 2 2 4 3" xfId="5975" xr:uid="{00000000-0005-0000-0000-00003B130000}"/>
    <cellStyle name="Normal 4 2 4 2 2 2 4 3 2" xfId="14417" xr:uid="{493C4169-B161-43C4-926F-F3EC00F84343}"/>
    <cellStyle name="Normal 4 2 4 2 2 2 4 3 3" xfId="22854" xr:uid="{A2131CF3-AB23-4843-8C10-A8E9241433F2}"/>
    <cellStyle name="Normal 4 2 4 2 2 2 4 4" xfId="10199" xr:uid="{114F1FD8-D740-4343-9765-33E74F28C280}"/>
    <cellStyle name="Normal 4 2 4 2 2 2 4 5" xfId="18637" xr:uid="{4831907C-8E67-4C4A-9BC9-FACADE24633E}"/>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2 2 2" xfId="16975" xr:uid="{01BBDC58-A3BD-430A-867D-04D703DE878E}"/>
    <cellStyle name="Normal 4 2 4 2 2 2 5 2 2 3" xfId="25412" xr:uid="{8921DFC9-F25B-4DE5-92A1-F1797FEFF24B}"/>
    <cellStyle name="Normal 4 2 4 2 2 2 5 2 3" xfId="12757" xr:uid="{E99D91C6-E070-4E78-A1E5-86CA9F54511E}"/>
    <cellStyle name="Normal 4 2 4 2 2 2 5 2 4" xfId="21195" xr:uid="{053846BE-F295-4938-9AA6-D41CC240D2FF}"/>
    <cellStyle name="Normal 4 2 4 2 2 2 5 3" xfId="6388" xr:uid="{00000000-0005-0000-0000-00003F130000}"/>
    <cellStyle name="Normal 4 2 4 2 2 2 5 3 2" xfId="14830" xr:uid="{35E47E6A-604B-4D3A-BAC8-06DF598FFF4C}"/>
    <cellStyle name="Normal 4 2 4 2 2 2 5 3 3" xfId="23267" xr:uid="{88A1A79F-57A6-4C1B-9599-FEC5F5C4641B}"/>
    <cellStyle name="Normal 4 2 4 2 2 2 5 4" xfId="10612" xr:uid="{352AB62C-BC81-4EED-A1E9-8DE0AD7DF4F9}"/>
    <cellStyle name="Normal 4 2 4 2 2 2 5 5" xfId="19050" xr:uid="{7356833E-4C38-46C1-87C4-CCD8BD3F4CFB}"/>
    <cellStyle name="Normal 4 2 4 2 2 2 6" xfId="2517" xr:uid="{00000000-0005-0000-0000-000040130000}"/>
    <cellStyle name="Normal 4 2 4 2 2 2 6 2" xfId="6801" xr:uid="{00000000-0005-0000-0000-000041130000}"/>
    <cellStyle name="Normal 4 2 4 2 2 2 6 2 2" xfId="15243" xr:uid="{AC4CABE7-AC23-4E05-9D49-84C8BCD13E01}"/>
    <cellStyle name="Normal 4 2 4 2 2 2 6 2 3" xfId="23680" xr:uid="{DD3E69FA-1741-422F-859E-2114E174DABF}"/>
    <cellStyle name="Normal 4 2 4 2 2 2 6 3" xfId="11025" xr:uid="{4701F700-67D8-4CED-95B6-63936CB504A6}"/>
    <cellStyle name="Normal 4 2 4 2 2 2 6 4" xfId="19463" xr:uid="{D3CC27FC-3F39-4D93-A62F-A9F854C013E8}"/>
    <cellStyle name="Normal 4 2 4 2 2 2 7" xfId="4736" xr:uid="{00000000-0005-0000-0000-000042130000}"/>
    <cellStyle name="Normal 4 2 4 2 2 2 7 2" xfId="13178" xr:uid="{E024DDD4-8DDE-4F85-99DC-6715CB7D2AE7}"/>
    <cellStyle name="Normal 4 2 4 2 2 2 7 3" xfId="21615" xr:uid="{B0DF63B4-C519-4A0B-9AF0-41212276833A}"/>
    <cellStyle name="Normal 4 2 4 2 2 2 8" xfId="8960" xr:uid="{3ABFBB14-E548-477B-8AA5-B28C9084178A}"/>
    <cellStyle name="Normal 4 2 4 2 2 2 9" xfId="17398" xr:uid="{0C86AF55-D15C-4D28-B124-BC5F76ECDE09}"/>
    <cellStyle name="Normal 4 2 4 2 2 3" xfId="833" xr:uid="{00000000-0005-0000-0000-000043130000}"/>
    <cellStyle name="Normal 4 2 4 2 2 3 2" xfId="3070" xr:uid="{00000000-0005-0000-0000-000044130000}"/>
    <cellStyle name="Normal 4 2 4 2 2 3 2 2" xfId="7293" xr:uid="{00000000-0005-0000-0000-000045130000}"/>
    <cellStyle name="Normal 4 2 4 2 2 3 2 2 2" xfId="15735" xr:uid="{31C1CDD1-0CF2-4916-B415-D40644C179DE}"/>
    <cellStyle name="Normal 4 2 4 2 2 3 2 2 3" xfId="24172" xr:uid="{25B21789-12D2-4340-A532-C702B0227118}"/>
    <cellStyle name="Normal 4 2 4 2 2 3 2 3" xfId="11517" xr:uid="{D2DE7791-78D7-4573-A0A3-B9B2176D0469}"/>
    <cellStyle name="Normal 4 2 4 2 2 3 2 4" xfId="19955" xr:uid="{3D5CF0CE-C4F4-4124-8425-C2656FBC6A13}"/>
    <cellStyle name="Normal 4 2 4 2 2 3 3" xfId="5148" xr:uid="{00000000-0005-0000-0000-000046130000}"/>
    <cellStyle name="Normal 4 2 4 2 2 3 3 2" xfId="13590" xr:uid="{23882CFC-D30D-4ED5-A5C5-52B88C9BD19D}"/>
    <cellStyle name="Normal 4 2 4 2 2 3 3 3" xfId="22027" xr:uid="{DB845D22-A76A-4FEA-9E86-19B8A835273C}"/>
    <cellStyle name="Normal 4 2 4 2 2 3 4" xfId="9372" xr:uid="{3BCB28EA-3CAE-436D-B037-64C5511B6A1B}"/>
    <cellStyle name="Normal 4 2 4 2 2 3 5" xfId="17810" xr:uid="{1413E5AB-16EA-486F-A799-EB8A53BBA3CC}"/>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2 2 2" xfId="16148" xr:uid="{3118CD8A-433B-4AAF-9C3C-21F38F24C75F}"/>
    <cellStyle name="Normal 4 2 4 2 2 4 2 2 3" xfId="24585" xr:uid="{CFFE573F-3C55-4A3A-8432-7295051E9864}"/>
    <cellStyle name="Normal 4 2 4 2 2 4 2 3" xfId="11930" xr:uid="{7E545B16-029C-4CAA-AAE3-7D5FF15697E2}"/>
    <cellStyle name="Normal 4 2 4 2 2 4 2 4" xfId="20368" xr:uid="{5656F033-DA98-4184-A93E-9DA2AAA20F03}"/>
    <cellStyle name="Normal 4 2 4 2 2 4 3" xfId="5561" xr:uid="{00000000-0005-0000-0000-00004A130000}"/>
    <cellStyle name="Normal 4 2 4 2 2 4 3 2" xfId="14003" xr:uid="{2BCCFA5B-373D-449B-8614-A3284881396F}"/>
    <cellStyle name="Normal 4 2 4 2 2 4 3 3" xfId="22440" xr:uid="{66F968DC-0246-46CF-842F-65675FDC6FCC}"/>
    <cellStyle name="Normal 4 2 4 2 2 4 4" xfId="9785" xr:uid="{B2D3FE9D-7F0D-4B3D-A352-D6DAFDA1EDC5}"/>
    <cellStyle name="Normal 4 2 4 2 2 4 5" xfId="18223" xr:uid="{ED192862-5832-4417-842B-D97EA98DB007}"/>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2 2 2" xfId="16561" xr:uid="{CDF6EA78-3BB6-4450-B2AF-655EF20F5504}"/>
    <cellStyle name="Normal 4 2 4 2 2 5 2 2 3" xfId="24998" xr:uid="{83C578BC-6DA5-480B-B78F-9D0B7CA708B2}"/>
    <cellStyle name="Normal 4 2 4 2 2 5 2 3" xfId="12343" xr:uid="{1DEB6495-C1A3-4FC0-821B-31DDDF0935F0}"/>
    <cellStyle name="Normal 4 2 4 2 2 5 2 4" xfId="20781" xr:uid="{EE2A047A-C8C0-414F-B923-678C241AA725}"/>
    <cellStyle name="Normal 4 2 4 2 2 5 3" xfId="5974" xr:uid="{00000000-0005-0000-0000-00004E130000}"/>
    <cellStyle name="Normal 4 2 4 2 2 5 3 2" xfId="14416" xr:uid="{C03015AA-8F5F-4A71-973E-2FFB5E711D4C}"/>
    <cellStyle name="Normal 4 2 4 2 2 5 3 3" xfId="22853" xr:uid="{566BB452-77D8-4309-9D35-2706D1A0AB29}"/>
    <cellStyle name="Normal 4 2 4 2 2 5 4" xfId="10198" xr:uid="{E8F7C11F-E823-496F-A807-170869D58E5E}"/>
    <cellStyle name="Normal 4 2 4 2 2 5 5" xfId="18636" xr:uid="{3412FA18-1872-4715-BF8B-34C913FDBCB7}"/>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2 2 2" xfId="16974" xr:uid="{57C20CDC-685E-4930-BC0E-0E8E227116E1}"/>
    <cellStyle name="Normal 4 2 4 2 2 6 2 2 3" xfId="25411" xr:uid="{198768C1-B107-4AD2-B3AF-437AF18E22DB}"/>
    <cellStyle name="Normal 4 2 4 2 2 6 2 3" xfId="12756" xr:uid="{4465F7D8-9F0D-4EC8-AF60-00E903327BD6}"/>
    <cellStyle name="Normal 4 2 4 2 2 6 2 4" xfId="21194" xr:uid="{187220F3-67E4-4A63-BF79-4DC8C51E5752}"/>
    <cellStyle name="Normal 4 2 4 2 2 6 3" xfId="6387" xr:uid="{00000000-0005-0000-0000-000052130000}"/>
    <cellStyle name="Normal 4 2 4 2 2 6 3 2" xfId="14829" xr:uid="{FF3DDEB8-6DEB-4394-8E04-2D9A2BA1049C}"/>
    <cellStyle name="Normal 4 2 4 2 2 6 3 3" xfId="23266" xr:uid="{D6689B16-0F0E-4675-AA78-7BCFC17192BB}"/>
    <cellStyle name="Normal 4 2 4 2 2 6 4" xfId="10611" xr:uid="{AD286875-84EC-4CC0-9EAE-1D043862B584}"/>
    <cellStyle name="Normal 4 2 4 2 2 6 5" xfId="19049" xr:uid="{16273343-AA62-48A0-A199-3503CB12A8AC}"/>
    <cellStyle name="Normal 4 2 4 2 2 7" xfId="2516" xr:uid="{00000000-0005-0000-0000-000053130000}"/>
    <cellStyle name="Normal 4 2 4 2 2 7 2" xfId="6800" xr:uid="{00000000-0005-0000-0000-000054130000}"/>
    <cellStyle name="Normal 4 2 4 2 2 7 2 2" xfId="15242" xr:uid="{8345CDFB-2311-40DA-87AB-4D397B2437AB}"/>
    <cellStyle name="Normal 4 2 4 2 2 7 2 3" xfId="23679" xr:uid="{CBB00917-4077-484A-ABEB-2CC5FE1F4C62}"/>
    <cellStyle name="Normal 4 2 4 2 2 7 3" xfId="11024" xr:uid="{37016114-4E68-4290-862A-2A0153ECFD7B}"/>
    <cellStyle name="Normal 4 2 4 2 2 7 4" xfId="19462" xr:uid="{1F8047A5-B282-415E-8262-1F8E490374EF}"/>
    <cellStyle name="Normal 4 2 4 2 2 8" xfId="4735" xr:uid="{00000000-0005-0000-0000-000055130000}"/>
    <cellStyle name="Normal 4 2 4 2 2 8 2" xfId="13177" xr:uid="{C6664035-ED5D-43C8-90D1-F845FEFCCCCE}"/>
    <cellStyle name="Normal 4 2 4 2 2 8 3" xfId="21614" xr:uid="{3F171415-A8A7-4E00-85EF-19367297A809}"/>
    <cellStyle name="Normal 4 2 4 2 2 9" xfId="8959" xr:uid="{632A925C-32EA-4691-AB3A-97DC7FF70D7A}"/>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2 2 2" xfId="15737" xr:uid="{327B8BCC-A9AF-4B16-8E68-2E8A8E45A28D}"/>
    <cellStyle name="Normal 4 2 4 2 3 2 2 2 3" xfId="24174" xr:uid="{8B85BC37-71EF-40AD-A7C8-844849ED103B}"/>
    <cellStyle name="Normal 4 2 4 2 3 2 2 3" xfId="11519" xr:uid="{8EDC3AE0-04E3-4A4E-AC79-CD0F71D3778B}"/>
    <cellStyle name="Normal 4 2 4 2 3 2 2 4" xfId="19957" xr:uid="{C2504379-30CE-498F-9960-959ABADBFC85}"/>
    <cellStyle name="Normal 4 2 4 2 3 2 3" xfId="5150" xr:uid="{00000000-0005-0000-0000-00005A130000}"/>
    <cellStyle name="Normal 4 2 4 2 3 2 3 2" xfId="13592" xr:uid="{DFB801C5-DA8B-48BC-A4DA-F7E128715F3B}"/>
    <cellStyle name="Normal 4 2 4 2 3 2 3 3" xfId="22029" xr:uid="{EA45F2CB-BD6B-49C5-A40B-E9A68CC4DD7F}"/>
    <cellStyle name="Normal 4 2 4 2 3 2 4" xfId="9374" xr:uid="{D70CE223-961D-4A86-B2DB-6A672B91B807}"/>
    <cellStyle name="Normal 4 2 4 2 3 2 5" xfId="17812" xr:uid="{9ACFBB5F-8E1A-48B1-A772-FC63311165CB}"/>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2 2 2" xfId="16150" xr:uid="{39C26895-CB92-4A78-BEED-692DCD3A806D}"/>
    <cellStyle name="Normal 4 2 4 2 3 3 2 2 3" xfId="24587" xr:uid="{1BFF47E8-E2EA-4979-917E-BBB31ADF9743}"/>
    <cellStyle name="Normal 4 2 4 2 3 3 2 3" xfId="11932" xr:uid="{48A555A3-4460-4D68-A68F-10F233E47771}"/>
    <cellStyle name="Normal 4 2 4 2 3 3 2 4" xfId="20370" xr:uid="{91CF032F-AAFC-41EF-A809-F86B82E64EEB}"/>
    <cellStyle name="Normal 4 2 4 2 3 3 3" xfId="5563" xr:uid="{00000000-0005-0000-0000-00005E130000}"/>
    <cellStyle name="Normal 4 2 4 2 3 3 3 2" xfId="14005" xr:uid="{61943BDE-5113-4551-A17F-51A2C777B382}"/>
    <cellStyle name="Normal 4 2 4 2 3 3 3 3" xfId="22442" xr:uid="{27D2C77F-14FD-4584-BAD9-05CC669F0570}"/>
    <cellStyle name="Normal 4 2 4 2 3 3 4" xfId="9787" xr:uid="{644CF917-944B-44E3-9652-BF2F34C7FD45}"/>
    <cellStyle name="Normal 4 2 4 2 3 3 5" xfId="18225" xr:uid="{2F6CF780-68A0-45C1-9B07-60A3462D3339}"/>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2 2 2" xfId="16563" xr:uid="{7721DEF6-D1ED-4167-BB15-6EAE1B19D104}"/>
    <cellStyle name="Normal 4 2 4 2 3 4 2 2 3" xfId="25000" xr:uid="{3E9C5AC0-F43B-4E4E-BCEB-2C6ED5E1BF26}"/>
    <cellStyle name="Normal 4 2 4 2 3 4 2 3" xfId="12345" xr:uid="{95F4D8A0-CC87-4DFA-A509-7AF0401412CC}"/>
    <cellStyle name="Normal 4 2 4 2 3 4 2 4" xfId="20783" xr:uid="{82176D8E-8EB7-41C4-8B56-D896738E6795}"/>
    <cellStyle name="Normal 4 2 4 2 3 4 3" xfId="5976" xr:uid="{00000000-0005-0000-0000-000062130000}"/>
    <cellStyle name="Normal 4 2 4 2 3 4 3 2" xfId="14418" xr:uid="{E9D3EBC8-E7A9-4B33-8A9A-E0780ECDF27D}"/>
    <cellStyle name="Normal 4 2 4 2 3 4 3 3" xfId="22855" xr:uid="{5CA8D987-2226-48C1-842A-7CD63202F4AE}"/>
    <cellStyle name="Normal 4 2 4 2 3 4 4" xfId="10200" xr:uid="{3AB7D87B-6221-48AE-BA15-9DCA18374548}"/>
    <cellStyle name="Normal 4 2 4 2 3 4 5" xfId="18638" xr:uid="{D6B5D458-D23A-45E9-98A3-3A274B9A6253}"/>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2 2 2" xfId="16976" xr:uid="{BF9FD9C0-9540-4814-B335-81E806504E7F}"/>
    <cellStyle name="Normal 4 2 4 2 3 5 2 2 3" xfId="25413" xr:uid="{07F1E1AA-DA19-44E2-B047-057797D66AA6}"/>
    <cellStyle name="Normal 4 2 4 2 3 5 2 3" xfId="12758" xr:uid="{6CD290B1-6B32-4581-861C-1B9B3F57858D}"/>
    <cellStyle name="Normal 4 2 4 2 3 5 2 4" xfId="21196" xr:uid="{DDD10740-AF6D-42D0-9D0A-A83A2410F657}"/>
    <cellStyle name="Normal 4 2 4 2 3 5 3" xfId="6389" xr:uid="{00000000-0005-0000-0000-000066130000}"/>
    <cellStyle name="Normal 4 2 4 2 3 5 3 2" xfId="14831" xr:uid="{38AE388A-F1B9-4238-9A59-D6DC9C8F5D80}"/>
    <cellStyle name="Normal 4 2 4 2 3 5 3 3" xfId="23268" xr:uid="{72467D11-AA66-47AF-8671-97AF08F880FA}"/>
    <cellStyle name="Normal 4 2 4 2 3 5 4" xfId="10613" xr:uid="{6376B7C6-1768-4E2D-A4E7-3E22DAAD044D}"/>
    <cellStyle name="Normal 4 2 4 2 3 5 5" xfId="19051" xr:uid="{CC2EC18E-31E4-46AC-9837-A19C7E75A53E}"/>
    <cellStyle name="Normal 4 2 4 2 3 6" xfId="2518" xr:uid="{00000000-0005-0000-0000-000067130000}"/>
    <cellStyle name="Normal 4 2 4 2 3 6 2" xfId="6802" xr:uid="{00000000-0005-0000-0000-000068130000}"/>
    <cellStyle name="Normal 4 2 4 2 3 6 2 2" xfId="15244" xr:uid="{0B950A85-1E26-48D3-B101-CCEA90BEED36}"/>
    <cellStyle name="Normal 4 2 4 2 3 6 2 3" xfId="23681" xr:uid="{C43690B5-C964-47E9-98A0-4FDF0A202CF7}"/>
    <cellStyle name="Normal 4 2 4 2 3 6 3" xfId="11026" xr:uid="{42B0B24C-3AD3-4757-939C-600403008540}"/>
    <cellStyle name="Normal 4 2 4 2 3 6 4" xfId="19464" xr:uid="{0F013740-AFF3-4BC2-9A11-5DDD787618BE}"/>
    <cellStyle name="Normal 4 2 4 2 3 7" xfId="4737" xr:uid="{00000000-0005-0000-0000-000069130000}"/>
    <cellStyle name="Normal 4 2 4 2 3 7 2" xfId="13179" xr:uid="{36474834-5AE5-47F8-BAC0-8751C9D42A74}"/>
    <cellStyle name="Normal 4 2 4 2 3 7 3" xfId="21616" xr:uid="{CFB2A7FD-A7A5-4849-8400-BAD54C02136D}"/>
    <cellStyle name="Normal 4 2 4 2 3 8" xfId="8961" xr:uid="{6241A868-271C-4578-AB63-6DD1FFB09DC8}"/>
    <cellStyle name="Normal 4 2 4 2 3 9" xfId="17399" xr:uid="{E4E2A1BE-906F-4D6A-83F5-B797F5DE24B3}"/>
    <cellStyle name="Normal 4 2 4 2 4" xfId="832" xr:uid="{00000000-0005-0000-0000-00006A130000}"/>
    <cellStyle name="Normal 4 2 4 2 4 2" xfId="3069" xr:uid="{00000000-0005-0000-0000-00006B130000}"/>
    <cellStyle name="Normal 4 2 4 2 4 2 2" xfId="7292" xr:uid="{00000000-0005-0000-0000-00006C130000}"/>
    <cellStyle name="Normal 4 2 4 2 4 2 2 2" xfId="15734" xr:uid="{76055727-5ECB-48FA-90C8-B424BE09364C}"/>
    <cellStyle name="Normal 4 2 4 2 4 2 2 3" xfId="24171" xr:uid="{C1A8C91E-7112-4631-989D-C79AADA20295}"/>
    <cellStyle name="Normal 4 2 4 2 4 2 3" xfId="11516" xr:uid="{929B9236-6A1E-4080-B4A7-EFDD1ED353D3}"/>
    <cellStyle name="Normal 4 2 4 2 4 2 4" xfId="19954" xr:uid="{3114A64F-4E63-4D67-BF4D-69DBB44841F7}"/>
    <cellStyle name="Normal 4 2 4 2 4 3" xfId="5147" xr:uid="{00000000-0005-0000-0000-00006D130000}"/>
    <cellStyle name="Normal 4 2 4 2 4 3 2" xfId="13589" xr:uid="{B9BA6E32-F650-46F8-B76E-0CFC2BA86E77}"/>
    <cellStyle name="Normal 4 2 4 2 4 3 3" xfId="22026" xr:uid="{9EBD4417-C29E-419C-A7F9-89D6154D5841}"/>
    <cellStyle name="Normal 4 2 4 2 4 4" xfId="9371" xr:uid="{787AC7CC-331C-40E4-B84A-45DFF6229FDB}"/>
    <cellStyle name="Normal 4 2 4 2 4 5" xfId="17809" xr:uid="{9C71B97C-5B8C-4F21-BAE9-A84D25A9D66F}"/>
    <cellStyle name="Normal 4 2 4 2 5" xfId="1252" xr:uid="{00000000-0005-0000-0000-00006E130000}"/>
    <cellStyle name="Normal 4 2 4 2 5 2" xfId="3482" xr:uid="{00000000-0005-0000-0000-00006F130000}"/>
    <cellStyle name="Normal 4 2 4 2 5 2 2" xfId="7705" xr:uid="{00000000-0005-0000-0000-000070130000}"/>
    <cellStyle name="Normal 4 2 4 2 5 2 2 2" xfId="16147" xr:uid="{119393B5-50C0-4E12-B67C-80D726E7746C}"/>
    <cellStyle name="Normal 4 2 4 2 5 2 2 3" xfId="24584" xr:uid="{5F526515-5941-4F15-8DB6-6CE5E9C1C3CB}"/>
    <cellStyle name="Normal 4 2 4 2 5 2 3" xfId="11929" xr:uid="{32C1C183-E33F-410B-9B28-31EB2BA01CD7}"/>
    <cellStyle name="Normal 4 2 4 2 5 2 4" xfId="20367" xr:uid="{6C7EB21E-9D9A-43DC-AD65-D8F383CB4255}"/>
    <cellStyle name="Normal 4 2 4 2 5 3" xfId="5560" xr:uid="{00000000-0005-0000-0000-000071130000}"/>
    <cellStyle name="Normal 4 2 4 2 5 3 2" xfId="14002" xr:uid="{1BC15826-C6F1-43DC-A7F8-9C5125528A35}"/>
    <cellStyle name="Normal 4 2 4 2 5 3 3" xfId="22439" xr:uid="{31679595-E024-40B2-917A-A344E11CE7D6}"/>
    <cellStyle name="Normal 4 2 4 2 5 4" xfId="9784" xr:uid="{8BF8BDA5-77B5-4C10-B09A-8A44CA3837CB}"/>
    <cellStyle name="Normal 4 2 4 2 5 5" xfId="18222" xr:uid="{50705CDA-5FB8-406E-94EF-FA02129AD01D}"/>
    <cellStyle name="Normal 4 2 4 2 6" xfId="1665" xr:uid="{00000000-0005-0000-0000-000072130000}"/>
    <cellStyle name="Normal 4 2 4 2 6 2" xfId="3895" xr:uid="{00000000-0005-0000-0000-000073130000}"/>
    <cellStyle name="Normal 4 2 4 2 6 2 2" xfId="8118" xr:uid="{00000000-0005-0000-0000-000074130000}"/>
    <cellStyle name="Normal 4 2 4 2 6 2 2 2" xfId="16560" xr:uid="{EDAFC76B-C61B-455F-A661-5C478F4F6285}"/>
    <cellStyle name="Normal 4 2 4 2 6 2 2 3" xfId="24997" xr:uid="{AAAA6F3B-42B0-48BB-AD53-CC239CC42379}"/>
    <cellStyle name="Normal 4 2 4 2 6 2 3" xfId="12342" xr:uid="{3AE65B61-0584-43BD-8DD3-325113F0B771}"/>
    <cellStyle name="Normal 4 2 4 2 6 2 4" xfId="20780" xr:uid="{BC4FC39B-39E8-4B66-8067-E2C6D8393001}"/>
    <cellStyle name="Normal 4 2 4 2 6 3" xfId="5973" xr:uid="{00000000-0005-0000-0000-000075130000}"/>
    <cellStyle name="Normal 4 2 4 2 6 3 2" xfId="14415" xr:uid="{CF439A83-4A00-4D72-A22E-A837B3BDC9B0}"/>
    <cellStyle name="Normal 4 2 4 2 6 3 3" xfId="22852" xr:uid="{DB25C55C-514A-4BC8-9A64-FA77A7E73784}"/>
    <cellStyle name="Normal 4 2 4 2 6 4" xfId="10197" xr:uid="{60CAFD69-8814-4562-B2ED-1015B37B4890}"/>
    <cellStyle name="Normal 4 2 4 2 6 5" xfId="18635" xr:uid="{67FF11D0-49BB-42F4-A52C-B542AD1EE3C3}"/>
    <cellStyle name="Normal 4 2 4 2 7" xfId="2079" xr:uid="{00000000-0005-0000-0000-000076130000}"/>
    <cellStyle name="Normal 4 2 4 2 7 2" xfId="4308" xr:uid="{00000000-0005-0000-0000-000077130000}"/>
    <cellStyle name="Normal 4 2 4 2 7 2 2" xfId="8531" xr:uid="{00000000-0005-0000-0000-000078130000}"/>
    <cellStyle name="Normal 4 2 4 2 7 2 2 2" xfId="16973" xr:uid="{DA910D84-BD9B-42B7-82F9-B85513D440EF}"/>
    <cellStyle name="Normal 4 2 4 2 7 2 2 3" xfId="25410" xr:uid="{31F538D3-4CB6-489F-9137-8BBF6F87D80D}"/>
    <cellStyle name="Normal 4 2 4 2 7 2 3" xfId="12755" xr:uid="{EDCB5168-F4B7-4D29-8937-864A25748B52}"/>
    <cellStyle name="Normal 4 2 4 2 7 2 4" xfId="21193" xr:uid="{815A13B5-C6B0-4830-8340-2FEEAE3E904E}"/>
    <cellStyle name="Normal 4 2 4 2 7 3" xfId="6386" xr:uid="{00000000-0005-0000-0000-000079130000}"/>
    <cellStyle name="Normal 4 2 4 2 7 3 2" xfId="14828" xr:uid="{81414E31-1AFE-49C5-819D-096BDF00B7F8}"/>
    <cellStyle name="Normal 4 2 4 2 7 3 3" xfId="23265" xr:uid="{29A0B781-CEB2-45F9-93FA-F94B1CA05823}"/>
    <cellStyle name="Normal 4 2 4 2 7 4" xfId="10610" xr:uid="{581F5CB9-66E5-4DDE-A4DC-FEB334E81F7D}"/>
    <cellStyle name="Normal 4 2 4 2 7 5" xfId="19048" xr:uid="{E08C7A1B-48AE-49FA-B094-0B4281F16BA3}"/>
    <cellStyle name="Normal 4 2 4 2 8" xfId="2515" xr:uid="{00000000-0005-0000-0000-00007A130000}"/>
    <cellStyle name="Normal 4 2 4 2 8 2" xfId="6799" xr:uid="{00000000-0005-0000-0000-00007B130000}"/>
    <cellStyle name="Normal 4 2 4 2 8 2 2" xfId="15241" xr:uid="{E65FE8A7-F3E1-48F6-A4AF-351EE4DABC64}"/>
    <cellStyle name="Normal 4 2 4 2 8 2 3" xfId="23678" xr:uid="{C03E87F2-EDF5-4E46-AA24-4EEAFD605F36}"/>
    <cellStyle name="Normal 4 2 4 2 8 3" xfId="11023" xr:uid="{A95591B2-7C96-49A5-931D-8E3407DA1D2C}"/>
    <cellStyle name="Normal 4 2 4 2 8 4" xfId="19461" xr:uid="{393BCAAB-30B0-4890-B2EE-B5536902A05E}"/>
    <cellStyle name="Normal 4 2 4 2 9" xfId="4734" xr:uid="{00000000-0005-0000-0000-00007C130000}"/>
    <cellStyle name="Normal 4 2 4 2 9 2" xfId="13176" xr:uid="{5734333C-9588-429C-A8A9-C38B22C0CC13}"/>
    <cellStyle name="Normal 4 2 4 2 9 3" xfId="21613" xr:uid="{66B26A9B-D590-49E1-9572-DCE04EA98ED2}"/>
    <cellStyle name="Normal 4 2 4 3" xfId="360" xr:uid="{00000000-0005-0000-0000-00007D130000}"/>
    <cellStyle name="Normal 4 2 4 3 10" xfId="17400" xr:uid="{E1AB874D-5531-469B-9148-C91607D035D4}"/>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2 2 2" xfId="15739" xr:uid="{8C914AB4-047E-4A1C-8F1C-568454858C95}"/>
    <cellStyle name="Normal 4 2 4 3 2 2 2 2 3" xfId="24176" xr:uid="{A90106B3-7CD7-42B7-A40D-0572B6EC1548}"/>
    <cellStyle name="Normal 4 2 4 3 2 2 2 3" xfId="11521" xr:uid="{EEDCC115-C122-4731-AB0E-334464C889DB}"/>
    <cellStyle name="Normal 4 2 4 3 2 2 2 4" xfId="19959" xr:uid="{1B446A32-54A4-4D25-B37D-3C0862D84220}"/>
    <cellStyle name="Normal 4 2 4 3 2 2 3" xfId="5152" xr:uid="{00000000-0005-0000-0000-000082130000}"/>
    <cellStyle name="Normal 4 2 4 3 2 2 3 2" xfId="13594" xr:uid="{708BEA3F-62C2-4C01-B1B0-D2FD3CBD3E56}"/>
    <cellStyle name="Normal 4 2 4 3 2 2 3 3" xfId="22031" xr:uid="{5E2283A6-BE03-4B39-92F6-074C070024D6}"/>
    <cellStyle name="Normal 4 2 4 3 2 2 4" xfId="9376" xr:uid="{95679A90-687C-49F6-AC7B-71E2A619A086}"/>
    <cellStyle name="Normal 4 2 4 3 2 2 5" xfId="17814" xr:uid="{745EDD57-C2BE-434B-BA75-EFA5AABC2A8D}"/>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2 2 2" xfId="16152" xr:uid="{14FB8813-64E5-48A8-BB28-AC1C9E49F3E7}"/>
    <cellStyle name="Normal 4 2 4 3 2 3 2 2 3" xfId="24589" xr:uid="{5E5D3E0C-E772-408E-B2C7-D72257643024}"/>
    <cellStyle name="Normal 4 2 4 3 2 3 2 3" xfId="11934" xr:uid="{604077B0-77FF-4209-9A0B-BFF203EEF42B}"/>
    <cellStyle name="Normal 4 2 4 3 2 3 2 4" xfId="20372" xr:uid="{BFF1D7B9-BD71-4094-A21D-D7478741E001}"/>
    <cellStyle name="Normal 4 2 4 3 2 3 3" xfId="5565" xr:uid="{00000000-0005-0000-0000-000086130000}"/>
    <cellStyle name="Normal 4 2 4 3 2 3 3 2" xfId="14007" xr:uid="{C8EC8E50-C309-4FF9-9449-4C94F9C6BCAD}"/>
    <cellStyle name="Normal 4 2 4 3 2 3 3 3" xfId="22444" xr:uid="{B07ABB8B-3CE7-46E1-A95F-7BFF8CD37CC6}"/>
    <cellStyle name="Normal 4 2 4 3 2 3 4" xfId="9789" xr:uid="{C0ED4EBD-7BE7-443A-8AB6-175F3BF2C746}"/>
    <cellStyle name="Normal 4 2 4 3 2 3 5" xfId="18227" xr:uid="{46F035BC-9C17-4CCE-A56E-459EA0C6AD3E}"/>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2 2 2" xfId="16565" xr:uid="{B2A3D310-0761-4B88-B124-366A2292E61C}"/>
    <cellStyle name="Normal 4 2 4 3 2 4 2 2 3" xfId="25002" xr:uid="{245FE0AE-89C9-454A-828D-406F4C93B513}"/>
    <cellStyle name="Normal 4 2 4 3 2 4 2 3" xfId="12347" xr:uid="{57EF2A1B-D5D9-4A7A-BFC1-9E8F28D062AD}"/>
    <cellStyle name="Normal 4 2 4 3 2 4 2 4" xfId="20785" xr:uid="{03737282-568F-4BC6-9C1F-1C34C507F9DA}"/>
    <cellStyle name="Normal 4 2 4 3 2 4 3" xfId="5978" xr:uid="{00000000-0005-0000-0000-00008A130000}"/>
    <cellStyle name="Normal 4 2 4 3 2 4 3 2" xfId="14420" xr:uid="{40DE9268-C97E-4F34-8D28-18BB92F6AC36}"/>
    <cellStyle name="Normal 4 2 4 3 2 4 3 3" xfId="22857" xr:uid="{9B97339A-D703-42F9-9C78-7FB15EEDC5CF}"/>
    <cellStyle name="Normal 4 2 4 3 2 4 4" xfId="10202" xr:uid="{E181DD99-CB2D-4AB7-BE8D-9B8810B99939}"/>
    <cellStyle name="Normal 4 2 4 3 2 4 5" xfId="18640" xr:uid="{1A02AA8D-42DD-49C7-9E65-B3398486368A}"/>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2 2 2" xfId="16978" xr:uid="{FB8DE96B-9085-45B4-8D0F-B0E34FA8A933}"/>
    <cellStyle name="Normal 4 2 4 3 2 5 2 2 3" xfId="25415" xr:uid="{486627AD-555C-43AE-A47C-C8FE6E3C1649}"/>
    <cellStyle name="Normal 4 2 4 3 2 5 2 3" xfId="12760" xr:uid="{224A2871-AEE0-460B-9FC2-1125F2CEDFD1}"/>
    <cellStyle name="Normal 4 2 4 3 2 5 2 4" xfId="21198" xr:uid="{4FB74731-92C1-488E-A882-1F0FB95D0029}"/>
    <cellStyle name="Normal 4 2 4 3 2 5 3" xfId="6391" xr:uid="{00000000-0005-0000-0000-00008E130000}"/>
    <cellStyle name="Normal 4 2 4 3 2 5 3 2" xfId="14833" xr:uid="{3E42C990-3740-46BD-AE1F-AAE6AE302A72}"/>
    <cellStyle name="Normal 4 2 4 3 2 5 3 3" xfId="23270" xr:uid="{B50D58D9-79F6-4400-B095-58805D5CA5B1}"/>
    <cellStyle name="Normal 4 2 4 3 2 5 4" xfId="10615" xr:uid="{FD835BC0-CC27-419B-86AE-150B71A0F4AC}"/>
    <cellStyle name="Normal 4 2 4 3 2 5 5" xfId="19053" xr:uid="{CFD05063-A1C4-4FB0-83A9-10879B8A544B}"/>
    <cellStyle name="Normal 4 2 4 3 2 6" xfId="2520" xr:uid="{00000000-0005-0000-0000-00008F130000}"/>
    <cellStyle name="Normal 4 2 4 3 2 6 2" xfId="6804" xr:uid="{00000000-0005-0000-0000-000090130000}"/>
    <cellStyle name="Normal 4 2 4 3 2 6 2 2" xfId="15246" xr:uid="{F05E0340-8C5F-485E-8BA7-13FC7244B06B}"/>
    <cellStyle name="Normal 4 2 4 3 2 6 2 3" xfId="23683" xr:uid="{EF84FA00-B5C9-4E0C-B34E-BC09E0B9B5A4}"/>
    <cellStyle name="Normal 4 2 4 3 2 6 3" xfId="11028" xr:uid="{C46493D9-C281-458C-916D-0BE780E2FBD1}"/>
    <cellStyle name="Normal 4 2 4 3 2 6 4" xfId="19466" xr:uid="{77B3ABDA-3122-467E-8678-195060426AE4}"/>
    <cellStyle name="Normal 4 2 4 3 2 7" xfId="4739" xr:uid="{00000000-0005-0000-0000-000091130000}"/>
    <cellStyle name="Normal 4 2 4 3 2 7 2" xfId="13181" xr:uid="{3D3F8C0C-FAB2-4B15-8F10-47FB2447EEEE}"/>
    <cellStyle name="Normal 4 2 4 3 2 7 3" xfId="21618" xr:uid="{481B0334-C9FE-4C18-9100-FFCA3CE12474}"/>
    <cellStyle name="Normal 4 2 4 3 2 8" xfId="8963" xr:uid="{6B106533-FB68-48F7-A1D8-B6EE35B47175}"/>
    <cellStyle name="Normal 4 2 4 3 2 9" xfId="17401" xr:uid="{59A42019-DC5B-49C6-995D-318EC1D1D92F}"/>
    <cellStyle name="Normal 4 2 4 3 3" xfId="836" xr:uid="{00000000-0005-0000-0000-000092130000}"/>
    <cellStyle name="Normal 4 2 4 3 3 2" xfId="3073" xr:uid="{00000000-0005-0000-0000-000093130000}"/>
    <cellStyle name="Normal 4 2 4 3 3 2 2" xfId="7296" xr:uid="{00000000-0005-0000-0000-000094130000}"/>
    <cellStyle name="Normal 4 2 4 3 3 2 2 2" xfId="15738" xr:uid="{758FCA48-BA47-4F6B-9258-8474826F6879}"/>
    <cellStyle name="Normal 4 2 4 3 3 2 2 3" xfId="24175" xr:uid="{5AD06986-D807-4975-B97B-FE11693062D3}"/>
    <cellStyle name="Normal 4 2 4 3 3 2 3" xfId="11520" xr:uid="{9FB35D50-C7FC-4584-9C4E-666A14DD6ED7}"/>
    <cellStyle name="Normal 4 2 4 3 3 2 4" xfId="19958" xr:uid="{0C384394-5E00-4A45-8AE4-AB770FF425BE}"/>
    <cellStyle name="Normal 4 2 4 3 3 3" xfId="5151" xr:uid="{00000000-0005-0000-0000-000095130000}"/>
    <cellStyle name="Normal 4 2 4 3 3 3 2" xfId="13593" xr:uid="{753F4014-60BD-4F95-8575-382C1C3C70EF}"/>
    <cellStyle name="Normal 4 2 4 3 3 3 3" xfId="22030" xr:uid="{C3CC5B10-02C6-4ED6-8117-4AFD233FB1D4}"/>
    <cellStyle name="Normal 4 2 4 3 3 4" xfId="9375" xr:uid="{D057F835-49A7-423D-9DD8-10724B3A7E61}"/>
    <cellStyle name="Normal 4 2 4 3 3 5" xfId="17813" xr:uid="{DC42DB8D-6858-46D0-BB6A-81D2E88B037C}"/>
    <cellStyle name="Normal 4 2 4 3 4" xfId="1256" xr:uid="{00000000-0005-0000-0000-000096130000}"/>
    <cellStyle name="Normal 4 2 4 3 4 2" xfId="3486" xr:uid="{00000000-0005-0000-0000-000097130000}"/>
    <cellStyle name="Normal 4 2 4 3 4 2 2" xfId="7709" xr:uid="{00000000-0005-0000-0000-000098130000}"/>
    <cellStyle name="Normal 4 2 4 3 4 2 2 2" xfId="16151" xr:uid="{DDEAF304-38C3-4977-B786-7A0E237226B0}"/>
    <cellStyle name="Normal 4 2 4 3 4 2 2 3" xfId="24588" xr:uid="{0BF7B503-5C3C-496D-BB79-ADBD77999043}"/>
    <cellStyle name="Normal 4 2 4 3 4 2 3" xfId="11933" xr:uid="{2B9CE1B0-0BF2-4F77-97F6-419B7B3E6A49}"/>
    <cellStyle name="Normal 4 2 4 3 4 2 4" xfId="20371" xr:uid="{66110A29-00CA-41B9-BFA8-745AFB3850EE}"/>
    <cellStyle name="Normal 4 2 4 3 4 3" xfId="5564" xr:uid="{00000000-0005-0000-0000-000099130000}"/>
    <cellStyle name="Normal 4 2 4 3 4 3 2" xfId="14006" xr:uid="{4A2D32A3-08E7-4C22-A331-ACFF19F731A0}"/>
    <cellStyle name="Normal 4 2 4 3 4 3 3" xfId="22443" xr:uid="{4166C3C6-5166-4BC5-AC98-27E4242B1B23}"/>
    <cellStyle name="Normal 4 2 4 3 4 4" xfId="9788" xr:uid="{0CD83040-94D5-4A47-85D2-FE8CBE92FE42}"/>
    <cellStyle name="Normal 4 2 4 3 4 5" xfId="18226" xr:uid="{FF6EFEE7-F3A6-4BE2-B613-1979AE4BF1AC}"/>
    <cellStyle name="Normal 4 2 4 3 5" xfId="1669" xr:uid="{00000000-0005-0000-0000-00009A130000}"/>
    <cellStyle name="Normal 4 2 4 3 5 2" xfId="3899" xr:uid="{00000000-0005-0000-0000-00009B130000}"/>
    <cellStyle name="Normal 4 2 4 3 5 2 2" xfId="8122" xr:uid="{00000000-0005-0000-0000-00009C130000}"/>
    <cellStyle name="Normal 4 2 4 3 5 2 2 2" xfId="16564" xr:uid="{452B6D37-822B-4FBA-B79A-19B750C4D0C3}"/>
    <cellStyle name="Normal 4 2 4 3 5 2 2 3" xfId="25001" xr:uid="{7B46A051-C911-4B11-B3CB-4622D0C7ACA0}"/>
    <cellStyle name="Normal 4 2 4 3 5 2 3" xfId="12346" xr:uid="{CEC2FD82-72F1-4388-BE9D-ECEE6CD1B425}"/>
    <cellStyle name="Normal 4 2 4 3 5 2 4" xfId="20784" xr:uid="{78104FA5-C42E-4B1F-9E2F-BFD606989815}"/>
    <cellStyle name="Normal 4 2 4 3 5 3" xfId="5977" xr:uid="{00000000-0005-0000-0000-00009D130000}"/>
    <cellStyle name="Normal 4 2 4 3 5 3 2" xfId="14419" xr:uid="{427E4887-6F83-41A6-888D-8DE086FE1025}"/>
    <cellStyle name="Normal 4 2 4 3 5 3 3" xfId="22856" xr:uid="{918FB404-CFAE-4C59-AFB1-451FFCA509DB}"/>
    <cellStyle name="Normal 4 2 4 3 5 4" xfId="10201" xr:uid="{DFBE6948-BEE4-4BC7-ADDE-A7A3011DFCC5}"/>
    <cellStyle name="Normal 4 2 4 3 5 5" xfId="18639" xr:uid="{5772C706-EBEB-46E9-A02F-2FEF1D730E4F}"/>
    <cellStyle name="Normal 4 2 4 3 6" xfId="2083" xr:uid="{00000000-0005-0000-0000-00009E130000}"/>
    <cellStyle name="Normal 4 2 4 3 6 2" xfId="4312" xr:uid="{00000000-0005-0000-0000-00009F130000}"/>
    <cellStyle name="Normal 4 2 4 3 6 2 2" xfId="8535" xr:uid="{00000000-0005-0000-0000-0000A0130000}"/>
    <cellStyle name="Normal 4 2 4 3 6 2 2 2" xfId="16977" xr:uid="{8C1AD08B-BA40-48FE-9263-CE6F6E6EDDCD}"/>
    <cellStyle name="Normal 4 2 4 3 6 2 2 3" xfId="25414" xr:uid="{D92F8C7D-5918-401D-8643-737FE9905937}"/>
    <cellStyle name="Normal 4 2 4 3 6 2 3" xfId="12759" xr:uid="{D2C72F78-DD5B-4496-8C97-84B94E6271EC}"/>
    <cellStyle name="Normal 4 2 4 3 6 2 4" xfId="21197" xr:uid="{D15F0E8C-41EC-47AA-836C-BF537A45BB25}"/>
    <cellStyle name="Normal 4 2 4 3 6 3" xfId="6390" xr:uid="{00000000-0005-0000-0000-0000A1130000}"/>
    <cellStyle name="Normal 4 2 4 3 6 3 2" xfId="14832" xr:uid="{D0E4C1DA-6836-48CA-83BF-1F998318FD0A}"/>
    <cellStyle name="Normal 4 2 4 3 6 3 3" xfId="23269" xr:uid="{0A54A27F-803C-46EF-B362-18B478B55CF2}"/>
    <cellStyle name="Normal 4 2 4 3 6 4" xfId="10614" xr:uid="{A3211860-1516-4679-9215-FA9FB9E9E8C2}"/>
    <cellStyle name="Normal 4 2 4 3 6 5" xfId="19052" xr:uid="{06F8BCFC-D288-4B87-98A7-CBB79A9CCE91}"/>
    <cellStyle name="Normal 4 2 4 3 7" xfId="2519" xr:uid="{00000000-0005-0000-0000-0000A2130000}"/>
    <cellStyle name="Normal 4 2 4 3 7 2" xfId="6803" xr:uid="{00000000-0005-0000-0000-0000A3130000}"/>
    <cellStyle name="Normal 4 2 4 3 7 2 2" xfId="15245" xr:uid="{16E3A053-732D-4263-85B2-21D281EDD541}"/>
    <cellStyle name="Normal 4 2 4 3 7 2 3" xfId="23682" xr:uid="{B34B2004-24F2-4AD8-A0C1-01505EAE9D15}"/>
    <cellStyle name="Normal 4 2 4 3 7 3" xfId="11027" xr:uid="{86CAAE7D-23B7-4F93-B893-22EDF61428C6}"/>
    <cellStyle name="Normal 4 2 4 3 7 4" xfId="19465" xr:uid="{ECF6E52A-C6D5-4B07-8773-6CA5BB014D78}"/>
    <cellStyle name="Normal 4 2 4 3 8" xfId="4738" xr:uid="{00000000-0005-0000-0000-0000A4130000}"/>
    <cellStyle name="Normal 4 2 4 3 8 2" xfId="13180" xr:uid="{E6C3F8F6-C992-4315-B0A5-EBE94D67A364}"/>
    <cellStyle name="Normal 4 2 4 3 8 3" xfId="21617" xr:uid="{5D5FD9E0-3800-4502-B681-868F2244105C}"/>
    <cellStyle name="Normal 4 2 4 3 9" xfId="8962" xr:uid="{E4D14C0F-4AF6-477D-B676-A355DFC44C98}"/>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2 2 2" xfId="15740" xr:uid="{18D6B802-3AB7-4584-9243-CA48B51C7412}"/>
    <cellStyle name="Normal 4 2 4 4 2 2 2 3" xfId="24177" xr:uid="{4E77D92A-2B19-4E57-B2EB-E337BC193453}"/>
    <cellStyle name="Normal 4 2 4 4 2 2 3" xfId="11522" xr:uid="{F27B85F9-FD03-4F0B-95EE-AC8EB625E318}"/>
    <cellStyle name="Normal 4 2 4 4 2 2 4" xfId="19960" xr:uid="{BBF73C34-9EA4-4318-A128-680687A5EB00}"/>
    <cellStyle name="Normal 4 2 4 4 2 3" xfId="5153" xr:uid="{00000000-0005-0000-0000-0000A9130000}"/>
    <cellStyle name="Normal 4 2 4 4 2 3 2" xfId="13595" xr:uid="{219FF978-ADC0-4AD4-AF07-49042B8B7D8C}"/>
    <cellStyle name="Normal 4 2 4 4 2 3 3" xfId="22032" xr:uid="{385343CB-245D-4664-90FF-2DBCA90F5269}"/>
    <cellStyle name="Normal 4 2 4 4 2 4" xfId="9377" xr:uid="{58B4636D-EC35-4DD6-B788-09563FB93002}"/>
    <cellStyle name="Normal 4 2 4 4 2 5" xfId="17815" xr:uid="{CAED7D35-4064-49F8-B634-82DE35DD3628}"/>
    <cellStyle name="Normal 4 2 4 4 3" xfId="1258" xr:uid="{00000000-0005-0000-0000-0000AA130000}"/>
    <cellStyle name="Normal 4 2 4 4 3 2" xfId="3488" xr:uid="{00000000-0005-0000-0000-0000AB130000}"/>
    <cellStyle name="Normal 4 2 4 4 3 2 2" xfId="7711" xr:uid="{00000000-0005-0000-0000-0000AC130000}"/>
    <cellStyle name="Normal 4 2 4 4 3 2 2 2" xfId="16153" xr:uid="{A6400911-FBF8-4E20-A9FA-CE2B63C0FDE8}"/>
    <cellStyle name="Normal 4 2 4 4 3 2 2 3" xfId="24590" xr:uid="{0C31A92D-90C5-4590-8ACE-900C37BF3A22}"/>
    <cellStyle name="Normal 4 2 4 4 3 2 3" xfId="11935" xr:uid="{D351E87B-6B76-4B98-8ED2-0C300870E2A3}"/>
    <cellStyle name="Normal 4 2 4 4 3 2 4" xfId="20373" xr:uid="{5E1341DC-2ABC-4807-9273-491A13482ADD}"/>
    <cellStyle name="Normal 4 2 4 4 3 3" xfId="5566" xr:uid="{00000000-0005-0000-0000-0000AD130000}"/>
    <cellStyle name="Normal 4 2 4 4 3 3 2" xfId="14008" xr:uid="{A612DA22-F6E1-4692-BA2F-FF48F2889134}"/>
    <cellStyle name="Normal 4 2 4 4 3 3 3" xfId="22445" xr:uid="{CE9FABA5-9CD3-4BAC-BE75-B2C2C55F4A50}"/>
    <cellStyle name="Normal 4 2 4 4 3 4" xfId="9790" xr:uid="{0A1E3DD4-5361-42AE-9CFC-52D6350E0D1C}"/>
    <cellStyle name="Normal 4 2 4 4 3 5" xfId="18228" xr:uid="{EE49FB40-BDE7-41D2-8529-39F61C0BB845}"/>
    <cellStyle name="Normal 4 2 4 4 4" xfId="1671" xr:uid="{00000000-0005-0000-0000-0000AE130000}"/>
    <cellStyle name="Normal 4 2 4 4 4 2" xfId="3901" xr:uid="{00000000-0005-0000-0000-0000AF130000}"/>
    <cellStyle name="Normal 4 2 4 4 4 2 2" xfId="8124" xr:uid="{00000000-0005-0000-0000-0000B0130000}"/>
    <cellStyle name="Normal 4 2 4 4 4 2 2 2" xfId="16566" xr:uid="{4A6C54B8-8AEF-4353-B81C-3FBFE1C5A835}"/>
    <cellStyle name="Normal 4 2 4 4 4 2 2 3" xfId="25003" xr:uid="{AA0F036E-A020-440A-BD07-013755646959}"/>
    <cellStyle name="Normal 4 2 4 4 4 2 3" xfId="12348" xr:uid="{262A7058-60D7-4777-AF82-EBAED141A571}"/>
    <cellStyle name="Normal 4 2 4 4 4 2 4" xfId="20786" xr:uid="{75E49A62-0747-4211-8721-5DA09CAEC3AD}"/>
    <cellStyle name="Normal 4 2 4 4 4 3" xfId="5979" xr:uid="{00000000-0005-0000-0000-0000B1130000}"/>
    <cellStyle name="Normal 4 2 4 4 4 3 2" xfId="14421" xr:uid="{C40A9C76-A073-4A93-9322-1DADAC497800}"/>
    <cellStyle name="Normal 4 2 4 4 4 3 3" xfId="22858" xr:uid="{96E66934-84F5-4D73-861F-F0E0382AEE60}"/>
    <cellStyle name="Normal 4 2 4 4 4 4" xfId="10203" xr:uid="{CE840467-3772-4570-B4F4-AB9FC6D06E22}"/>
    <cellStyle name="Normal 4 2 4 4 4 5" xfId="18641" xr:uid="{C1EC2F00-077E-4AEE-9043-594868651708}"/>
    <cellStyle name="Normal 4 2 4 4 5" xfId="2085" xr:uid="{00000000-0005-0000-0000-0000B2130000}"/>
    <cellStyle name="Normal 4 2 4 4 5 2" xfId="4314" xr:uid="{00000000-0005-0000-0000-0000B3130000}"/>
    <cellStyle name="Normal 4 2 4 4 5 2 2" xfId="8537" xr:uid="{00000000-0005-0000-0000-0000B4130000}"/>
    <cellStyle name="Normal 4 2 4 4 5 2 2 2" xfId="16979" xr:uid="{C191C557-ED58-4705-8C32-1F34CDF54B4F}"/>
    <cellStyle name="Normal 4 2 4 4 5 2 2 3" xfId="25416" xr:uid="{B90D764B-01BE-4906-8BD7-3C5D9EF089BF}"/>
    <cellStyle name="Normal 4 2 4 4 5 2 3" xfId="12761" xr:uid="{6C2E90D4-1C1C-45EA-9600-FC0AEC82D074}"/>
    <cellStyle name="Normal 4 2 4 4 5 2 4" xfId="21199" xr:uid="{DF6C0987-9812-474A-A6C8-53CD02F01985}"/>
    <cellStyle name="Normal 4 2 4 4 5 3" xfId="6392" xr:uid="{00000000-0005-0000-0000-0000B5130000}"/>
    <cellStyle name="Normal 4 2 4 4 5 3 2" xfId="14834" xr:uid="{D14A0F8F-129D-42C5-9C7C-DE4051783000}"/>
    <cellStyle name="Normal 4 2 4 4 5 3 3" xfId="23271" xr:uid="{D2AEBFAA-D187-4B77-892F-5AD452D6F4A3}"/>
    <cellStyle name="Normal 4 2 4 4 5 4" xfId="10616" xr:uid="{39753F78-B5DC-4FC8-9694-5405A50D701C}"/>
    <cellStyle name="Normal 4 2 4 4 5 5" xfId="19054" xr:uid="{62764682-EB70-42AF-88B1-52EA3E6483AF}"/>
    <cellStyle name="Normal 4 2 4 4 6" xfId="2521" xr:uid="{00000000-0005-0000-0000-0000B6130000}"/>
    <cellStyle name="Normal 4 2 4 4 6 2" xfId="6805" xr:uid="{00000000-0005-0000-0000-0000B7130000}"/>
    <cellStyle name="Normal 4 2 4 4 6 2 2" xfId="15247" xr:uid="{2A23CDBA-4D00-46EA-9A54-1F349A905DE1}"/>
    <cellStyle name="Normal 4 2 4 4 6 2 3" xfId="23684" xr:uid="{67D7F0E7-CFCF-4E10-882E-0F264C3E9C92}"/>
    <cellStyle name="Normal 4 2 4 4 6 3" xfId="11029" xr:uid="{2A9D4B27-24EF-4CD2-A5A2-20FE7E43BF88}"/>
    <cellStyle name="Normal 4 2 4 4 6 4" xfId="19467" xr:uid="{04F3870F-2D4B-41AB-80C0-0EEE182FF04A}"/>
    <cellStyle name="Normal 4 2 4 4 7" xfId="4740" xr:uid="{00000000-0005-0000-0000-0000B8130000}"/>
    <cellStyle name="Normal 4 2 4 4 7 2" xfId="13182" xr:uid="{550FBD6C-833D-4A07-8E1A-1D051CB78286}"/>
    <cellStyle name="Normal 4 2 4 4 7 3" xfId="21619" xr:uid="{1E3A0111-B5B1-4B28-BBB3-33BB7C2454C5}"/>
    <cellStyle name="Normal 4 2 4 4 8" xfId="8964" xr:uid="{BD018A6E-7DB0-4276-AFD1-CEFB388C7D44}"/>
    <cellStyle name="Normal 4 2 4 4 9" xfId="17402" xr:uid="{99D74B89-D6F2-4DED-83DD-0BBD19804D17}"/>
    <cellStyle name="Normal 4 2 4 5" xfId="831" xr:uid="{00000000-0005-0000-0000-0000B9130000}"/>
    <cellStyle name="Normal 4 2 4 5 2" xfId="3068" xr:uid="{00000000-0005-0000-0000-0000BA130000}"/>
    <cellStyle name="Normal 4 2 4 5 2 2" xfId="7291" xr:uid="{00000000-0005-0000-0000-0000BB130000}"/>
    <cellStyle name="Normal 4 2 4 5 2 2 2" xfId="15733" xr:uid="{396349B4-9E6C-4B2A-9BC0-563648F8334F}"/>
    <cellStyle name="Normal 4 2 4 5 2 2 3" xfId="24170" xr:uid="{641861EC-CDFD-4BBA-9412-7D86BB77A911}"/>
    <cellStyle name="Normal 4 2 4 5 2 3" xfId="11515" xr:uid="{24924198-F799-4629-929C-90928AC14EE8}"/>
    <cellStyle name="Normal 4 2 4 5 2 4" xfId="19953" xr:uid="{DACDAB4C-0429-48F3-82D6-81DBC1A585EE}"/>
    <cellStyle name="Normal 4 2 4 5 3" xfId="5146" xr:uid="{00000000-0005-0000-0000-0000BC130000}"/>
    <cellStyle name="Normal 4 2 4 5 3 2" xfId="13588" xr:uid="{9DD19811-198D-46CB-8BB7-7326D6E7114F}"/>
    <cellStyle name="Normal 4 2 4 5 3 3" xfId="22025" xr:uid="{9F7D4F05-9FF6-45C5-A908-04F673A9A1A3}"/>
    <cellStyle name="Normal 4 2 4 5 4" xfId="9370" xr:uid="{263FDFF3-F0AA-472C-905B-C41E4B26F070}"/>
    <cellStyle name="Normal 4 2 4 5 5" xfId="17808" xr:uid="{9DDF82D3-F8D1-463C-A652-1FD14F328FD1}"/>
    <cellStyle name="Normal 4 2 4 6" xfId="1251" xr:uid="{00000000-0005-0000-0000-0000BD130000}"/>
    <cellStyle name="Normal 4 2 4 6 2" xfId="3481" xr:uid="{00000000-0005-0000-0000-0000BE130000}"/>
    <cellStyle name="Normal 4 2 4 6 2 2" xfId="7704" xr:uid="{00000000-0005-0000-0000-0000BF130000}"/>
    <cellStyle name="Normal 4 2 4 6 2 2 2" xfId="16146" xr:uid="{C84650B3-2AB2-456A-A3E9-5773D01ED3D4}"/>
    <cellStyle name="Normal 4 2 4 6 2 2 3" xfId="24583" xr:uid="{78682CE9-D983-4E36-B662-353C21FE077D}"/>
    <cellStyle name="Normal 4 2 4 6 2 3" xfId="11928" xr:uid="{5CE80138-E363-4FC7-82BC-AD1CFCA4E4A1}"/>
    <cellStyle name="Normal 4 2 4 6 2 4" xfId="20366" xr:uid="{9195CFAF-D42E-4BC8-9FEC-03E8A3BFE6DB}"/>
    <cellStyle name="Normal 4 2 4 6 3" xfId="5559" xr:uid="{00000000-0005-0000-0000-0000C0130000}"/>
    <cellStyle name="Normal 4 2 4 6 3 2" xfId="14001" xr:uid="{075827C8-50FB-49B1-887A-37DA6FD95C9A}"/>
    <cellStyle name="Normal 4 2 4 6 3 3" xfId="22438" xr:uid="{F4269126-458B-44D0-AF1C-DD208A420C6C}"/>
    <cellStyle name="Normal 4 2 4 6 4" xfId="9783" xr:uid="{ABB17852-E57C-43C9-A819-924CFAC12DA0}"/>
    <cellStyle name="Normal 4 2 4 6 5" xfId="18221" xr:uid="{826F0A7C-93B4-4B7F-A233-2F8A382006F0}"/>
    <cellStyle name="Normal 4 2 4 7" xfId="1664" xr:uid="{00000000-0005-0000-0000-0000C1130000}"/>
    <cellStyle name="Normal 4 2 4 7 2" xfId="3894" xr:uid="{00000000-0005-0000-0000-0000C2130000}"/>
    <cellStyle name="Normal 4 2 4 7 2 2" xfId="8117" xr:uid="{00000000-0005-0000-0000-0000C3130000}"/>
    <cellStyle name="Normal 4 2 4 7 2 2 2" xfId="16559" xr:uid="{1F8A30E0-3ECE-4060-9E7A-824A6FF393B8}"/>
    <cellStyle name="Normal 4 2 4 7 2 2 3" xfId="24996" xr:uid="{7E93046F-50BA-403B-9A07-CACD83BAD1F2}"/>
    <cellStyle name="Normal 4 2 4 7 2 3" xfId="12341" xr:uid="{CD1D28A5-BA7A-4DF3-9528-A7B3249EC158}"/>
    <cellStyle name="Normal 4 2 4 7 2 4" xfId="20779" xr:uid="{8678511D-632A-4B1C-927F-6367099C1CA0}"/>
    <cellStyle name="Normal 4 2 4 7 3" xfId="5972" xr:uid="{00000000-0005-0000-0000-0000C4130000}"/>
    <cellStyle name="Normal 4 2 4 7 3 2" xfId="14414" xr:uid="{FC86AD62-0EEF-4418-96E7-285204438BC9}"/>
    <cellStyle name="Normal 4 2 4 7 3 3" xfId="22851" xr:uid="{2E0566F0-A01B-468E-AA7C-4D62E45861A6}"/>
    <cellStyle name="Normal 4 2 4 7 4" xfId="10196" xr:uid="{99576511-CF32-495C-B88A-4177194F43D4}"/>
    <cellStyle name="Normal 4 2 4 7 5" xfId="18634" xr:uid="{E530A213-A7C9-4311-A507-55880B5A27BB}"/>
    <cellStyle name="Normal 4 2 4 8" xfId="2078" xr:uid="{00000000-0005-0000-0000-0000C5130000}"/>
    <cellStyle name="Normal 4 2 4 8 2" xfId="4307" xr:uid="{00000000-0005-0000-0000-0000C6130000}"/>
    <cellStyle name="Normal 4 2 4 8 2 2" xfId="8530" xr:uid="{00000000-0005-0000-0000-0000C7130000}"/>
    <cellStyle name="Normal 4 2 4 8 2 2 2" xfId="16972" xr:uid="{03F51BD0-6FEA-47F8-8FDE-D899732EEC10}"/>
    <cellStyle name="Normal 4 2 4 8 2 2 3" xfId="25409" xr:uid="{9EDAD797-7223-4B71-B9F9-FBC924E274CF}"/>
    <cellStyle name="Normal 4 2 4 8 2 3" xfId="12754" xr:uid="{B4EF042C-2C85-48CC-B2DF-B34E32EEF745}"/>
    <cellStyle name="Normal 4 2 4 8 2 4" xfId="21192" xr:uid="{C52FAD3B-4B6A-440A-ADC3-7CCF2FD628D8}"/>
    <cellStyle name="Normal 4 2 4 8 3" xfId="6385" xr:uid="{00000000-0005-0000-0000-0000C8130000}"/>
    <cellStyle name="Normal 4 2 4 8 3 2" xfId="14827" xr:uid="{3F1C3EEB-5B4A-4ACC-A220-7092A4757551}"/>
    <cellStyle name="Normal 4 2 4 8 3 3" xfId="23264" xr:uid="{6E6145D7-199D-4012-8C85-B57B9A50D397}"/>
    <cellStyle name="Normal 4 2 4 8 4" xfId="10609" xr:uid="{AC2226E6-3E29-474E-9451-8B251B810A1D}"/>
    <cellStyle name="Normal 4 2 4 8 5" xfId="19047" xr:uid="{0A36B9BC-A23D-49E3-A907-613C92E060DB}"/>
    <cellStyle name="Normal 4 2 4 9" xfId="2514" xr:uid="{00000000-0005-0000-0000-0000C9130000}"/>
    <cellStyle name="Normal 4 2 4 9 2" xfId="6798" xr:uid="{00000000-0005-0000-0000-0000CA130000}"/>
    <cellStyle name="Normal 4 2 4 9 2 2" xfId="15240" xr:uid="{54A19E77-A05D-4659-8058-4AAAA383840B}"/>
    <cellStyle name="Normal 4 2 4 9 2 3" xfId="23677" xr:uid="{EEA9ED4D-0D0B-459F-8BEF-3AA20ECFC043}"/>
    <cellStyle name="Normal 4 2 4 9 3" xfId="11022" xr:uid="{26643A00-79F8-46C5-8CF2-0B00C59D5E95}"/>
    <cellStyle name="Normal 4 2 4 9 4" xfId="19460" xr:uid="{DA79AE50-7D34-4F79-88C0-CF2DA4578C17}"/>
    <cellStyle name="Normal 4 2 5" xfId="363" xr:uid="{00000000-0005-0000-0000-0000CB130000}"/>
    <cellStyle name="Normal 4 2 5 10" xfId="17403" xr:uid="{E34A60A0-EDAE-4803-9011-19B65B55C041}"/>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2 2 2" xfId="15742" xr:uid="{267F0798-3C33-46BB-BCD4-8FE06407653E}"/>
    <cellStyle name="Normal 4 2 5 2 2 2 2 3" xfId="24179" xr:uid="{7740E55D-B031-4A22-A7C7-254942D8AC72}"/>
    <cellStyle name="Normal 4 2 5 2 2 2 3" xfId="11524" xr:uid="{318E08AA-8862-4D5F-852D-16497FA0289E}"/>
    <cellStyle name="Normal 4 2 5 2 2 2 4" xfId="19962" xr:uid="{83C17110-9569-4DB1-8405-10064BE6BBB0}"/>
    <cellStyle name="Normal 4 2 5 2 2 3" xfId="5155" xr:uid="{00000000-0005-0000-0000-0000D0130000}"/>
    <cellStyle name="Normal 4 2 5 2 2 3 2" xfId="13597" xr:uid="{31AD7AC6-4C2B-4A0B-9B04-FE6A99AA309B}"/>
    <cellStyle name="Normal 4 2 5 2 2 3 3" xfId="22034" xr:uid="{89013AF2-B9F9-406B-96F0-995CF15379D7}"/>
    <cellStyle name="Normal 4 2 5 2 2 4" xfId="9379" xr:uid="{83D802F3-7E8A-42CD-B2A2-A9D4D1882EE1}"/>
    <cellStyle name="Normal 4 2 5 2 2 5" xfId="17817" xr:uid="{443F360F-4CF4-409B-952F-15172C43992A}"/>
    <cellStyle name="Normal 4 2 5 2 3" xfId="1260" xr:uid="{00000000-0005-0000-0000-0000D1130000}"/>
    <cellStyle name="Normal 4 2 5 2 3 2" xfId="3490" xr:uid="{00000000-0005-0000-0000-0000D2130000}"/>
    <cellStyle name="Normal 4 2 5 2 3 2 2" xfId="7713" xr:uid="{00000000-0005-0000-0000-0000D3130000}"/>
    <cellStyle name="Normal 4 2 5 2 3 2 2 2" xfId="16155" xr:uid="{AF3A21FD-9914-4F20-B5CB-364AF27831DA}"/>
    <cellStyle name="Normal 4 2 5 2 3 2 2 3" xfId="24592" xr:uid="{10C340BE-7C10-49E5-83C6-B0BEE8DF2CAA}"/>
    <cellStyle name="Normal 4 2 5 2 3 2 3" xfId="11937" xr:uid="{BEE20268-0765-4710-B106-05E4A0A32FE7}"/>
    <cellStyle name="Normal 4 2 5 2 3 2 4" xfId="20375" xr:uid="{1066E6D7-DA52-41C1-81E8-78D77A08C152}"/>
    <cellStyle name="Normal 4 2 5 2 3 3" xfId="5568" xr:uid="{00000000-0005-0000-0000-0000D4130000}"/>
    <cellStyle name="Normal 4 2 5 2 3 3 2" xfId="14010" xr:uid="{983505AB-976F-437A-ABC0-A917CA3E74C5}"/>
    <cellStyle name="Normal 4 2 5 2 3 3 3" xfId="22447" xr:uid="{E6DCA7AB-612B-4971-A132-F669B65BA141}"/>
    <cellStyle name="Normal 4 2 5 2 3 4" xfId="9792" xr:uid="{92536D90-9FF9-45DF-B900-03BD62C7B59F}"/>
    <cellStyle name="Normal 4 2 5 2 3 5" xfId="18230" xr:uid="{3E552796-13F4-44C2-9ED7-182C47BD6932}"/>
    <cellStyle name="Normal 4 2 5 2 4" xfId="1673" xr:uid="{00000000-0005-0000-0000-0000D5130000}"/>
    <cellStyle name="Normal 4 2 5 2 4 2" xfId="3903" xr:uid="{00000000-0005-0000-0000-0000D6130000}"/>
    <cellStyle name="Normal 4 2 5 2 4 2 2" xfId="8126" xr:uid="{00000000-0005-0000-0000-0000D7130000}"/>
    <cellStyle name="Normal 4 2 5 2 4 2 2 2" xfId="16568" xr:uid="{2188DA4F-C7A3-462A-B093-8CC525775C71}"/>
    <cellStyle name="Normal 4 2 5 2 4 2 2 3" xfId="25005" xr:uid="{C9F086BA-9C23-4AA6-9A40-962C6647E0FF}"/>
    <cellStyle name="Normal 4 2 5 2 4 2 3" xfId="12350" xr:uid="{0FB1B3EA-C3FF-4DE5-B8D5-F39BDA420DFD}"/>
    <cellStyle name="Normal 4 2 5 2 4 2 4" xfId="20788" xr:uid="{28CD1DFA-B31E-4E29-A367-6C1BFA32B799}"/>
    <cellStyle name="Normal 4 2 5 2 4 3" xfId="5981" xr:uid="{00000000-0005-0000-0000-0000D8130000}"/>
    <cellStyle name="Normal 4 2 5 2 4 3 2" xfId="14423" xr:uid="{5C6FB059-5199-4408-9E0E-4594D6E237E4}"/>
    <cellStyle name="Normal 4 2 5 2 4 3 3" xfId="22860" xr:uid="{2682372C-BAB8-4B91-9D92-7A0508238198}"/>
    <cellStyle name="Normal 4 2 5 2 4 4" xfId="10205" xr:uid="{2409BDE5-1963-455E-AB5E-664D50A9842B}"/>
    <cellStyle name="Normal 4 2 5 2 4 5" xfId="18643" xr:uid="{472150EC-36AC-4168-9374-22F7437A6421}"/>
    <cellStyle name="Normal 4 2 5 2 5" xfId="2087" xr:uid="{00000000-0005-0000-0000-0000D9130000}"/>
    <cellStyle name="Normal 4 2 5 2 5 2" xfId="4316" xr:uid="{00000000-0005-0000-0000-0000DA130000}"/>
    <cellStyle name="Normal 4 2 5 2 5 2 2" xfId="8539" xr:uid="{00000000-0005-0000-0000-0000DB130000}"/>
    <cellStyle name="Normal 4 2 5 2 5 2 2 2" xfId="16981" xr:uid="{03F0888E-DF8A-4B29-AB5A-1204A15D8F71}"/>
    <cellStyle name="Normal 4 2 5 2 5 2 2 3" xfId="25418" xr:uid="{52FD0C0B-8BB7-4E59-B4F9-3FBA0DF7ACAD}"/>
    <cellStyle name="Normal 4 2 5 2 5 2 3" xfId="12763" xr:uid="{83048816-DD69-4B51-BCA7-113CBCD72511}"/>
    <cellStyle name="Normal 4 2 5 2 5 2 4" xfId="21201" xr:uid="{988896A1-E7DC-4F59-8BD2-1A12B2CCA72C}"/>
    <cellStyle name="Normal 4 2 5 2 5 3" xfId="6394" xr:uid="{00000000-0005-0000-0000-0000DC130000}"/>
    <cellStyle name="Normal 4 2 5 2 5 3 2" xfId="14836" xr:uid="{9E599EB4-944D-4831-B9D7-AB85C9336C49}"/>
    <cellStyle name="Normal 4 2 5 2 5 3 3" xfId="23273" xr:uid="{9E366BB8-E9F4-49C5-A61D-B29A10611630}"/>
    <cellStyle name="Normal 4 2 5 2 5 4" xfId="10618" xr:uid="{86F8086B-5197-4171-B679-663F86347B1A}"/>
    <cellStyle name="Normal 4 2 5 2 5 5" xfId="19056" xr:uid="{91D9F3AC-39B7-4B1A-BA0D-25B10DD8BDC5}"/>
    <cellStyle name="Normal 4 2 5 2 6" xfId="2523" xr:uid="{00000000-0005-0000-0000-0000DD130000}"/>
    <cellStyle name="Normal 4 2 5 2 6 2" xfId="6807" xr:uid="{00000000-0005-0000-0000-0000DE130000}"/>
    <cellStyle name="Normal 4 2 5 2 6 2 2" xfId="15249" xr:uid="{6477DBF7-0BC9-4FD1-BB35-9DFE221D4496}"/>
    <cellStyle name="Normal 4 2 5 2 6 2 3" xfId="23686" xr:uid="{6BE16773-082A-4229-B218-410E853C7965}"/>
    <cellStyle name="Normal 4 2 5 2 6 3" xfId="11031" xr:uid="{18980AA5-B400-4076-9039-A00E2EF33DD2}"/>
    <cellStyle name="Normal 4 2 5 2 6 4" xfId="19469" xr:uid="{D9D38C98-A56F-441C-A9D6-C74147ABF357}"/>
    <cellStyle name="Normal 4 2 5 2 7" xfId="4742" xr:uid="{00000000-0005-0000-0000-0000DF130000}"/>
    <cellStyle name="Normal 4 2 5 2 7 2" xfId="13184" xr:uid="{6F631271-1801-4953-93B3-82E1C77D1E84}"/>
    <cellStyle name="Normal 4 2 5 2 7 3" xfId="21621" xr:uid="{AD90D6F3-9FB0-456D-BC15-7E020D22806B}"/>
    <cellStyle name="Normal 4 2 5 2 8" xfId="8966" xr:uid="{91C9FEA1-58D3-4491-9371-6DD8189113A4}"/>
    <cellStyle name="Normal 4 2 5 2 9" xfId="17404" xr:uid="{CEE701CC-1A68-4022-A032-30B163BE064D}"/>
    <cellStyle name="Normal 4 2 5 3" xfId="839" xr:uid="{00000000-0005-0000-0000-0000E0130000}"/>
    <cellStyle name="Normal 4 2 5 3 2" xfId="3076" xr:uid="{00000000-0005-0000-0000-0000E1130000}"/>
    <cellStyle name="Normal 4 2 5 3 2 2" xfId="7299" xr:uid="{00000000-0005-0000-0000-0000E2130000}"/>
    <cellStyle name="Normal 4 2 5 3 2 2 2" xfId="15741" xr:uid="{F8029353-04BC-4D3F-99A5-7E5A9056FCFA}"/>
    <cellStyle name="Normal 4 2 5 3 2 2 3" xfId="24178" xr:uid="{4F3A8A50-F3BD-4F9E-8725-5B482C8F47ED}"/>
    <cellStyle name="Normal 4 2 5 3 2 3" xfId="11523" xr:uid="{C838A545-7156-4CCB-B49C-0EF7D91CA26C}"/>
    <cellStyle name="Normal 4 2 5 3 2 4" xfId="19961" xr:uid="{15843F3E-E6E5-42D9-89C3-35E87D6E94C8}"/>
    <cellStyle name="Normal 4 2 5 3 3" xfId="5154" xr:uid="{00000000-0005-0000-0000-0000E3130000}"/>
    <cellStyle name="Normal 4 2 5 3 3 2" xfId="13596" xr:uid="{B8E57B4C-8BAC-4EA3-9A8F-9B115C2E2886}"/>
    <cellStyle name="Normal 4 2 5 3 3 3" xfId="22033" xr:uid="{50D3D5AF-527A-426A-BBB1-8D52AADE3D98}"/>
    <cellStyle name="Normal 4 2 5 3 4" xfId="9378" xr:uid="{D7C43B56-E8B0-4A11-8B35-65DCB77EDEFE}"/>
    <cellStyle name="Normal 4 2 5 3 5" xfId="17816" xr:uid="{D33F7BE8-BAA2-4C05-BC77-7DD4BF15DA76}"/>
    <cellStyle name="Normal 4 2 5 4" xfId="1259" xr:uid="{00000000-0005-0000-0000-0000E4130000}"/>
    <cellStyle name="Normal 4 2 5 4 2" xfId="3489" xr:uid="{00000000-0005-0000-0000-0000E5130000}"/>
    <cellStyle name="Normal 4 2 5 4 2 2" xfId="7712" xr:uid="{00000000-0005-0000-0000-0000E6130000}"/>
    <cellStyle name="Normal 4 2 5 4 2 2 2" xfId="16154" xr:uid="{2905CC6B-9A0D-4FDE-967C-4FEAB0FB8C61}"/>
    <cellStyle name="Normal 4 2 5 4 2 2 3" xfId="24591" xr:uid="{3CC0F007-413F-443C-B6CB-49885A220A9C}"/>
    <cellStyle name="Normal 4 2 5 4 2 3" xfId="11936" xr:uid="{28D0F3FE-6933-4978-81F3-B39E1EC3CFF9}"/>
    <cellStyle name="Normal 4 2 5 4 2 4" xfId="20374" xr:uid="{9DE4E05F-A970-4517-954B-70218FBA94E8}"/>
    <cellStyle name="Normal 4 2 5 4 3" xfId="5567" xr:uid="{00000000-0005-0000-0000-0000E7130000}"/>
    <cellStyle name="Normal 4 2 5 4 3 2" xfId="14009" xr:uid="{551FC283-5B79-42BA-8ECD-5D2A8DFC6C22}"/>
    <cellStyle name="Normal 4 2 5 4 3 3" xfId="22446" xr:uid="{63C8BB24-200C-4FC7-BC1D-2E2D054DC984}"/>
    <cellStyle name="Normal 4 2 5 4 4" xfId="9791" xr:uid="{346BAC4A-68E8-4CEA-AC4B-AC4E0D535A35}"/>
    <cellStyle name="Normal 4 2 5 4 5" xfId="18229" xr:uid="{21A3EC7D-2383-477F-8846-19ABF086916A}"/>
    <cellStyle name="Normal 4 2 5 5" xfId="1672" xr:uid="{00000000-0005-0000-0000-0000E8130000}"/>
    <cellStyle name="Normal 4 2 5 5 2" xfId="3902" xr:uid="{00000000-0005-0000-0000-0000E9130000}"/>
    <cellStyle name="Normal 4 2 5 5 2 2" xfId="8125" xr:uid="{00000000-0005-0000-0000-0000EA130000}"/>
    <cellStyle name="Normal 4 2 5 5 2 2 2" xfId="16567" xr:uid="{B3C444F7-6B9A-4E4B-9204-8C4BE46132FE}"/>
    <cellStyle name="Normal 4 2 5 5 2 2 3" xfId="25004" xr:uid="{392E32F9-2336-4BC1-A7CB-972E78E5CEB9}"/>
    <cellStyle name="Normal 4 2 5 5 2 3" xfId="12349" xr:uid="{84D2F4F5-C662-487B-854F-545760A46B4F}"/>
    <cellStyle name="Normal 4 2 5 5 2 4" xfId="20787" xr:uid="{C9B8302F-8E75-44DF-B90F-DB0836F414A5}"/>
    <cellStyle name="Normal 4 2 5 5 3" xfId="5980" xr:uid="{00000000-0005-0000-0000-0000EB130000}"/>
    <cellStyle name="Normal 4 2 5 5 3 2" xfId="14422" xr:uid="{E27B7AC0-28BC-4370-9D33-E26AA58209FC}"/>
    <cellStyle name="Normal 4 2 5 5 3 3" xfId="22859" xr:uid="{6E75419B-1459-4E8E-AFDC-6532C0B4DF0E}"/>
    <cellStyle name="Normal 4 2 5 5 4" xfId="10204" xr:uid="{4B905E3B-FE6D-4A7E-8EBA-A96947E153E7}"/>
    <cellStyle name="Normal 4 2 5 5 5" xfId="18642" xr:uid="{D7ED83A3-56B5-4E82-9D58-4E0F02BB87CF}"/>
    <cellStyle name="Normal 4 2 5 6" xfId="2086" xr:uid="{00000000-0005-0000-0000-0000EC130000}"/>
    <cellStyle name="Normal 4 2 5 6 2" xfId="4315" xr:uid="{00000000-0005-0000-0000-0000ED130000}"/>
    <cellStyle name="Normal 4 2 5 6 2 2" xfId="8538" xr:uid="{00000000-0005-0000-0000-0000EE130000}"/>
    <cellStyle name="Normal 4 2 5 6 2 2 2" xfId="16980" xr:uid="{5C1057BA-D161-4AFC-A09A-3CCE6FBCCE0F}"/>
    <cellStyle name="Normal 4 2 5 6 2 2 3" xfId="25417" xr:uid="{0F26F9FC-9561-4372-BA1A-BC5F1BAF9EF1}"/>
    <cellStyle name="Normal 4 2 5 6 2 3" xfId="12762" xr:uid="{2627FD41-B4E3-44A8-A514-291E11DA645F}"/>
    <cellStyle name="Normal 4 2 5 6 2 4" xfId="21200" xr:uid="{801B621D-CCA3-4315-84FC-B07C91D4844C}"/>
    <cellStyle name="Normal 4 2 5 6 3" xfId="6393" xr:uid="{00000000-0005-0000-0000-0000EF130000}"/>
    <cellStyle name="Normal 4 2 5 6 3 2" xfId="14835" xr:uid="{8332A647-01C8-489A-9DE8-F7B3C7407AA2}"/>
    <cellStyle name="Normal 4 2 5 6 3 3" xfId="23272" xr:uid="{87BEF1B2-43D5-4A93-9D4B-C0417C8C8816}"/>
    <cellStyle name="Normal 4 2 5 6 4" xfId="10617" xr:uid="{F436E925-7126-4556-9B15-D568E2FCA598}"/>
    <cellStyle name="Normal 4 2 5 6 5" xfId="19055" xr:uid="{8E897CE2-2105-45E7-9A73-1788227441A5}"/>
    <cellStyle name="Normal 4 2 5 7" xfId="2522" xr:uid="{00000000-0005-0000-0000-0000F0130000}"/>
    <cellStyle name="Normal 4 2 5 7 2" xfId="6806" xr:uid="{00000000-0005-0000-0000-0000F1130000}"/>
    <cellStyle name="Normal 4 2 5 7 2 2" xfId="15248" xr:uid="{12FE514B-FC8C-4E00-B94C-BCF8A149162F}"/>
    <cellStyle name="Normal 4 2 5 7 2 3" xfId="23685" xr:uid="{85C78524-90D4-400F-8B12-72D2B88B47A0}"/>
    <cellStyle name="Normal 4 2 5 7 3" xfId="11030" xr:uid="{AE425BC4-1D1D-46AB-8952-A3CD1BB8E9BB}"/>
    <cellStyle name="Normal 4 2 5 7 4" xfId="19468" xr:uid="{6A666983-F3AB-448C-B62F-00ABCE7A50F7}"/>
    <cellStyle name="Normal 4 2 5 8" xfId="4741" xr:uid="{00000000-0005-0000-0000-0000F2130000}"/>
    <cellStyle name="Normal 4 2 5 8 2" xfId="13183" xr:uid="{6E9AE5B8-6AC9-4E1F-A20D-21E935346BB1}"/>
    <cellStyle name="Normal 4 2 5 8 3" xfId="21620" xr:uid="{684F03C1-C627-4352-96ED-44E390884D03}"/>
    <cellStyle name="Normal 4 2 5 9" xfId="8965" xr:uid="{7879785D-5D7A-4528-8038-CA5218AE6648}"/>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2 2 2" xfId="15743" xr:uid="{25CAD6EF-C472-4E44-BE00-F77E74F7DF13}"/>
    <cellStyle name="Normal 4 2 6 2 2 2 3" xfId="24180" xr:uid="{28F9AB7F-A8E0-4B52-90D3-CB4CF9AE84FC}"/>
    <cellStyle name="Normal 4 2 6 2 2 3" xfId="11525" xr:uid="{969627B7-D356-44CE-B5A6-1B7E214F097B}"/>
    <cellStyle name="Normal 4 2 6 2 2 4" xfId="19963" xr:uid="{B0ABA7E3-100D-4343-B42B-16B0F2352982}"/>
    <cellStyle name="Normal 4 2 6 2 3" xfId="5156" xr:uid="{00000000-0005-0000-0000-0000F7130000}"/>
    <cellStyle name="Normal 4 2 6 2 3 2" xfId="13598" xr:uid="{955696A3-A4B2-4D71-9FB6-A49C6326BA41}"/>
    <cellStyle name="Normal 4 2 6 2 3 3" xfId="22035" xr:uid="{9FC2B5D2-2560-4EBD-8316-3793D9DA0F46}"/>
    <cellStyle name="Normal 4 2 6 2 4" xfId="9380" xr:uid="{FCB8C785-BBBB-432E-A7AB-3AFAEA8AF4AA}"/>
    <cellStyle name="Normal 4 2 6 2 5" xfId="17818" xr:uid="{050A4274-9A58-4041-8972-2F8661CF271D}"/>
    <cellStyle name="Normal 4 2 6 3" xfId="1261" xr:uid="{00000000-0005-0000-0000-0000F8130000}"/>
    <cellStyle name="Normal 4 2 6 3 2" xfId="3491" xr:uid="{00000000-0005-0000-0000-0000F9130000}"/>
    <cellStyle name="Normal 4 2 6 3 2 2" xfId="7714" xr:uid="{00000000-0005-0000-0000-0000FA130000}"/>
    <cellStyle name="Normal 4 2 6 3 2 2 2" xfId="16156" xr:uid="{51671432-8E72-4A6D-93F4-DF9C9125D7B9}"/>
    <cellStyle name="Normal 4 2 6 3 2 2 3" xfId="24593" xr:uid="{C2111C9D-A68D-44EA-BF5F-100108AC5F5A}"/>
    <cellStyle name="Normal 4 2 6 3 2 3" xfId="11938" xr:uid="{CAB80CFC-138C-41A0-BE0B-6066B9B882C6}"/>
    <cellStyle name="Normal 4 2 6 3 2 4" xfId="20376" xr:uid="{30FAE60F-7738-49A5-B50B-B6A1185EEAC4}"/>
    <cellStyle name="Normal 4 2 6 3 3" xfId="5569" xr:uid="{00000000-0005-0000-0000-0000FB130000}"/>
    <cellStyle name="Normal 4 2 6 3 3 2" xfId="14011" xr:uid="{6CD897DA-9289-457F-93C7-4F5FBFB5E611}"/>
    <cellStyle name="Normal 4 2 6 3 3 3" xfId="22448" xr:uid="{E90E52A8-2A12-4583-BBAD-28EBAE1847D6}"/>
    <cellStyle name="Normal 4 2 6 3 4" xfId="9793" xr:uid="{8A2F6C79-B5F4-4B80-8F87-FEE0774582A4}"/>
    <cellStyle name="Normal 4 2 6 3 5" xfId="18231" xr:uid="{52CE2825-DD77-4588-B803-A7114560B6D6}"/>
    <cellStyle name="Normal 4 2 6 4" xfId="1674" xr:uid="{00000000-0005-0000-0000-0000FC130000}"/>
    <cellStyle name="Normal 4 2 6 4 2" xfId="3904" xr:uid="{00000000-0005-0000-0000-0000FD130000}"/>
    <cellStyle name="Normal 4 2 6 4 2 2" xfId="8127" xr:uid="{00000000-0005-0000-0000-0000FE130000}"/>
    <cellStyle name="Normal 4 2 6 4 2 2 2" xfId="16569" xr:uid="{C082B4F9-0BFA-4328-AA4A-FF51CA3C62EF}"/>
    <cellStyle name="Normal 4 2 6 4 2 2 3" xfId="25006" xr:uid="{991E2310-D07C-4494-9A47-7273BDE0667C}"/>
    <cellStyle name="Normal 4 2 6 4 2 3" xfId="12351" xr:uid="{08257395-5B7D-4FD9-B991-6130EB0140E7}"/>
    <cellStyle name="Normal 4 2 6 4 2 4" xfId="20789" xr:uid="{038EC443-4B89-4FD0-BA5E-A26747D3435E}"/>
    <cellStyle name="Normal 4 2 6 4 3" xfId="5982" xr:uid="{00000000-0005-0000-0000-0000FF130000}"/>
    <cellStyle name="Normal 4 2 6 4 3 2" xfId="14424" xr:uid="{7BACA128-444C-49E5-9146-B139E5E88424}"/>
    <cellStyle name="Normal 4 2 6 4 3 3" xfId="22861" xr:uid="{53769DA2-D776-4828-AEB1-BB92061A3894}"/>
    <cellStyle name="Normal 4 2 6 4 4" xfId="10206" xr:uid="{277E44D7-2113-4D6C-819D-2717E98CBAFD}"/>
    <cellStyle name="Normal 4 2 6 4 5" xfId="18644" xr:uid="{EE9A8CB2-8B1E-40B4-8366-E8B8BF2AE125}"/>
    <cellStyle name="Normal 4 2 6 5" xfId="2088" xr:uid="{00000000-0005-0000-0000-000000140000}"/>
    <cellStyle name="Normal 4 2 6 5 2" xfId="4317" xr:uid="{00000000-0005-0000-0000-000001140000}"/>
    <cellStyle name="Normal 4 2 6 5 2 2" xfId="8540" xr:uid="{00000000-0005-0000-0000-000002140000}"/>
    <cellStyle name="Normal 4 2 6 5 2 2 2" xfId="16982" xr:uid="{4E0CFD4E-66E3-4E10-A5AB-DBF8D8E61916}"/>
    <cellStyle name="Normal 4 2 6 5 2 2 3" xfId="25419" xr:uid="{BDF3CC14-0D48-4CBE-9305-08923FA75261}"/>
    <cellStyle name="Normal 4 2 6 5 2 3" xfId="12764" xr:uid="{BBEC9863-6B9D-4295-8306-1E6A5DC1C9C6}"/>
    <cellStyle name="Normal 4 2 6 5 2 4" xfId="21202" xr:uid="{CE377B1E-DF5E-4F82-875E-4A792D980F72}"/>
    <cellStyle name="Normal 4 2 6 5 3" xfId="6395" xr:uid="{00000000-0005-0000-0000-000003140000}"/>
    <cellStyle name="Normal 4 2 6 5 3 2" xfId="14837" xr:uid="{2C7A3F8D-1261-4EDF-86BE-3F92A4277FA1}"/>
    <cellStyle name="Normal 4 2 6 5 3 3" xfId="23274" xr:uid="{00EBE8D8-8FD2-488C-9FAF-F096C0E3487F}"/>
    <cellStyle name="Normal 4 2 6 5 4" xfId="10619" xr:uid="{53782A7D-2989-4E4E-8C21-D03D2FF6DE21}"/>
    <cellStyle name="Normal 4 2 6 5 5" xfId="19057" xr:uid="{DA39CDE7-8C56-489D-9C64-89B9E7D8BE78}"/>
    <cellStyle name="Normal 4 2 6 6" xfId="2524" xr:uid="{00000000-0005-0000-0000-000004140000}"/>
    <cellStyle name="Normal 4 2 6 6 2" xfId="6808" xr:uid="{00000000-0005-0000-0000-000005140000}"/>
    <cellStyle name="Normal 4 2 6 6 2 2" xfId="15250" xr:uid="{CB3F9D34-58B3-43B0-890B-3C4DB141DBE5}"/>
    <cellStyle name="Normal 4 2 6 6 2 3" xfId="23687" xr:uid="{1E9BAC4F-16BE-4710-8007-8864BEBC1DCE}"/>
    <cellStyle name="Normal 4 2 6 6 3" xfId="11032" xr:uid="{7773F4B9-766F-4E27-ACB0-22023690E6DB}"/>
    <cellStyle name="Normal 4 2 6 6 4" xfId="19470" xr:uid="{D5C59299-FE02-464C-9ECF-190BB6C3265A}"/>
    <cellStyle name="Normal 4 2 6 7" xfId="4743" xr:uid="{00000000-0005-0000-0000-000006140000}"/>
    <cellStyle name="Normal 4 2 6 7 2" xfId="13185" xr:uid="{5454CBAF-4947-49AD-AAD1-D9004F3C31EC}"/>
    <cellStyle name="Normal 4 2 6 7 3" xfId="21622" xr:uid="{32F84602-87A7-40BE-9FD1-9E082DFA49E5}"/>
    <cellStyle name="Normal 4 2 6 8" xfId="8967" xr:uid="{1BC5E07E-F501-43A9-A0B4-BC822D283979}"/>
    <cellStyle name="Normal 4 2 6 9" xfId="17405" xr:uid="{9A5D2C0E-B9BE-41C1-9FC5-11DDCB4CA655}"/>
    <cellStyle name="Normal 4 3" xfId="366" xr:uid="{00000000-0005-0000-0000-000007140000}"/>
    <cellStyle name="Normal 4 3 10" xfId="8968" xr:uid="{B62AE334-8B04-4858-B04D-D451320E7F12}"/>
    <cellStyle name="Normal 4 3 11" xfId="17406" xr:uid="{1F049AB3-0787-4341-8356-62B6A18A06F7}"/>
    <cellStyle name="Normal 4 3 2" xfId="367" xr:uid="{00000000-0005-0000-0000-000008140000}"/>
    <cellStyle name="Normal 4 3 2 2" xfId="368" xr:uid="{00000000-0005-0000-0000-000009140000}"/>
    <cellStyle name="Normal 4 3 2 2 2" xfId="369" xr:uid="{00000000-0005-0000-0000-00000A140000}"/>
    <cellStyle name="Normal 4 3 2 2 2 10" xfId="8969" xr:uid="{0B1B1603-45FA-404C-8BFA-7829FFC3491F}"/>
    <cellStyle name="Normal 4 3 2 2 2 11" xfId="17407" xr:uid="{08C71F8B-A653-4693-9C88-9456A23E833B}"/>
    <cellStyle name="Normal 4 3 2 2 2 2" xfId="370" xr:uid="{00000000-0005-0000-0000-00000B140000}"/>
    <cellStyle name="Normal 4 3 2 2 2 2 10" xfId="17408" xr:uid="{16EF2A88-7091-4939-9AAA-5842A20E0B56}"/>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2 2 2" xfId="15747" xr:uid="{1659DABD-AC53-4643-8252-99D97B83B05F}"/>
    <cellStyle name="Normal 4 3 2 2 2 2 2 2 2 2 3" xfId="24184" xr:uid="{CBCFC360-0ACD-474B-92A7-CCCB1943FF41}"/>
    <cellStyle name="Normal 4 3 2 2 2 2 2 2 2 3" xfId="11529" xr:uid="{EC9B8D7D-EF01-4183-9A97-B58B47F685ED}"/>
    <cellStyle name="Normal 4 3 2 2 2 2 2 2 2 4" xfId="19967" xr:uid="{1BFA6F0E-CF37-4B9D-83A8-CF9CABC500BB}"/>
    <cellStyle name="Normal 4 3 2 2 2 2 2 2 3" xfId="5160" xr:uid="{00000000-0005-0000-0000-000010140000}"/>
    <cellStyle name="Normal 4 3 2 2 2 2 2 2 3 2" xfId="13602" xr:uid="{153A5C58-46B0-467A-8BD7-02959444DAED}"/>
    <cellStyle name="Normal 4 3 2 2 2 2 2 2 3 3" xfId="22039" xr:uid="{0A65DF72-A7AA-4BF4-ACC8-8650D2094846}"/>
    <cellStyle name="Normal 4 3 2 2 2 2 2 2 4" xfId="9384" xr:uid="{487D254D-A626-4A89-962B-0C231C485641}"/>
    <cellStyle name="Normal 4 3 2 2 2 2 2 2 5" xfId="17822" xr:uid="{97786EB8-1F3D-4F51-912D-3836BCBDDA46}"/>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2 2 2" xfId="16160" xr:uid="{A6142B17-7F32-40D4-9028-1B38C4701756}"/>
    <cellStyle name="Normal 4 3 2 2 2 2 2 3 2 2 3" xfId="24597" xr:uid="{B9785D2B-5F44-4F2E-8125-858B82CF76B4}"/>
    <cellStyle name="Normal 4 3 2 2 2 2 2 3 2 3" xfId="11942" xr:uid="{2EC6D7B3-C069-4B55-81B3-3A9762330339}"/>
    <cellStyle name="Normal 4 3 2 2 2 2 2 3 2 4" xfId="20380" xr:uid="{1AB10CE2-318C-4568-9A66-EAEF419C5FFC}"/>
    <cellStyle name="Normal 4 3 2 2 2 2 2 3 3" xfId="5573" xr:uid="{00000000-0005-0000-0000-000014140000}"/>
    <cellStyle name="Normal 4 3 2 2 2 2 2 3 3 2" xfId="14015" xr:uid="{176E3629-D4EE-48AD-AB25-24D40A018523}"/>
    <cellStyle name="Normal 4 3 2 2 2 2 2 3 3 3" xfId="22452" xr:uid="{CFF3050A-8E5F-4D9D-94AA-BE41883CBF1F}"/>
    <cellStyle name="Normal 4 3 2 2 2 2 2 3 4" xfId="9797" xr:uid="{ACC6A224-1FD2-4D6A-9942-22F6C2016841}"/>
    <cellStyle name="Normal 4 3 2 2 2 2 2 3 5" xfId="18235" xr:uid="{09F3D8CD-840D-4FC0-A009-367B4B60EDC1}"/>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2 2 2" xfId="16573" xr:uid="{D4671562-261D-42AD-B7EE-84F951973976}"/>
    <cellStyle name="Normal 4 3 2 2 2 2 2 4 2 2 3" xfId="25010" xr:uid="{16686BA6-6202-42F2-93C6-6981170334BD}"/>
    <cellStyle name="Normal 4 3 2 2 2 2 2 4 2 3" xfId="12355" xr:uid="{8DE47E5D-F46B-40FB-A968-E3FF4D6B6A95}"/>
    <cellStyle name="Normal 4 3 2 2 2 2 2 4 2 4" xfId="20793" xr:uid="{BAB8BCBD-82E8-4135-8ECB-65CD3655008F}"/>
    <cellStyle name="Normal 4 3 2 2 2 2 2 4 3" xfId="5986" xr:uid="{00000000-0005-0000-0000-000018140000}"/>
    <cellStyle name="Normal 4 3 2 2 2 2 2 4 3 2" xfId="14428" xr:uid="{A6D4C683-51E4-4DAA-A7DC-F242B36ECA76}"/>
    <cellStyle name="Normal 4 3 2 2 2 2 2 4 3 3" xfId="22865" xr:uid="{22CF2D4D-BEC0-453F-8CE1-21A8AA9E2938}"/>
    <cellStyle name="Normal 4 3 2 2 2 2 2 4 4" xfId="10210" xr:uid="{8A8B0FB7-9685-4794-9D85-932EF32AFEC2}"/>
    <cellStyle name="Normal 4 3 2 2 2 2 2 4 5" xfId="18648" xr:uid="{78F0A294-0215-4A7F-A470-B64AD337E61C}"/>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2 2 2" xfId="16986" xr:uid="{65E8FD51-7496-447E-A21C-17B238360F17}"/>
    <cellStyle name="Normal 4 3 2 2 2 2 2 5 2 2 3" xfId="25423" xr:uid="{106BC01C-E583-472E-BF1B-F3A4FF6C7167}"/>
    <cellStyle name="Normal 4 3 2 2 2 2 2 5 2 3" xfId="12768" xr:uid="{9C779569-CE41-41B3-85AF-6B9857533F00}"/>
    <cellStyle name="Normal 4 3 2 2 2 2 2 5 2 4" xfId="21206" xr:uid="{8EB42EDE-CA21-41A4-80D3-A537272D30A9}"/>
    <cellStyle name="Normal 4 3 2 2 2 2 2 5 3" xfId="6399" xr:uid="{00000000-0005-0000-0000-00001C140000}"/>
    <cellStyle name="Normal 4 3 2 2 2 2 2 5 3 2" xfId="14841" xr:uid="{B8CC9EA7-7C34-4E6C-B257-5670FFDE883A}"/>
    <cellStyle name="Normal 4 3 2 2 2 2 2 5 3 3" xfId="23278" xr:uid="{2B65E869-E977-47A6-B14E-1334D22C8606}"/>
    <cellStyle name="Normal 4 3 2 2 2 2 2 5 4" xfId="10623" xr:uid="{ED0F59D2-DAC0-45CA-B1BA-E81D69B118C9}"/>
    <cellStyle name="Normal 4 3 2 2 2 2 2 5 5" xfId="19061" xr:uid="{2E4CBF89-8CAF-449C-8928-238ADF1BC5E6}"/>
    <cellStyle name="Normal 4 3 2 2 2 2 2 6" xfId="2528" xr:uid="{00000000-0005-0000-0000-00001D140000}"/>
    <cellStyle name="Normal 4 3 2 2 2 2 2 6 2" xfId="6812" xr:uid="{00000000-0005-0000-0000-00001E140000}"/>
    <cellStyle name="Normal 4 3 2 2 2 2 2 6 2 2" xfId="15254" xr:uid="{ADB997FE-B589-40C1-BED2-6CB8D7FB9559}"/>
    <cellStyle name="Normal 4 3 2 2 2 2 2 6 2 3" xfId="23691" xr:uid="{E8D92BFA-E903-4788-A49C-ACBA525C54BE}"/>
    <cellStyle name="Normal 4 3 2 2 2 2 2 6 3" xfId="11036" xr:uid="{E3563C16-9998-4BA4-8CFB-1DCAEB9053A7}"/>
    <cellStyle name="Normal 4 3 2 2 2 2 2 6 4" xfId="19474" xr:uid="{89B575AF-07C3-450A-B5FD-45A7FEEEC7D2}"/>
    <cellStyle name="Normal 4 3 2 2 2 2 2 7" xfId="4747" xr:uid="{00000000-0005-0000-0000-00001F140000}"/>
    <cellStyle name="Normal 4 3 2 2 2 2 2 7 2" xfId="13189" xr:uid="{C8F61435-C10A-481D-81F5-1CF9A54A66C6}"/>
    <cellStyle name="Normal 4 3 2 2 2 2 2 7 3" xfId="21626" xr:uid="{4058C3A5-2562-4980-9EBC-6183BD6855E8}"/>
    <cellStyle name="Normal 4 3 2 2 2 2 2 8" xfId="8971" xr:uid="{0EBA1CD8-8A68-4652-B93F-BD78C7FCDD72}"/>
    <cellStyle name="Normal 4 3 2 2 2 2 2 9" xfId="17409" xr:uid="{8E1D8457-6657-4491-9C84-3737435BA94C}"/>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2 2 2" xfId="15746" xr:uid="{CE0BA1D9-1E98-4D32-A57F-A60C4F7C39DE}"/>
    <cellStyle name="Normal 4 3 2 2 2 2 3 2 2 3" xfId="24183" xr:uid="{22525054-DDD6-4D93-814C-37370D2C5C0F}"/>
    <cellStyle name="Normal 4 3 2 2 2 2 3 2 3" xfId="11528" xr:uid="{55555A3B-502C-44AE-9DDC-AC3FD2F75AE3}"/>
    <cellStyle name="Normal 4 3 2 2 2 2 3 2 4" xfId="19966" xr:uid="{4C63DC73-80E9-42F0-B29B-F4B91DF1DAEF}"/>
    <cellStyle name="Normal 4 3 2 2 2 2 3 3" xfId="5159" xr:uid="{00000000-0005-0000-0000-000023140000}"/>
    <cellStyle name="Normal 4 3 2 2 2 2 3 3 2" xfId="13601" xr:uid="{C2C5C68A-95A0-4BAD-91FA-E715AC1DE771}"/>
    <cellStyle name="Normal 4 3 2 2 2 2 3 3 3" xfId="22038" xr:uid="{41D30ECA-C9E2-4D18-AD61-A305D55536FA}"/>
    <cellStyle name="Normal 4 3 2 2 2 2 3 4" xfId="9383" xr:uid="{3A1D7C77-2831-475E-A447-D68AE014D8C2}"/>
    <cellStyle name="Normal 4 3 2 2 2 2 3 5" xfId="17821" xr:uid="{D3524397-2DEF-443F-B655-DDD3636138AC}"/>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2 2 2" xfId="16159" xr:uid="{0CE5F353-2755-4160-841A-5793E4CADB70}"/>
    <cellStyle name="Normal 4 3 2 2 2 2 4 2 2 3" xfId="24596" xr:uid="{FBA002A5-257D-4B3A-B148-53C267866EFD}"/>
    <cellStyle name="Normal 4 3 2 2 2 2 4 2 3" xfId="11941" xr:uid="{74E4FAFE-6B32-4502-9B16-13A9C227A91D}"/>
    <cellStyle name="Normal 4 3 2 2 2 2 4 2 4" xfId="20379" xr:uid="{EE653F68-18CC-43F9-95F0-398A5EF30C1A}"/>
    <cellStyle name="Normal 4 3 2 2 2 2 4 3" xfId="5572" xr:uid="{00000000-0005-0000-0000-000027140000}"/>
    <cellStyle name="Normal 4 3 2 2 2 2 4 3 2" xfId="14014" xr:uid="{47D37D1D-01D3-4487-A599-A5DFDF4C3297}"/>
    <cellStyle name="Normal 4 3 2 2 2 2 4 3 3" xfId="22451" xr:uid="{05584C09-C019-4C1E-A5BA-9CE3215B2463}"/>
    <cellStyle name="Normal 4 3 2 2 2 2 4 4" xfId="9796" xr:uid="{E6C9D5D6-A8BF-40CD-B87E-CA16B29C533F}"/>
    <cellStyle name="Normal 4 3 2 2 2 2 4 5" xfId="18234" xr:uid="{7DBC3763-C810-40CB-90E1-8E94ED2CEB79}"/>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2 2 2" xfId="16572" xr:uid="{2EA92D40-C3C1-46F6-9037-89878212D383}"/>
    <cellStyle name="Normal 4 3 2 2 2 2 5 2 2 3" xfId="25009" xr:uid="{AE84F42D-F02F-475E-8CBB-50A56CA3D8EA}"/>
    <cellStyle name="Normal 4 3 2 2 2 2 5 2 3" xfId="12354" xr:uid="{EEAE496A-705E-4F06-BC10-972B90CBCC15}"/>
    <cellStyle name="Normal 4 3 2 2 2 2 5 2 4" xfId="20792" xr:uid="{D537AA6A-19FC-4064-B02E-F63B9243154E}"/>
    <cellStyle name="Normal 4 3 2 2 2 2 5 3" xfId="5985" xr:uid="{00000000-0005-0000-0000-00002B140000}"/>
    <cellStyle name="Normal 4 3 2 2 2 2 5 3 2" xfId="14427" xr:uid="{DEF182F5-F946-4C11-AFBC-CF3706E960A9}"/>
    <cellStyle name="Normal 4 3 2 2 2 2 5 3 3" xfId="22864" xr:uid="{3120771D-9490-45FC-A0A0-634F4C03B9EF}"/>
    <cellStyle name="Normal 4 3 2 2 2 2 5 4" xfId="10209" xr:uid="{29A39E08-4789-47B2-AA8B-CC8068E98846}"/>
    <cellStyle name="Normal 4 3 2 2 2 2 5 5" xfId="18647" xr:uid="{0A883EEE-52CA-4819-BBDE-B86B806D23F5}"/>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2 2 2" xfId="16985" xr:uid="{E7239F1B-68B9-49DE-8900-11390FA30519}"/>
    <cellStyle name="Normal 4 3 2 2 2 2 6 2 2 3" xfId="25422" xr:uid="{E77C804A-67C9-4E4F-B744-C0A11785F7FC}"/>
    <cellStyle name="Normal 4 3 2 2 2 2 6 2 3" xfId="12767" xr:uid="{D27B3477-6F10-4929-99B9-2213FF250644}"/>
    <cellStyle name="Normal 4 3 2 2 2 2 6 2 4" xfId="21205" xr:uid="{11E41166-AB80-48F8-BC71-18EA2F8CCFFD}"/>
    <cellStyle name="Normal 4 3 2 2 2 2 6 3" xfId="6398" xr:uid="{00000000-0005-0000-0000-00002F140000}"/>
    <cellStyle name="Normal 4 3 2 2 2 2 6 3 2" xfId="14840" xr:uid="{7FBE73C2-9BCD-4E84-9E8B-10B495D1886C}"/>
    <cellStyle name="Normal 4 3 2 2 2 2 6 3 3" xfId="23277" xr:uid="{0DB111B9-B88D-40BE-BAAF-2A9C2D9C240A}"/>
    <cellStyle name="Normal 4 3 2 2 2 2 6 4" xfId="10622" xr:uid="{EC47C1AF-7458-4B09-9B23-37CE2FA328DF}"/>
    <cellStyle name="Normal 4 3 2 2 2 2 6 5" xfId="19060" xr:uid="{7DE1A668-4BA5-470D-99BB-E17972FCC74F}"/>
    <cellStyle name="Normal 4 3 2 2 2 2 7" xfId="2527" xr:uid="{00000000-0005-0000-0000-000030140000}"/>
    <cellStyle name="Normal 4 3 2 2 2 2 7 2" xfId="6811" xr:uid="{00000000-0005-0000-0000-000031140000}"/>
    <cellStyle name="Normal 4 3 2 2 2 2 7 2 2" xfId="15253" xr:uid="{EC5E1D35-EE2C-49E8-8E65-F46DFB1E2A94}"/>
    <cellStyle name="Normal 4 3 2 2 2 2 7 2 3" xfId="23690" xr:uid="{96D22AAA-12FB-4BE9-AAA9-AE6BF873B353}"/>
    <cellStyle name="Normal 4 3 2 2 2 2 7 3" xfId="11035" xr:uid="{782B9C6F-F9FB-4831-B2E2-98DE0F3F2581}"/>
    <cellStyle name="Normal 4 3 2 2 2 2 7 4" xfId="19473" xr:uid="{5B117AF7-CF32-4BAC-B68E-7F6BF760E2B2}"/>
    <cellStyle name="Normal 4 3 2 2 2 2 8" xfId="4746" xr:uid="{00000000-0005-0000-0000-000032140000}"/>
    <cellStyle name="Normal 4 3 2 2 2 2 8 2" xfId="13188" xr:uid="{5AB0E0B0-AF30-4F47-AACD-2FD0C5B0CD1D}"/>
    <cellStyle name="Normal 4 3 2 2 2 2 8 3" xfId="21625" xr:uid="{096B9041-55ED-4B8A-8498-96EF0D87A5EB}"/>
    <cellStyle name="Normal 4 3 2 2 2 2 9" xfId="8970" xr:uid="{DDD8A602-70EB-44D5-B5C6-5BDF9CEA3EEE}"/>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2 2 2" xfId="15748" xr:uid="{012330E7-F2F4-4CFB-A731-794A03F8BC4C}"/>
    <cellStyle name="Normal 4 3 2 2 2 3 2 2 2 3" xfId="24185" xr:uid="{F8A958FE-A511-4FB1-9606-60FEDEFF5A0A}"/>
    <cellStyle name="Normal 4 3 2 2 2 3 2 2 3" xfId="11530" xr:uid="{82BDA633-54B2-499E-9F85-DF9280C3BB68}"/>
    <cellStyle name="Normal 4 3 2 2 2 3 2 2 4" xfId="19968" xr:uid="{B094A84D-6BA3-44B7-9CA4-39F8DA391B00}"/>
    <cellStyle name="Normal 4 3 2 2 2 3 2 3" xfId="5161" xr:uid="{00000000-0005-0000-0000-000037140000}"/>
    <cellStyle name="Normal 4 3 2 2 2 3 2 3 2" xfId="13603" xr:uid="{6FE6FB91-A84F-4860-AA60-56187FD50851}"/>
    <cellStyle name="Normal 4 3 2 2 2 3 2 3 3" xfId="22040" xr:uid="{A6228196-19DF-4353-B841-A67FFE5B515F}"/>
    <cellStyle name="Normal 4 3 2 2 2 3 2 4" xfId="9385" xr:uid="{4DF7D888-921E-4D67-8868-5CCFF63A0959}"/>
    <cellStyle name="Normal 4 3 2 2 2 3 2 5" xfId="17823" xr:uid="{5BB8C3D9-442D-40D2-BCAC-F01FC4ACA629}"/>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2 2 2" xfId="16161" xr:uid="{3C762C8C-D0D4-4DF4-9D2A-FB0E3719EC7F}"/>
    <cellStyle name="Normal 4 3 2 2 2 3 3 2 2 3" xfId="24598" xr:uid="{26EF72C9-CCFF-42A0-A9B3-9CC687081687}"/>
    <cellStyle name="Normal 4 3 2 2 2 3 3 2 3" xfId="11943" xr:uid="{412D43F0-5D25-4523-B2CF-728E4B122A41}"/>
    <cellStyle name="Normal 4 3 2 2 2 3 3 2 4" xfId="20381" xr:uid="{164EED63-9084-4BC1-9908-DEAC21EA49BA}"/>
    <cellStyle name="Normal 4 3 2 2 2 3 3 3" xfId="5574" xr:uid="{00000000-0005-0000-0000-00003B140000}"/>
    <cellStyle name="Normal 4 3 2 2 2 3 3 3 2" xfId="14016" xr:uid="{EF9AFCD9-77EB-4998-8740-3505E85C220D}"/>
    <cellStyle name="Normal 4 3 2 2 2 3 3 3 3" xfId="22453" xr:uid="{E6E8605D-ECB7-4A44-9E5F-7B18B7CEA852}"/>
    <cellStyle name="Normal 4 3 2 2 2 3 3 4" xfId="9798" xr:uid="{11DBBDDD-99F7-4CE2-B454-598003378CB3}"/>
    <cellStyle name="Normal 4 3 2 2 2 3 3 5" xfId="18236" xr:uid="{15AD92BC-EE2C-40D0-B01A-B98250A0A296}"/>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2 2 2" xfId="16574" xr:uid="{C477A3C1-56E3-40C1-9AB5-1D453B0FFA64}"/>
    <cellStyle name="Normal 4 3 2 2 2 3 4 2 2 3" xfId="25011" xr:uid="{475A1E87-5906-459C-ADDA-843DC62754F0}"/>
    <cellStyle name="Normal 4 3 2 2 2 3 4 2 3" xfId="12356" xr:uid="{5DC265D4-1924-49C5-8EE4-E7AD4B9F70EC}"/>
    <cellStyle name="Normal 4 3 2 2 2 3 4 2 4" xfId="20794" xr:uid="{0DDE61E5-75C3-415A-B91F-2EEA64999B63}"/>
    <cellStyle name="Normal 4 3 2 2 2 3 4 3" xfId="5987" xr:uid="{00000000-0005-0000-0000-00003F140000}"/>
    <cellStyle name="Normal 4 3 2 2 2 3 4 3 2" xfId="14429" xr:uid="{64FC8F7F-3A94-4A3F-B502-8862CB1551B4}"/>
    <cellStyle name="Normal 4 3 2 2 2 3 4 3 3" xfId="22866" xr:uid="{0F712829-6223-4951-AA11-2E360F87EEBB}"/>
    <cellStyle name="Normal 4 3 2 2 2 3 4 4" xfId="10211" xr:uid="{9ED584C3-899A-4C2F-A718-FCEE6199DE4F}"/>
    <cellStyle name="Normal 4 3 2 2 2 3 4 5" xfId="18649" xr:uid="{0BDDE5C0-6812-44E0-9A50-A73910C01A07}"/>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2 2 2" xfId="16987" xr:uid="{A2FCD0DA-5709-4DD0-A89E-B3C7AD070757}"/>
    <cellStyle name="Normal 4 3 2 2 2 3 5 2 2 3" xfId="25424" xr:uid="{355A8FE4-32E9-4D37-8183-27E55F0B2161}"/>
    <cellStyle name="Normal 4 3 2 2 2 3 5 2 3" xfId="12769" xr:uid="{6ED3C161-4D68-4C49-AAD2-DF0871473886}"/>
    <cellStyle name="Normal 4 3 2 2 2 3 5 2 4" xfId="21207" xr:uid="{046B44FB-EE4D-4894-8ADD-3FADC28FC9CB}"/>
    <cellStyle name="Normal 4 3 2 2 2 3 5 3" xfId="6400" xr:uid="{00000000-0005-0000-0000-000043140000}"/>
    <cellStyle name="Normal 4 3 2 2 2 3 5 3 2" xfId="14842" xr:uid="{7FCB0C86-FEC0-49B5-9A87-0E9BA45B53D5}"/>
    <cellStyle name="Normal 4 3 2 2 2 3 5 3 3" xfId="23279" xr:uid="{45F5CF0C-2472-47EF-BBC6-97813E9F3C4C}"/>
    <cellStyle name="Normal 4 3 2 2 2 3 5 4" xfId="10624" xr:uid="{02FFCB21-3159-41CE-8F40-2A8A09829544}"/>
    <cellStyle name="Normal 4 3 2 2 2 3 5 5" xfId="19062" xr:uid="{5D29919E-5AA0-4E65-992B-5897712C23B9}"/>
    <cellStyle name="Normal 4 3 2 2 2 3 6" xfId="2529" xr:uid="{00000000-0005-0000-0000-000044140000}"/>
    <cellStyle name="Normal 4 3 2 2 2 3 6 2" xfId="6813" xr:uid="{00000000-0005-0000-0000-000045140000}"/>
    <cellStyle name="Normal 4 3 2 2 2 3 6 2 2" xfId="15255" xr:uid="{D0B26997-8D62-44B7-9C24-69E655C7CE47}"/>
    <cellStyle name="Normal 4 3 2 2 2 3 6 2 3" xfId="23692" xr:uid="{567661F4-E4A3-4BA5-8741-990B10B60B5B}"/>
    <cellStyle name="Normal 4 3 2 2 2 3 6 3" xfId="11037" xr:uid="{154C2C82-1871-4284-8E2E-0AE2707DD110}"/>
    <cellStyle name="Normal 4 3 2 2 2 3 6 4" xfId="19475" xr:uid="{103EE2BD-82F8-472F-92BF-AC2D680909E5}"/>
    <cellStyle name="Normal 4 3 2 2 2 3 7" xfId="4748" xr:uid="{00000000-0005-0000-0000-000046140000}"/>
    <cellStyle name="Normal 4 3 2 2 2 3 7 2" xfId="13190" xr:uid="{3025B95E-FDEF-40BE-862B-4568CB98C998}"/>
    <cellStyle name="Normal 4 3 2 2 2 3 7 3" xfId="21627" xr:uid="{A8874275-B2D1-48C0-8751-48CCCFDDBA19}"/>
    <cellStyle name="Normal 4 3 2 2 2 3 8" xfId="8972" xr:uid="{4478763F-9970-47FF-AEE2-2D4D7A72B259}"/>
    <cellStyle name="Normal 4 3 2 2 2 3 9" xfId="17410" xr:uid="{3C403F8A-561B-479B-B7FB-6D1A97E82C7B}"/>
    <cellStyle name="Normal 4 3 2 2 2 4" xfId="844" xr:uid="{00000000-0005-0000-0000-000047140000}"/>
    <cellStyle name="Normal 4 3 2 2 2 4 2" xfId="3080" xr:uid="{00000000-0005-0000-0000-000048140000}"/>
    <cellStyle name="Normal 4 3 2 2 2 4 2 2" xfId="7303" xr:uid="{00000000-0005-0000-0000-000049140000}"/>
    <cellStyle name="Normal 4 3 2 2 2 4 2 2 2" xfId="15745" xr:uid="{81EAE3A6-1FC6-44D4-B7B1-1F574D629A06}"/>
    <cellStyle name="Normal 4 3 2 2 2 4 2 2 3" xfId="24182" xr:uid="{DA75EF68-14E6-412C-86E8-E1F787A927E8}"/>
    <cellStyle name="Normal 4 3 2 2 2 4 2 3" xfId="11527" xr:uid="{106996B9-469C-410B-9AD7-B6C979BC9252}"/>
    <cellStyle name="Normal 4 3 2 2 2 4 2 4" xfId="19965" xr:uid="{DC5D40D7-83ED-41AF-B2D3-064A1863B316}"/>
    <cellStyle name="Normal 4 3 2 2 2 4 3" xfId="5158" xr:uid="{00000000-0005-0000-0000-00004A140000}"/>
    <cellStyle name="Normal 4 3 2 2 2 4 3 2" xfId="13600" xr:uid="{A7375EEF-BC03-4F02-8E87-1A151D2B0DE6}"/>
    <cellStyle name="Normal 4 3 2 2 2 4 3 3" xfId="22037" xr:uid="{8CB1F31E-F75A-4318-BE5D-EBB54741BD98}"/>
    <cellStyle name="Normal 4 3 2 2 2 4 4" xfId="9382" xr:uid="{123F3A1E-BA37-43F4-B8D1-84806697C1E4}"/>
    <cellStyle name="Normal 4 3 2 2 2 4 5" xfId="17820" xr:uid="{2B81B517-9D35-40F3-A327-E3AD28A96023}"/>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2 2 2" xfId="16158" xr:uid="{49F8713E-96ED-4116-9279-D120C7ED32B5}"/>
    <cellStyle name="Normal 4 3 2 2 2 5 2 2 3" xfId="24595" xr:uid="{FA80E27D-448A-456D-9C0D-19108DEB881A}"/>
    <cellStyle name="Normal 4 3 2 2 2 5 2 3" xfId="11940" xr:uid="{773F916D-59BB-4595-B7B1-BE5C00364A1C}"/>
    <cellStyle name="Normal 4 3 2 2 2 5 2 4" xfId="20378" xr:uid="{B38EDCBA-E76E-4FD8-80F4-F92924528867}"/>
    <cellStyle name="Normal 4 3 2 2 2 5 3" xfId="5571" xr:uid="{00000000-0005-0000-0000-00004E140000}"/>
    <cellStyle name="Normal 4 3 2 2 2 5 3 2" xfId="14013" xr:uid="{33841C43-ED92-41B8-AC98-557DBC22B3F2}"/>
    <cellStyle name="Normal 4 3 2 2 2 5 3 3" xfId="22450" xr:uid="{DC19BA65-13F9-48D5-AD4E-7910FC507F46}"/>
    <cellStyle name="Normal 4 3 2 2 2 5 4" xfId="9795" xr:uid="{26111F7C-8C36-43BF-9DC9-E15DDDF71DD4}"/>
    <cellStyle name="Normal 4 3 2 2 2 5 5" xfId="18233" xr:uid="{B74D7FBF-FCE2-455D-87E8-0871054EFB07}"/>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2 2 2" xfId="16571" xr:uid="{C5E30AA6-DA53-45FB-8B9A-5E9B5FEF37D3}"/>
    <cellStyle name="Normal 4 3 2 2 2 6 2 2 3" xfId="25008" xr:uid="{16907AB8-7EA5-47E0-BE1E-024AF0913B26}"/>
    <cellStyle name="Normal 4 3 2 2 2 6 2 3" xfId="12353" xr:uid="{34E96205-669B-4607-8750-EAF71D2729ED}"/>
    <cellStyle name="Normal 4 3 2 2 2 6 2 4" xfId="20791" xr:uid="{15756467-A4C0-421A-95F7-AD1C40132BEF}"/>
    <cellStyle name="Normal 4 3 2 2 2 6 3" xfId="5984" xr:uid="{00000000-0005-0000-0000-000052140000}"/>
    <cellStyle name="Normal 4 3 2 2 2 6 3 2" xfId="14426" xr:uid="{94A9A3D5-0B1B-4032-B77D-9CBE32F28838}"/>
    <cellStyle name="Normal 4 3 2 2 2 6 3 3" xfId="22863" xr:uid="{F0C3E34E-A9D3-46C5-BA4E-AD324979BC78}"/>
    <cellStyle name="Normal 4 3 2 2 2 6 4" xfId="10208" xr:uid="{AAC34BB2-C45B-4FE9-94CB-89E49003F2B4}"/>
    <cellStyle name="Normal 4 3 2 2 2 6 5" xfId="18646" xr:uid="{A3FB068C-5019-4DF9-8FDE-DB7DABFF72BD}"/>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2 2 2" xfId="16984" xr:uid="{A24AB96B-6918-418E-B447-B7076B3DD248}"/>
    <cellStyle name="Normal 4 3 2 2 2 7 2 2 3" xfId="25421" xr:uid="{49628964-1857-47E5-AD64-5C9FE5A93948}"/>
    <cellStyle name="Normal 4 3 2 2 2 7 2 3" xfId="12766" xr:uid="{8D5A92F9-257E-4EA5-A278-6D9F86CABA1D}"/>
    <cellStyle name="Normal 4 3 2 2 2 7 2 4" xfId="21204" xr:uid="{6450B3F9-F8A5-4155-895B-32B318BFB01C}"/>
    <cellStyle name="Normal 4 3 2 2 2 7 3" xfId="6397" xr:uid="{00000000-0005-0000-0000-000056140000}"/>
    <cellStyle name="Normal 4 3 2 2 2 7 3 2" xfId="14839" xr:uid="{0910C578-E6E8-4196-8459-52A6F3AADB68}"/>
    <cellStyle name="Normal 4 3 2 2 2 7 3 3" xfId="23276" xr:uid="{A21EFC8F-FEC0-4ADD-8E62-0B56DA6C078B}"/>
    <cellStyle name="Normal 4 3 2 2 2 7 4" xfId="10621" xr:uid="{9E1A0641-A36C-46A4-AAB3-F4166178CAC1}"/>
    <cellStyle name="Normal 4 3 2 2 2 7 5" xfId="19059" xr:uid="{1031AF69-6887-48AC-81EC-148BE0EA4477}"/>
    <cellStyle name="Normal 4 3 2 2 2 8" xfId="2526" xr:uid="{00000000-0005-0000-0000-000057140000}"/>
    <cellStyle name="Normal 4 3 2 2 2 8 2" xfId="6810" xr:uid="{00000000-0005-0000-0000-000058140000}"/>
    <cellStyle name="Normal 4 3 2 2 2 8 2 2" xfId="15252" xr:uid="{61871876-5744-4095-84D1-9C8784C55D78}"/>
    <cellStyle name="Normal 4 3 2 2 2 8 2 3" xfId="23689" xr:uid="{B589A116-527C-44F8-A789-C3C99A587B6A}"/>
    <cellStyle name="Normal 4 3 2 2 2 8 3" xfId="11034" xr:uid="{926BAB4B-E70D-4EAE-849C-413FEB90C5A4}"/>
    <cellStyle name="Normal 4 3 2 2 2 8 4" xfId="19472" xr:uid="{7AC5221A-85B1-455B-819C-1BF5B92C9D72}"/>
    <cellStyle name="Normal 4 3 2 2 2 9" xfId="4745" xr:uid="{00000000-0005-0000-0000-000059140000}"/>
    <cellStyle name="Normal 4 3 2 2 2 9 2" xfId="13187" xr:uid="{9A59FEA4-1ED7-4D17-A130-F10EAEAC56F1}"/>
    <cellStyle name="Normal 4 3 2 2 2 9 3" xfId="21624" xr:uid="{1B714610-6249-4385-BD54-F45BCAFB13E6}"/>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73" xr:uid="{F42820B9-FBFC-4804-8161-EBFE2BC6B073}"/>
    <cellStyle name="Normal 4 3 3 11" xfId="17411" xr:uid="{34F9BA8D-3707-403E-B3DC-A80240820627}"/>
    <cellStyle name="Normal 4 3 3 2" xfId="375" xr:uid="{00000000-0005-0000-0000-00005E140000}"/>
    <cellStyle name="Normal 4 3 3 2 10" xfId="17412" xr:uid="{CD962018-91B9-4E30-879E-58BD8EF740D3}"/>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2 2 2" xfId="15751" xr:uid="{3179E968-A170-4716-A8F5-F9A98A47A7DA}"/>
    <cellStyle name="Normal 4 3 3 2 2 2 2 2 3" xfId="24188" xr:uid="{0A5A1A27-FE7E-45D7-92B7-0369F0EA8988}"/>
    <cellStyle name="Normal 4 3 3 2 2 2 2 3" xfId="11533" xr:uid="{BCF3EBEE-5241-47AF-9406-217824EB7F17}"/>
    <cellStyle name="Normal 4 3 3 2 2 2 2 4" xfId="19971" xr:uid="{9E70C1A5-8607-41F6-8F2B-7F1EED534DB5}"/>
    <cellStyle name="Normal 4 3 3 2 2 2 3" xfId="5164" xr:uid="{00000000-0005-0000-0000-000063140000}"/>
    <cellStyle name="Normal 4 3 3 2 2 2 3 2" xfId="13606" xr:uid="{D58A8B99-776F-4277-8B8F-487C4B77606E}"/>
    <cellStyle name="Normal 4 3 3 2 2 2 3 3" xfId="22043" xr:uid="{37AA4C96-CED1-4294-854F-D23BE96CA1A7}"/>
    <cellStyle name="Normal 4 3 3 2 2 2 4" xfId="9388" xr:uid="{6993924B-C4EC-4292-946A-EA474540897D}"/>
    <cellStyle name="Normal 4 3 3 2 2 2 5" xfId="17826" xr:uid="{B2D116FD-19AD-40D3-B137-9E4EDAC8FB92}"/>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2 2 2" xfId="16164" xr:uid="{882370E1-BB80-4EF0-9C0C-0FF921AF71E8}"/>
    <cellStyle name="Normal 4 3 3 2 2 3 2 2 3" xfId="24601" xr:uid="{45F1FF3A-9E41-43CD-92E1-8C64ADD7A939}"/>
    <cellStyle name="Normal 4 3 3 2 2 3 2 3" xfId="11946" xr:uid="{5565F089-4C51-4ED7-85C8-AD7CD074FF73}"/>
    <cellStyle name="Normal 4 3 3 2 2 3 2 4" xfId="20384" xr:uid="{D733AC06-F236-43FB-86D7-AE3CA2EA3C32}"/>
    <cellStyle name="Normal 4 3 3 2 2 3 3" xfId="5577" xr:uid="{00000000-0005-0000-0000-000067140000}"/>
    <cellStyle name="Normal 4 3 3 2 2 3 3 2" xfId="14019" xr:uid="{F4741EAD-1CA1-4D31-BBD8-8E0D4D8994A5}"/>
    <cellStyle name="Normal 4 3 3 2 2 3 3 3" xfId="22456" xr:uid="{6E4D2BE8-F80F-457F-9EC2-099ADED35126}"/>
    <cellStyle name="Normal 4 3 3 2 2 3 4" xfId="9801" xr:uid="{687A461B-5A05-4089-963D-F55088136FD2}"/>
    <cellStyle name="Normal 4 3 3 2 2 3 5" xfId="18239" xr:uid="{5BA65930-A6DE-47F1-A839-279D1E7F7A01}"/>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2 2 2" xfId="16577" xr:uid="{C45966DD-059D-414F-B193-98561D00DC97}"/>
    <cellStyle name="Normal 4 3 3 2 2 4 2 2 3" xfId="25014" xr:uid="{03B69B91-90B3-4479-98D1-6E172871EAFC}"/>
    <cellStyle name="Normal 4 3 3 2 2 4 2 3" xfId="12359" xr:uid="{83A2C469-14F0-4380-9DC9-2637C03AAA4A}"/>
    <cellStyle name="Normal 4 3 3 2 2 4 2 4" xfId="20797" xr:uid="{DEAF828D-8B0A-4BDF-AD79-67C057B54FBA}"/>
    <cellStyle name="Normal 4 3 3 2 2 4 3" xfId="5990" xr:uid="{00000000-0005-0000-0000-00006B140000}"/>
    <cellStyle name="Normal 4 3 3 2 2 4 3 2" xfId="14432" xr:uid="{3C37F049-DED2-4F90-B0F5-83BBF5253297}"/>
    <cellStyle name="Normal 4 3 3 2 2 4 3 3" xfId="22869" xr:uid="{16D706A1-16B4-4D1A-94DC-05EC7C119007}"/>
    <cellStyle name="Normal 4 3 3 2 2 4 4" xfId="10214" xr:uid="{C27C8F98-6B53-414D-808E-C41A81B35223}"/>
    <cellStyle name="Normal 4 3 3 2 2 4 5" xfId="18652" xr:uid="{FD08CA05-5337-43E2-9C00-B27CBBC1D4E2}"/>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2 2 2" xfId="16990" xr:uid="{D8BF44B2-75E3-4F2A-A514-2156E53C5E91}"/>
    <cellStyle name="Normal 4 3 3 2 2 5 2 2 3" xfId="25427" xr:uid="{F8B00B47-83C2-4A40-AB26-DE7802601A67}"/>
    <cellStyle name="Normal 4 3 3 2 2 5 2 3" xfId="12772" xr:uid="{8549C4BC-2339-4282-897B-271E23BE797C}"/>
    <cellStyle name="Normal 4 3 3 2 2 5 2 4" xfId="21210" xr:uid="{920E4756-60EA-4001-8D4C-F74C69B2D69B}"/>
    <cellStyle name="Normal 4 3 3 2 2 5 3" xfId="6403" xr:uid="{00000000-0005-0000-0000-00006F140000}"/>
    <cellStyle name="Normal 4 3 3 2 2 5 3 2" xfId="14845" xr:uid="{6683C269-A94A-4C86-AB19-1DBADF8DA142}"/>
    <cellStyle name="Normal 4 3 3 2 2 5 3 3" xfId="23282" xr:uid="{91262C2C-6AF0-4391-BA1B-F48845B84E06}"/>
    <cellStyle name="Normal 4 3 3 2 2 5 4" xfId="10627" xr:uid="{5BD08BB4-38B2-41D4-B4C9-BF70B0364735}"/>
    <cellStyle name="Normal 4 3 3 2 2 5 5" xfId="19065" xr:uid="{51044CE2-8155-4C88-A001-D24405F9B523}"/>
    <cellStyle name="Normal 4 3 3 2 2 6" xfId="2532" xr:uid="{00000000-0005-0000-0000-000070140000}"/>
    <cellStyle name="Normal 4 3 3 2 2 6 2" xfId="6816" xr:uid="{00000000-0005-0000-0000-000071140000}"/>
    <cellStyle name="Normal 4 3 3 2 2 6 2 2" xfId="15258" xr:uid="{1A5CC6A7-A1E1-4FDF-9DF4-5B50018E4D62}"/>
    <cellStyle name="Normal 4 3 3 2 2 6 2 3" xfId="23695" xr:uid="{3D4DF81E-95C9-4FDA-93A0-E0B0709F0054}"/>
    <cellStyle name="Normal 4 3 3 2 2 6 3" xfId="11040" xr:uid="{EFB9CED2-59B0-4709-8A1D-BB718653B34E}"/>
    <cellStyle name="Normal 4 3 3 2 2 6 4" xfId="19478" xr:uid="{4283A028-75DC-4066-8F4C-E7198867D789}"/>
    <cellStyle name="Normal 4 3 3 2 2 7" xfId="4751" xr:uid="{00000000-0005-0000-0000-000072140000}"/>
    <cellStyle name="Normal 4 3 3 2 2 7 2" xfId="13193" xr:uid="{EF03D8C5-F84F-4A66-A2FE-86B1AA977DDB}"/>
    <cellStyle name="Normal 4 3 3 2 2 7 3" xfId="21630" xr:uid="{C16D6D0D-96C2-4F1F-B3B7-9B48DE041C8D}"/>
    <cellStyle name="Normal 4 3 3 2 2 8" xfId="8975" xr:uid="{5BA4C228-D5C2-44F9-9402-48219353005C}"/>
    <cellStyle name="Normal 4 3 3 2 2 9" xfId="17413" xr:uid="{E7FB0F04-91C6-4188-B12D-5822031B6C96}"/>
    <cellStyle name="Normal 4 3 3 2 3" xfId="850" xr:uid="{00000000-0005-0000-0000-000073140000}"/>
    <cellStyle name="Normal 4 3 3 2 3 2" xfId="3085" xr:uid="{00000000-0005-0000-0000-000074140000}"/>
    <cellStyle name="Normal 4 3 3 2 3 2 2" xfId="7308" xr:uid="{00000000-0005-0000-0000-000075140000}"/>
    <cellStyle name="Normal 4 3 3 2 3 2 2 2" xfId="15750" xr:uid="{BD1664D0-5106-4578-9A1C-F1416DC5FCC2}"/>
    <cellStyle name="Normal 4 3 3 2 3 2 2 3" xfId="24187" xr:uid="{19720FBD-DB7F-4997-8EAD-706CDC0BF333}"/>
    <cellStyle name="Normal 4 3 3 2 3 2 3" xfId="11532" xr:uid="{D8FF5512-44C2-4565-B8AB-A05867A2C19B}"/>
    <cellStyle name="Normal 4 3 3 2 3 2 4" xfId="19970" xr:uid="{65CFF0F8-F5FD-4429-9545-4F63F5E6F3EE}"/>
    <cellStyle name="Normal 4 3 3 2 3 3" xfId="5163" xr:uid="{00000000-0005-0000-0000-000076140000}"/>
    <cellStyle name="Normal 4 3 3 2 3 3 2" xfId="13605" xr:uid="{024B158C-797F-4BA1-B693-32F92C2E7D5F}"/>
    <cellStyle name="Normal 4 3 3 2 3 3 3" xfId="22042" xr:uid="{295A6F79-6B20-430C-9D2B-9AA894563E11}"/>
    <cellStyle name="Normal 4 3 3 2 3 4" xfId="9387" xr:uid="{E3740942-8DCE-4A17-BA4C-3B8F08B55E83}"/>
    <cellStyle name="Normal 4 3 3 2 3 5" xfId="17825" xr:uid="{7FF7AEF7-F875-4771-8714-1F0073121C76}"/>
    <cellStyle name="Normal 4 3 3 2 4" xfId="1268" xr:uid="{00000000-0005-0000-0000-000077140000}"/>
    <cellStyle name="Normal 4 3 3 2 4 2" xfId="3498" xr:uid="{00000000-0005-0000-0000-000078140000}"/>
    <cellStyle name="Normal 4 3 3 2 4 2 2" xfId="7721" xr:uid="{00000000-0005-0000-0000-000079140000}"/>
    <cellStyle name="Normal 4 3 3 2 4 2 2 2" xfId="16163" xr:uid="{C0D92F37-EC06-444E-AD34-60C1A3CF1005}"/>
    <cellStyle name="Normal 4 3 3 2 4 2 2 3" xfId="24600" xr:uid="{CA4F94BC-E200-4DE2-9D73-A035A4C75A32}"/>
    <cellStyle name="Normal 4 3 3 2 4 2 3" xfId="11945" xr:uid="{06326C5D-75EC-4CF8-A7F6-87983EB7D775}"/>
    <cellStyle name="Normal 4 3 3 2 4 2 4" xfId="20383" xr:uid="{7F053ADB-5621-4286-9C8B-D17EB74FA26D}"/>
    <cellStyle name="Normal 4 3 3 2 4 3" xfId="5576" xr:uid="{00000000-0005-0000-0000-00007A140000}"/>
    <cellStyle name="Normal 4 3 3 2 4 3 2" xfId="14018" xr:uid="{38693DA8-67F5-4D52-A21C-9662A83B0CBF}"/>
    <cellStyle name="Normal 4 3 3 2 4 3 3" xfId="22455" xr:uid="{C5EA8949-E0B4-450F-BE02-47D805EA3517}"/>
    <cellStyle name="Normal 4 3 3 2 4 4" xfId="9800" xr:uid="{F4ED161C-00B2-410D-9DB1-C6E58B761E67}"/>
    <cellStyle name="Normal 4 3 3 2 4 5" xfId="18238" xr:uid="{B2B1D2CF-3011-424D-B483-4A88BD94077C}"/>
    <cellStyle name="Normal 4 3 3 2 5" xfId="1681" xr:uid="{00000000-0005-0000-0000-00007B140000}"/>
    <cellStyle name="Normal 4 3 3 2 5 2" xfId="3911" xr:uid="{00000000-0005-0000-0000-00007C140000}"/>
    <cellStyle name="Normal 4 3 3 2 5 2 2" xfId="8134" xr:uid="{00000000-0005-0000-0000-00007D140000}"/>
    <cellStyle name="Normal 4 3 3 2 5 2 2 2" xfId="16576" xr:uid="{345A125C-FBCB-418D-ABD2-C66767D1AA2D}"/>
    <cellStyle name="Normal 4 3 3 2 5 2 2 3" xfId="25013" xr:uid="{F13C3B9F-2606-4FDC-A021-C25CF6C34D97}"/>
    <cellStyle name="Normal 4 3 3 2 5 2 3" xfId="12358" xr:uid="{2DFE5ABA-3F56-4983-A55F-7B327F1635FE}"/>
    <cellStyle name="Normal 4 3 3 2 5 2 4" xfId="20796" xr:uid="{90F91A55-A9BE-417D-8F35-E20D70A21FAC}"/>
    <cellStyle name="Normal 4 3 3 2 5 3" xfId="5989" xr:uid="{00000000-0005-0000-0000-00007E140000}"/>
    <cellStyle name="Normal 4 3 3 2 5 3 2" xfId="14431" xr:uid="{1EB709A7-C199-4FAF-9EBB-6BC3579E4906}"/>
    <cellStyle name="Normal 4 3 3 2 5 3 3" xfId="22868" xr:uid="{1C93EEE8-C333-4DD6-8C96-A83385A3805B}"/>
    <cellStyle name="Normal 4 3 3 2 5 4" xfId="10213" xr:uid="{BBEFCBBB-18C7-4DAB-B804-8A803E078BD7}"/>
    <cellStyle name="Normal 4 3 3 2 5 5" xfId="18651" xr:uid="{86E2767D-AE3D-474B-8A9D-A39960DD19AE}"/>
    <cellStyle name="Normal 4 3 3 2 6" xfId="2095" xr:uid="{00000000-0005-0000-0000-00007F140000}"/>
    <cellStyle name="Normal 4 3 3 2 6 2" xfId="4324" xr:uid="{00000000-0005-0000-0000-000080140000}"/>
    <cellStyle name="Normal 4 3 3 2 6 2 2" xfId="8547" xr:uid="{00000000-0005-0000-0000-000081140000}"/>
    <cellStyle name="Normal 4 3 3 2 6 2 2 2" xfId="16989" xr:uid="{8C5297EF-ED12-4238-8898-AE60000CC585}"/>
    <cellStyle name="Normal 4 3 3 2 6 2 2 3" xfId="25426" xr:uid="{27B5F13C-DEC6-46D8-A9D3-EE608FD6D291}"/>
    <cellStyle name="Normal 4 3 3 2 6 2 3" xfId="12771" xr:uid="{9545D7E7-3DC5-4905-B2A6-CDF9CB04D7E1}"/>
    <cellStyle name="Normal 4 3 3 2 6 2 4" xfId="21209" xr:uid="{F77B7048-1E6F-47A0-A491-7E81BA19958E}"/>
    <cellStyle name="Normal 4 3 3 2 6 3" xfId="6402" xr:uid="{00000000-0005-0000-0000-000082140000}"/>
    <cellStyle name="Normal 4 3 3 2 6 3 2" xfId="14844" xr:uid="{32FD11FC-54FB-44C6-AFFC-F4E12CC3FF12}"/>
    <cellStyle name="Normal 4 3 3 2 6 3 3" xfId="23281" xr:uid="{CC547F53-4FA8-4F62-A254-20A99DD11170}"/>
    <cellStyle name="Normal 4 3 3 2 6 4" xfId="10626" xr:uid="{A80B3E3F-CF8E-4AE5-B1D2-BC9C57D3EDC1}"/>
    <cellStyle name="Normal 4 3 3 2 6 5" xfId="19064" xr:uid="{5337953D-E3E2-47C1-B4B6-F952C310B1AD}"/>
    <cellStyle name="Normal 4 3 3 2 7" xfId="2531" xr:uid="{00000000-0005-0000-0000-000083140000}"/>
    <cellStyle name="Normal 4 3 3 2 7 2" xfId="6815" xr:uid="{00000000-0005-0000-0000-000084140000}"/>
    <cellStyle name="Normal 4 3 3 2 7 2 2" xfId="15257" xr:uid="{16570F41-94E7-44DA-AC23-CDABD328DAAD}"/>
    <cellStyle name="Normal 4 3 3 2 7 2 3" xfId="23694" xr:uid="{7852C4B1-5681-4D5B-BE36-A77871576460}"/>
    <cellStyle name="Normal 4 3 3 2 7 3" xfId="11039" xr:uid="{405636DD-CA24-4007-9880-D343352AD9AB}"/>
    <cellStyle name="Normal 4 3 3 2 7 4" xfId="19477" xr:uid="{4D9A1474-0942-4BA1-A842-7928817BE8FA}"/>
    <cellStyle name="Normal 4 3 3 2 8" xfId="4750" xr:uid="{00000000-0005-0000-0000-000085140000}"/>
    <cellStyle name="Normal 4 3 3 2 8 2" xfId="13192" xr:uid="{86C4EED7-DC2A-428B-BD36-D418FF1289F4}"/>
    <cellStyle name="Normal 4 3 3 2 8 3" xfId="21629" xr:uid="{D65AFEBB-CBE0-4E52-A98D-76DF38648014}"/>
    <cellStyle name="Normal 4 3 3 2 9" xfId="8974" xr:uid="{68E4DB6B-A07E-4456-A91A-9752EB6AFAD7}"/>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2 2 2" xfId="15752" xr:uid="{ED59A68A-FF4E-4DF5-878A-2333288E54A2}"/>
    <cellStyle name="Normal 4 3 3 3 2 2 2 3" xfId="24189" xr:uid="{7E6264AB-F608-496D-92FC-DFA645C33A97}"/>
    <cellStyle name="Normal 4 3 3 3 2 2 3" xfId="11534" xr:uid="{7B0FD951-283C-4694-B1AE-648939C481FF}"/>
    <cellStyle name="Normal 4 3 3 3 2 2 4" xfId="19972" xr:uid="{96A65A2D-8F6F-498A-97AC-788DA21FF17A}"/>
    <cellStyle name="Normal 4 3 3 3 2 3" xfId="5165" xr:uid="{00000000-0005-0000-0000-00008A140000}"/>
    <cellStyle name="Normal 4 3 3 3 2 3 2" xfId="13607" xr:uid="{A53AB9FF-FB0C-46C5-BD50-3CE5AF376C05}"/>
    <cellStyle name="Normal 4 3 3 3 2 3 3" xfId="22044" xr:uid="{8B4AADA4-40DF-4605-A1C1-675C96CBC357}"/>
    <cellStyle name="Normal 4 3 3 3 2 4" xfId="9389" xr:uid="{A186A683-81E5-4574-838F-DED7B85413B9}"/>
    <cellStyle name="Normal 4 3 3 3 2 5" xfId="17827" xr:uid="{76E772B9-F577-4743-8F06-66EBADDD0C61}"/>
    <cellStyle name="Normal 4 3 3 3 3" xfId="1270" xr:uid="{00000000-0005-0000-0000-00008B140000}"/>
    <cellStyle name="Normal 4 3 3 3 3 2" xfId="3500" xr:uid="{00000000-0005-0000-0000-00008C140000}"/>
    <cellStyle name="Normal 4 3 3 3 3 2 2" xfId="7723" xr:uid="{00000000-0005-0000-0000-00008D140000}"/>
    <cellStyle name="Normal 4 3 3 3 3 2 2 2" xfId="16165" xr:uid="{B34953D7-80E3-4C99-A1E3-51D7E96EFF13}"/>
    <cellStyle name="Normal 4 3 3 3 3 2 2 3" xfId="24602" xr:uid="{CAF810B8-D987-406D-87DC-F4423C7AF2BF}"/>
    <cellStyle name="Normal 4 3 3 3 3 2 3" xfId="11947" xr:uid="{9BD8A9C0-BE15-4F63-836A-F6C48E8492A3}"/>
    <cellStyle name="Normal 4 3 3 3 3 2 4" xfId="20385" xr:uid="{EEAB32B6-DCED-490D-970C-08E1515C358E}"/>
    <cellStyle name="Normal 4 3 3 3 3 3" xfId="5578" xr:uid="{00000000-0005-0000-0000-00008E140000}"/>
    <cellStyle name="Normal 4 3 3 3 3 3 2" xfId="14020" xr:uid="{C1AD3CFA-DAF0-46B3-BE02-80EA80ECE68D}"/>
    <cellStyle name="Normal 4 3 3 3 3 3 3" xfId="22457" xr:uid="{21C99F46-A390-4438-A88B-F4CE09C50514}"/>
    <cellStyle name="Normal 4 3 3 3 3 4" xfId="9802" xr:uid="{44A6552B-0302-4EE5-8C33-54F816705D67}"/>
    <cellStyle name="Normal 4 3 3 3 3 5" xfId="18240" xr:uid="{15B5FD42-C374-4CA5-964D-BD387D5439B4}"/>
    <cellStyle name="Normal 4 3 3 3 4" xfId="1683" xr:uid="{00000000-0005-0000-0000-00008F140000}"/>
    <cellStyle name="Normal 4 3 3 3 4 2" xfId="3913" xr:uid="{00000000-0005-0000-0000-000090140000}"/>
    <cellStyle name="Normal 4 3 3 3 4 2 2" xfId="8136" xr:uid="{00000000-0005-0000-0000-000091140000}"/>
    <cellStyle name="Normal 4 3 3 3 4 2 2 2" xfId="16578" xr:uid="{81FE5217-31DD-4FBC-A692-22A5668A0161}"/>
    <cellStyle name="Normal 4 3 3 3 4 2 2 3" xfId="25015" xr:uid="{8283D126-78E5-4E3F-A380-3201CC6921BB}"/>
    <cellStyle name="Normal 4 3 3 3 4 2 3" xfId="12360" xr:uid="{5C7D1069-4B6F-4563-B795-FA6BE4662FED}"/>
    <cellStyle name="Normal 4 3 3 3 4 2 4" xfId="20798" xr:uid="{6E70DA33-9342-4B6A-AE2D-DD8894327465}"/>
    <cellStyle name="Normal 4 3 3 3 4 3" xfId="5991" xr:uid="{00000000-0005-0000-0000-000092140000}"/>
    <cellStyle name="Normal 4 3 3 3 4 3 2" xfId="14433" xr:uid="{15C51B6E-D0FF-42D7-AF80-7F0F53FC5CC7}"/>
    <cellStyle name="Normal 4 3 3 3 4 3 3" xfId="22870" xr:uid="{E2381BA2-AC06-4208-B195-0546DDF05DAC}"/>
    <cellStyle name="Normal 4 3 3 3 4 4" xfId="10215" xr:uid="{56F574EC-6590-433F-8FE6-BC354487554F}"/>
    <cellStyle name="Normal 4 3 3 3 4 5" xfId="18653" xr:uid="{11E995B8-1735-40BB-9E08-2D728E15953A}"/>
    <cellStyle name="Normal 4 3 3 3 5" xfId="2097" xr:uid="{00000000-0005-0000-0000-000093140000}"/>
    <cellStyle name="Normal 4 3 3 3 5 2" xfId="4326" xr:uid="{00000000-0005-0000-0000-000094140000}"/>
    <cellStyle name="Normal 4 3 3 3 5 2 2" xfId="8549" xr:uid="{00000000-0005-0000-0000-000095140000}"/>
    <cellStyle name="Normal 4 3 3 3 5 2 2 2" xfId="16991" xr:uid="{C11F0806-ACB8-461F-8945-AD624D251B4B}"/>
    <cellStyle name="Normal 4 3 3 3 5 2 2 3" xfId="25428" xr:uid="{EE018C92-A482-4DF7-8D19-E846220FBB35}"/>
    <cellStyle name="Normal 4 3 3 3 5 2 3" xfId="12773" xr:uid="{6A219250-44D2-4189-8BB9-F716276CB361}"/>
    <cellStyle name="Normal 4 3 3 3 5 2 4" xfId="21211" xr:uid="{7C9373F0-FD70-4749-9095-648F6B2A7216}"/>
    <cellStyle name="Normal 4 3 3 3 5 3" xfId="6404" xr:uid="{00000000-0005-0000-0000-000096140000}"/>
    <cellStyle name="Normal 4 3 3 3 5 3 2" xfId="14846" xr:uid="{6036D131-7520-478F-B2D2-CEDD667867A5}"/>
    <cellStyle name="Normal 4 3 3 3 5 3 3" xfId="23283" xr:uid="{6B96690E-D671-4DFD-913A-122E8FAEF0D1}"/>
    <cellStyle name="Normal 4 3 3 3 5 4" xfId="10628" xr:uid="{D32DC4F0-6ACC-4EC3-BFB7-F61ECDAA97C5}"/>
    <cellStyle name="Normal 4 3 3 3 5 5" xfId="19066" xr:uid="{5BF299E1-2C95-4DBA-BD7D-A15FD6002FB4}"/>
    <cellStyle name="Normal 4 3 3 3 6" xfId="2533" xr:uid="{00000000-0005-0000-0000-000097140000}"/>
    <cellStyle name="Normal 4 3 3 3 6 2" xfId="6817" xr:uid="{00000000-0005-0000-0000-000098140000}"/>
    <cellStyle name="Normal 4 3 3 3 6 2 2" xfId="15259" xr:uid="{AF1922D9-5CBA-4EE1-9B3F-06D61C47398B}"/>
    <cellStyle name="Normal 4 3 3 3 6 2 3" xfId="23696" xr:uid="{5ECDE895-0F53-4B62-A476-3E5DF99CCDD1}"/>
    <cellStyle name="Normal 4 3 3 3 6 3" xfId="11041" xr:uid="{0644FD75-D5CC-48A3-AED5-85256C04F0B8}"/>
    <cellStyle name="Normal 4 3 3 3 6 4" xfId="19479" xr:uid="{D88D4C43-18A5-4200-9D64-C51CB955E8E4}"/>
    <cellStyle name="Normal 4 3 3 3 7" xfId="4752" xr:uid="{00000000-0005-0000-0000-000099140000}"/>
    <cellStyle name="Normal 4 3 3 3 7 2" xfId="13194" xr:uid="{19DA47E5-E3CE-4600-A3FE-1E55A2E8E23B}"/>
    <cellStyle name="Normal 4 3 3 3 7 3" xfId="21631" xr:uid="{6EE8ADD3-DD79-402C-9F0F-B02BEA4FC31E}"/>
    <cellStyle name="Normal 4 3 3 3 8" xfId="8976" xr:uid="{F7DFDC3F-8395-438E-950F-00E2C37D618B}"/>
    <cellStyle name="Normal 4 3 3 3 9" xfId="17414" xr:uid="{968DFB1C-4475-49EF-8993-D9D263D8F923}"/>
    <cellStyle name="Normal 4 3 3 4" xfId="849" xr:uid="{00000000-0005-0000-0000-00009A140000}"/>
    <cellStyle name="Normal 4 3 3 4 2" xfId="3084" xr:uid="{00000000-0005-0000-0000-00009B140000}"/>
    <cellStyle name="Normal 4 3 3 4 2 2" xfId="7307" xr:uid="{00000000-0005-0000-0000-00009C140000}"/>
    <cellStyle name="Normal 4 3 3 4 2 2 2" xfId="15749" xr:uid="{ADFEDCC7-575C-48D6-AB4B-38B306CD2F7F}"/>
    <cellStyle name="Normal 4 3 3 4 2 2 3" xfId="24186" xr:uid="{7ABEBED3-03B8-4F5C-914F-74F15F827557}"/>
    <cellStyle name="Normal 4 3 3 4 2 3" xfId="11531" xr:uid="{B963CD1F-A5D2-48C9-B706-1BE204CC9BEC}"/>
    <cellStyle name="Normal 4 3 3 4 2 4" xfId="19969" xr:uid="{E0A1E4A5-DE83-409A-AC83-ECD93BC97AF3}"/>
    <cellStyle name="Normal 4 3 3 4 3" xfId="5162" xr:uid="{00000000-0005-0000-0000-00009D140000}"/>
    <cellStyle name="Normal 4 3 3 4 3 2" xfId="13604" xr:uid="{CCADB812-0C78-48D1-81EE-401F69F82BB9}"/>
    <cellStyle name="Normal 4 3 3 4 3 3" xfId="22041" xr:uid="{EB172969-A4B3-4CCB-8C0C-26B56C4DEE28}"/>
    <cellStyle name="Normal 4 3 3 4 4" xfId="9386" xr:uid="{A0A1926E-6DA9-4054-AAC6-8C1E62D45D19}"/>
    <cellStyle name="Normal 4 3 3 4 5" xfId="17824" xr:uid="{58004A61-2541-4486-9652-CDCD7EF4AD56}"/>
    <cellStyle name="Normal 4 3 3 5" xfId="1267" xr:uid="{00000000-0005-0000-0000-00009E140000}"/>
    <cellStyle name="Normal 4 3 3 5 2" xfId="3497" xr:uid="{00000000-0005-0000-0000-00009F140000}"/>
    <cellStyle name="Normal 4 3 3 5 2 2" xfId="7720" xr:uid="{00000000-0005-0000-0000-0000A0140000}"/>
    <cellStyle name="Normal 4 3 3 5 2 2 2" xfId="16162" xr:uid="{14191409-F36E-495A-B731-6DE68100EC14}"/>
    <cellStyle name="Normal 4 3 3 5 2 2 3" xfId="24599" xr:uid="{4BFF1F02-A252-4D4A-B0A1-6A0C91C0844B}"/>
    <cellStyle name="Normal 4 3 3 5 2 3" xfId="11944" xr:uid="{D11A1AB9-FDDB-43FE-BD94-7614CC4E84EE}"/>
    <cellStyle name="Normal 4 3 3 5 2 4" xfId="20382" xr:uid="{1B8B2D08-21BA-4231-BF57-B75C3A8F6945}"/>
    <cellStyle name="Normal 4 3 3 5 3" xfId="5575" xr:uid="{00000000-0005-0000-0000-0000A1140000}"/>
    <cellStyle name="Normal 4 3 3 5 3 2" xfId="14017" xr:uid="{DA6AE1E4-C426-40BE-A97F-2241675DF1FD}"/>
    <cellStyle name="Normal 4 3 3 5 3 3" xfId="22454" xr:uid="{70FEEF7B-14D6-43F8-9BA5-47620B6CEFEA}"/>
    <cellStyle name="Normal 4 3 3 5 4" xfId="9799" xr:uid="{61FF991B-68E5-4329-98C7-D2C5785FC004}"/>
    <cellStyle name="Normal 4 3 3 5 5" xfId="18237" xr:uid="{3B5F06D3-0BB4-4794-AEEE-EC11C776C5F2}"/>
    <cellStyle name="Normal 4 3 3 6" xfId="1680" xr:uid="{00000000-0005-0000-0000-0000A2140000}"/>
    <cellStyle name="Normal 4 3 3 6 2" xfId="3910" xr:uid="{00000000-0005-0000-0000-0000A3140000}"/>
    <cellStyle name="Normal 4 3 3 6 2 2" xfId="8133" xr:uid="{00000000-0005-0000-0000-0000A4140000}"/>
    <cellStyle name="Normal 4 3 3 6 2 2 2" xfId="16575" xr:uid="{3DE6DBD8-826E-446F-B3AF-FE02C9A4E298}"/>
    <cellStyle name="Normal 4 3 3 6 2 2 3" xfId="25012" xr:uid="{2EC88519-2C4B-4D95-BD00-5AE7916540DB}"/>
    <cellStyle name="Normal 4 3 3 6 2 3" xfId="12357" xr:uid="{0ADBCAAE-A221-4D90-BDF6-42B1B14AC9A5}"/>
    <cellStyle name="Normal 4 3 3 6 2 4" xfId="20795" xr:uid="{55A0E87F-C61A-4C12-A36B-0553A1FA986C}"/>
    <cellStyle name="Normal 4 3 3 6 3" xfId="5988" xr:uid="{00000000-0005-0000-0000-0000A5140000}"/>
    <cellStyle name="Normal 4 3 3 6 3 2" xfId="14430" xr:uid="{20EEA09E-6842-47B4-8D4B-E1F5B3FF2DD6}"/>
    <cellStyle name="Normal 4 3 3 6 3 3" xfId="22867" xr:uid="{F3A59274-3AD0-4C34-B4BE-D4B71BA58309}"/>
    <cellStyle name="Normal 4 3 3 6 4" xfId="10212" xr:uid="{5C7496A7-D3DC-490C-A764-1634A0B23865}"/>
    <cellStyle name="Normal 4 3 3 6 5" xfId="18650" xr:uid="{BC660C2A-B359-46BA-AD98-72C4F3E444B4}"/>
    <cellStyle name="Normal 4 3 3 7" xfId="2094" xr:uid="{00000000-0005-0000-0000-0000A6140000}"/>
    <cellStyle name="Normal 4 3 3 7 2" xfId="4323" xr:uid="{00000000-0005-0000-0000-0000A7140000}"/>
    <cellStyle name="Normal 4 3 3 7 2 2" xfId="8546" xr:uid="{00000000-0005-0000-0000-0000A8140000}"/>
    <cellStyle name="Normal 4 3 3 7 2 2 2" xfId="16988" xr:uid="{905F1D72-AF6E-473E-B87F-D88042DE061E}"/>
    <cellStyle name="Normal 4 3 3 7 2 2 3" xfId="25425" xr:uid="{8D1C4881-E0F4-474C-826F-1CAAEAE53BDF}"/>
    <cellStyle name="Normal 4 3 3 7 2 3" xfId="12770" xr:uid="{491A7032-3F9B-4BD6-B6E8-51514A040B05}"/>
    <cellStyle name="Normal 4 3 3 7 2 4" xfId="21208" xr:uid="{0ACBDB37-64FB-474E-A7BC-A82823103E37}"/>
    <cellStyle name="Normal 4 3 3 7 3" xfId="6401" xr:uid="{00000000-0005-0000-0000-0000A9140000}"/>
    <cellStyle name="Normal 4 3 3 7 3 2" xfId="14843" xr:uid="{C84FFD9E-3392-431E-99EA-916F70F9A1B4}"/>
    <cellStyle name="Normal 4 3 3 7 3 3" xfId="23280" xr:uid="{EBD25B3F-3348-4E3A-94BD-820309A8F95D}"/>
    <cellStyle name="Normal 4 3 3 7 4" xfId="10625" xr:uid="{3774D3F6-5D34-4B04-ABA2-C0E0A82CA428}"/>
    <cellStyle name="Normal 4 3 3 7 5" xfId="19063" xr:uid="{835D99E6-77D8-4F14-BFE7-345FBA84CB25}"/>
    <cellStyle name="Normal 4 3 3 8" xfId="2530" xr:uid="{00000000-0005-0000-0000-0000AA140000}"/>
    <cellStyle name="Normal 4 3 3 8 2" xfId="6814" xr:uid="{00000000-0005-0000-0000-0000AB140000}"/>
    <cellStyle name="Normal 4 3 3 8 2 2" xfId="15256" xr:uid="{BD484AF8-43A3-47F5-80FE-C0DE66E23A47}"/>
    <cellStyle name="Normal 4 3 3 8 2 3" xfId="23693" xr:uid="{0D20E36D-E08E-4CB7-8D67-5EBBD455B576}"/>
    <cellStyle name="Normal 4 3 3 8 3" xfId="11038" xr:uid="{07F9F283-14CA-4E47-93BF-6D561D87C802}"/>
    <cellStyle name="Normal 4 3 3 8 4" xfId="19476" xr:uid="{4E6D4C27-2B34-4343-8189-132C25EF35F4}"/>
    <cellStyle name="Normal 4 3 3 9" xfId="4749" xr:uid="{00000000-0005-0000-0000-0000AC140000}"/>
    <cellStyle name="Normal 4 3 3 9 2" xfId="13191" xr:uid="{B190F0D5-AD96-48ED-A704-A9D590DB334C}"/>
    <cellStyle name="Normal 4 3 3 9 3" xfId="21628" xr:uid="{09397C19-32B6-4253-9253-20C0803286B9}"/>
    <cellStyle name="Normal 4 3 4" xfId="842" xr:uid="{00000000-0005-0000-0000-0000AD140000}"/>
    <cellStyle name="Normal 4 3 4 2" xfId="3079" xr:uid="{00000000-0005-0000-0000-0000AE140000}"/>
    <cellStyle name="Normal 4 3 4 2 2" xfId="7302" xr:uid="{00000000-0005-0000-0000-0000AF140000}"/>
    <cellStyle name="Normal 4 3 4 2 2 2" xfId="15744" xr:uid="{A1FB4A0D-2726-430F-AEFB-5EDAF53D7C28}"/>
    <cellStyle name="Normal 4 3 4 2 2 3" xfId="24181" xr:uid="{26CEAD1D-9130-4715-8253-BCBC4F37E5E8}"/>
    <cellStyle name="Normal 4 3 4 2 3" xfId="11526" xr:uid="{F81AC4C0-F52B-480D-BF60-6BEE90A14652}"/>
    <cellStyle name="Normal 4 3 4 2 4" xfId="19964" xr:uid="{F86CC596-82A1-4453-8693-DB5142B4C1A9}"/>
    <cellStyle name="Normal 4 3 4 3" xfId="5157" xr:uid="{00000000-0005-0000-0000-0000B0140000}"/>
    <cellStyle name="Normal 4 3 4 3 2" xfId="13599" xr:uid="{506B15B9-EEAD-4B9C-9268-117A6C39C7F8}"/>
    <cellStyle name="Normal 4 3 4 3 3" xfId="22036" xr:uid="{5DBD835A-1E35-4AEA-A662-D6DC87522CF7}"/>
    <cellStyle name="Normal 4 3 4 4" xfId="9381" xr:uid="{388E3F12-DA27-46FF-888F-DBF48793B30F}"/>
    <cellStyle name="Normal 4 3 4 5" xfId="17819" xr:uid="{DAAE8743-2808-46B1-9E6B-A2E07AA1EBF2}"/>
    <cellStyle name="Normal 4 3 5" xfId="1262" xr:uid="{00000000-0005-0000-0000-0000B1140000}"/>
    <cellStyle name="Normal 4 3 5 2" xfId="3492" xr:uid="{00000000-0005-0000-0000-0000B2140000}"/>
    <cellStyle name="Normal 4 3 5 2 2" xfId="7715" xr:uid="{00000000-0005-0000-0000-0000B3140000}"/>
    <cellStyle name="Normal 4 3 5 2 2 2" xfId="16157" xr:uid="{B6E595A7-CA7B-4F19-A98E-58861DBD4A38}"/>
    <cellStyle name="Normal 4 3 5 2 2 3" xfId="24594" xr:uid="{A2100E3A-0178-4F6C-A1F6-839D29A8F508}"/>
    <cellStyle name="Normal 4 3 5 2 3" xfId="11939" xr:uid="{2E0B0710-F612-44FA-8F35-0034F7824F00}"/>
    <cellStyle name="Normal 4 3 5 2 4" xfId="20377" xr:uid="{9401206A-27DD-4E27-90D8-E2F51EE2C198}"/>
    <cellStyle name="Normal 4 3 5 3" xfId="5570" xr:uid="{00000000-0005-0000-0000-0000B4140000}"/>
    <cellStyle name="Normal 4 3 5 3 2" xfId="14012" xr:uid="{1BBA1FEE-16E7-4F2A-A768-622F4EBEEA20}"/>
    <cellStyle name="Normal 4 3 5 3 3" xfId="22449" xr:uid="{BB413FD9-A166-4C26-A633-22501FDD3DD8}"/>
    <cellStyle name="Normal 4 3 5 4" xfId="9794" xr:uid="{FEABC078-7A29-4521-8E76-F140369E96B5}"/>
    <cellStyle name="Normal 4 3 5 5" xfId="18232" xr:uid="{C0E09100-89A2-4601-9392-2A31F3DA8CB5}"/>
    <cellStyle name="Normal 4 3 6" xfId="1675" xr:uid="{00000000-0005-0000-0000-0000B5140000}"/>
    <cellStyle name="Normal 4 3 6 2" xfId="3905" xr:uid="{00000000-0005-0000-0000-0000B6140000}"/>
    <cellStyle name="Normal 4 3 6 2 2" xfId="8128" xr:uid="{00000000-0005-0000-0000-0000B7140000}"/>
    <cellStyle name="Normal 4 3 6 2 2 2" xfId="16570" xr:uid="{03348788-C637-4C5C-94AD-E082CBC412BD}"/>
    <cellStyle name="Normal 4 3 6 2 2 3" xfId="25007" xr:uid="{947BA97A-B3C9-44AA-800D-402C3297436A}"/>
    <cellStyle name="Normal 4 3 6 2 3" xfId="12352" xr:uid="{B9DB811E-AAD6-48FB-883F-BFA8D1ECD37C}"/>
    <cellStyle name="Normal 4 3 6 2 4" xfId="20790" xr:uid="{EA8C3E83-208D-4481-8F22-E68FD7CB6791}"/>
    <cellStyle name="Normal 4 3 6 3" xfId="5983" xr:uid="{00000000-0005-0000-0000-0000B8140000}"/>
    <cellStyle name="Normal 4 3 6 3 2" xfId="14425" xr:uid="{F75E26DF-B40D-4BC1-BAE1-D9E63A4606C3}"/>
    <cellStyle name="Normal 4 3 6 3 3" xfId="22862" xr:uid="{925AF86F-B2EC-426E-8470-8D1BECDA07B8}"/>
    <cellStyle name="Normal 4 3 6 4" xfId="10207" xr:uid="{00424DA2-532A-408B-8A96-A1056E4D39B8}"/>
    <cellStyle name="Normal 4 3 6 5" xfId="18645" xr:uid="{B3F0E365-239C-4D67-93B0-A70491F012BF}"/>
    <cellStyle name="Normal 4 3 7" xfId="2089" xr:uid="{00000000-0005-0000-0000-0000B9140000}"/>
    <cellStyle name="Normal 4 3 7 2" xfId="4318" xr:uid="{00000000-0005-0000-0000-0000BA140000}"/>
    <cellStyle name="Normal 4 3 7 2 2" xfId="8541" xr:uid="{00000000-0005-0000-0000-0000BB140000}"/>
    <cellStyle name="Normal 4 3 7 2 2 2" xfId="16983" xr:uid="{A178E1D3-1B5B-475E-BA1B-C73308AD268F}"/>
    <cellStyle name="Normal 4 3 7 2 2 3" xfId="25420" xr:uid="{00C30889-8F15-494D-922A-30C21CE02571}"/>
    <cellStyle name="Normal 4 3 7 2 3" xfId="12765" xr:uid="{5461092F-7B5A-4EB0-83E2-5386005CE8B3}"/>
    <cellStyle name="Normal 4 3 7 2 4" xfId="21203" xr:uid="{7AC686EF-CDB9-4651-ADB6-05DC6038B45E}"/>
    <cellStyle name="Normal 4 3 7 3" xfId="6396" xr:uid="{00000000-0005-0000-0000-0000BC140000}"/>
    <cellStyle name="Normal 4 3 7 3 2" xfId="14838" xr:uid="{EF3B5490-5622-48E4-A7CA-C5B019B5A197}"/>
    <cellStyle name="Normal 4 3 7 3 3" xfId="23275" xr:uid="{942F6A94-2E96-477C-A531-707B16DED853}"/>
    <cellStyle name="Normal 4 3 7 4" xfId="10620" xr:uid="{1CAADEA2-1F25-464E-B553-0DF4E9D2C8FF}"/>
    <cellStyle name="Normal 4 3 7 5" xfId="19058" xr:uid="{762499BD-CCB9-4AA1-B2C1-BD473317CE70}"/>
    <cellStyle name="Normal 4 3 8" xfId="2525" xr:uid="{00000000-0005-0000-0000-0000BD140000}"/>
    <cellStyle name="Normal 4 3 8 2" xfId="6809" xr:uid="{00000000-0005-0000-0000-0000BE140000}"/>
    <cellStyle name="Normal 4 3 8 2 2" xfId="15251" xr:uid="{1ED84E92-DEDC-4BFC-9D42-1EEF632EB265}"/>
    <cellStyle name="Normal 4 3 8 2 3" xfId="23688" xr:uid="{FABE29AE-2CFC-4484-AFC4-C26E440D181C}"/>
    <cellStyle name="Normal 4 3 8 3" xfId="11033" xr:uid="{5D185318-65D6-4801-A823-66341B11A5F1}"/>
    <cellStyle name="Normal 4 3 8 4" xfId="19471" xr:uid="{C8D251C8-3ECA-4021-B653-63AB94DB2D63}"/>
    <cellStyle name="Normal 4 3 9" xfId="4744" xr:uid="{00000000-0005-0000-0000-0000BF140000}"/>
    <cellStyle name="Normal 4 3 9 2" xfId="13186" xr:uid="{CC4941B1-0291-46E1-A909-E3380280EA17}"/>
    <cellStyle name="Normal 4 3 9 3" xfId="21623" xr:uid="{7425422C-FC95-4449-83D3-8AB42837CC40}"/>
    <cellStyle name="Normal 4 4" xfId="378" xr:uid="{00000000-0005-0000-0000-0000C0140000}"/>
    <cellStyle name="Normal 4 4 10" xfId="2534" xr:uid="{00000000-0005-0000-0000-0000C1140000}"/>
    <cellStyle name="Normal 4 4 10 2" xfId="6818" xr:uid="{00000000-0005-0000-0000-0000C2140000}"/>
    <cellStyle name="Normal 4 4 10 2 2" xfId="15260" xr:uid="{1A239F52-F987-495E-B03A-E003B129CFD4}"/>
    <cellStyle name="Normal 4 4 10 2 3" xfId="23697" xr:uid="{274DFF8A-6FA7-409F-8373-1DEA4C450611}"/>
    <cellStyle name="Normal 4 4 10 3" xfId="11042" xr:uid="{C3BCE244-74AF-4159-B0C8-43694163FD75}"/>
    <cellStyle name="Normal 4 4 10 4" xfId="19480" xr:uid="{1E6C0736-ADAC-4C51-92D1-B1742B8066C7}"/>
    <cellStyle name="Normal 4 4 11" xfId="4753" xr:uid="{00000000-0005-0000-0000-0000C3140000}"/>
    <cellStyle name="Normal 4 4 11 2" xfId="13195" xr:uid="{17D2D9BE-A39F-40DE-BAF7-B137425D47E6}"/>
    <cellStyle name="Normal 4 4 11 3" xfId="21632" xr:uid="{C445FFB9-C270-49D2-A55C-6D6A82555C8C}"/>
    <cellStyle name="Normal 4 4 12" xfId="8977" xr:uid="{FCD089F9-69C2-4EB3-99D8-75A620EF495D}"/>
    <cellStyle name="Normal 4 4 13" xfId="17415" xr:uid="{7E9AAD5B-59DF-48EA-8CC3-4ED1CF7AE556}"/>
    <cellStyle name="Normal 4 4 2" xfId="379" xr:uid="{00000000-0005-0000-0000-0000C4140000}"/>
    <cellStyle name="Normal 4 4 2 10" xfId="4754" xr:uid="{00000000-0005-0000-0000-0000C5140000}"/>
    <cellStyle name="Normal 4 4 2 10 2" xfId="13196" xr:uid="{5FF65402-A3EB-4787-A3C8-97D01AC90D8F}"/>
    <cellStyle name="Normal 4 4 2 10 3" xfId="21633" xr:uid="{874ECCE9-B246-4B5E-AF39-81E038985D15}"/>
    <cellStyle name="Normal 4 4 2 11" xfId="8978" xr:uid="{50B2FAC5-749D-4E02-AADE-9A0EE3C5308B}"/>
    <cellStyle name="Normal 4 4 2 12" xfId="17416" xr:uid="{F0F0EC54-FA9D-41A9-9289-9F11034145CA}"/>
    <cellStyle name="Normal 4 4 2 2" xfId="380" xr:uid="{00000000-0005-0000-0000-0000C6140000}"/>
    <cellStyle name="Normal 4 4 2 2 10" xfId="8979" xr:uid="{7357D5AD-1B57-45AE-9EF0-FC6246947AFC}"/>
    <cellStyle name="Normal 4 4 2 2 11" xfId="17417" xr:uid="{6BA9DD8E-9E05-429C-8E11-A8A8564476BB}"/>
    <cellStyle name="Normal 4 4 2 2 2" xfId="381" xr:uid="{00000000-0005-0000-0000-0000C7140000}"/>
    <cellStyle name="Normal 4 4 2 2 2 10" xfId="17418" xr:uid="{61F3CC1E-7F02-4BD6-A5CC-68B51357DF47}"/>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2 2 2" xfId="15757" xr:uid="{8B869446-3BAC-438C-B58B-E6A6DF8F8B2A}"/>
    <cellStyle name="Normal 4 4 2 2 2 2 2 2 2 3" xfId="24194" xr:uid="{167DF5B8-F9CF-43AA-9AC2-F1C7763EB1BE}"/>
    <cellStyle name="Normal 4 4 2 2 2 2 2 2 3" xfId="11539" xr:uid="{BDBCE7E5-AF2D-4002-975A-C9CCBC5EFA93}"/>
    <cellStyle name="Normal 4 4 2 2 2 2 2 2 4" xfId="19977" xr:uid="{941FC9D2-3198-40BD-8182-0C11C5BD047F}"/>
    <cellStyle name="Normal 4 4 2 2 2 2 2 3" xfId="5170" xr:uid="{00000000-0005-0000-0000-0000CC140000}"/>
    <cellStyle name="Normal 4 4 2 2 2 2 2 3 2" xfId="13612" xr:uid="{36975D81-3F3F-4C4E-A05E-895CCE132AFB}"/>
    <cellStyle name="Normal 4 4 2 2 2 2 2 3 3" xfId="22049" xr:uid="{779C31DE-ACCD-499B-AAD8-6C658A4076EF}"/>
    <cellStyle name="Normal 4 4 2 2 2 2 2 4" xfId="9394" xr:uid="{2742F0F3-ECE2-4CFE-ADE2-1E4A01E25129}"/>
    <cellStyle name="Normal 4 4 2 2 2 2 2 5" xfId="17832" xr:uid="{CF59E0AE-91B1-4128-AA3E-5B609A2DB638}"/>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2 2 2" xfId="16170" xr:uid="{5E8B5753-6E0B-4814-8A42-0446606A6FF1}"/>
    <cellStyle name="Normal 4 4 2 2 2 2 3 2 2 3" xfId="24607" xr:uid="{38384BB3-AAD0-4C47-9E17-E1AA407702D2}"/>
    <cellStyle name="Normal 4 4 2 2 2 2 3 2 3" xfId="11952" xr:uid="{47384A3B-2DED-4F14-97B1-A7E1EB9D59A1}"/>
    <cellStyle name="Normal 4 4 2 2 2 2 3 2 4" xfId="20390" xr:uid="{B73C997D-107F-4366-8E34-AE269BC6AD79}"/>
    <cellStyle name="Normal 4 4 2 2 2 2 3 3" xfId="5583" xr:uid="{00000000-0005-0000-0000-0000D0140000}"/>
    <cellStyle name="Normal 4 4 2 2 2 2 3 3 2" xfId="14025" xr:uid="{11A28748-15E4-41EB-B29A-DBD0C45C4526}"/>
    <cellStyle name="Normal 4 4 2 2 2 2 3 3 3" xfId="22462" xr:uid="{A54F51E9-5420-4EA0-83A1-61506B6FBF15}"/>
    <cellStyle name="Normal 4 4 2 2 2 2 3 4" xfId="9807" xr:uid="{B7DBE634-8DEF-428C-A692-53EA218B1C96}"/>
    <cellStyle name="Normal 4 4 2 2 2 2 3 5" xfId="18245" xr:uid="{08CC947F-FF1D-43D4-AD59-133F9F7616EE}"/>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2 2 2" xfId="16583" xr:uid="{646BA890-E7C4-4692-89CA-2D52EB25EEE9}"/>
    <cellStyle name="Normal 4 4 2 2 2 2 4 2 2 3" xfId="25020" xr:uid="{456C0488-F0A6-4043-8FC8-9CC43002DCE2}"/>
    <cellStyle name="Normal 4 4 2 2 2 2 4 2 3" xfId="12365" xr:uid="{4BD43320-5F8E-43AA-BC4A-EFDC02AA567C}"/>
    <cellStyle name="Normal 4 4 2 2 2 2 4 2 4" xfId="20803" xr:uid="{F4A6B7B7-EF74-43ED-ADB1-7F897C6102A0}"/>
    <cellStyle name="Normal 4 4 2 2 2 2 4 3" xfId="5996" xr:uid="{00000000-0005-0000-0000-0000D4140000}"/>
    <cellStyle name="Normal 4 4 2 2 2 2 4 3 2" xfId="14438" xr:uid="{4DA8C28B-BF4A-426C-8503-F5183CA9EAED}"/>
    <cellStyle name="Normal 4 4 2 2 2 2 4 3 3" xfId="22875" xr:uid="{104B7338-E0B4-4DAD-ADF4-91F6A677F887}"/>
    <cellStyle name="Normal 4 4 2 2 2 2 4 4" xfId="10220" xr:uid="{CB9B28DB-3478-4190-A4FD-9532EA1A4EAA}"/>
    <cellStyle name="Normal 4 4 2 2 2 2 4 5" xfId="18658" xr:uid="{E30E392A-BFD1-4955-B351-DE8FD96CBF37}"/>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2 2 2" xfId="16996" xr:uid="{7082CCB5-95E4-49EF-8E90-33B0181EB1CE}"/>
    <cellStyle name="Normal 4 4 2 2 2 2 5 2 2 3" xfId="25433" xr:uid="{4569C698-89C1-419B-BA44-695F570DBFA6}"/>
    <cellStyle name="Normal 4 4 2 2 2 2 5 2 3" xfId="12778" xr:uid="{904B01D4-AC52-44F7-B668-8A08CC4ADC14}"/>
    <cellStyle name="Normal 4 4 2 2 2 2 5 2 4" xfId="21216" xr:uid="{48AFE7D8-9C9C-44BA-85F8-BCA7E4FAAB8F}"/>
    <cellStyle name="Normal 4 4 2 2 2 2 5 3" xfId="6409" xr:uid="{00000000-0005-0000-0000-0000D8140000}"/>
    <cellStyle name="Normal 4 4 2 2 2 2 5 3 2" xfId="14851" xr:uid="{2EA0CC56-C956-4442-B9E3-5D37E1B831C6}"/>
    <cellStyle name="Normal 4 4 2 2 2 2 5 3 3" xfId="23288" xr:uid="{B27043EF-BD50-4429-B238-8F860B52BE57}"/>
    <cellStyle name="Normal 4 4 2 2 2 2 5 4" xfId="10633" xr:uid="{7345AD7A-9126-4328-B3E6-AA04B0150B54}"/>
    <cellStyle name="Normal 4 4 2 2 2 2 5 5" xfId="19071" xr:uid="{3D301A2E-2DF4-4582-AE42-465D76599CA0}"/>
    <cellStyle name="Normal 4 4 2 2 2 2 6" xfId="2538" xr:uid="{00000000-0005-0000-0000-0000D9140000}"/>
    <cellStyle name="Normal 4 4 2 2 2 2 6 2" xfId="6822" xr:uid="{00000000-0005-0000-0000-0000DA140000}"/>
    <cellStyle name="Normal 4 4 2 2 2 2 6 2 2" xfId="15264" xr:uid="{69D16200-5BD4-491D-B5D9-F91ADB5EC8DB}"/>
    <cellStyle name="Normal 4 4 2 2 2 2 6 2 3" xfId="23701" xr:uid="{47737B75-40C5-4F23-AC61-C0C455AE3A37}"/>
    <cellStyle name="Normal 4 4 2 2 2 2 6 3" xfId="11046" xr:uid="{FE3E1F8E-1741-4F29-841B-CF89B16C2761}"/>
    <cellStyle name="Normal 4 4 2 2 2 2 6 4" xfId="19484" xr:uid="{C75040C1-058C-48FA-8A70-6209AFA57AA9}"/>
    <cellStyle name="Normal 4 4 2 2 2 2 7" xfId="4757" xr:uid="{00000000-0005-0000-0000-0000DB140000}"/>
    <cellStyle name="Normal 4 4 2 2 2 2 7 2" xfId="13199" xr:uid="{60BBAD39-A84D-484E-BE4C-4BC07B9C2458}"/>
    <cellStyle name="Normal 4 4 2 2 2 2 7 3" xfId="21636" xr:uid="{D58D689C-E9D9-433A-B90F-6E2E6FCC08A5}"/>
    <cellStyle name="Normal 4 4 2 2 2 2 8" xfId="8981" xr:uid="{C88F57CB-493C-42A0-AA87-54490B9E1F65}"/>
    <cellStyle name="Normal 4 4 2 2 2 2 9" xfId="17419" xr:uid="{F23CBF31-F735-4C4F-AD1B-ECB835891D2B}"/>
    <cellStyle name="Normal 4 4 2 2 2 3" xfId="856" xr:uid="{00000000-0005-0000-0000-0000DC140000}"/>
    <cellStyle name="Normal 4 4 2 2 2 3 2" xfId="3091" xr:uid="{00000000-0005-0000-0000-0000DD140000}"/>
    <cellStyle name="Normal 4 4 2 2 2 3 2 2" xfId="7314" xr:uid="{00000000-0005-0000-0000-0000DE140000}"/>
    <cellStyle name="Normal 4 4 2 2 2 3 2 2 2" xfId="15756" xr:uid="{0C9E09CC-BE4F-4470-914F-0F59B8B74587}"/>
    <cellStyle name="Normal 4 4 2 2 2 3 2 2 3" xfId="24193" xr:uid="{FDE2B7CD-FDAB-4689-A420-FEB5EEA0006C}"/>
    <cellStyle name="Normal 4 4 2 2 2 3 2 3" xfId="11538" xr:uid="{414AC91B-F7CA-4D25-B872-0CE45C27B806}"/>
    <cellStyle name="Normal 4 4 2 2 2 3 2 4" xfId="19976" xr:uid="{6D66FD56-DFF1-4039-BA38-F78E0200C759}"/>
    <cellStyle name="Normal 4 4 2 2 2 3 3" xfId="5169" xr:uid="{00000000-0005-0000-0000-0000DF140000}"/>
    <cellStyle name="Normal 4 4 2 2 2 3 3 2" xfId="13611" xr:uid="{A370C548-8035-4141-B135-39E3A9EBFAC2}"/>
    <cellStyle name="Normal 4 4 2 2 2 3 3 3" xfId="22048" xr:uid="{FB938096-6098-4455-A557-51CB10D72DF0}"/>
    <cellStyle name="Normal 4 4 2 2 2 3 4" xfId="9393" xr:uid="{5F0A0582-7609-4BD7-AFAA-C096D528D0C5}"/>
    <cellStyle name="Normal 4 4 2 2 2 3 5" xfId="17831" xr:uid="{D8C7D888-CEE5-4BF3-88B6-1CA3E280201A}"/>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2 2 2" xfId="16169" xr:uid="{8B3CBB4E-E151-4409-928B-EF109DF6F10B}"/>
    <cellStyle name="Normal 4 4 2 2 2 4 2 2 3" xfId="24606" xr:uid="{D9ED329B-50F6-4878-8B7E-B5294BD32588}"/>
    <cellStyle name="Normal 4 4 2 2 2 4 2 3" xfId="11951" xr:uid="{ADD3C358-6B5E-489D-96C0-2830D39C3067}"/>
    <cellStyle name="Normal 4 4 2 2 2 4 2 4" xfId="20389" xr:uid="{E277AF64-F321-4813-A8A6-66B6BF0C9CB0}"/>
    <cellStyle name="Normal 4 4 2 2 2 4 3" xfId="5582" xr:uid="{00000000-0005-0000-0000-0000E3140000}"/>
    <cellStyle name="Normal 4 4 2 2 2 4 3 2" xfId="14024" xr:uid="{D82843FF-FA21-479E-A299-CD6E8DE2D671}"/>
    <cellStyle name="Normal 4 4 2 2 2 4 3 3" xfId="22461" xr:uid="{F4C88685-0CDC-46D8-8EBB-F540240C3F7E}"/>
    <cellStyle name="Normal 4 4 2 2 2 4 4" xfId="9806" xr:uid="{F22289FB-3341-42AF-9099-45B6CE819D6A}"/>
    <cellStyle name="Normal 4 4 2 2 2 4 5" xfId="18244" xr:uid="{C0C509EA-ABA5-404C-8496-F0548923B06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2 2 2" xfId="16582" xr:uid="{1F0915CB-2451-4B67-B5D8-EC08C3C2ACF9}"/>
    <cellStyle name="Normal 4 4 2 2 2 5 2 2 3" xfId="25019" xr:uid="{E3DB6D9F-703B-4B4B-8464-470D69718B1D}"/>
    <cellStyle name="Normal 4 4 2 2 2 5 2 3" xfId="12364" xr:uid="{069D086E-8663-4C13-A893-4EB3BBD8D208}"/>
    <cellStyle name="Normal 4 4 2 2 2 5 2 4" xfId="20802" xr:uid="{B006EF5D-D05F-409C-8967-00B999F3AA9D}"/>
    <cellStyle name="Normal 4 4 2 2 2 5 3" xfId="5995" xr:uid="{00000000-0005-0000-0000-0000E7140000}"/>
    <cellStyle name="Normal 4 4 2 2 2 5 3 2" xfId="14437" xr:uid="{A2126F97-326F-4F72-B90D-60B6B609B635}"/>
    <cellStyle name="Normal 4 4 2 2 2 5 3 3" xfId="22874" xr:uid="{7B512E0C-53F0-4F07-BFD5-EECF77C76D03}"/>
    <cellStyle name="Normal 4 4 2 2 2 5 4" xfId="10219" xr:uid="{B9B49DA2-C8EF-46AB-B4EF-1AF2CAEB6E72}"/>
    <cellStyle name="Normal 4 4 2 2 2 5 5" xfId="18657" xr:uid="{3502F360-8BA1-42F2-918B-755CD0AE34BF}"/>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2 2 2" xfId="16995" xr:uid="{6D1662B9-C6C3-41D3-B9F6-B43D50C95C31}"/>
    <cellStyle name="Normal 4 4 2 2 2 6 2 2 3" xfId="25432" xr:uid="{D86F8E3A-8DDD-495A-B079-7EFBC4510200}"/>
    <cellStyle name="Normal 4 4 2 2 2 6 2 3" xfId="12777" xr:uid="{92D69C5F-B01B-490E-90F3-18FF53564219}"/>
    <cellStyle name="Normal 4 4 2 2 2 6 2 4" xfId="21215" xr:uid="{0AF79086-F3BF-4E2B-ACFE-133A57A93CDB}"/>
    <cellStyle name="Normal 4 4 2 2 2 6 3" xfId="6408" xr:uid="{00000000-0005-0000-0000-0000EB140000}"/>
    <cellStyle name="Normal 4 4 2 2 2 6 3 2" xfId="14850" xr:uid="{3753243C-2BA6-49DE-940C-7402CCF81FF7}"/>
    <cellStyle name="Normal 4 4 2 2 2 6 3 3" xfId="23287" xr:uid="{3786A59C-1367-4AA3-8654-125D32EAE365}"/>
    <cellStyle name="Normal 4 4 2 2 2 6 4" xfId="10632" xr:uid="{68DA179E-398D-4F04-B9DC-873885BF7BDB}"/>
    <cellStyle name="Normal 4 4 2 2 2 6 5" xfId="19070" xr:uid="{E9C96421-6276-4665-B696-89A5C257CF17}"/>
    <cellStyle name="Normal 4 4 2 2 2 7" xfId="2537" xr:uid="{00000000-0005-0000-0000-0000EC140000}"/>
    <cellStyle name="Normal 4 4 2 2 2 7 2" xfId="6821" xr:uid="{00000000-0005-0000-0000-0000ED140000}"/>
    <cellStyle name="Normal 4 4 2 2 2 7 2 2" xfId="15263" xr:uid="{3ADE5241-5211-4A82-AEAD-70649A7C05EC}"/>
    <cellStyle name="Normal 4 4 2 2 2 7 2 3" xfId="23700" xr:uid="{86347EC1-F092-426B-B053-D30FE5FE6679}"/>
    <cellStyle name="Normal 4 4 2 2 2 7 3" xfId="11045" xr:uid="{4E9E5F8F-90E8-4614-9769-DE4CE5B6DCF9}"/>
    <cellStyle name="Normal 4 4 2 2 2 7 4" xfId="19483" xr:uid="{76146276-1DAB-4198-AEE4-595CB9FFE52E}"/>
    <cellStyle name="Normal 4 4 2 2 2 8" xfId="4756" xr:uid="{00000000-0005-0000-0000-0000EE140000}"/>
    <cellStyle name="Normal 4 4 2 2 2 8 2" xfId="13198" xr:uid="{76564386-E2EB-4D36-B7CA-B292BCF7318E}"/>
    <cellStyle name="Normal 4 4 2 2 2 8 3" xfId="21635" xr:uid="{B42CC985-B05D-4CFB-A1C2-5268CA8FA0AB}"/>
    <cellStyle name="Normal 4 4 2 2 2 9" xfId="8980" xr:uid="{269C854A-9698-4A43-A778-AE7DC675FD0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2 2 2" xfId="15758" xr:uid="{50CCC985-B3DF-4C0C-B0B2-CB89F47F5F50}"/>
    <cellStyle name="Normal 4 4 2 2 3 2 2 2 3" xfId="24195" xr:uid="{DA15B320-25E2-4F0B-99EA-170B92985B2C}"/>
    <cellStyle name="Normal 4 4 2 2 3 2 2 3" xfId="11540" xr:uid="{1D5EF691-59D8-490D-8D80-32711F090C09}"/>
    <cellStyle name="Normal 4 4 2 2 3 2 2 4" xfId="19978" xr:uid="{7A198A76-30E4-44A3-89B6-2F99351B0108}"/>
    <cellStyle name="Normal 4 4 2 2 3 2 3" xfId="5171" xr:uid="{00000000-0005-0000-0000-0000F3140000}"/>
    <cellStyle name="Normal 4 4 2 2 3 2 3 2" xfId="13613" xr:uid="{22530467-6BDC-4EE0-ACFE-C06C9330158F}"/>
    <cellStyle name="Normal 4 4 2 2 3 2 3 3" xfId="22050" xr:uid="{B4619C43-10E5-450A-9F8B-819F4630C546}"/>
    <cellStyle name="Normal 4 4 2 2 3 2 4" xfId="9395" xr:uid="{36A61C99-3F81-48D9-883C-228F472F5AD1}"/>
    <cellStyle name="Normal 4 4 2 2 3 2 5" xfId="17833" xr:uid="{3380AB4D-00E4-44EB-AAB7-5F1541108242}"/>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2 2 2" xfId="16171" xr:uid="{E6A59962-DC2B-451D-B217-3364F99908C7}"/>
    <cellStyle name="Normal 4 4 2 2 3 3 2 2 3" xfId="24608" xr:uid="{F5AD7148-0AAA-44AA-9064-FB68E328D8C5}"/>
    <cellStyle name="Normal 4 4 2 2 3 3 2 3" xfId="11953" xr:uid="{9BE5114A-8A00-46D6-9A89-0F89C72DBE2F}"/>
    <cellStyle name="Normal 4 4 2 2 3 3 2 4" xfId="20391" xr:uid="{30AF8E47-6749-499A-A118-11B9D4C5CBFB}"/>
    <cellStyle name="Normal 4 4 2 2 3 3 3" xfId="5584" xr:uid="{00000000-0005-0000-0000-0000F7140000}"/>
    <cellStyle name="Normal 4 4 2 2 3 3 3 2" xfId="14026" xr:uid="{CBAC5066-6BD8-4F12-8C7F-4843ABDA2C33}"/>
    <cellStyle name="Normal 4 4 2 2 3 3 3 3" xfId="22463" xr:uid="{B3AC82BC-E002-4F52-87B4-4EC06CB9DBD4}"/>
    <cellStyle name="Normal 4 4 2 2 3 3 4" xfId="9808" xr:uid="{6F47347D-A38F-4436-9295-0B7A23893805}"/>
    <cellStyle name="Normal 4 4 2 2 3 3 5" xfId="18246" xr:uid="{D70935CB-4041-49D8-A9DF-6F6A97B377F7}"/>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2 2 2" xfId="16584" xr:uid="{908CEAB2-D798-4937-9D81-815A3F601E37}"/>
    <cellStyle name="Normal 4 4 2 2 3 4 2 2 3" xfId="25021" xr:uid="{2D5B980C-BE56-4FC8-9ED0-E7CEFDE138C3}"/>
    <cellStyle name="Normal 4 4 2 2 3 4 2 3" xfId="12366" xr:uid="{269B0AA4-0880-40C9-91CD-27DA6A316B46}"/>
    <cellStyle name="Normal 4 4 2 2 3 4 2 4" xfId="20804" xr:uid="{2BD43181-E45B-4592-9ED8-F9EB63C51409}"/>
    <cellStyle name="Normal 4 4 2 2 3 4 3" xfId="5997" xr:uid="{00000000-0005-0000-0000-0000FB140000}"/>
    <cellStyle name="Normal 4 4 2 2 3 4 3 2" xfId="14439" xr:uid="{577FAD72-9363-4010-A2D2-3526C7582BD9}"/>
    <cellStyle name="Normal 4 4 2 2 3 4 3 3" xfId="22876" xr:uid="{6034D60D-2A4D-4349-8A0E-B2AA65C624E7}"/>
    <cellStyle name="Normal 4 4 2 2 3 4 4" xfId="10221" xr:uid="{A9F31DC7-9663-4CA4-813B-45990E0490A5}"/>
    <cellStyle name="Normal 4 4 2 2 3 4 5" xfId="18659" xr:uid="{EFC8D494-64FA-4278-87FD-ABD9A92A7276}"/>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2 2 2" xfId="16997" xr:uid="{592ECF21-7E8C-4272-A66D-1D9C5A58F80E}"/>
    <cellStyle name="Normal 4 4 2 2 3 5 2 2 3" xfId="25434" xr:uid="{4E3E4409-F3ED-42B2-890D-3CADB8153753}"/>
    <cellStyle name="Normal 4 4 2 2 3 5 2 3" xfId="12779" xr:uid="{048076AE-8138-46CC-8733-617DD41980C3}"/>
    <cellStyle name="Normal 4 4 2 2 3 5 2 4" xfId="21217" xr:uid="{CF30AB6C-A1B1-470A-8684-89963FC8A7CA}"/>
    <cellStyle name="Normal 4 4 2 2 3 5 3" xfId="6410" xr:uid="{00000000-0005-0000-0000-0000FF140000}"/>
    <cellStyle name="Normal 4 4 2 2 3 5 3 2" xfId="14852" xr:uid="{1EBF0ED2-24E8-4AF5-9AB1-E8ED7B80422F}"/>
    <cellStyle name="Normal 4 4 2 2 3 5 3 3" xfId="23289" xr:uid="{EBA31A4F-B954-4F18-9D46-6FB4C132F184}"/>
    <cellStyle name="Normal 4 4 2 2 3 5 4" xfId="10634" xr:uid="{AD2A303F-7253-4D93-82E6-67A8CA731A28}"/>
    <cellStyle name="Normal 4 4 2 2 3 5 5" xfId="19072" xr:uid="{AFC95996-2EEF-4CEE-8DA0-B9EF78F494FB}"/>
    <cellStyle name="Normal 4 4 2 2 3 6" xfId="2539" xr:uid="{00000000-0005-0000-0000-000000150000}"/>
    <cellStyle name="Normal 4 4 2 2 3 6 2" xfId="6823" xr:uid="{00000000-0005-0000-0000-000001150000}"/>
    <cellStyle name="Normal 4 4 2 2 3 6 2 2" xfId="15265" xr:uid="{88403B93-07D2-4A1C-A065-9DAE1C3E0441}"/>
    <cellStyle name="Normal 4 4 2 2 3 6 2 3" xfId="23702" xr:uid="{73FBB4B5-71A7-4536-B362-D026F522987C}"/>
    <cellStyle name="Normal 4 4 2 2 3 6 3" xfId="11047" xr:uid="{99A4FA3A-6451-4084-9859-B5532289884E}"/>
    <cellStyle name="Normal 4 4 2 2 3 6 4" xfId="19485" xr:uid="{7604B10D-4CFA-41D8-AEE7-9406BA3779DE}"/>
    <cellStyle name="Normal 4 4 2 2 3 7" xfId="4758" xr:uid="{00000000-0005-0000-0000-000002150000}"/>
    <cellStyle name="Normal 4 4 2 2 3 7 2" xfId="13200" xr:uid="{8C2B32CD-DEEB-4F0F-8698-EBBEE63B4A83}"/>
    <cellStyle name="Normal 4 4 2 2 3 7 3" xfId="21637" xr:uid="{C9C5EE78-EF6C-45A1-BE3B-7F0160359C65}"/>
    <cellStyle name="Normal 4 4 2 2 3 8" xfId="8982" xr:uid="{D3825C3A-A058-4DA8-82E7-297EDE53B269}"/>
    <cellStyle name="Normal 4 4 2 2 3 9" xfId="17420" xr:uid="{289A5352-AA2C-4C6E-BC39-3F0D2C59EA33}"/>
    <cellStyle name="Normal 4 4 2 2 4" xfId="855" xr:uid="{00000000-0005-0000-0000-000003150000}"/>
    <cellStyle name="Normal 4 4 2 2 4 2" xfId="3090" xr:uid="{00000000-0005-0000-0000-000004150000}"/>
    <cellStyle name="Normal 4 4 2 2 4 2 2" xfId="7313" xr:uid="{00000000-0005-0000-0000-000005150000}"/>
    <cellStyle name="Normal 4 4 2 2 4 2 2 2" xfId="15755" xr:uid="{6BFF0EC1-C2C3-4486-B25F-4D16D1DB8F4D}"/>
    <cellStyle name="Normal 4 4 2 2 4 2 2 3" xfId="24192" xr:uid="{75C3E233-5355-446A-98CC-D7D35B248B3E}"/>
    <cellStyle name="Normal 4 4 2 2 4 2 3" xfId="11537" xr:uid="{84507268-88F7-42FA-AE9F-A86D1CABBA3E}"/>
    <cellStyle name="Normal 4 4 2 2 4 2 4" xfId="19975" xr:uid="{1DAC06F7-B190-46F6-9AEB-01B93A1DE479}"/>
    <cellStyle name="Normal 4 4 2 2 4 3" xfId="5168" xr:uid="{00000000-0005-0000-0000-000006150000}"/>
    <cellStyle name="Normal 4 4 2 2 4 3 2" xfId="13610" xr:uid="{76857206-375A-4DCA-A3A9-DFCF54B5DCB9}"/>
    <cellStyle name="Normal 4 4 2 2 4 3 3" xfId="22047" xr:uid="{AEC3AA62-C5FB-4A71-A632-0184CCCCA68D}"/>
    <cellStyle name="Normal 4 4 2 2 4 4" xfId="9392" xr:uid="{18360697-BA87-48B8-B83D-F4ECF546BDFA}"/>
    <cellStyle name="Normal 4 4 2 2 4 5" xfId="17830" xr:uid="{9B8FA6D4-4F41-4A57-8F51-EC16D9D1AB57}"/>
    <cellStyle name="Normal 4 4 2 2 5" xfId="1273" xr:uid="{00000000-0005-0000-0000-000007150000}"/>
    <cellStyle name="Normal 4 4 2 2 5 2" xfId="3503" xr:uid="{00000000-0005-0000-0000-000008150000}"/>
    <cellStyle name="Normal 4 4 2 2 5 2 2" xfId="7726" xr:uid="{00000000-0005-0000-0000-000009150000}"/>
    <cellStyle name="Normal 4 4 2 2 5 2 2 2" xfId="16168" xr:uid="{D99EA542-1109-461A-AD5A-7FD869636B84}"/>
    <cellStyle name="Normal 4 4 2 2 5 2 2 3" xfId="24605" xr:uid="{65C87A5A-180B-42B7-8256-73E9760BB135}"/>
    <cellStyle name="Normal 4 4 2 2 5 2 3" xfId="11950" xr:uid="{518FC526-3825-4FC6-8DA1-C0517C0AA385}"/>
    <cellStyle name="Normal 4 4 2 2 5 2 4" xfId="20388" xr:uid="{3633EB56-2790-4E6B-80B6-74A53AD2816A}"/>
    <cellStyle name="Normal 4 4 2 2 5 3" xfId="5581" xr:uid="{00000000-0005-0000-0000-00000A150000}"/>
    <cellStyle name="Normal 4 4 2 2 5 3 2" xfId="14023" xr:uid="{49D8BBF3-2359-4B94-B8ED-775769499A90}"/>
    <cellStyle name="Normal 4 4 2 2 5 3 3" xfId="22460" xr:uid="{3AC32239-6485-48B4-868B-D787E48A5BD6}"/>
    <cellStyle name="Normal 4 4 2 2 5 4" xfId="9805" xr:uid="{3B07CC46-9B4A-4BC5-8EAC-2C9E7270272B}"/>
    <cellStyle name="Normal 4 4 2 2 5 5" xfId="18243" xr:uid="{59F77D47-8719-420C-A519-E9E68DA66C8B}"/>
    <cellStyle name="Normal 4 4 2 2 6" xfId="1686" xr:uid="{00000000-0005-0000-0000-00000B150000}"/>
    <cellStyle name="Normal 4 4 2 2 6 2" xfId="3916" xr:uid="{00000000-0005-0000-0000-00000C150000}"/>
    <cellStyle name="Normal 4 4 2 2 6 2 2" xfId="8139" xr:uid="{00000000-0005-0000-0000-00000D150000}"/>
    <cellStyle name="Normal 4 4 2 2 6 2 2 2" xfId="16581" xr:uid="{6F0A1904-8BBC-4685-819A-558349929FA4}"/>
    <cellStyle name="Normal 4 4 2 2 6 2 2 3" xfId="25018" xr:uid="{68C6A855-CD24-4DF6-911C-1DA42F3AFEDA}"/>
    <cellStyle name="Normal 4 4 2 2 6 2 3" xfId="12363" xr:uid="{976A652C-FE74-4EC8-89EA-CC919897AF18}"/>
    <cellStyle name="Normal 4 4 2 2 6 2 4" xfId="20801" xr:uid="{A9C7BCBC-3BBB-4D68-8EA9-28690D0CB20F}"/>
    <cellStyle name="Normal 4 4 2 2 6 3" xfId="5994" xr:uid="{00000000-0005-0000-0000-00000E150000}"/>
    <cellStyle name="Normal 4 4 2 2 6 3 2" xfId="14436" xr:uid="{37D3F40B-D409-4035-80B3-52C06C43C12E}"/>
    <cellStyle name="Normal 4 4 2 2 6 3 3" xfId="22873" xr:uid="{0868ED93-9325-44C4-8E53-64954DEACE5D}"/>
    <cellStyle name="Normal 4 4 2 2 6 4" xfId="10218" xr:uid="{4AA6A8FE-2AEC-4ED9-9F9E-D66499095D9F}"/>
    <cellStyle name="Normal 4 4 2 2 6 5" xfId="18656" xr:uid="{498C9A6C-0DD3-402D-94A4-96A03120446D}"/>
    <cellStyle name="Normal 4 4 2 2 7" xfId="2100" xr:uid="{00000000-0005-0000-0000-00000F150000}"/>
    <cellStyle name="Normal 4 4 2 2 7 2" xfId="4329" xr:uid="{00000000-0005-0000-0000-000010150000}"/>
    <cellStyle name="Normal 4 4 2 2 7 2 2" xfId="8552" xr:uid="{00000000-0005-0000-0000-000011150000}"/>
    <cellStyle name="Normal 4 4 2 2 7 2 2 2" xfId="16994" xr:uid="{FA0B4ECA-F6F6-4819-B162-653FB9149A63}"/>
    <cellStyle name="Normal 4 4 2 2 7 2 2 3" xfId="25431" xr:uid="{ED27C73F-00E6-4ECF-97E3-1EE7C31F1AD0}"/>
    <cellStyle name="Normal 4 4 2 2 7 2 3" xfId="12776" xr:uid="{A4B403DE-38F9-4EAB-98F5-E9913F3EA4D5}"/>
    <cellStyle name="Normal 4 4 2 2 7 2 4" xfId="21214" xr:uid="{BC238738-0220-48FB-9E6F-45251F62D368}"/>
    <cellStyle name="Normal 4 4 2 2 7 3" xfId="6407" xr:uid="{00000000-0005-0000-0000-000012150000}"/>
    <cellStyle name="Normal 4 4 2 2 7 3 2" xfId="14849" xr:uid="{99E0F111-F726-4958-B8FA-9A2EA30E942E}"/>
    <cellStyle name="Normal 4 4 2 2 7 3 3" xfId="23286" xr:uid="{5C850A6F-6D0F-410A-924B-869A04CDBFCE}"/>
    <cellStyle name="Normal 4 4 2 2 7 4" xfId="10631" xr:uid="{CFDF4C1A-9EB8-4520-AADF-76F8451C10FF}"/>
    <cellStyle name="Normal 4 4 2 2 7 5" xfId="19069" xr:uid="{97178624-AA53-444F-B0AB-658A578821AD}"/>
    <cellStyle name="Normal 4 4 2 2 8" xfId="2536" xr:uid="{00000000-0005-0000-0000-000013150000}"/>
    <cellStyle name="Normal 4 4 2 2 8 2" xfId="6820" xr:uid="{00000000-0005-0000-0000-000014150000}"/>
    <cellStyle name="Normal 4 4 2 2 8 2 2" xfId="15262" xr:uid="{639E969F-7BC9-48FD-8812-018611CBB8A8}"/>
    <cellStyle name="Normal 4 4 2 2 8 2 3" xfId="23699" xr:uid="{DC09F889-FEFF-4F26-9E63-E8A73DEA94D9}"/>
    <cellStyle name="Normal 4 4 2 2 8 3" xfId="11044" xr:uid="{F27EDFA3-8DDD-4295-AB86-6D00281FF146}"/>
    <cellStyle name="Normal 4 4 2 2 8 4" xfId="19482" xr:uid="{77FB9ABC-50DE-45ED-B911-E3081CB4978D}"/>
    <cellStyle name="Normal 4 4 2 2 9" xfId="4755" xr:uid="{00000000-0005-0000-0000-000015150000}"/>
    <cellStyle name="Normal 4 4 2 2 9 2" xfId="13197" xr:uid="{CBD4F7B1-9CCD-456D-BE6A-A487DDBF63EF}"/>
    <cellStyle name="Normal 4 4 2 2 9 3" xfId="21634" xr:uid="{813CDB42-32BB-4457-88C9-3584A12A51BB}"/>
    <cellStyle name="Normal 4 4 2 3" xfId="384" xr:uid="{00000000-0005-0000-0000-000016150000}"/>
    <cellStyle name="Normal 4 4 2 3 10" xfId="17421" xr:uid="{538F8BB5-3DAE-4BB4-AF8B-6769081AC1AE}"/>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2 2 2" xfId="15760" xr:uid="{BFD2D03B-A03A-48B1-A696-04428D1BFEEF}"/>
    <cellStyle name="Normal 4 4 2 3 2 2 2 2 3" xfId="24197" xr:uid="{AD57B8C5-1268-4B02-8800-6B98C75EDDFD}"/>
    <cellStyle name="Normal 4 4 2 3 2 2 2 3" xfId="11542" xr:uid="{8FC672F6-9A50-459C-B75E-55098CA5FFDD}"/>
    <cellStyle name="Normal 4 4 2 3 2 2 2 4" xfId="19980" xr:uid="{0C3E5A22-306E-4037-944B-012F31F4E494}"/>
    <cellStyle name="Normal 4 4 2 3 2 2 3" xfId="5173" xr:uid="{00000000-0005-0000-0000-00001B150000}"/>
    <cellStyle name="Normal 4 4 2 3 2 2 3 2" xfId="13615" xr:uid="{08C5561A-ACC4-4E69-ACD5-8A97B8AE4F8D}"/>
    <cellStyle name="Normal 4 4 2 3 2 2 3 3" xfId="22052" xr:uid="{A8C0BCE8-652E-4ACA-A144-3A1351F8098C}"/>
    <cellStyle name="Normal 4 4 2 3 2 2 4" xfId="9397" xr:uid="{3C06EAC9-8A6B-4552-B56A-1C9912EF276C}"/>
    <cellStyle name="Normal 4 4 2 3 2 2 5" xfId="17835" xr:uid="{F21878CC-FAD3-4A73-8502-41E704BE7E59}"/>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2 2 2" xfId="16173" xr:uid="{278D66D2-D6DA-40ED-9CDB-438B075889A4}"/>
    <cellStyle name="Normal 4 4 2 3 2 3 2 2 3" xfId="24610" xr:uid="{4AC05698-7CDC-4728-850F-EBA8377DEA0B}"/>
    <cellStyle name="Normal 4 4 2 3 2 3 2 3" xfId="11955" xr:uid="{67EB1907-BEDE-434C-BADD-295083105F35}"/>
    <cellStyle name="Normal 4 4 2 3 2 3 2 4" xfId="20393" xr:uid="{72346909-ADEF-4A23-B519-DA060B889A69}"/>
    <cellStyle name="Normal 4 4 2 3 2 3 3" xfId="5586" xr:uid="{00000000-0005-0000-0000-00001F150000}"/>
    <cellStyle name="Normal 4 4 2 3 2 3 3 2" xfId="14028" xr:uid="{534EC258-ADC5-4F47-A2BD-5380599FD8AA}"/>
    <cellStyle name="Normal 4 4 2 3 2 3 3 3" xfId="22465" xr:uid="{E7B4C731-EECE-4F18-BF93-D8A2B52876FB}"/>
    <cellStyle name="Normal 4 4 2 3 2 3 4" xfId="9810" xr:uid="{B136D36F-A94C-46A0-A4CE-3B00F996C13D}"/>
    <cellStyle name="Normal 4 4 2 3 2 3 5" xfId="18248" xr:uid="{A8491D51-7FF0-4C73-9CA1-BAABE2A1EB8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2 2 2" xfId="16586" xr:uid="{224EA7E5-FCBB-4A68-9D75-9175509D706E}"/>
    <cellStyle name="Normal 4 4 2 3 2 4 2 2 3" xfId="25023" xr:uid="{915CE96D-DB29-402E-B1C4-73E020674B5D}"/>
    <cellStyle name="Normal 4 4 2 3 2 4 2 3" xfId="12368" xr:uid="{6293DA5C-A266-44CF-A08D-3132CCD4B441}"/>
    <cellStyle name="Normal 4 4 2 3 2 4 2 4" xfId="20806" xr:uid="{B4BE0B68-C366-4330-9A52-E8014C74DD45}"/>
    <cellStyle name="Normal 4 4 2 3 2 4 3" xfId="5999" xr:uid="{00000000-0005-0000-0000-000023150000}"/>
    <cellStyle name="Normal 4 4 2 3 2 4 3 2" xfId="14441" xr:uid="{703D3D26-86CC-4479-9A25-F5D6037E8D3A}"/>
    <cellStyle name="Normal 4 4 2 3 2 4 3 3" xfId="22878" xr:uid="{5BD45F72-E776-48D5-847B-8909AA50B7E6}"/>
    <cellStyle name="Normal 4 4 2 3 2 4 4" xfId="10223" xr:uid="{AD7E169F-8016-4BB2-AAB1-28644751C47C}"/>
    <cellStyle name="Normal 4 4 2 3 2 4 5" xfId="18661" xr:uid="{BCBB1E2C-F659-432F-8740-6B0B92AB65E4}"/>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2 2 2" xfId="16999" xr:uid="{4FDBBD90-954F-4E09-930F-340A1EDD652F}"/>
    <cellStyle name="Normal 4 4 2 3 2 5 2 2 3" xfId="25436" xr:uid="{83DF5398-6348-432C-A840-7DEC5BE043D1}"/>
    <cellStyle name="Normal 4 4 2 3 2 5 2 3" xfId="12781" xr:uid="{FD8FEFBE-844D-4BC2-923C-F93663A8281D}"/>
    <cellStyle name="Normal 4 4 2 3 2 5 2 4" xfId="21219" xr:uid="{E891AA79-8875-4B98-A1EC-D4BA8196504E}"/>
    <cellStyle name="Normal 4 4 2 3 2 5 3" xfId="6412" xr:uid="{00000000-0005-0000-0000-000027150000}"/>
    <cellStyle name="Normal 4 4 2 3 2 5 3 2" xfId="14854" xr:uid="{4D68EC1D-0232-4629-A1AC-88B0C174AF17}"/>
    <cellStyle name="Normal 4 4 2 3 2 5 3 3" xfId="23291" xr:uid="{4EF8ECF6-3714-4671-84C6-799494F0E3F8}"/>
    <cellStyle name="Normal 4 4 2 3 2 5 4" xfId="10636" xr:uid="{AED2EFCC-35BE-4B7F-97F4-73EA4ED57608}"/>
    <cellStyle name="Normal 4 4 2 3 2 5 5" xfId="19074" xr:uid="{9DA477B6-4397-49E0-B0B7-AC3F93BA1D1C}"/>
    <cellStyle name="Normal 4 4 2 3 2 6" xfId="2541" xr:uid="{00000000-0005-0000-0000-000028150000}"/>
    <cellStyle name="Normal 4 4 2 3 2 6 2" xfId="6825" xr:uid="{00000000-0005-0000-0000-000029150000}"/>
    <cellStyle name="Normal 4 4 2 3 2 6 2 2" xfId="15267" xr:uid="{CC9C6583-2AB2-4BBB-A626-6F060521AD04}"/>
    <cellStyle name="Normal 4 4 2 3 2 6 2 3" xfId="23704" xr:uid="{D82AD9DC-B228-43EB-999F-709B8AE2099E}"/>
    <cellStyle name="Normal 4 4 2 3 2 6 3" xfId="11049" xr:uid="{52E2A900-6840-4DFD-853E-7C34F0F1BAFE}"/>
    <cellStyle name="Normal 4 4 2 3 2 6 4" xfId="19487" xr:uid="{FF315E58-1284-4337-9E20-1F8D7AF22DC0}"/>
    <cellStyle name="Normal 4 4 2 3 2 7" xfId="4760" xr:uid="{00000000-0005-0000-0000-00002A150000}"/>
    <cellStyle name="Normal 4 4 2 3 2 7 2" xfId="13202" xr:uid="{FE0B0A22-0C11-4D19-8105-3DF211BAEA1B}"/>
    <cellStyle name="Normal 4 4 2 3 2 7 3" xfId="21639" xr:uid="{755240A8-D8BD-4B78-A241-070AD02CD35B}"/>
    <cellStyle name="Normal 4 4 2 3 2 8" xfId="8984" xr:uid="{4F6771B1-3B6D-4B58-861E-C5CF845AD72B}"/>
    <cellStyle name="Normal 4 4 2 3 2 9" xfId="17422" xr:uid="{12C95FAD-41B8-499D-A26B-C8D39781C7B0}"/>
    <cellStyle name="Normal 4 4 2 3 3" xfId="859" xr:uid="{00000000-0005-0000-0000-00002B150000}"/>
    <cellStyle name="Normal 4 4 2 3 3 2" xfId="3094" xr:uid="{00000000-0005-0000-0000-00002C150000}"/>
    <cellStyle name="Normal 4 4 2 3 3 2 2" xfId="7317" xr:uid="{00000000-0005-0000-0000-00002D150000}"/>
    <cellStyle name="Normal 4 4 2 3 3 2 2 2" xfId="15759" xr:uid="{5ADEB07B-3E71-4345-B387-66B721D255D8}"/>
    <cellStyle name="Normal 4 4 2 3 3 2 2 3" xfId="24196" xr:uid="{9168567A-76D6-49BA-8321-3AF9941B7243}"/>
    <cellStyle name="Normal 4 4 2 3 3 2 3" xfId="11541" xr:uid="{8B52DAEA-C231-43F3-A1CE-22F17C13A6D3}"/>
    <cellStyle name="Normal 4 4 2 3 3 2 4" xfId="19979" xr:uid="{CADA7372-9894-444B-B933-42EAADADCD46}"/>
    <cellStyle name="Normal 4 4 2 3 3 3" xfId="5172" xr:uid="{00000000-0005-0000-0000-00002E150000}"/>
    <cellStyle name="Normal 4 4 2 3 3 3 2" xfId="13614" xr:uid="{6FC70800-4758-47F0-B8D6-B13ECBB97A7F}"/>
    <cellStyle name="Normal 4 4 2 3 3 3 3" xfId="22051" xr:uid="{71D95CCA-64A7-44CB-8BE2-DF5C39E5CD22}"/>
    <cellStyle name="Normal 4 4 2 3 3 4" xfId="9396" xr:uid="{5749662C-2735-4190-97B3-FBA316CFE799}"/>
    <cellStyle name="Normal 4 4 2 3 3 5" xfId="17834" xr:uid="{0574D26A-CF42-44BC-9D05-DEBD7F78563E}"/>
    <cellStyle name="Normal 4 4 2 3 4" xfId="1277" xr:uid="{00000000-0005-0000-0000-00002F150000}"/>
    <cellStyle name="Normal 4 4 2 3 4 2" xfId="3507" xr:uid="{00000000-0005-0000-0000-000030150000}"/>
    <cellStyle name="Normal 4 4 2 3 4 2 2" xfId="7730" xr:uid="{00000000-0005-0000-0000-000031150000}"/>
    <cellStyle name="Normal 4 4 2 3 4 2 2 2" xfId="16172" xr:uid="{7AE89A52-32FA-453D-87B6-1DE4B662A07F}"/>
    <cellStyle name="Normal 4 4 2 3 4 2 2 3" xfId="24609" xr:uid="{3DC8309D-CB7C-4500-8193-B20CA71CB3FF}"/>
    <cellStyle name="Normal 4 4 2 3 4 2 3" xfId="11954" xr:uid="{5BBCD349-528F-405F-B218-A672837E5BAD}"/>
    <cellStyle name="Normal 4 4 2 3 4 2 4" xfId="20392" xr:uid="{0901B70C-AC5E-4E51-807A-630C2B344B32}"/>
    <cellStyle name="Normal 4 4 2 3 4 3" xfId="5585" xr:uid="{00000000-0005-0000-0000-000032150000}"/>
    <cellStyle name="Normal 4 4 2 3 4 3 2" xfId="14027" xr:uid="{D0B4957E-E324-417C-BF6A-35BD833B6D7B}"/>
    <cellStyle name="Normal 4 4 2 3 4 3 3" xfId="22464" xr:uid="{D51A7A37-4BC3-480A-9A00-958D629E89E3}"/>
    <cellStyle name="Normal 4 4 2 3 4 4" xfId="9809" xr:uid="{BB20BB3C-A156-4518-9FDD-5DA30FAA7A79}"/>
    <cellStyle name="Normal 4 4 2 3 4 5" xfId="18247" xr:uid="{8C154B7A-AFB1-4650-827C-AF7F35693E7F}"/>
    <cellStyle name="Normal 4 4 2 3 5" xfId="1690" xr:uid="{00000000-0005-0000-0000-000033150000}"/>
    <cellStyle name="Normal 4 4 2 3 5 2" xfId="3920" xr:uid="{00000000-0005-0000-0000-000034150000}"/>
    <cellStyle name="Normal 4 4 2 3 5 2 2" xfId="8143" xr:uid="{00000000-0005-0000-0000-000035150000}"/>
    <cellStyle name="Normal 4 4 2 3 5 2 2 2" xfId="16585" xr:uid="{24902950-DE9A-40FF-9912-FB90701ECB67}"/>
    <cellStyle name="Normal 4 4 2 3 5 2 2 3" xfId="25022" xr:uid="{323CBF31-4502-40C2-896B-D592306EBEC5}"/>
    <cellStyle name="Normal 4 4 2 3 5 2 3" xfId="12367" xr:uid="{7A9280E5-F2E1-4911-9E9C-7F76CE99D57B}"/>
    <cellStyle name="Normal 4 4 2 3 5 2 4" xfId="20805" xr:uid="{2E523CEC-A87A-4C6E-899B-5B9E12D9A376}"/>
    <cellStyle name="Normal 4 4 2 3 5 3" xfId="5998" xr:uid="{00000000-0005-0000-0000-000036150000}"/>
    <cellStyle name="Normal 4 4 2 3 5 3 2" xfId="14440" xr:uid="{A62410FA-A6B7-4E91-B84D-1539F0B9038F}"/>
    <cellStyle name="Normal 4 4 2 3 5 3 3" xfId="22877" xr:uid="{99C244E4-10CB-4C02-A746-BBC626BB6031}"/>
    <cellStyle name="Normal 4 4 2 3 5 4" xfId="10222" xr:uid="{EBBD4E78-90F1-4118-855B-EFC60686A67B}"/>
    <cellStyle name="Normal 4 4 2 3 5 5" xfId="18660" xr:uid="{D642ACA5-328E-4CAC-B5BE-C69307A71E68}"/>
    <cellStyle name="Normal 4 4 2 3 6" xfId="2104" xr:uid="{00000000-0005-0000-0000-000037150000}"/>
    <cellStyle name="Normal 4 4 2 3 6 2" xfId="4333" xr:uid="{00000000-0005-0000-0000-000038150000}"/>
    <cellStyle name="Normal 4 4 2 3 6 2 2" xfId="8556" xr:uid="{00000000-0005-0000-0000-000039150000}"/>
    <cellStyle name="Normal 4 4 2 3 6 2 2 2" xfId="16998" xr:uid="{4A1A837F-4B3E-432F-AA15-A95BB624D944}"/>
    <cellStyle name="Normal 4 4 2 3 6 2 2 3" xfId="25435" xr:uid="{E5BC6A56-E091-4002-9A29-36E933CB8443}"/>
    <cellStyle name="Normal 4 4 2 3 6 2 3" xfId="12780" xr:uid="{DB05394E-C8C9-40E2-B85F-4F8ABAA8D0A6}"/>
    <cellStyle name="Normal 4 4 2 3 6 2 4" xfId="21218" xr:uid="{FC873238-BE82-4CF5-97F2-32AE048D77C9}"/>
    <cellStyle name="Normal 4 4 2 3 6 3" xfId="6411" xr:uid="{00000000-0005-0000-0000-00003A150000}"/>
    <cellStyle name="Normal 4 4 2 3 6 3 2" xfId="14853" xr:uid="{E6B0E28C-6E24-4A8F-A653-810902325D9F}"/>
    <cellStyle name="Normal 4 4 2 3 6 3 3" xfId="23290" xr:uid="{650E5676-EA66-4D3A-924C-461D7D7B50FE}"/>
    <cellStyle name="Normal 4 4 2 3 6 4" xfId="10635" xr:uid="{113B1B0A-04A0-432E-B866-FCF9797680E4}"/>
    <cellStyle name="Normal 4 4 2 3 6 5" xfId="19073" xr:uid="{AD261A6A-FFC3-4D47-AB30-DF90F6190972}"/>
    <cellStyle name="Normal 4 4 2 3 7" xfId="2540" xr:uid="{00000000-0005-0000-0000-00003B150000}"/>
    <cellStyle name="Normal 4 4 2 3 7 2" xfId="6824" xr:uid="{00000000-0005-0000-0000-00003C150000}"/>
    <cellStyle name="Normal 4 4 2 3 7 2 2" xfId="15266" xr:uid="{18D17DF3-9D1C-4445-8D6E-9B4894575C20}"/>
    <cellStyle name="Normal 4 4 2 3 7 2 3" xfId="23703" xr:uid="{E4E0C192-695C-48CD-83B2-BEE5323618F6}"/>
    <cellStyle name="Normal 4 4 2 3 7 3" xfId="11048" xr:uid="{D6329176-8555-4E78-AC4F-19E0FEC78C66}"/>
    <cellStyle name="Normal 4 4 2 3 7 4" xfId="19486" xr:uid="{F6167EF4-C574-4479-BBD6-760E79036876}"/>
    <cellStyle name="Normal 4 4 2 3 8" xfId="4759" xr:uid="{00000000-0005-0000-0000-00003D150000}"/>
    <cellStyle name="Normal 4 4 2 3 8 2" xfId="13201" xr:uid="{ED76C390-C0E8-4F72-A025-A96C1ACC2F04}"/>
    <cellStyle name="Normal 4 4 2 3 8 3" xfId="21638" xr:uid="{66860BF2-C228-4414-B00D-F366283D0284}"/>
    <cellStyle name="Normal 4 4 2 3 9" xfId="8983" xr:uid="{A67538C4-01E1-49FA-AE86-32808E71452D}"/>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2 2 2" xfId="15761" xr:uid="{1C392E01-CFD0-4718-BD1D-5FA90DC346CD}"/>
    <cellStyle name="Normal 4 4 2 4 2 2 2 3" xfId="24198" xr:uid="{58276853-67E5-442F-93AB-B0886B622F2C}"/>
    <cellStyle name="Normal 4 4 2 4 2 2 3" xfId="11543" xr:uid="{47B9CCFD-C5DD-42A3-AD21-D040C4160687}"/>
    <cellStyle name="Normal 4 4 2 4 2 2 4" xfId="19981" xr:uid="{90489E0C-D925-4071-8581-58803FFDA5D3}"/>
    <cellStyle name="Normal 4 4 2 4 2 3" xfId="5174" xr:uid="{00000000-0005-0000-0000-000042150000}"/>
    <cellStyle name="Normal 4 4 2 4 2 3 2" xfId="13616" xr:uid="{54767A43-5DBC-482B-9F14-3CCC1D23CEAB}"/>
    <cellStyle name="Normal 4 4 2 4 2 3 3" xfId="22053" xr:uid="{117EBCFB-F627-49D7-A51A-9A92B8520C3E}"/>
    <cellStyle name="Normal 4 4 2 4 2 4" xfId="9398" xr:uid="{45920FA5-D975-4114-84EE-3239C7EB3EA2}"/>
    <cellStyle name="Normal 4 4 2 4 2 5" xfId="17836" xr:uid="{8E586728-A82A-4523-B594-9093BAB94B79}"/>
    <cellStyle name="Normal 4 4 2 4 3" xfId="1279" xr:uid="{00000000-0005-0000-0000-000043150000}"/>
    <cellStyle name="Normal 4 4 2 4 3 2" xfId="3509" xr:uid="{00000000-0005-0000-0000-000044150000}"/>
    <cellStyle name="Normal 4 4 2 4 3 2 2" xfId="7732" xr:uid="{00000000-0005-0000-0000-000045150000}"/>
    <cellStyle name="Normal 4 4 2 4 3 2 2 2" xfId="16174" xr:uid="{50ED1F82-E198-4E36-9CEC-EB8D599E9734}"/>
    <cellStyle name="Normal 4 4 2 4 3 2 2 3" xfId="24611" xr:uid="{B0466DC2-1FA9-47C6-94A1-D2A925EE56C8}"/>
    <cellStyle name="Normal 4 4 2 4 3 2 3" xfId="11956" xr:uid="{3705EE95-DA5D-48F2-9B64-69BA3D502575}"/>
    <cellStyle name="Normal 4 4 2 4 3 2 4" xfId="20394" xr:uid="{27F6EA8E-07BB-4363-B63B-33CB33D9344C}"/>
    <cellStyle name="Normal 4 4 2 4 3 3" xfId="5587" xr:uid="{00000000-0005-0000-0000-000046150000}"/>
    <cellStyle name="Normal 4 4 2 4 3 3 2" xfId="14029" xr:uid="{A24E2D8F-BCAC-4C12-8E5F-A22859C8130D}"/>
    <cellStyle name="Normal 4 4 2 4 3 3 3" xfId="22466" xr:uid="{E42C745B-CB95-43F5-808F-6D824DDD8ECC}"/>
    <cellStyle name="Normal 4 4 2 4 3 4" xfId="9811" xr:uid="{E83E98CC-72F9-459C-A08C-AA38A18FC58C}"/>
    <cellStyle name="Normal 4 4 2 4 3 5" xfId="18249" xr:uid="{CE037CB3-FD08-46EE-8733-6DB593010DA2}"/>
    <cellStyle name="Normal 4 4 2 4 4" xfId="1692" xr:uid="{00000000-0005-0000-0000-000047150000}"/>
    <cellStyle name="Normal 4 4 2 4 4 2" xfId="3922" xr:uid="{00000000-0005-0000-0000-000048150000}"/>
    <cellStyle name="Normal 4 4 2 4 4 2 2" xfId="8145" xr:uid="{00000000-0005-0000-0000-000049150000}"/>
    <cellStyle name="Normal 4 4 2 4 4 2 2 2" xfId="16587" xr:uid="{1F6669AD-5E19-435E-9172-A15554625528}"/>
    <cellStyle name="Normal 4 4 2 4 4 2 2 3" xfId="25024" xr:uid="{9AAE7F67-6DFE-45BD-99EA-39BB0346F95C}"/>
    <cellStyle name="Normal 4 4 2 4 4 2 3" xfId="12369" xr:uid="{C5B9980E-67A5-44B6-962F-7B75294DB84D}"/>
    <cellStyle name="Normal 4 4 2 4 4 2 4" xfId="20807" xr:uid="{D925644B-27CC-4098-8298-CA7A83B5BD80}"/>
    <cellStyle name="Normal 4 4 2 4 4 3" xfId="6000" xr:uid="{00000000-0005-0000-0000-00004A150000}"/>
    <cellStyle name="Normal 4 4 2 4 4 3 2" xfId="14442" xr:uid="{20C42FDB-CA1A-4D24-9B66-BC4849BF98CE}"/>
    <cellStyle name="Normal 4 4 2 4 4 3 3" xfId="22879" xr:uid="{4FDA1386-41A6-479C-96E2-425ADC77793B}"/>
    <cellStyle name="Normal 4 4 2 4 4 4" xfId="10224" xr:uid="{26EC30B8-599B-43DB-9901-AD2BD30D6B20}"/>
    <cellStyle name="Normal 4 4 2 4 4 5" xfId="18662" xr:uid="{73123755-A483-457B-9AE8-CA3281BB86A1}"/>
    <cellStyle name="Normal 4 4 2 4 5" xfId="2106" xr:uid="{00000000-0005-0000-0000-00004B150000}"/>
    <cellStyle name="Normal 4 4 2 4 5 2" xfId="4335" xr:uid="{00000000-0005-0000-0000-00004C150000}"/>
    <cellStyle name="Normal 4 4 2 4 5 2 2" xfId="8558" xr:uid="{00000000-0005-0000-0000-00004D150000}"/>
    <cellStyle name="Normal 4 4 2 4 5 2 2 2" xfId="17000" xr:uid="{9C3BBB20-0DDF-41FC-8598-9B3204059BAB}"/>
    <cellStyle name="Normal 4 4 2 4 5 2 2 3" xfId="25437" xr:uid="{F3D93357-320D-4F86-866A-E26EB1891360}"/>
    <cellStyle name="Normal 4 4 2 4 5 2 3" xfId="12782" xr:uid="{B48E8652-06BD-4878-9EE5-78098182BFD1}"/>
    <cellStyle name="Normal 4 4 2 4 5 2 4" xfId="21220" xr:uid="{20A4D23A-5E32-4F29-A468-14193497F2E1}"/>
    <cellStyle name="Normal 4 4 2 4 5 3" xfId="6413" xr:uid="{00000000-0005-0000-0000-00004E150000}"/>
    <cellStyle name="Normal 4 4 2 4 5 3 2" xfId="14855" xr:uid="{48BAA0A0-CC11-44FA-974C-ED64B19F02EB}"/>
    <cellStyle name="Normal 4 4 2 4 5 3 3" xfId="23292" xr:uid="{6F1C7927-D894-4D00-9329-3DB045F381FC}"/>
    <cellStyle name="Normal 4 4 2 4 5 4" xfId="10637" xr:uid="{8FFF629A-C1CB-4811-B608-AE5874342C43}"/>
    <cellStyle name="Normal 4 4 2 4 5 5" xfId="19075" xr:uid="{A938CB98-3A3D-4A00-9124-B20E7906ECB2}"/>
    <cellStyle name="Normal 4 4 2 4 6" xfId="2542" xr:uid="{00000000-0005-0000-0000-00004F150000}"/>
    <cellStyle name="Normal 4 4 2 4 6 2" xfId="6826" xr:uid="{00000000-0005-0000-0000-000050150000}"/>
    <cellStyle name="Normal 4 4 2 4 6 2 2" xfId="15268" xr:uid="{473B537F-9DFF-4185-94F8-6F7C83FA75C6}"/>
    <cellStyle name="Normal 4 4 2 4 6 2 3" xfId="23705" xr:uid="{DA4EDF5D-9155-48E7-9F8B-8CD339CE798A}"/>
    <cellStyle name="Normal 4 4 2 4 6 3" xfId="11050" xr:uid="{842458C6-03CE-4920-B1DE-465D609B8C3C}"/>
    <cellStyle name="Normal 4 4 2 4 6 4" xfId="19488" xr:uid="{3870DFF7-A3A9-4DE4-B24C-1954118C9A66}"/>
    <cellStyle name="Normal 4 4 2 4 7" xfId="4761" xr:uid="{00000000-0005-0000-0000-000051150000}"/>
    <cellStyle name="Normal 4 4 2 4 7 2" xfId="13203" xr:uid="{C12632F1-89CC-41EE-BCFF-C7BAF3CEDA55}"/>
    <cellStyle name="Normal 4 4 2 4 7 3" xfId="21640" xr:uid="{BF3FB96E-DD8D-404B-904E-807595EC8CD9}"/>
    <cellStyle name="Normal 4 4 2 4 8" xfId="8985" xr:uid="{F0047410-7101-4128-9816-0693720E8D5E}"/>
    <cellStyle name="Normal 4 4 2 4 9" xfId="17423" xr:uid="{A64F7A47-CE53-4BAC-BD8E-E3689D7812BA}"/>
    <cellStyle name="Normal 4 4 2 5" xfId="854" xr:uid="{00000000-0005-0000-0000-000052150000}"/>
    <cellStyle name="Normal 4 4 2 5 2" xfId="3089" xr:uid="{00000000-0005-0000-0000-000053150000}"/>
    <cellStyle name="Normal 4 4 2 5 2 2" xfId="7312" xr:uid="{00000000-0005-0000-0000-000054150000}"/>
    <cellStyle name="Normal 4 4 2 5 2 2 2" xfId="15754" xr:uid="{7FBB6BD2-7607-4B3C-9EC5-3FF65BCB7DA0}"/>
    <cellStyle name="Normal 4 4 2 5 2 2 3" xfId="24191" xr:uid="{86D111AB-A2F5-4028-AF13-AE837F6E6095}"/>
    <cellStyle name="Normal 4 4 2 5 2 3" xfId="11536" xr:uid="{34167B6C-9137-4906-A749-F04147226F55}"/>
    <cellStyle name="Normal 4 4 2 5 2 4" xfId="19974" xr:uid="{9EDADA64-28DE-40DA-8155-6F3057D2E056}"/>
    <cellStyle name="Normal 4 4 2 5 3" xfId="5167" xr:uid="{00000000-0005-0000-0000-000055150000}"/>
    <cellStyle name="Normal 4 4 2 5 3 2" xfId="13609" xr:uid="{4881363C-22D2-4053-9415-691EEFCBD4CC}"/>
    <cellStyle name="Normal 4 4 2 5 3 3" xfId="22046" xr:uid="{3913B26D-437D-4E18-9D42-A813482FBC99}"/>
    <cellStyle name="Normal 4 4 2 5 4" xfId="9391" xr:uid="{13E1ADC0-44A0-479A-A164-7EC002D689F7}"/>
    <cellStyle name="Normal 4 4 2 5 5" xfId="17829" xr:uid="{376CE028-182E-4659-B8E0-672C628CFCA4}"/>
    <cellStyle name="Normal 4 4 2 6" xfId="1272" xr:uid="{00000000-0005-0000-0000-000056150000}"/>
    <cellStyle name="Normal 4 4 2 6 2" xfId="3502" xr:uid="{00000000-0005-0000-0000-000057150000}"/>
    <cellStyle name="Normal 4 4 2 6 2 2" xfId="7725" xr:uid="{00000000-0005-0000-0000-000058150000}"/>
    <cellStyle name="Normal 4 4 2 6 2 2 2" xfId="16167" xr:uid="{C8ED11A9-CC62-41A4-A651-8B1004E8833C}"/>
    <cellStyle name="Normal 4 4 2 6 2 2 3" xfId="24604" xr:uid="{E0B83CB1-B358-4F03-9AC4-739B156E0E83}"/>
    <cellStyle name="Normal 4 4 2 6 2 3" xfId="11949" xr:uid="{F96839CE-B076-484F-BBF7-9BAFE73894C8}"/>
    <cellStyle name="Normal 4 4 2 6 2 4" xfId="20387" xr:uid="{6968247A-839A-4E76-BC09-B29FA4E3731C}"/>
    <cellStyle name="Normal 4 4 2 6 3" xfId="5580" xr:uid="{00000000-0005-0000-0000-000059150000}"/>
    <cellStyle name="Normal 4 4 2 6 3 2" xfId="14022" xr:uid="{951AA4F6-B2B6-4B92-BC44-85D5776C7965}"/>
    <cellStyle name="Normal 4 4 2 6 3 3" xfId="22459" xr:uid="{C7D9E136-ACB3-47B1-A55C-A81050161CAF}"/>
    <cellStyle name="Normal 4 4 2 6 4" xfId="9804" xr:uid="{04C32CE5-D904-4CDC-806C-9190E2EFDE29}"/>
    <cellStyle name="Normal 4 4 2 6 5" xfId="18242" xr:uid="{A967EC9E-B469-4A45-A940-F7EAAE8149B6}"/>
    <cellStyle name="Normal 4 4 2 7" xfId="1685" xr:uid="{00000000-0005-0000-0000-00005A150000}"/>
    <cellStyle name="Normal 4 4 2 7 2" xfId="3915" xr:uid="{00000000-0005-0000-0000-00005B150000}"/>
    <cellStyle name="Normal 4 4 2 7 2 2" xfId="8138" xr:uid="{00000000-0005-0000-0000-00005C150000}"/>
    <cellStyle name="Normal 4 4 2 7 2 2 2" xfId="16580" xr:uid="{AD792F33-D7F8-4EB6-A26E-4B6ADE046F2C}"/>
    <cellStyle name="Normal 4 4 2 7 2 2 3" xfId="25017" xr:uid="{2A28A306-5541-462E-A3C5-091C076EB0EB}"/>
    <cellStyle name="Normal 4 4 2 7 2 3" xfId="12362" xr:uid="{6383E0EA-7B2C-4BC0-8D4D-7753F333BE22}"/>
    <cellStyle name="Normal 4 4 2 7 2 4" xfId="20800" xr:uid="{0B3DF7DC-F76A-438A-92C2-84E63BBCCCF2}"/>
    <cellStyle name="Normal 4 4 2 7 3" xfId="5993" xr:uid="{00000000-0005-0000-0000-00005D150000}"/>
    <cellStyle name="Normal 4 4 2 7 3 2" xfId="14435" xr:uid="{1A5A0DD4-93B7-48DF-BDBB-6B1C4259F821}"/>
    <cellStyle name="Normal 4 4 2 7 3 3" xfId="22872" xr:uid="{3D206E44-84B1-445C-9A21-4D1F17031B7F}"/>
    <cellStyle name="Normal 4 4 2 7 4" xfId="10217" xr:uid="{969B659F-0899-463D-BEA5-ED0BC061C3BC}"/>
    <cellStyle name="Normal 4 4 2 7 5" xfId="18655" xr:uid="{56AA6B74-C7A4-4092-865B-841FEBE34551}"/>
    <cellStyle name="Normal 4 4 2 8" xfId="2099" xr:uid="{00000000-0005-0000-0000-00005E150000}"/>
    <cellStyle name="Normal 4 4 2 8 2" xfId="4328" xr:uid="{00000000-0005-0000-0000-00005F150000}"/>
    <cellStyle name="Normal 4 4 2 8 2 2" xfId="8551" xr:uid="{00000000-0005-0000-0000-000060150000}"/>
    <cellStyle name="Normal 4 4 2 8 2 2 2" xfId="16993" xr:uid="{B5A0FD75-E7C4-479C-AA24-0DC8EEE0CA9E}"/>
    <cellStyle name="Normal 4 4 2 8 2 2 3" xfId="25430" xr:uid="{214882FD-71A4-42E6-892D-A9D70FE76738}"/>
    <cellStyle name="Normal 4 4 2 8 2 3" xfId="12775" xr:uid="{267E0179-A54E-4B4B-A15F-D0E8521A991A}"/>
    <cellStyle name="Normal 4 4 2 8 2 4" xfId="21213" xr:uid="{13400407-7A60-4E3D-B404-D239BD9F7665}"/>
    <cellStyle name="Normal 4 4 2 8 3" xfId="6406" xr:uid="{00000000-0005-0000-0000-000061150000}"/>
    <cellStyle name="Normal 4 4 2 8 3 2" xfId="14848" xr:uid="{B1C177A5-E724-4908-843C-2F6D99C4C090}"/>
    <cellStyle name="Normal 4 4 2 8 3 3" xfId="23285" xr:uid="{44D00E40-2D22-41E4-BB1C-A791CF48CF06}"/>
    <cellStyle name="Normal 4 4 2 8 4" xfId="10630" xr:uid="{C5E5A478-C8AA-4323-9CB6-F338EE2AF7CA}"/>
    <cellStyle name="Normal 4 4 2 8 5" xfId="19068" xr:uid="{1F487845-036B-4104-A66E-78868ED1B89D}"/>
    <cellStyle name="Normal 4 4 2 9" xfId="2535" xr:uid="{00000000-0005-0000-0000-000062150000}"/>
    <cellStyle name="Normal 4 4 2 9 2" xfId="6819" xr:uid="{00000000-0005-0000-0000-000063150000}"/>
    <cellStyle name="Normal 4 4 2 9 2 2" xfId="15261" xr:uid="{E68ADFD8-593D-46A7-90FD-91A12A1A8972}"/>
    <cellStyle name="Normal 4 4 2 9 2 3" xfId="23698" xr:uid="{3B8A4F3F-0088-4E9B-B6CE-8E7AC01A0DC8}"/>
    <cellStyle name="Normal 4 4 2 9 3" xfId="11043" xr:uid="{58EF535C-6FE3-406C-92BD-5CF7B2F3C90E}"/>
    <cellStyle name="Normal 4 4 2 9 4" xfId="19481" xr:uid="{9CA1E902-2254-4A79-9766-536565B6AC83}"/>
    <cellStyle name="Normal 4 4 3" xfId="387" xr:uid="{00000000-0005-0000-0000-000064150000}"/>
    <cellStyle name="Normal 4 4 3 10" xfId="8986" xr:uid="{531BF118-EB88-4072-8C8E-B63303B95BB3}"/>
    <cellStyle name="Normal 4 4 3 11" xfId="17424" xr:uid="{650CAA91-3F7E-486D-9D0B-0331E27723BF}"/>
    <cellStyle name="Normal 4 4 3 2" xfId="388" xr:uid="{00000000-0005-0000-0000-000065150000}"/>
    <cellStyle name="Normal 4 4 3 2 10" xfId="17425" xr:uid="{1CC7AEA3-9F94-49DB-8B75-7394A1FE2AF9}"/>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2 2 2" xfId="15764" xr:uid="{F913AE12-A58B-473A-89FD-E85186D5A9AD}"/>
    <cellStyle name="Normal 4 4 3 2 2 2 2 2 3" xfId="24201" xr:uid="{421A292B-08C4-41DF-BA2C-475306CECAB0}"/>
    <cellStyle name="Normal 4 4 3 2 2 2 2 3" xfId="11546" xr:uid="{05F7E82E-A18E-46F1-BDE9-752A2AC4B76D}"/>
    <cellStyle name="Normal 4 4 3 2 2 2 2 4" xfId="19984" xr:uid="{DABC2CB5-4C20-4674-9F2B-0F929113AB87}"/>
    <cellStyle name="Normal 4 4 3 2 2 2 3" xfId="5177" xr:uid="{00000000-0005-0000-0000-00006A150000}"/>
    <cellStyle name="Normal 4 4 3 2 2 2 3 2" xfId="13619" xr:uid="{028507A7-E384-495E-AA90-A17E2E98F630}"/>
    <cellStyle name="Normal 4 4 3 2 2 2 3 3" xfId="22056" xr:uid="{39A0626E-B8A8-4185-915E-1704DE731D69}"/>
    <cellStyle name="Normal 4 4 3 2 2 2 4" xfId="9401" xr:uid="{97CFC6B2-6646-441A-AB9B-7BCA0F4A16B6}"/>
    <cellStyle name="Normal 4 4 3 2 2 2 5" xfId="17839" xr:uid="{8AFC078D-7D96-4A19-AB90-AC02B55BC3BF}"/>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2 2 2" xfId="16177" xr:uid="{6314C9EB-9B5F-4016-A64E-AFECB38861B5}"/>
    <cellStyle name="Normal 4 4 3 2 2 3 2 2 3" xfId="24614" xr:uid="{12966907-1B42-4BBB-8DB2-EF7F757AD4FA}"/>
    <cellStyle name="Normal 4 4 3 2 2 3 2 3" xfId="11959" xr:uid="{65B71D81-DE53-43DD-A70F-5F50996F1957}"/>
    <cellStyle name="Normal 4 4 3 2 2 3 2 4" xfId="20397" xr:uid="{55278F88-1C44-4C83-9EA7-A939F355F842}"/>
    <cellStyle name="Normal 4 4 3 2 2 3 3" xfId="5590" xr:uid="{00000000-0005-0000-0000-00006E150000}"/>
    <cellStyle name="Normal 4 4 3 2 2 3 3 2" xfId="14032" xr:uid="{D7A13A12-326B-49E9-9368-E77FE9FADE2F}"/>
    <cellStyle name="Normal 4 4 3 2 2 3 3 3" xfId="22469" xr:uid="{26E6224B-D229-4F10-9FAE-2A14CD9C1102}"/>
    <cellStyle name="Normal 4 4 3 2 2 3 4" xfId="9814" xr:uid="{4CB94D52-62B3-4BDE-8212-98D98D09A4BA}"/>
    <cellStyle name="Normal 4 4 3 2 2 3 5" xfId="18252" xr:uid="{C1E2CBE6-5238-4B03-A908-1C9A94190EDE}"/>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2 2 2" xfId="16590" xr:uid="{5EF001EC-370C-49D4-8646-9AF85E92A186}"/>
    <cellStyle name="Normal 4 4 3 2 2 4 2 2 3" xfId="25027" xr:uid="{0534032C-7155-4219-8AE3-0BB9E63A705D}"/>
    <cellStyle name="Normal 4 4 3 2 2 4 2 3" xfId="12372" xr:uid="{80A7AE1A-EED5-4587-845D-9636432CE1EF}"/>
    <cellStyle name="Normal 4 4 3 2 2 4 2 4" xfId="20810" xr:uid="{B39ED610-5474-4DA4-B814-56EDE68048B9}"/>
    <cellStyle name="Normal 4 4 3 2 2 4 3" xfId="6003" xr:uid="{00000000-0005-0000-0000-000072150000}"/>
    <cellStyle name="Normal 4 4 3 2 2 4 3 2" xfId="14445" xr:uid="{F683857B-6F70-4541-9CA7-FB186A1F43E8}"/>
    <cellStyle name="Normal 4 4 3 2 2 4 3 3" xfId="22882" xr:uid="{B62F99FF-A7CA-4FF5-AEFA-CDABC4D1C825}"/>
    <cellStyle name="Normal 4 4 3 2 2 4 4" xfId="10227" xr:uid="{87714A74-4BEF-4C88-B8D7-2DAA46713A40}"/>
    <cellStyle name="Normal 4 4 3 2 2 4 5" xfId="18665" xr:uid="{C5098D84-F7D4-4ED6-9227-D55CFE9317DB}"/>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2 2 2" xfId="17003" xr:uid="{E6CED149-9260-4302-BCBD-3F42C80F1AE4}"/>
    <cellStyle name="Normal 4 4 3 2 2 5 2 2 3" xfId="25440" xr:uid="{04DDB48E-74D7-4DF5-B38C-8382854F2071}"/>
    <cellStyle name="Normal 4 4 3 2 2 5 2 3" xfId="12785" xr:uid="{4A0FFC8C-7997-4364-A81C-97100FEC8D98}"/>
    <cellStyle name="Normal 4 4 3 2 2 5 2 4" xfId="21223" xr:uid="{40678BFA-DD03-4737-984B-EB74E9EFBE67}"/>
    <cellStyle name="Normal 4 4 3 2 2 5 3" xfId="6416" xr:uid="{00000000-0005-0000-0000-000076150000}"/>
    <cellStyle name="Normal 4 4 3 2 2 5 3 2" xfId="14858" xr:uid="{517E1AD5-CFDD-41DB-AA9D-EB3CE4D0E2FE}"/>
    <cellStyle name="Normal 4 4 3 2 2 5 3 3" xfId="23295" xr:uid="{6A0CCE16-8D22-4971-BB7F-437030518637}"/>
    <cellStyle name="Normal 4 4 3 2 2 5 4" xfId="10640" xr:uid="{C80A79C6-F8D2-47CB-9F63-365670DF8162}"/>
    <cellStyle name="Normal 4 4 3 2 2 5 5" xfId="19078" xr:uid="{62DF337D-150B-4364-B453-7D98417AE907}"/>
    <cellStyle name="Normal 4 4 3 2 2 6" xfId="2545" xr:uid="{00000000-0005-0000-0000-000077150000}"/>
    <cellStyle name="Normal 4 4 3 2 2 6 2" xfId="6829" xr:uid="{00000000-0005-0000-0000-000078150000}"/>
    <cellStyle name="Normal 4 4 3 2 2 6 2 2" xfId="15271" xr:uid="{A218BB5D-1423-4768-9839-7F7534E75535}"/>
    <cellStyle name="Normal 4 4 3 2 2 6 2 3" xfId="23708" xr:uid="{8FD6EE52-02F0-4219-A0C0-E0455E48C212}"/>
    <cellStyle name="Normal 4 4 3 2 2 6 3" xfId="11053" xr:uid="{7C94E9B7-6D3A-4BA5-889C-176F70057547}"/>
    <cellStyle name="Normal 4 4 3 2 2 6 4" xfId="19491" xr:uid="{B112202E-F2A3-456E-A58D-410C84FBF8D8}"/>
    <cellStyle name="Normal 4 4 3 2 2 7" xfId="4764" xr:uid="{00000000-0005-0000-0000-000079150000}"/>
    <cellStyle name="Normal 4 4 3 2 2 7 2" xfId="13206" xr:uid="{1E73F7AE-BF34-4243-B645-79658349ED59}"/>
    <cellStyle name="Normal 4 4 3 2 2 7 3" xfId="21643" xr:uid="{C38F6C6B-1816-4A50-8B4A-98FFE7D4E6AB}"/>
    <cellStyle name="Normal 4 4 3 2 2 8" xfId="8988" xr:uid="{FF1862DA-E939-414F-B8B3-6D53A7E24715}"/>
    <cellStyle name="Normal 4 4 3 2 2 9" xfId="17426" xr:uid="{EAAE5A75-46A1-4481-B5F5-405FBC2CED67}"/>
    <cellStyle name="Normal 4 4 3 2 3" xfId="863" xr:uid="{00000000-0005-0000-0000-00007A150000}"/>
    <cellStyle name="Normal 4 4 3 2 3 2" xfId="3098" xr:uid="{00000000-0005-0000-0000-00007B150000}"/>
    <cellStyle name="Normal 4 4 3 2 3 2 2" xfId="7321" xr:uid="{00000000-0005-0000-0000-00007C150000}"/>
    <cellStyle name="Normal 4 4 3 2 3 2 2 2" xfId="15763" xr:uid="{DB92669E-61F4-443B-9827-E6A8C1AD6ADB}"/>
    <cellStyle name="Normal 4 4 3 2 3 2 2 3" xfId="24200" xr:uid="{0AC0DC98-63B8-4101-A490-8297B4DCFACF}"/>
    <cellStyle name="Normal 4 4 3 2 3 2 3" xfId="11545" xr:uid="{C00BE1AD-0EEC-403A-928E-67DB46A851BC}"/>
    <cellStyle name="Normal 4 4 3 2 3 2 4" xfId="19983" xr:uid="{F7B972FC-A53A-4526-BD57-509671570D9E}"/>
    <cellStyle name="Normal 4 4 3 2 3 3" xfId="5176" xr:uid="{00000000-0005-0000-0000-00007D150000}"/>
    <cellStyle name="Normal 4 4 3 2 3 3 2" xfId="13618" xr:uid="{ECCACC45-5725-48D5-9C31-CDB6DBA46B14}"/>
    <cellStyle name="Normal 4 4 3 2 3 3 3" xfId="22055" xr:uid="{B778EBE8-7C72-46A2-AE24-39F17D69C370}"/>
    <cellStyle name="Normal 4 4 3 2 3 4" xfId="9400" xr:uid="{33367F91-5506-4A3A-ABE6-937EFB53C148}"/>
    <cellStyle name="Normal 4 4 3 2 3 5" xfId="17838" xr:uid="{CC7ED1AD-2B09-48FC-B54B-BCD7D7B191B3}"/>
    <cellStyle name="Normal 4 4 3 2 4" xfId="1281" xr:uid="{00000000-0005-0000-0000-00007E150000}"/>
    <cellStyle name="Normal 4 4 3 2 4 2" xfId="3511" xr:uid="{00000000-0005-0000-0000-00007F150000}"/>
    <cellStyle name="Normal 4 4 3 2 4 2 2" xfId="7734" xr:uid="{00000000-0005-0000-0000-000080150000}"/>
    <cellStyle name="Normal 4 4 3 2 4 2 2 2" xfId="16176" xr:uid="{293D641A-A86E-40B0-A71B-458F60DD6AE0}"/>
    <cellStyle name="Normal 4 4 3 2 4 2 2 3" xfId="24613" xr:uid="{5A206299-C870-4BEE-8C07-4F8D555B9645}"/>
    <cellStyle name="Normal 4 4 3 2 4 2 3" xfId="11958" xr:uid="{ECB0C06C-E485-4966-9B8B-A117B0EF0996}"/>
    <cellStyle name="Normal 4 4 3 2 4 2 4" xfId="20396" xr:uid="{558D4CA7-DBE9-4006-A4A5-D605602DB852}"/>
    <cellStyle name="Normal 4 4 3 2 4 3" xfId="5589" xr:uid="{00000000-0005-0000-0000-000081150000}"/>
    <cellStyle name="Normal 4 4 3 2 4 3 2" xfId="14031" xr:uid="{50407AD1-1F85-4D68-8CE0-D8EA1BDCFDF2}"/>
    <cellStyle name="Normal 4 4 3 2 4 3 3" xfId="22468" xr:uid="{D73E3F20-3817-4D0F-85FE-3E88D3485B07}"/>
    <cellStyle name="Normal 4 4 3 2 4 4" xfId="9813" xr:uid="{3DEEDA9B-A276-4C48-ABD8-6ED61B6C8B85}"/>
    <cellStyle name="Normal 4 4 3 2 4 5" xfId="18251" xr:uid="{12A9EC11-211A-46AE-9E17-C86B1DCEFCBF}"/>
    <cellStyle name="Normal 4 4 3 2 5" xfId="1694" xr:uid="{00000000-0005-0000-0000-000082150000}"/>
    <cellStyle name="Normal 4 4 3 2 5 2" xfId="3924" xr:uid="{00000000-0005-0000-0000-000083150000}"/>
    <cellStyle name="Normal 4 4 3 2 5 2 2" xfId="8147" xr:uid="{00000000-0005-0000-0000-000084150000}"/>
    <cellStyle name="Normal 4 4 3 2 5 2 2 2" xfId="16589" xr:uid="{5F405E68-DFE2-408F-A9E8-E04833DBB5A7}"/>
    <cellStyle name="Normal 4 4 3 2 5 2 2 3" xfId="25026" xr:uid="{14AE22DE-F73A-4550-A8EA-2E02F978D2BC}"/>
    <cellStyle name="Normal 4 4 3 2 5 2 3" xfId="12371" xr:uid="{9B858A9D-03F6-4E15-8F6E-14D86B29BFB8}"/>
    <cellStyle name="Normal 4 4 3 2 5 2 4" xfId="20809" xr:uid="{D70E4748-0482-4EA5-A5FC-04A8ED396FE8}"/>
    <cellStyle name="Normal 4 4 3 2 5 3" xfId="6002" xr:uid="{00000000-0005-0000-0000-000085150000}"/>
    <cellStyle name="Normal 4 4 3 2 5 3 2" xfId="14444" xr:uid="{2576BC96-8C45-4FB3-80D5-CA4A0135163F}"/>
    <cellStyle name="Normal 4 4 3 2 5 3 3" xfId="22881" xr:uid="{7D1C5D85-DB38-41CA-9E91-25313E7057AA}"/>
    <cellStyle name="Normal 4 4 3 2 5 4" xfId="10226" xr:uid="{12F4E9BE-EBFD-4D45-9068-E915FB8B5AD1}"/>
    <cellStyle name="Normal 4 4 3 2 5 5" xfId="18664" xr:uid="{470EE67C-F76F-4C58-A364-63C13575978C}"/>
    <cellStyle name="Normal 4 4 3 2 6" xfId="2108" xr:uid="{00000000-0005-0000-0000-000086150000}"/>
    <cellStyle name="Normal 4 4 3 2 6 2" xfId="4337" xr:uid="{00000000-0005-0000-0000-000087150000}"/>
    <cellStyle name="Normal 4 4 3 2 6 2 2" xfId="8560" xr:uid="{00000000-0005-0000-0000-000088150000}"/>
    <cellStyle name="Normal 4 4 3 2 6 2 2 2" xfId="17002" xr:uid="{5D01C77C-754C-4505-80AF-85FBBF4540BB}"/>
    <cellStyle name="Normal 4 4 3 2 6 2 2 3" xfId="25439" xr:uid="{86F5367D-075B-4332-9FFF-A4FDFFE47D6A}"/>
    <cellStyle name="Normal 4 4 3 2 6 2 3" xfId="12784" xr:uid="{78451DD4-F44C-4F9C-8D72-531B7DD37193}"/>
    <cellStyle name="Normal 4 4 3 2 6 2 4" xfId="21222" xr:uid="{5B625429-A14A-4AC9-B912-7CEAA42D24EE}"/>
    <cellStyle name="Normal 4 4 3 2 6 3" xfId="6415" xr:uid="{00000000-0005-0000-0000-000089150000}"/>
    <cellStyle name="Normal 4 4 3 2 6 3 2" xfId="14857" xr:uid="{23F447B0-2DBB-4721-9A6D-98A7B7A63ADE}"/>
    <cellStyle name="Normal 4 4 3 2 6 3 3" xfId="23294" xr:uid="{61202A9D-7873-48C1-9E1C-7E4ADB0E5566}"/>
    <cellStyle name="Normal 4 4 3 2 6 4" xfId="10639" xr:uid="{E5253BFE-688C-47C9-A0E7-2BA38CB298DC}"/>
    <cellStyle name="Normal 4 4 3 2 6 5" xfId="19077" xr:uid="{152CC95E-2602-4AB5-B707-2A430039A4EB}"/>
    <cellStyle name="Normal 4 4 3 2 7" xfId="2544" xr:uid="{00000000-0005-0000-0000-00008A150000}"/>
    <cellStyle name="Normal 4 4 3 2 7 2" xfId="6828" xr:uid="{00000000-0005-0000-0000-00008B150000}"/>
    <cellStyle name="Normal 4 4 3 2 7 2 2" xfId="15270" xr:uid="{DD7F7CED-46F5-461B-8F79-CEE4EC2DAEEA}"/>
    <cellStyle name="Normal 4 4 3 2 7 2 3" xfId="23707" xr:uid="{7E05DC1F-623E-49A2-A1A4-5591D5D71A2A}"/>
    <cellStyle name="Normal 4 4 3 2 7 3" xfId="11052" xr:uid="{60D7C0AF-B5B5-485A-8249-15CD53AE003C}"/>
    <cellStyle name="Normal 4 4 3 2 7 4" xfId="19490" xr:uid="{A60C7BE0-8520-4CFB-B67B-CDDF760796A3}"/>
    <cellStyle name="Normal 4 4 3 2 8" xfId="4763" xr:uid="{00000000-0005-0000-0000-00008C150000}"/>
    <cellStyle name="Normal 4 4 3 2 8 2" xfId="13205" xr:uid="{77642403-0586-46FC-88E9-AA9102FF8CF8}"/>
    <cellStyle name="Normal 4 4 3 2 8 3" xfId="21642" xr:uid="{1A2259E7-940B-4C22-B4B4-BAE70358CD90}"/>
    <cellStyle name="Normal 4 4 3 2 9" xfId="8987" xr:uid="{36E651E7-F79E-4391-B733-EB11C32CD32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2 2 2" xfId="15765" xr:uid="{F7EC8B71-124B-46AF-B6DF-9B7569676485}"/>
    <cellStyle name="Normal 4 4 3 3 2 2 2 3" xfId="24202" xr:uid="{D10ECEB8-0546-4DAE-ACCD-FB79EAC46B8F}"/>
    <cellStyle name="Normal 4 4 3 3 2 2 3" xfId="11547" xr:uid="{FD6420D5-8040-4A4C-B957-F1AFFC1A4F6C}"/>
    <cellStyle name="Normal 4 4 3 3 2 2 4" xfId="19985" xr:uid="{AC9F0FF7-7097-4E37-82EA-7819F06C5AE6}"/>
    <cellStyle name="Normal 4 4 3 3 2 3" xfId="5178" xr:uid="{00000000-0005-0000-0000-000091150000}"/>
    <cellStyle name="Normal 4 4 3 3 2 3 2" xfId="13620" xr:uid="{9A355E73-FB26-4BEB-8001-A6A56D656F84}"/>
    <cellStyle name="Normal 4 4 3 3 2 3 3" xfId="22057" xr:uid="{65184046-6A72-4102-8070-4BEF7C26B84B}"/>
    <cellStyle name="Normal 4 4 3 3 2 4" xfId="9402" xr:uid="{2C5F0269-0EB9-47E8-B823-9AA3324208A2}"/>
    <cellStyle name="Normal 4 4 3 3 2 5" xfId="17840" xr:uid="{F626201D-FE30-4DDC-90DB-94E937499F73}"/>
    <cellStyle name="Normal 4 4 3 3 3" xfId="1283" xr:uid="{00000000-0005-0000-0000-000092150000}"/>
    <cellStyle name="Normal 4 4 3 3 3 2" xfId="3513" xr:uid="{00000000-0005-0000-0000-000093150000}"/>
    <cellStyle name="Normal 4 4 3 3 3 2 2" xfId="7736" xr:uid="{00000000-0005-0000-0000-000094150000}"/>
    <cellStyle name="Normal 4 4 3 3 3 2 2 2" xfId="16178" xr:uid="{CCC59D59-3AA7-4B76-9F8E-8CDC7A44AE60}"/>
    <cellStyle name="Normal 4 4 3 3 3 2 2 3" xfId="24615" xr:uid="{8F374339-40F6-4250-B191-1A753E32921D}"/>
    <cellStyle name="Normal 4 4 3 3 3 2 3" xfId="11960" xr:uid="{B904664C-170E-43A0-BC66-BFE9B51B300C}"/>
    <cellStyle name="Normal 4 4 3 3 3 2 4" xfId="20398" xr:uid="{909F1A4E-FDE4-4157-BC58-117FEF7855F3}"/>
    <cellStyle name="Normal 4 4 3 3 3 3" xfId="5591" xr:uid="{00000000-0005-0000-0000-000095150000}"/>
    <cellStyle name="Normal 4 4 3 3 3 3 2" xfId="14033" xr:uid="{1282D9B5-9F61-46E7-B733-CA9A6E3F2B1D}"/>
    <cellStyle name="Normal 4 4 3 3 3 3 3" xfId="22470" xr:uid="{F0A5BF99-28D3-498E-B33C-90B8902A8964}"/>
    <cellStyle name="Normal 4 4 3 3 3 4" xfId="9815" xr:uid="{8869C99C-F186-479B-BACA-3C8F84655CA5}"/>
    <cellStyle name="Normal 4 4 3 3 3 5" xfId="18253" xr:uid="{79530CF4-A6E0-4C93-A847-F9237E21F431}"/>
    <cellStyle name="Normal 4 4 3 3 4" xfId="1696" xr:uid="{00000000-0005-0000-0000-000096150000}"/>
    <cellStyle name="Normal 4 4 3 3 4 2" xfId="3926" xr:uid="{00000000-0005-0000-0000-000097150000}"/>
    <cellStyle name="Normal 4 4 3 3 4 2 2" xfId="8149" xr:uid="{00000000-0005-0000-0000-000098150000}"/>
    <cellStyle name="Normal 4 4 3 3 4 2 2 2" xfId="16591" xr:uid="{29CC59E4-424C-479A-A4AB-5C8352111133}"/>
    <cellStyle name="Normal 4 4 3 3 4 2 2 3" xfId="25028" xr:uid="{192ECA97-1B15-4805-9633-CC37EB556757}"/>
    <cellStyle name="Normal 4 4 3 3 4 2 3" xfId="12373" xr:uid="{DAE326A5-E58C-4B8D-85BD-FE336C811B0D}"/>
    <cellStyle name="Normal 4 4 3 3 4 2 4" xfId="20811" xr:uid="{501AA1DE-D13E-4630-8D28-5CACF23F5D88}"/>
    <cellStyle name="Normal 4 4 3 3 4 3" xfId="6004" xr:uid="{00000000-0005-0000-0000-000099150000}"/>
    <cellStyle name="Normal 4 4 3 3 4 3 2" xfId="14446" xr:uid="{E50A2D88-FC80-411A-ADFA-2D09E50E6B6F}"/>
    <cellStyle name="Normal 4 4 3 3 4 3 3" xfId="22883" xr:uid="{0BA2BE38-8D27-45AC-B788-0A65E315C64D}"/>
    <cellStyle name="Normal 4 4 3 3 4 4" xfId="10228" xr:uid="{1086042F-B70C-40ED-92BA-2AA68DE7E963}"/>
    <cellStyle name="Normal 4 4 3 3 4 5" xfId="18666" xr:uid="{1686A2F8-6071-4528-BCB0-AB4C0D854407}"/>
    <cellStyle name="Normal 4 4 3 3 5" xfId="2110" xr:uid="{00000000-0005-0000-0000-00009A150000}"/>
    <cellStyle name="Normal 4 4 3 3 5 2" xfId="4339" xr:uid="{00000000-0005-0000-0000-00009B150000}"/>
    <cellStyle name="Normal 4 4 3 3 5 2 2" xfId="8562" xr:uid="{00000000-0005-0000-0000-00009C150000}"/>
    <cellStyle name="Normal 4 4 3 3 5 2 2 2" xfId="17004" xr:uid="{2FCD8731-4634-48B6-BE3B-2F8F0F360BB4}"/>
    <cellStyle name="Normal 4 4 3 3 5 2 2 3" xfId="25441" xr:uid="{CC65DD97-5186-4AB0-A82A-9BB3DFAC248E}"/>
    <cellStyle name="Normal 4 4 3 3 5 2 3" xfId="12786" xr:uid="{7113D6FA-380F-4C86-B297-365B5577C26E}"/>
    <cellStyle name="Normal 4 4 3 3 5 2 4" xfId="21224" xr:uid="{FA36A8DC-27BB-4DC1-B83E-770FF77B1B02}"/>
    <cellStyle name="Normal 4 4 3 3 5 3" xfId="6417" xr:uid="{00000000-0005-0000-0000-00009D150000}"/>
    <cellStyle name="Normal 4 4 3 3 5 3 2" xfId="14859" xr:uid="{1F1F0C09-EC8A-4E4D-B569-8380DD18BB6C}"/>
    <cellStyle name="Normal 4 4 3 3 5 3 3" xfId="23296" xr:uid="{155B70EF-A155-4E20-A1AA-D6739EDBCA7B}"/>
    <cellStyle name="Normal 4 4 3 3 5 4" xfId="10641" xr:uid="{51AD0647-47E6-4ACE-9383-0A276FE8C4DF}"/>
    <cellStyle name="Normal 4 4 3 3 5 5" xfId="19079" xr:uid="{6890690E-3EC3-42FD-A8FA-5CBBF5F3B09B}"/>
    <cellStyle name="Normal 4 4 3 3 6" xfId="2546" xr:uid="{00000000-0005-0000-0000-00009E150000}"/>
    <cellStyle name="Normal 4 4 3 3 6 2" xfId="6830" xr:uid="{00000000-0005-0000-0000-00009F150000}"/>
    <cellStyle name="Normal 4 4 3 3 6 2 2" xfId="15272" xr:uid="{0CAF7185-F3F5-4D49-BD6D-8C4392B81E26}"/>
    <cellStyle name="Normal 4 4 3 3 6 2 3" xfId="23709" xr:uid="{8175E2F5-168D-4CD8-990A-D8942F301B93}"/>
    <cellStyle name="Normal 4 4 3 3 6 3" xfId="11054" xr:uid="{9CBF0B3E-E7DD-4FFD-9273-7275D3178515}"/>
    <cellStyle name="Normal 4 4 3 3 6 4" xfId="19492" xr:uid="{CC790937-4AC5-4A7A-A998-0D409B00B579}"/>
    <cellStyle name="Normal 4 4 3 3 7" xfId="4765" xr:uid="{00000000-0005-0000-0000-0000A0150000}"/>
    <cellStyle name="Normal 4 4 3 3 7 2" xfId="13207" xr:uid="{B78E557A-8372-4575-852F-92B16D013215}"/>
    <cellStyle name="Normal 4 4 3 3 7 3" xfId="21644" xr:uid="{373835B7-E449-46FF-9A6A-5417679E32BA}"/>
    <cellStyle name="Normal 4 4 3 3 8" xfId="8989" xr:uid="{F7F26E08-3576-423B-BE7B-D27BE7BB7DB9}"/>
    <cellStyle name="Normal 4 4 3 3 9" xfId="17427" xr:uid="{93E9B80D-3094-471E-A0EF-41B33B29F434}"/>
    <cellStyle name="Normal 4 4 3 4" xfId="862" xr:uid="{00000000-0005-0000-0000-0000A1150000}"/>
    <cellStyle name="Normal 4 4 3 4 2" xfId="3097" xr:uid="{00000000-0005-0000-0000-0000A2150000}"/>
    <cellStyle name="Normal 4 4 3 4 2 2" xfId="7320" xr:uid="{00000000-0005-0000-0000-0000A3150000}"/>
    <cellStyle name="Normal 4 4 3 4 2 2 2" xfId="15762" xr:uid="{53E97817-F20A-408A-BC76-814799861317}"/>
    <cellStyle name="Normal 4 4 3 4 2 2 3" xfId="24199" xr:uid="{F45655F0-595D-4914-9DFE-041B294C1FC4}"/>
    <cellStyle name="Normal 4 4 3 4 2 3" xfId="11544" xr:uid="{30D8B773-EF57-4437-9FDF-E34ECE8B0B1F}"/>
    <cellStyle name="Normal 4 4 3 4 2 4" xfId="19982" xr:uid="{CE52EEFB-B6DF-46F2-BF07-F52F03200EAC}"/>
    <cellStyle name="Normal 4 4 3 4 3" xfId="5175" xr:uid="{00000000-0005-0000-0000-0000A4150000}"/>
    <cellStyle name="Normal 4 4 3 4 3 2" xfId="13617" xr:uid="{B9B339E6-3F21-4651-A70C-BBEFCA431312}"/>
    <cellStyle name="Normal 4 4 3 4 3 3" xfId="22054" xr:uid="{7803AF2A-A131-4BEC-9676-1070CE9DB14D}"/>
    <cellStyle name="Normal 4 4 3 4 4" xfId="9399" xr:uid="{80D380CA-D5F3-4FC1-BDC4-CF6EEFE9582A}"/>
    <cellStyle name="Normal 4 4 3 4 5" xfId="17837" xr:uid="{26FE0D3B-8A4C-473C-BFCA-0AE2ED675108}"/>
    <cellStyle name="Normal 4 4 3 5" xfId="1280" xr:uid="{00000000-0005-0000-0000-0000A5150000}"/>
    <cellStyle name="Normal 4 4 3 5 2" xfId="3510" xr:uid="{00000000-0005-0000-0000-0000A6150000}"/>
    <cellStyle name="Normal 4 4 3 5 2 2" xfId="7733" xr:uid="{00000000-0005-0000-0000-0000A7150000}"/>
    <cellStyle name="Normal 4 4 3 5 2 2 2" xfId="16175" xr:uid="{4D18EE72-E44F-467A-A7DF-8901BE443D5D}"/>
    <cellStyle name="Normal 4 4 3 5 2 2 3" xfId="24612" xr:uid="{E492A0D2-E77B-4756-B895-657380B53148}"/>
    <cellStyle name="Normal 4 4 3 5 2 3" xfId="11957" xr:uid="{36739EDB-AE51-42BA-A0BD-0AFBC85C296B}"/>
    <cellStyle name="Normal 4 4 3 5 2 4" xfId="20395" xr:uid="{2BAC58D6-CCB3-42F2-B2B3-359098E2CF02}"/>
    <cellStyle name="Normal 4 4 3 5 3" xfId="5588" xr:uid="{00000000-0005-0000-0000-0000A8150000}"/>
    <cellStyle name="Normal 4 4 3 5 3 2" xfId="14030" xr:uid="{7CFA25A9-255E-4BA6-BD98-22107AC0559B}"/>
    <cellStyle name="Normal 4 4 3 5 3 3" xfId="22467" xr:uid="{F7FE810B-459C-4172-8C16-BECBBD7671AA}"/>
    <cellStyle name="Normal 4 4 3 5 4" xfId="9812" xr:uid="{14AA90B4-4B20-42F0-A488-3059575BD146}"/>
    <cellStyle name="Normal 4 4 3 5 5" xfId="18250" xr:uid="{956195DC-82E3-468E-BE7B-C2D9471BE26B}"/>
    <cellStyle name="Normal 4 4 3 6" xfId="1693" xr:uid="{00000000-0005-0000-0000-0000A9150000}"/>
    <cellStyle name="Normal 4 4 3 6 2" xfId="3923" xr:uid="{00000000-0005-0000-0000-0000AA150000}"/>
    <cellStyle name="Normal 4 4 3 6 2 2" xfId="8146" xr:uid="{00000000-0005-0000-0000-0000AB150000}"/>
    <cellStyle name="Normal 4 4 3 6 2 2 2" xfId="16588" xr:uid="{960A57DF-AC29-4AEF-BA96-6DEA86C7BB9C}"/>
    <cellStyle name="Normal 4 4 3 6 2 2 3" xfId="25025" xr:uid="{379CB814-3FE6-4C17-9358-2FA10BB094F7}"/>
    <cellStyle name="Normal 4 4 3 6 2 3" xfId="12370" xr:uid="{DEAB1325-0067-453A-A544-C8BD70D40249}"/>
    <cellStyle name="Normal 4 4 3 6 2 4" xfId="20808" xr:uid="{B8768C1C-C4B6-4264-952D-0929967933FF}"/>
    <cellStyle name="Normal 4 4 3 6 3" xfId="6001" xr:uid="{00000000-0005-0000-0000-0000AC150000}"/>
    <cellStyle name="Normal 4 4 3 6 3 2" xfId="14443" xr:uid="{F901CCC5-71EB-4D30-AD37-EA3AAA7CA912}"/>
    <cellStyle name="Normal 4 4 3 6 3 3" xfId="22880" xr:uid="{64EB7962-DE62-4713-8696-4C33E7661680}"/>
    <cellStyle name="Normal 4 4 3 6 4" xfId="10225" xr:uid="{D66E3603-3070-4CDA-90ED-E039DABC3394}"/>
    <cellStyle name="Normal 4 4 3 6 5" xfId="18663" xr:uid="{E83E1F40-B7A6-46FE-91CF-5A3E80D2C5FF}"/>
    <cellStyle name="Normal 4 4 3 7" xfId="2107" xr:uid="{00000000-0005-0000-0000-0000AD150000}"/>
    <cellStyle name="Normal 4 4 3 7 2" xfId="4336" xr:uid="{00000000-0005-0000-0000-0000AE150000}"/>
    <cellStyle name="Normal 4 4 3 7 2 2" xfId="8559" xr:uid="{00000000-0005-0000-0000-0000AF150000}"/>
    <cellStyle name="Normal 4 4 3 7 2 2 2" xfId="17001" xr:uid="{4AB1E687-80AA-466F-A992-222E173002E9}"/>
    <cellStyle name="Normal 4 4 3 7 2 2 3" xfId="25438" xr:uid="{D9EB4678-233D-41BD-89A0-B3D673E2B7DD}"/>
    <cellStyle name="Normal 4 4 3 7 2 3" xfId="12783" xr:uid="{318F2257-D558-44D7-B4AD-3B04AAE96C98}"/>
    <cellStyle name="Normal 4 4 3 7 2 4" xfId="21221" xr:uid="{512C1942-B968-41F7-95A8-7D843B0C9366}"/>
    <cellStyle name="Normal 4 4 3 7 3" xfId="6414" xr:uid="{00000000-0005-0000-0000-0000B0150000}"/>
    <cellStyle name="Normal 4 4 3 7 3 2" xfId="14856" xr:uid="{AC133455-68A0-4B6B-A3A0-AB909C958523}"/>
    <cellStyle name="Normal 4 4 3 7 3 3" xfId="23293" xr:uid="{1AC0BC1A-7725-4B89-BDD6-FC6563BE6D30}"/>
    <cellStyle name="Normal 4 4 3 7 4" xfId="10638" xr:uid="{74CC85D5-1C02-46BE-AA2C-FC30B710E780}"/>
    <cellStyle name="Normal 4 4 3 7 5" xfId="19076" xr:uid="{A3D0B43D-F7AA-4D70-A135-EF082A56863C}"/>
    <cellStyle name="Normal 4 4 3 8" xfId="2543" xr:uid="{00000000-0005-0000-0000-0000B1150000}"/>
    <cellStyle name="Normal 4 4 3 8 2" xfId="6827" xr:uid="{00000000-0005-0000-0000-0000B2150000}"/>
    <cellStyle name="Normal 4 4 3 8 2 2" xfId="15269" xr:uid="{CE0B892A-2469-425E-ACBC-CEE567D0DEF6}"/>
    <cellStyle name="Normal 4 4 3 8 2 3" xfId="23706" xr:uid="{399B3158-4D0B-4AF9-93FC-DFDB11593887}"/>
    <cellStyle name="Normal 4 4 3 8 3" xfId="11051" xr:uid="{EB93483E-2CC2-4C90-8EAC-A741612872BD}"/>
    <cellStyle name="Normal 4 4 3 8 4" xfId="19489" xr:uid="{F843953D-F19D-47EC-B1A6-57C77FAE13DB}"/>
    <cellStyle name="Normal 4 4 3 9" xfId="4762" xr:uid="{00000000-0005-0000-0000-0000B3150000}"/>
    <cellStyle name="Normal 4 4 3 9 2" xfId="13204" xr:uid="{7735A675-F600-4F69-A749-2A348117D4B4}"/>
    <cellStyle name="Normal 4 4 3 9 3" xfId="21641" xr:uid="{5235214B-FE0E-4855-A52F-213000EDAE8D}"/>
    <cellStyle name="Normal 4 4 4" xfId="391" xr:uid="{00000000-0005-0000-0000-0000B4150000}"/>
    <cellStyle name="Normal 4 4 4 10" xfId="17428" xr:uid="{C2928123-8801-4DBA-8998-80DD0F532832}"/>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2 2 2" xfId="15767" xr:uid="{D8F9F3AC-2B18-403D-AF57-F3DFCA3B3798}"/>
    <cellStyle name="Normal 4 4 4 2 2 2 2 3" xfId="24204" xr:uid="{09C15544-561B-4EBE-8394-9DEFB1192002}"/>
    <cellStyle name="Normal 4 4 4 2 2 2 3" xfId="11549" xr:uid="{8E24468D-E710-45E1-8C84-70BFA7882295}"/>
    <cellStyle name="Normal 4 4 4 2 2 2 4" xfId="19987" xr:uid="{F1901129-6E76-4B7B-8137-BAEA647864DC}"/>
    <cellStyle name="Normal 4 4 4 2 2 3" xfId="5180" xr:uid="{00000000-0005-0000-0000-0000B9150000}"/>
    <cellStyle name="Normal 4 4 4 2 2 3 2" xfId="13622" xr:uid="{F8DB40BB-02F0-406B-8E3A-77C45DC89241}"/>
    <cellStyle name="Normal 4 4 4 2 2 3 3" xfId="22059" xr:uid="{04A5F35C-784D-4B39-AB41-C7773DF0FD9D}"/>
    <cellStyle name="Normal 4 4 4 2 2 4" xfId="9404" xr:uid="{940C5675-5B35-4F3B-AF1F-A763670E2771}"/>
    <cellStyle name="Normal 4 4 4 2 2 5" xfId="17842" xr:uid="{5F367E83-3FDB-4F78-AD4F-054A3A08F8D5}"/>
    <cellStyle name="Normal 4 4 4 2 3" xfId="1285" xr:uid="{00000000-0005-0000-0000-0000BA150000}"/>
    <cellStyle name="Normal 4 4 4 2 3 2" xfId="3515" xr:uid="{00000000-0005-0000-0000-0000BB150000}"/>
    <cellStyle name="Normal 4 4 4 2 3 2 2" xfId="7738" xr:uid="{00000000-0005-0000-0000-0000BC150000}"/>
    <cellStyle name="Normal 4 4 4 2 3 2 2 2" xfId="16180" xr:uid="{F162CC91-E587-4F94-862A-0240CEDA29B6}"/>
    <cellStyle name="Normal 4 4 4 2 3 2 2 3" xfId="24617" xr:uid="{866B52C9-5BBB-4C85-B69B-4EB9AC9462C1}"/>
    <cellStyle name="Normal 4 4 4 2 3 2 3" xfId="11962" xr:uid="{FDE8DEB5-425F-43C1-9CB1-3CA9DB059F9B}"/>
    <cellStyle name="Normal 4 4 4 2 3 2 4" xfId="20400" xr:uid="{7ACF78C2-44BB-4117-8278-4ADB96F397A7}"/>
    <cellStyle name="Normal 4 4 4 2 3 3" xfId="5593" xr:uid="{00000000-0005-0000-0000-0000BD150000}"/>
    <cellStyle name="Normal 4 4 4 2 3 3 2" xfId="14035" xr:uid="{0F9BA8D8-B5E3-45E9-93E5-FAFFE5686D1B}"/>
    <cellStyle name="Normal 4 4 4 2 3 3 3" xfId="22472" xr:uid="{6FD3491F-C774-4BB0-9C70-0929F8017421}"/>
    <cellStyle name="Normal 4 4 4 2 3 4" xfId="9817" xr:uid="{18045120-2D4B-44D7-BC5C-CB0E50AEBC44}"/>
    <cellStyle name="Normal 4 4 4 2 3 5" xfId="18255" xr:uid="{1D6C1564-4352-455F-BD13-F0370D0AE2DE}"/>
    <cellStyle name="Normal 4 4 4 2 4" xfId="1698" xr:uid="{00000000-0005-0000-0000-0000BE150000}"/>
    <cellStyle name="Normal 4 4 4 2 4 2" xfId="3928" xr:uid="{00000000-0005-0000-0000-0000BF150000}"/>
    <cellStyle name="Normal 4 4 4 2 4 2 2" xfId="8151" xr:uid="{00000000-0005-0000-0000-0000C0150000}"/>
    <cellStyle name="Normal 4 4 4 2 4 2 2 2" xfId="16593" xr:uid="{7D829317-5157-4199-93A9-4BD55D5E9F40}"/>
    <cellStyle name="Normal 4 4 4 2 4 2 2 3" xfId="25030" xr:uid="{9767FE7D-C966-4762-8551-42B7743CC003}"/>
    <cellStyle name="Normal 4 4 4 2 4 2 3" xfId="12375" xr:uid="{A4FBD9A0-BF6D-4F9E-AC5E-B4C55C96D4A1}"/>
    <cellStyle name="Normal 4 4 4 2 4 2 4" xfId="20813" xr:uid="{BC1FE68E-6869-4EAA-9503-945D6B3D05A1}"/>
    <cellStyle name="Normal 4 4 4 2 4 3" xfId="6006" xr:uid="{00000000-0005-0000-0000-0000C1150000}"/>
    <cellStyle name="Normal 4 4 4 2 4 3 2" xfId="14448" xr:uid="{49E71E2A-4B2D-4ACF-A7BD-3031E34908D4}"/>
    <cellStyle name="Normal 4 4 4 2 4 3 3" xfId="22885" xr:uid="{1A5627BE-4BE2-4BE1-B4E4-EE78E02F535F}"/>
    <cellStyle name="Normal 4 4 4 2 4 4" xfId="10230" xr:uid="{A344DEC0-A608-4A81-8EFC-D306D2E647DD}"/>
    <cellStyle name="Normal 4 4 4 2 4 5" xfId="18668" xr:uid="{B34A9194-E411-4C22-8547-439BEEA0664D}"/>
    <cellStyle name="Normal 4 4 4 2 5" xfId="2112" xr:uid="{00000000-0005-0000-0000-0000C2150000}"/>
    <cellStyle name="Normal 4 4 4 2 5 2" xfId="4341" xr:uid="{00000000-0005-0000-0000-0000C3150000}"/>
    <cellStyle name="Normal 4 4 4 2 5 2 2" xfId="8564" xr:uid="{00000000-0005-0000-0000-0000C4150000}"/>
    <cellStyle name="Normal 4 4 4 2 5 2 2 2" xfId="17006" xr:uid="{02E08887-C13C-46C5-981B-F8B07A8D4535}"/>
    <cellStyle name="Normal 4 4 4 2 5 2 2 3" xfId="25443" xr:uid="{910EC62B-1C20-4556-A15A-E5CC7B457820}"/>
    <cellStyle name="Normal 4 4 4 2 5 2 3" xfId="12788" xr:uid="{795E3B8C-55E7-4F5A-9F38-008DC23645BD}"/>
    <cellStyle name="Normal 4 4 4 2 5 2 4" xfId="21226" xr:uid="{299D2F5B-84A4-4D68-85CD-2B428B6A569E}"/>
    <cellStyle name="Normal 4 4 4 2 5 3" xfId="6419" xr:uid="{00000000-0005-0000-0000-0000C5150000}"/>
    <cellStyle name="Normal 4 4 4 2 5 3 2" xfId="14861" xr:uid="{97E66280-4854-4B5F-8FFB-BB23903175B6}"/>
    <cellStyle name="Normal 4 4 4 2 5 3 3" xfId="23298" xr:uid="{10636CFD-D94D-482C-84B3-ACE299F60321}"/>
    <cellStyle name="Normal 4 4 4 2 5 4" xfId="10643" xr:uid="{12E4F28C-42A6-4A17-964C-C2BC28560511}"/>
    <cellStyle name="Normal 4 4 4 2 5 5" xfId="19081" xr:uid="{86D7E183-D619-4B1B-8056-900FDB4F2A1A}"/>
    <cellStyle name="Normal 4 4 4 2 6" xfId="2548" xr:uid="{00000000-0005-0000-0000-0000C6150000}"/>
    <cellStyle name="Normal 4 4 4 2 6 2" xfId="6832" xr:uid="{00000000-0005-0000-0000-0000C7150000}"/>
    <cellStyle name="Normal 4 4 4 2 6 2 2" xfId="15274" xr:uid="{4A451734-401D-4CCA-B254-B3BFCAE767E5}"/>
    <cellStyle name="Normal 4 4 4 2 6 2 3" xfId="23711" xr:uid="{BD989126-0D45-4699-BFA1-4FA7D7798AB0}"/>
    <cellStyle name="Normal 4 4 4 2 6 3" xfId="11056" xr:uid="{6968218E-30E2-47B5-8863-E298236ED81A}"/>
    <cellStyle name="Normal 4 4 4 2 6 4" xfId="19494" xr:uid="{A9F28514-B233-443B-8470-4A83BB0E0DFA}"/>
    <cellStyle name="Normal 4 4 4 2 7" xfId="4767" xr:uid="{00000000-0005-0000-0000-0000C8150000}"/>
    <cellStyle name="Normal 4 4 4 2 7 2" xfId="13209" xr:uid="{90BF2601-66B4-49C7-806C-8B9B271C8824}"/>
    <cellStyle name="Normal 4 4 4 2 7 3" xfId="21646" xr:uid="{C685C908-4A49-42EC-B972-A22EF8FE6163}"/>
    <cellStyle name="Normal 4 4 4 2 8" xfId="8991" xr:uid="{07AE0C0E-F63C-48D2-BABA-9C3788FB710E}"/>
    <cellStyle name="Normal 4 4 4 2 9" xfId="17429" xr:uid="{B0405A21-9216-4DB8-8ED3-64C88739B875}"/>
    <cellStyle name="Normal 4 4 4 3" xfId="866" xr:uid="{00000000-0005-0000-0000-0000C9150000}"/>
    <cellStyle name="Normal 4 4 4 3 2" xfId="3101" xr:uid="{00000000-0005-0000-0000-0000CA150000}"/>
    <cellStyle name="Normal 4 4 4 3 2 2" xfId="7324" xr:uid="{00000000-0005-0000-0000-0000CB150000}"/>
    <cellStyle name="Normal 4 4 4 3 2 2 2" xfId="15766" xr:uid="{4E670BDC-2A50-4AF7-8D6D-57DEA39BA3CD}"/>
    <cellStyle name="Normal 4 4 4 3 2 2 3" xfId="24203" xr:uid="{E985476C-DD50-4768-87C2-1300B0742E4E}"/>
    <cellStyle name="Normal 4 4 4 3 2 3" xfId="11548" xr:uid="{DBA76AF0-6BBA-4E55-9D6A-17AC018C1888}"/>
    <cellStyle name="Normal 4 4 4 3 2 4" xfId="19986" xr:uid="{335861C4-BDBE-4BEA-BE8F-0BDDB0951CBC}"/>
    <cellStyle name="Normal 4 4 4 3 3" xfId="5179" xr:uid="{00000000-0005-0000-0000-0000CC150000}"/>
    <cellStyle name="Normal 4 4 4 3 3 2" xfId="13621" xr:uid="{4B556429-0477-4793-AB90-AD44CAB181D4}"/>
    <cellStyle name="Normal 4 4 4 3 3 3" xfId="22058" xr:uid="{2537898A-DE25-4E15-B175-791024B7C5FA}"/>
    <cellStyle name="Normal 4 4 4 3 4" xfId="9403" xr:uid="{AFAA7BBB-15EE-45BF-B620-18081D2B7F8D}"/>
    <cellStyle name="Normal 4 4 4 3 5" xfId="17841" xr:uid="{47AB62FF-5F9F-4D49-AC8D-9F6CBBAAB864}"/>
    <cellStyle name="Normal 4 4 4 4" xfId="1284" xr:uid="{00000000-0005-0000-0000-0000CD150000}"/>
    <cellStyle name="Normal 4 4 4 4 2" xfId="3514" xr:uid="{00000000-0005-0000-0000-0000CE150000}"/>
    <cellStyle name="Normal 4 4 4 4 2 2" xfId="7737" xr:uid="{00000000-0005-0000-0000-0000CF150000}"/>
    <cellStyle name="Normal 4 4 4 4 2 2 2" xfId="16179" xr:uid="{16C7009D-120D-4F24-9E1D-66EA269C24AE}"/>
    <cellStyle name="Normal 4 4 4 4 2 2 3" xfId="24616" xr:uid="{06E5852C-11AC-4262-A5C1-E6FF795CD016}"/>
    <cellStyle name="Normal 4 4 4 4 2 3" xfId="11961" xr:uid="{D79A6DAE-3BFD-4A5D-9C49-7BC5BFD594B0}"/>
    <cellStyle name="Normal 4 4 4 4 2 4" xfId="20399" xr:uid="{23389715-00F9-4923-AC3C-5E90E4160E05}"/>
    <cellStyle name="Normal 4 4 4 4 3" xfId="5592" xr:uid="{00000000-0005-0000-0000-0000D0150000}"/>
    <cellStyle name="Normal 4 4 4 4 3 2" xfId="14034" xr:uid="{5EBA737B-5373-4726-ABFC-106FBD4789F2}"/>
    <cellStyle name="Normal 4 4 4 4 3 3" xfId="22471" xr:uid="{2A4AC355-75A5-40B1-BFE0-9F99A312485B}"/>
    <cellStyle name="Normal 4 4 4 4 4" xfId="9816" xr:uid="{1082E63F-6B6D-4455-BEC5-A752106041F8}"/>
    <cellStyle name="Normal 4 4 4 4 5" xfId="18254" xr:uid="{D2462983-DD41-4CA0-AB9C-BE0B1112EA4F}"/>
    <cellStyle name="Normal 4 4 4 5" xfId="1697" xr:uid="{00000000-0005-0000-0000-0000D1150000}"/>
    <cellStyle name="Normal 4 4 4 5 2" xfId="3927" xr:uid="{00000000-0005-0000-0000-0000D2150000}"/>
    <cellStyle name="Normal 4 4 4 5 2 2" xfId="8150" xr:uid="{00000000-0005-0000-0000-0000D3150000}"/>
    <cellStyle name="Normal 4 4 4 5 2 2 2" xfId="16592" xr:uid="{AC60C356-1EC8-4186-80E1-C3F4681E4644}"/>
    <cellStyle name="Normal 4 4 4 5 2 2 3" xfId="25029" xr:uid="{81AF9C2D-ACE7-4237-8903-19E84AA69548}"/>
    <cellStyle name="Normal 4 4 4 5 2 3" xfId="12374" xr:uid="{748C7B77-9400-432F-AAB2-78907A00F742}"/>
    <cellStyle name="Normal 4 4 4 5 2 4" xfId="20812" xr:uid="{F86D9CAF-3C3C-465E-B944-BE08FFA8788C}"/>
    <cellStyle name="Normal 4 4 4 5 3" xfId="6005" xr:uid="{00000000-0005-0000-0000-0000D4150000}"/>
    <cellStyle name="Normal 4 4 4 5 3 2" xfId="14447" xr:uid="{19669598-1407-4EDD-A41B-1CC13FA86DB1}"/>
    <cellStyle name="Normal 4 4 4 5 3 3" xfId="22884" xr:uid="{46071D76-25C0-4BF9-BE06-6BF1D07DCD80}"/>
    <cellStyle name="Normal 4 4 4 5 4" xfId="10229" xr:uid="{02214B78-8607-4A86-8244-D6B3F5294411}"/>
    <cellStyle name="Normal 4 4 4 5 5" xfId="18667" xr:uid="{2AB88ED1-73A4-4789-82C1-1737AF5CBC08}"/>
    <cellStyle name="Normal 4 4 4 6" xfId="2111" xr:uid="{00000000-0005-0000-0000-0000D5150000}"/>
    <cellStyle name="Normal 4 4 4 6 2" xfId="4340" xr:uid="{00000000-0005-0000-0000-0000D6150000}"/>
    <cellStyle name="Normal 4 4 4 6 2 2" xfId="8563" xr:uid="{00000000-0005-0000-0000-0000D7150000}"/>
    <cellStyle name="Normal 4 4 4 6 2 2 2" xfId="17005" xr:uid="{05E0554C-3DAD-4B3D-A7C3-6369EBD99EDA}"/>
    <cellStyle name="Normal 4 4 4 6 2 2 3" xfId="25442" xr:uid="{106F1921-1E25-49D5-807E-137311183D17}"/>
    <cellStyle name="Normal 4 4 4 6 2 3" xfId="12787" xr:uid="{6348A2A0-B305-4488-853D-4CB051F71CD7}"/>
    <cellStyle name="Normal 4 4 4 6 2 4" xfId="21225" xr:uid="{C85FF343-82A8-4663-9A79-9419463AB32A}"/>
    <cellStyle name="Normal 4 4 4 6 3" xfId="6418" xr:uid="{00000000-0005-0000-0000-0000D8150000}"/>
    <cellStyle name="Normal 4 4 4 6 3 2" xfId="14860" xr:uid="{8F328A52-107B-47FE-A4A0-D697B18BBE5F}"/>
    <cellStyle name="Normal 4 4 4 6 3 3" xfId="23297" xr:uid="{D5E4FA3B-137C-4D4C-8BBE-FE97CFC3351D}"/>
    <cellStyle name="Normal 4 4 4 6 4" xfId="10642" xr:uid="{0DC31D1E-C847-452E-85B5-97638F93044F}"/>
    <cellStyle name="Normal 4 4 4 6 5" xfId="19080" xr:uid="{80ACEF22-704C-48ED-B706-6AD4CC3C82FA}"/>
    <cellStyle name="Normal 4 4 4 7" xfId="2547" xr:uid="{00000000-0005-0000-0000-0000D9150000}"/>
    <cellStyle name="Normal 4 4 4 7 2" xfId="6831" xr:uid="{00000000-0005-0000-0000-0000DA150000}"/>
    <cellStyle name="Normal 4 4 4 7 2 2" xfId="15273" xr:uid="{6E6788B1-98D6-4E1A-AD82-78BC616E9CD7}"/>
    <cellStyle name="Normal 4 4 4 7 2 3" xfId="23710" xr:uid="{C784C6FA-F13D-4532-B893-0B93E1947520}"/>
    <cellStyle name="Normal 4 4 4 7 3" xfId="11055" xr:uid="{CDF71A39-4FF3-4FDB-B641-7EF958D72070}"/>
    <cellStyle name="Normal 4 4 4 7 4" xfId="19493" xr:uid="{C5318782-CB41-4D36-8B84-2D23BFF5687B}"/>
    <cellStyle name="Normal 4 4 4 8" xfId="4766" xr:uid="{00000000-0005-0000-0000-0000DB150000}"/>
    <cellStyle name="Normal 4 4 4 8 2" xfId="13208" xr:uid="{19DD1F72-8C5E-4A1F-B0AC-824C78C3E46A}"/>
    <cellStyle name="Normal 4 4 4 8 3" xfId="21645" xr:uid="{8E1A6576-BB75-4081-A655-5226823C72FA}"/>
    <cellStyle name="Normal 4 4 4 9" xfId="8990" xr:uid="{2C6C0B94-792E-4B31-A994-2B58AB60359C}"/>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2 2 2" xfId="15768" xr:uid="{6142D4AE-0B54-4C4C-8B26-612E6A9C1013}"/>
    <cellStyle name="Normal 4 4 5 2 2 2 3" xfId="24205" xr:uid="{2218F7A4-ED76-4F5B-BA4A-92F817CD246E}"/>
    <cellStyle name="Normal 4 4 5 2 2 3" xfId="11550" xr:uid="{5293A6D3-1E51-417E-A4D1-535297F4A722}"/>
    <cellStyle name="Normal 4 4 5 2 2 4" xfId="19988" xr:uid="{1A2351D2-735A-40C1-881D-E1F12C49FF94}"/>
    <cellStyle name="Normal 4 4 5 2 3" xfId="5181" xr:uid="{00000000-0005-0000-0000-0000E0150000}"/>
    <cellStyle name="Normal 4 4 5 2 3 2" xfId="13623" xr:uid="{590D26B6-BC36-44E2-A5B7-BB0A426C6270}"/>
    <cellStyle name="Normal 4 4 5 2 3 3" xfId="22060" xr:uid="{D96164CC-9B10-405C-B452-A3B238D4E860}"/>
    <cellStyle name="Normal 4 4 5 2 4" xfId="9405" xr:uid="{123322DB-8808-41F7-8232-F74E2B7C1773}"/>
    <cellStyle name="Normal 4 4 5 2 5" xfId="17843" xr:uid="{CA7F5439-DF63-4BA1-83A3-FB988D020F02}"/>
    <cellStyle name="Normal 4 4 5 3" xfId="1286" xr:uid="{00000000-0005-0000-0000-0000E1150000}"/>
    <cellStyle name="Normal 4 4 5 3 2" xfId="3516" xr:uid="{00000000-0005-0000-0000-0000E2150000}"/>
    <cellStyle name="Normal 4 4 5 3 2 2" xfId="7739" xr:uid="{00000000-0005-0000-0000-0000E3150000}"/>
    <cellStyle name="Normal 4 4 5 3 2 2 2" xfId="16181" xr:uid="{2A35498A-519A-4B86-9AF2-1BCD61F84D2A}"/>
    <cellStyle name="Normal 4 4 5 3 2 2 3" xfId="24618" xr:uid="{E15C84DA-F8CF-457F-8793-C9C8BCF4D9D1}"/>
    <cellStyle name="Normal 4 4 5 3 2 3" xfId="11963" xr:uid="{D1F702A8-1F18-4C57-A25F-3468BE5F8A85}"/>
    <cellStyle name="Normal 4 4 5 3 2 4" xfId="20401" xr:uid="{E1D340BB-05F8-44DF-86EF-A26B2432C016}"/>
    <cellStyle name="Normal 4 4 5 3 3" xfId="5594" xr:uid="{00000000-0005-0000-0000-0000E4150000}"/>
    <cellStyle name="Normal 4 4 5 3 3 2" xfId="14036" xr:uid="{4144E60A-A682-4BB8-83E8-4A2C7E9481C2}"/>
    <cellStyle name="Normal 4 4 5 3 3 3" xfId="22473" xr:uid="{8D761C26-7204-4FAB-BC83-4CF96E761471}"/>
    <cellStyle name="Normal 4 4 5 3 4" xfId="9818" xr:uid="{C5D9C7A4-908B-46C6-91F7-CB319E3B9230}"/>
    <cellStyle name="Normal 4 4 5 3 5" xfId="18256" xr:uid="{58226EDF-443B-43F6-972E-9079FAFDB2E5}"/>
    <cellStyle name="Normal 4 4 5 4" xfId="1699" xr:uid="{00000000-0005-0000-0000-0000E5150000}"/>
    <cellStyle name="Normal 4 4 5 4 2" xfId="3929" xr:uid="{00000000-0005-0000-0000-0000E6150000}"/>
    <cellStyle name="Normal 4 4 5 4 2 2" xfId="8152" xr:uid="{00000000-0005-0000-0000-0000E7150000}"/>
    <cellStyle name="Normal 4 4 5 4 2 2 2" xfId="16594" xr:uid="{9CB36AEF-E974-4A4B-99F2-BE168D2C27B5}"/>
    <cellStyle name="Normal 4 4 5 4 2 2 3" xfId="25031" xr:uid="{D35C4318-1BFE-45E4-B9CA-67E466F3BF6B}"/>
    <cellStyle name="Normal 4 4 5 4 2 3" xfId="12376" xr:uid="{890A16E5-1527-449E-A0CF-3562B2114422}"/>
    <cellStyle name="Normal 4 4 5 4 2 4" xfId="20814" xr:uid="{5F13913D-64A9-4964-9093-301F60912692}"/>
    <cellStyle name="Normal 4 4 5 4 3" xfId="6007" xr:uid="{00000000-0005-0000-0000-0000E8150000}"/>
    <cellStyle name="Normal 4 4 5 4 3 2" xfId="14449" xr:uid="{252A5BD3-5E90-45E1-9C1A-012FE5934CC9}"/>
    <cellStyle name="Normal 4 4 5 4 3 3" xfId="22886" xr:uid="{71D380E5-C975-45F9-93AB-BC9A868774DA}"/>
    <cellStyle name="Normal 4 4 5 4 4" xfId="10231" xr:uid="{586028F3-736C-49B3-BE8A-C55B9E258E6D}"/>
    <cellStyle name="Normal 4 4 5 4 5" xfId="18669" xr:uid="{E7C6520A-258E-45BE-B767-E80F8396FD5C}"/>
    <cellStyle name="Normal 4 4 5 5" xfId="2113" xr:uid="{00000000-0005-0000-0000-0000E9150000}"/>
    <cellStyle name="Normal 4 4 5 5 2" xfId="4342" xr:uid="{00000000-0005-0000-0000-0000EA150000}"/>
    <cellStyle name="Normal 4 4 5 5 2 2" xfId="8565" xr:uid="{00000000-0005-0000-0000-0000EB150000}"/>
    <cellStyle name="Normal 4 4 5 5 2 2 2" xfId="17007" xr:uid="{FB1DE43C-1367-4A98-B017-BBC8E5417EED}"/>
    <cellStyle name="Normal 4 4 5 5 2 2 3" xfId="25444" xr:uid="{4A1A1713-D486-4DA5-82AF-B826A568436C}"/>
    <cellStyle name="Normal 4 4 5 5 2 3" xfId="12789" xr:uid="{B185861A-0A6E-41E2-8713-F042E77C9430}"/>
    <cellStyle name="Normal 4 4 5 5 2 4" xfId="21227" xr:uid="{D30F15D4-F5FA-411A-94FE-FE5AD5034521}"/>
    <cellStyle name="Normal 4 4 5 5 3" xfId="6420" xr:uid="{00000000-0005-0000-0000-0000EC150000}"/>
    <cellStyle name="Normal 4 4 5 5 3 2" xfId="14862" xr:uid="{9D8505D1-5DB3-4348-9884-174DFC7368E2}"/>
    <cellStyle name="Normal 4 4 5 5 3 3" xfId="23299" xr:uid="{3B493F6C-7109-4347-8AD3-53B94E8AA31E}"/>
    <cellStyle name="Normal 4 4 5 5 4" xfId="10644" xr:uid="{BDE1B3AE-3F1C-438C-9845-7C232284AF5B}"/>
    <cellStyle name="Normal 4 4 5 5 5" xfId="19082" xr:uid="{D232AC07-40BE-42A7-8205-A81A9C34EA89}"/>
    <cellStyle name="Normal 4 4 5 6" xfId="2549" xr:uid="{00000000-0005-0000-0000-0000ED150000}"/>
    <cellStyle name="Normal 4 4 5 6 2" xfId="6833" xr:uid="{00000000-0005-0000-0000-0000EE150000}"/>
    <cellStyle name="Normal 4 4 5 6 2 2" xfId="15275" xr:uid="{4EEC64F8-2E40-42E5-8CF7-C8661C05CFD7}"/>
    <cellStyle name="Normal 4 4 5 6 2 3" xfId="23712" xr:uid="{4E8B5644-C2AB-46B2-AD64-B4D9A90C3E12}"/>
    <cellStyle name="Normal 4 4 5 6 3" xfId="11057" xr:uid="{3B8319EC-002E-45F4-9A90-CFDC4F3F9897}"/>
    <cellStyle name="Normal 4 4 5 6 4" xfId="19495" xr:uid="{DAFDE0FB-98B3-4657-ABF0-928B8B118C1C}"/>
    <cellStyle name="Normal 4 4 5 7" xfId="4768" xr:uid="{00000000-0005-0000-0000-0000EF150000}"/>
    <cellStyle name="Normal 4 4 5 7 2" xfId="13210" xr:uid="{4F60F8D7-4DB1-48D9-9052-8B2048F22050}"/>
    <cellStyle name="Normal 4 4 5 7 3" xfId="21647" xr:uid="{D1D031B9-CE80-4A38-9EF4-1144E1879E9F}"/>
    <cellStyle name="Normal 4 4 5 8" xfId="8992" xr:uid="{E11BC0B7-44CC-423F-8FE4-9152F123B7C5}"/>
    <cellStyle name="Normal 4 4 5 9" xfId="17430" xr:uid="{E0069990-062A-47BA-A082-08645D428813}"/>
    <cellStyle name="Normal 4 4 6" xfId="853" xr:uid="{00000000-0005-0000-0000-0000F0150000}"/>
    <cellStyle name="Normal 4 4 6 2" xfId="3088" xr:uid="{00000000-0005-0000-0000-0000F1150000}"/>
    <cellStyle name="Normal 4 4 6 2 2" xfId="7311" xr:uid="{00000000-0005-0000-0000-0000F2150000}"/>
    <cellStyle name="Normal 4 4 6 2 2 2" xfId="15753" xr:uid="{390D1F0C-F8EF-4BE0-B4C7-0BB4F94A69BA}"/>
    <cellStyle name="Normal 4 4 6 2 2 3" xfId="24190" xr:uid="{1CD8AF3C-773E-4650-B74E-840656706309}"/>
    <cellStyle name="Normal 4 4 6 2 3" xfId="11535" xr:uid="{7FAF5765-DBAB-423E-884A-73298884C4BB}"/>
    <cellStyle name="Normal 4 4 6 2 4" xfId="19973" xr:uid="{D8F64A05-B8C8-4C57-AFAA-03951D996B44}"/>
    <cellStyle name="Normal 4 4 6 3" xfId="5166" xr:uid="{00000000-0005-0000-0000-0000F3150000}"/>
    <cellStyle name="Normal 4 4 6 3 2" xfId="13608" xr:uid="{EBEB1AD7-D48E-430A-8006-17B3D9105225}"/>
    <cellStyle name="Normal 4 4 6 3 3" xfId="22045" xr:uid="{3F15ECA2-D847-464E-B2E0-9F30FBE3272E}"/>
    <cellStyle name="Normal 4 4 6 4" xfId="9390" xr:uid="{78FC9C8E-5987-44AC-9BB4-494CF0A17CC6}"/>
    <cellStyle name="Normal 4 4 6 5" xfId="17828" xr:uid="{3685E0B5-7461-40E5-933C-9FD5B8B65699}"/>
    <cellStyle name="Normal 4 4 7" xfId="1271" xr:uid="{00000000-0005-0000-0000-0000F4150000}"/>
    <cellStyle name="Normal 4 4 7 2" xfId="3501" xr:uid="{00000000-0005-0000-0000-0000F5150000}"/>
    <cellStyle name="Normal 4 4 7 2 2" xfId="7724" xr:uid="{00000000-0005-0000-0000-0000F6150000}"/>
    <cellStyle name="Normal 4 4 7 2 2 2" xfId="16166" xr:uid="{F1ADA8A8-FD24-4639-B7E1-0A2D335D8368}"/>
    <cellStyle name="Normal 4 4 7 2 2 3" xfId="24603" xr:uid="{4C67144C-575E-450B-BA98-FAB2AAA79047}"/>
    <cellStyle name="Normal 4 4 7 2 3" xfId="11948" xr:uid="{D7AE0C1E-E609-4FCC-BEEB-EBC77D560AE7}"/>
    <cellStyle name="Normal 4 4 7 2 4" xfId="20386" xr:uid="{DDDA846C-7943-4083-9B53-8F54E94E2E7A}"/>
    <cellStyle name="Normal 4 4 7 3" xfId="5579" xr:uid="{00000000-0005-0000-0000-0000F7150000}"/>
    <cellStyle name="Normal 4 4 7 3 2" xfId="14021" xr:uid="{6365E082-A455-47FE-95F2-8A06B1888B7B}"/>
    <cellStyle name="Normal 4 4 7 3 3" xfId="22458" xr:uid="{CE02EB38-BAC9-433A-8FAC-A848E1A44565}"/>
    <cellStyle name="Normal 4 4 7 4" xfId="9803" xr:uid="{1D1FAA0F-B41A-45C8-B563-46CC47D9D5BE}"/>
    <cellStyle name="Normal 4 4 7 5" xfId="18241" xr:uid="{9BE9D660-A1DE-4D68-A259-A04D72F7D79F}"/>
    <cellStyle name="Normal 4 4 8" xfId="1684" xr:uid="{00000000-0005-0000-0000-0000F8150000}"/>
    <cellStyle name="Normal 4 4 8 2" xfId="3914" xr:uid="{00000000-0005-0000-0000-0000F9150000}"/>
    <cellStyle name="Normal 4 4 8 2 2" xfId="8137" xr:uid="{00000000-0005-0000-0000-0000FA150000}"/>
    <cellStyle name="Normal 4 4 8 2 2 2" xfId="16579" xr:uid="{4D9AAAB3-29EB-4CE1-B83A-6813EF785435}"/>
    <cellStyle name="Normal 4 4 8 2 2 3" xfId="25016" xr:uid="{60AB0CB3-B71A-45F5-9307-BCD2D2088A93}"/>
    <cellStyle name="Normal 4 4 8 2 3" xfId="12361" xr:uid="{2559AB7C-7219-4709-AA1B-869EBDC20B42}"/>
    <cellStyle name="Normal 4 4 8 2 4" xfId="20799" xr:uid="{FDCB7C7B-5032-4E9B-A33C-5107D57A2A50}"/>
    <cellStyle name="Normal 4 4 8 3" xfId="5992" xr:uid="{00000000-0005-0000-0000-0000FB150000}"/>
    <cellStyle name="Normal 4 4 8 3 2" xfId="14434" xr:uid="{DF1DBF3F-B2A8-4CBC-A1F2-107489C17827}"/>
    <cellStyle name="Normal 4 4 8 3 3" xfId="22871" xr:uid="{BA931255-DC71-4585-85E8-042AE008138F}"/>
    <cellStyle name="Normal 4 4 8 4" xfId="10216" xr:uid="{1D599829-F1FB-4FEF-8742-ED9E814F5C27}"/>
    <cellStyle name="Normal 4 4 8 5" xfId="18654" xr:uid="{3813F0BC-724A-4350-8FCB-F44AE2AA3494}"/>
    <cellStyle name="Normal 4 4 9" xfId="2098" xr:uid="{00000000-0005-0000-0000-0000FC150000}"/>
    <cellStyle name="Normal 4 4 9 2" xfId="4327" xr:uid="{00000000-0005-0000-0000-0000FD150000}"/>
    <cellStyle name="Normal 4 4 9 2 2" xfId="8550" xr:uid="{00000000-0005-0000-0000-0000FE150000}"/>
    <cellStyle name="Normal 4 4 9 2 2 2" xfId="16992" xr:uid="{19B2B9CF-6A9B-46D0-9759-F241F5D776B5}"/>
    <cellStyle name="Normal 4 4 9 2 2 3" xfId="25429" xr:uid="{D8483CA1-AF97-43CD-9186-D7C44021655C}"/>
    <cellStyle name="Normal 4 4 9 2 3" xfId="12774" xr:uid="{C47382EF-83D5-4874-A0E4-0E5808509750}"/>
    <cellStyle name="Normal 4 4 9 2 4" xfId="21212" xr:uid="{2922024A-C8B3-4A5D-9946-C987032C4573}"/>
    <cellStyle name="Normal 4 4 9 3" xfId="6405" xr:uid="{00000000-0005-0000-0000-0000FF150000}"/>
    <cellStyle name="Normal 4 4 9 3 2" xfId="14847" xr:uid="{AE2A5DD4-41F2-46FE-B385-E593EA2095AE}"/>
    <cellStyle name="Normal 4 4 9 3 3" xfId="23284" xr:uid="{05669E37-BEA7-42CA-AAC6-9504D7082AB0}"/>
    <cellStyle name="Normal 4 4 9 4" xfId="10629" xr:uid="{7B7E5B3D-E738-4BE5-A6CA-9516B5834CED}"/>
    <cellStyle name="Normal 4 4 9 5" xfId="19067" xr:uid="{8FABBBDA-8CF3-456B-BA5A-724334744E39}"/>
    <cellStyle name="Normal 4 5" xfId="394" xr:uid="{00000000-0005-0000-0000-000000160000}"/>
    <cellStyle name="Normal 4 6" xfId="395" xr:uid="{00000000-0005-0000-0000-000001160000}"/>
    <cellStyle name="Normal 4 6 10" xfId="4769" xr:uid="{00000000-0005-0000-0000-000002160000}"/>
    <cellStyle name="Normal 4 6 10 2" xfId="13211" xr:uid="{A48835C8-0BB6-4312-8BC1-ACD77CE3399B}"/>
    <cellStyle name="Normal 4 6 10 3" xfId="21648" xr:uid="{B124015B-4C3C-4BE9-AB13-5FDAAE95DA9D}"/>
    <cellStyle name="Normal 4 6 11" xfId="8993" xr:uid="{B737BF31-34D3-477A-9776-A8A873F35DD4}"/>
    <cellStyle name="Normal 4 6 12" xfId="17431" xr:uid="{F42700E7-7992-407A-B699-0DF47643CF7B}"/>
    <cellStyle name="Normal 4 6 2" xfId="396" xr:uid="{00000000-0005-0000-0000-000003160000}"/>
    <cellStyle name="Normal 4 6 2 10" xfId="8994" xr:uid="{2248BB3F-0E6A-4162-A9D9-72BB3ABFCB1F}"/>
    <cellStyle name="Normal 4 6 2 11" xfId="17432" xr:uid="{C5C43304-B730-4FEF-934C-602B948C0796}"/>
    <cellStyle name="Normal 4 6 2 2" xfId="397" xr:uid="{00000000-0005-0000-0000-000004160000}"/>
    <cellStyle name="Normal 4 6 2 2 10" xfId="17433" xr:uid="{C151EDA7-FAC8-441C-BC67-1788F92BF82C}"/>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2 2 2" xfId="15772" xr:uid="{B0AD38EF-2FC9-453A-ACC4-94AEB443A1C3}"/>
    <cellStyle name="Normal 4 6 2 2 2 2 2 2 3" xfId="24209" xr:uid="{AFB6266D-E498-4E63-B12C-C1B3FC75CD3A}"/>
    <cellStyle name="Normal 4 6 2 2 2 2 2 3" xfId="11554" xr:uid="{72829A74-CC20-44C2-947B-9A1B66FCFA14}"/>
    <cellStyle name="Normal 4 6 2 2 2 2 2 4" xfId="19992" xr:uid="{7D44EAD9-D15B-45AD-8000-BD24550AF883}"/>
    <cellStyle name="Normal 4 6 2 2 2 2 3" xfId="5185" xr:uid="{00000000-0005-0000-0000-000009160000}"/>
    <cellStyle name="Normal 4 6 2 2 2 2 3 2" xfId="13627" xr:uid="{20742541-C90F-4C40-BD70-FE97D4FED264}"/>
    <cellStyle name="Normal 4 6 2 2 2 2 3 3" xfId="22064" xr:uid="{BCFA7204-EEE8-40D6-B084-F8106E980F7A}"/>
    <cellStyle name="Normal 4 6 2 2 2 2 4" xfId="9409" xr:uid="{2969812A-A994-42E1-8912-B3ACD7C3D844}"/>
    <cellStyle name="Normal 4 6 2 2 2 2 5" xfId="17847" xr:uid="{7D15071E-E104-4505-85CE-9AB23DAED6D4}"/>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2 2 2" xfId="16185" xr:uid="{9B65CA04-FE2D-4F60-94BD-5612AF1F5ADC}"/>
    <cellStyle name="Normal 4 6 2 2 2 3 2 2 3" xfId="24622" xr:uid="{3A90FBD6-E2F3-4555-AE01-2317611686BF}"/>
    <cellStyle name="Normal 4 6 2 2 2 3 2 3" xfId="11967" xr:uid="{E2E727CB-535B-4B7D-8F08-676B867B0202}"/>
    <cellStyle name="Normal 4 6 2 2 2 3 2 4" xfId="20405" xr:uid="{87AF331E-568C-4393-8EE0-6848A6F2C803}"/>
    <cellStyle name="Normal 4 6 2 2 2 3 3" xfId="5598" xr:uid="{00000000-0005-0000-0000-00000D160000}"/>
    <cellStyle name="Normal 4 6 2 2 2 3 3 2" xfId="14040" xr:uid="{B4BBB590-4621-4200-B119-464B77594713}"/>
    <cellStyle name="Normal 4 6 2 2 2 3 3 3" xfId="22477" xr:uid="{F82A25BD-CAEF-4FD3-9BE3-8134FBAFDD81}"/>
    <cellStyle name="Normal 4 6 2 2 2 3 4" xfId="9822" xr:uid="{A36D3A09-7BF8-4038-9D89-DB3FFB4D67E5}"/>
    <cellStyle name="Normal 4 6 2 2 2 3 5" xfId="18260" xr:uid="{8B322ED4-6AAE-48FD-ABD1-0E2BA664317A}"/>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2 2 2" xfId="16598" xr:uid="{915448FE-A806-4B72-9064-4FA4EA5EAECC}"/>
    <cellStyle name="Normal 4 6 2 2 2 4 2 2 3" xfId="25035" xr:uid="{01026BE1-589D-4D80-9F9C-C7B8FD34A064}"/>
    <cellStyle name="Normal 4 6 2 2 2 4 2 3" xfId="12380" xr:uid="{B4D66A67-3710-4FA7-8907-AB24B93DA636}"/>
    <cellStyle name="Normal 4 6 2 2 2 4 2 4" xfId="20818" xr:uid="{4ECF3658-BF8A-42AC-9237-89566837620F}"/>
    <cellStyle name="Normal 4 6 2 2 2 4 3" xfId="6011" xr:uid="{00000000-0005-0000-0000-000011160000}"/>
    <cellStyle name="Normal 4 6 2 2 2 4 3 2" xfId="14453" xr:uid="{16C229F4-E59A-4FF1-9295-AD9AD6D0B402}"/>
    <cellStyle name="Normal 4 6 2 2 2 4 3 3" xfId="22890" xr:uid="{40F59908-A6D2-41AB-8F4A-FCBD91892D31}"/>
    <cellStyle name="Normal 4 6 2 2 2 4 4" xfId="10235" xr:uid="{839B7A7C-3F31-4541-A26F-78B462AB90E4}"/>
    <cellStyle name="Normal 4 6 2 2 2 4 5" xfId="18673" xr:uid="{770B4B68-5090-41A1-A6EF-672A32B1B40D}"/>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2 2 2" xfId="17011" xr:uid="{08694B17-7888-4AA9-8DB8-774B1E29E1F7}"/>
    <cellStyle name="Normal 4 6 2 2 2 5 2 2 3" xfId="25448" xr:uid="{0505E885-9016-4CEF-B08A-4A725999FB02}"/>
    <cellStyle name="Normal 4 6 2 2 2 5 2 3" xfId="12793" xr:uid="{38F70475-8D8C-477D-AC26-6146B6069FE0}"/>
    <cellStyle name="Normal 4 6 2 2 2 5 2 4" xfId="21231" xr:uid="{351A59DA-30A8-4C6C-800D-35D73307D748}"/>
    <cellStyle name="Normal 4 6 2 2 2 5 3" xfId="6424" xr:uid="{00000000-0005-0000-0000-000015160000}"/>
    <cellStyle name="Normal 4 6 2 2 2 5 3 2" xfId="14866" xr:uid="{8FEB0990-2DCC-4ED0-B587-79D310D240BC}"/>
    <cellStyle name="Normal 4 6 2 2 2 5 3 3" xfId="23303" xr:uid="{2B597F2D-60FE-4F40-9170-10B1CA1F025B}"/>
    <cellStyle name="Normal 4 6 2 2 2 5 4" xfId="10648" xr:uid="{28811AF2-AAFB-4A7C-A2CF-047B2A66FE72}"/>
    <cellStyle name="Normal 4 6 2 2 2 5 5" xfId="19086" xr:uid="{B228EF6F-26D5-41BB-84A9-4F38531E69C1}"/>
    <cellStyle name="Normal 4 6 2 2 2 6" xfId="2553" xr:uid="{00000000-0005-0000-0000-000016160000}"/>
    <cellStyle name="Normal 4 6 2 2 2 6 2" xfId="6837" xr:uid="{00000000-0005-0000-0000-000017160000}"/>
    <cellStyle name="Normal 4 6 2 2 2 6 2 2" xfId="15279" xr:uid="{997B10C8-DC78-4151-8CA1-1B6E260101FA}"/>
    <cellStyle name="Normal 4 6 2 2 2 6 2 3" xfId="23716" xr:uid="{40D27323-CF0D-497A-B6AD-72C60583441B}"/>
    <cellStyle name="Normal 4 6 2 2 2 6 3" xfId="11061" xr:uid="{79486196-D80F-4545-8986-4E1BA1EADDB2}"/>
    <cellStyle name="Normal 4 6 2 2 2 6 4" xfId="19499" xr:uid="{6FDAC585-BEC6-4254-8C46-10147CAB8820}"/>
    <cellStyle name="Normal 4 6 2 2 2 7" xfId="4772" xr:uid="{00000000-0005-0000-0000-000018160000}"/>
    <cellStyle name="Normal 4 6 2 2 2 7 2" xfId="13214" xr:uid="{3900589F-221F-43C9-831D-EE12F0029205}"/>
    <cellStyle name="Normal 4 6 2 2 2 7 3" xfId="21651" xr:uid="{F28FECE6-5768-44D6-8415-CF97D7FD5748}"/>
    <cellStyle name="Normal 4 6 2 2 2 8" xfId="8996" xr:uid="{2D978DFB-18A6-4D93-A21B-2429C88C50A8}"/>
    <cellStyle name="Normal 4 6 2 2 2 9" xfId="17434" xr:uid="{191E949E-5DC1-4F7A-BD36-1D379C4BAE7D}"/>
    <cellStyle name="Normal 4 6 2 2 3" xfId="871" xr:uid="{00000000-0005-0000-0000-000019160000}"/>
    <cellStyle name="Normal 4 6 2 2 3 2" xfId="3106" xr:uid="{00000000-0005-0000-0000-00001A160000}"/>
    <cellStyle name="Normal 4 6 2 2 3 2 2" xfId="7329" xr:uid="{00000000-0005-0000-0000-00001B160000}"/>
    <cellStyle name="Normal 4 6 2 2 3 2 2 2" xfId="15771" xr:uid="{D2BA64D2-73FB-45C5-98DD-AE216AED874F}"/>
    <cellStyle name="Normal 4 6 2 2 3 2 2 3" xfId="24208" xr:uid="{E87FB6DB-BA34-40AD-8312-11016F2481F7}"/>
    <cellStyle name="Normal 4 6 2 2 3 2 3" xfId="11553" xr:uid="{0D6BF2A1-EF1C-41D9-93C7-23BF9DB1AE31}"/>
    <cellStyle name="Normal 4 6 2 2 3 2 4" xfId="19991" xr:uid="{F810F14C-61C1-462B-B8C9-CE2D490531A5}"/>
    <cellStyle name="Normal 4 6 2 2 3 3" xfId="5184" xr:uid="{00000000-0005-0000-0000-00001C160000}"/>
    <cellStyle name="Normal 4 6 2 2 3 3 2" xfId="13626" xr:uid="{F6900616-D904-4114-BC8F-ED88C4942296}"/>
    <cellStyle name="Normal 4 6 2 2 3 3 3" xfId="22063" xr:uid="{93E2CFCD-DD8F-437D-A09B-62FC3296B964}"/>
    <cellStyle name="Normal 4 6 2 2 3 4" xfId="9408" xr:uid="{36A7E74B-FB1E-42EA-B20D-98E9FBAF1830}"/>
    <cellStyle name="Normal 4 6 2 2 3 5" xfId="17846" xr:uid="{482E99B4-5191-4112-98C6-D093F5EBEC40}"/>
    <cellStyle name="Normal 4 6 2 2 4" xfId="1289" xr:uid="{00000000-0005-0000-0000-00001D160000}"/>
    <cellStyle name="Normal 4 6 2 2 4 2" xfId="3519" xr:uid="{00000000-0005-0000-0000-00001E160000}"/>
    <cellStyle name="Normal 4 6 2 2 4 2 2" xfId="7742" xr:uid="{00000000-0005-0000-0000-00001F160000}"/>
    <cellStyle name="Normal 4 6 2 2 4 2 2 2" xfId="16184" xr:uid="{562A38D6-5D29-45C0-B9F9-D9AF535ADDF2}"/>
    <cellStyle name="Normal 4 6 2 2 4 2 2 3" xfId="24621" xr:uid="{EA05EC35-0F9F-4E19-B47D-C5BE55A2CD88}"/>
    <cellStyle name="Normal 4 6 2 2 4 2 3" xfId="11966" xr:uid="{E039FE3F-F9CC-43AD-BA75-412E3D5298F6}"/>
    <cellStyle name="Normal 4 6 2 2 4 2 4" xfId="20404" xr:uid="{C18B97A1-E732-468B-B616-629AD887D694}"/>
    <cellStyle name="Normal 4 6 2 2 4 3" xfId="5597" xr:uid="{00000000-0005-0000-0000-000020160000}"/>
    <cellStyle name="Normal 4 6 2 2 4 3 2" xfId="14039" xr:uid="{F49816BE-A62B-423B-906B-9DA35577E88F}"/>
    <cellStyle name="Normal 4 6 2 2 4 3 3" xfId="22476" xr:uid="{2B278F22-8D26-4515-86F3-EB52D89141D3}"/>
    <cellStyle name="Normal 4 6 2 2 4 4" xfId="9821" xr:uid="{F5C057D3-98F0-4326-B70E-FADB60AAEEAD}"/>
    <cellStyle name="Normal 4 6 2 2 4 5" xfId="18259" xr:uid="{B0F0FDC1-C513-4CE1-A1C6-3EE9E1D3E9A6}"/>
    <cellStyle name="Normal 4 6 2 2 5" xfId="1702" xr:uid="{00000000-0005-0000-0000-000021160000}"/>
    <cellStyle name="Normal 4 6 2 2 5 2" xfId="3932" xr:uid="{00000000-0005-0000-0000-000022160000}"/>
    <cellStyle name="Normal 4 6 2 2 5 2 2" xfId="8155" xr:uid="{00000000-0005-0000-0000-000023160000}"/>
    <cellStyle name="Normal 4 6 2 2 5 2 2 2" xfId="16597" xr:uid="{5060D83D-41F2-4C6C-B770-93AE8AE2CC83}"/>
    <cellStyle name="Normal 4 6 2 2 5 2 2 3" xfId="25034" xr:uid="{A00333FA-8E4A-4B85-9EEA-F9BCCDF60BFB}"/>
    <cellStyle name="Normal 4 6 2 2 5 2 3" xfId="12379" xr:uid="{4DCB0B95-52CF-49E9-962F-9B933D501F2E}"/>
    <cellStyle name="Normal 4 6 2 2 5 2 4" xfId="20817" xr:uid="{D2E777EF-8717-4CF0-A9DE-5C96812002FD}"/>
    <cellStyle name="Normal 4 6 2 2 5 3" xfId="6010" xr:uid="{00000000-0005-0000-0000-000024160000}"/>
    <cellStyle name="Normal 4 6 2 2 5 3 2" xfId="14452" xr:uid="{63E34665-6E48-433B-BA12-7C13ACA02D53}"/>
    <cellStyle name="Normal 4 6 2 2 5 3 3" xfId="22889" xr:uid="{CEDEC7DB-59B4-4131-BA45-B70AE2284083}"/>
    <cellStyle name="Normal 4 6 2 2 5 4" xfId="10234" xr:uid="{8D5721C4-99A7-430E-8572-64C863E46C90}"/>
    <cellStyle name="Normal 4 6 2 2 5 5" xfId="18672" xr:uid="{EB210EA1-7550-40E7-9CF8-5079C617B6CF}"/>
    <cellStyle name="Normal 4 6 2 2 6" xfId="2116" xr:uid="{00000000-0005-0000-0000-000025160000}"/>
    <cellStyle name="Normal 4 6 2 2 6 2" xfId="4345" xr:uid="{00000000-0005-0000-0000-000026160000}"/>
    <cellStyle name="Normal 4 6 2 2 6 2 2" xfId="8568" xr:uid="{00000000-0005-0000-0000-000027160000}"/>
    <cellStyle name="Normal 4 6 2 2 6 2 2 2" xfId="17010" xr:uid="{BDC1A9BF-619C-4C10-86EB-9BE16A0658AE}"/>
    <cellStyle name="Normal 4 6 2 2 6 2 2 3" xfId="25447" xr:uid="{C54F233D-2B10-4B55-8D6C-393D22D83315}"/>
    <cellStyle name="Normal 4 6 2 2 6 2 3" xfId="12792" xr:uid="{A5C75E17-4236-4358-B04B-6A5D419AC783}"/>
    <cellStyle name="Normal 4 6 2 2 6 2 4" xfId="21230" xr:uid="{3B085759-902C-40A3-AEFB-7388178AE2D8}"/>
    <cellStyle name="Normal 4 6 2 2 6 3" xfId="6423" xr:uid="{00000000-0005-0000-0000-000028160000}"/>
    <cellStyle name="Normal 4 6 2 2 6 3 2" xfId="14865" xr:uid="{FC84C24D-7A6D-4CF1-884B-932537BCA382}"/>
    <cellStyle name="Normal 4 6 2 2 6 3 3" xfId="23302" xr:uid="{F39816C0-4C10-448A-8826-2C2114FACBE0}"/>
    <cellStyle name="Normal 4 6 2 2 6 4" xfId="10647" xr:uid="{A71A3AA5-BD28-4D46-8EED-D78B7408DF56}"/>
    <cellStyle name="Normal 4 6 2 2 6 5" xfId="19085" xr:uid="{F25DC8ED-EB79-4109-B5D4-2D84BF352847}"/>
    <cellStyle name="Normal 4 6 2 2 7" xfId="2552" xr:uid="{00000000-0005-0000-0000-000029160000}"/>
    <cellStyle name="Normal 4 6 2 2 7 2" xfId="6836" xr:uid="{00000000-0005-0000-0000-00002A160000}"/>
    <cellStyle name="Normal 4 6 2 2 7 2 2" xfId="15278" xr:uid="{17D94C63-42E6-4F32-9D63-977B196C22FB}"/>
    <cellStyle name="Normal 4 6 2 2 7 2 3" xfId="23715" xr:uid="{F48248FE-BEB5-4C02-A753-F0DAEEC96CD7}"/>
    <cellStyle name="Normal 4 6 2 2 7 3" xfId="11060" xr:uid="{8C89DD99-4687-41AA-91FD-75F739542D54}"/>
    <cellStyle name="Normal 4 6 2 2 7 4" xfId="19498" xr:uid="{32D3BCA9-05E7-4772-96BF-64268D865423}"/>
    <cellStyle name="Normal 4 6 2 2 8" xfId="4771" xr:uid="{00000000-0005-0000-0000-00002B160000}"/>
    <cellStyle name="Normal 4 6 2 2 8 2" xfId="13213" xr:uid="{7FA24C24-54F3-4E21-9B3F-11B347707ABE}"/>
    <cellStyle name="Normal 4 6 2 2 8 3" xfId="21650" xr:uid="{BFDF559A-F3DE-446C-8825-91FF7EB870FF}"/>
    <cellStyle name="Normal 4 6 2 2 9" xfId="8995" xr:uid="{843AA062-467A-4DCC-988C-9DD5DA9CE208}"/>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2 2 2" xfId="15773" xr:uid="{98DD78C3-84A7-4FA7-8F65-20667A497D16}"/>
    <cellStyle name="Normal 4 6 2 3 2 2 2 3" xfId="24210" xr:uid="{C3128373-E79D-44D0-B7EA-771195F7F877}"/>
    <cellStyle name="Normal 4 6 2 3 2 2 3" xfId="11555" xr:uid="{D8593E57-7F9E-4FA5-8C0D-8348FD708E88}"/>
    <cellStyle name="Normal 4 6 2 3 2 2 4" xfId="19993" xr:uid="{C6487294-691B-46CB-A84A-279741D8E237}"/>
    <cellStyle name="Normal 4 6 2 3 2 3" xfId="5186" xr:uid="{00000000-0005-0000-0000-000030160000}"/>
    <cellStyle name="Normal 4 6 2 3 2 3 2" xfId="13628" xr:uid="{6BF56030-1322-43A2-9800-A7C8F979048B}"/>
    <cellStyle name="Normal 4 6 2 3 2 3 3" xfId="22065" xr:uid="{6E145E72-1725-413D-835E-82E151C5CE1E}"/>
    <cellStyle name="Normal 4 6 2 3 2 4" xfId="9410" xr:uid="{A3D47A09-84FA-4500-950D-AA7BB2BEA0E3}"/>
    <cellStyle name="Normal 4 6 2 3 2 5" xfId="17848" xr:uid="{622FF271-C631-48C7-9913-BEC2ED11D0B5}"/>
    <cellStyle name="Normal 4 6 2 3 3" xfId="1291" xr:uid="{00000000-0005-0000-0000-000031160000}"/>
    <cellStyle name="Normal 4 6 2 3 3 2" xfId="3521" xr:uid="{00000000-0005-0000-0000-000032160000}"/>
    <cellStyle name="Normal 4 6 2 3 3 2 2" xfId="7744" xr:uid="{00000000-0005-0000-0000-000033160000}"/>
    <cellStyle name="Normal 4 6 2 3 3 2 2 2" xfId="16186" xr:uid="{BB519D8B-04CC-4122-A00B-FCE365BA020B}"/>
    <cellStyle name="Normal 4 6 2 3 3 2 2 3" xfId="24623" xr:uid="{93646B54-3BF2-4335-9249-CC98E5ECCCE5}"/>
    <cellStyle name="Normal 4 6 2 3 3 2 3" xfId="11968" xr:uid="{57EA7C46-A3E4-41E9-9853-BC4CDFDB703D}"/>
    <cellStyle name="Normal 4 6 2 3 3 2 4" xfId="20406" xr:uid="{5E48FFCE-70DD-4CA5-B8B1-974D920670DC}"/>
    <cellStyle name="Normal 4 6 2 3 3 3" xfId="5599" xr:uid="{00000000-0005-0000-0000-000034160000}"/>
    <cellStyle name="Normal 4 6 2 3 3 3 2" xfId="14041" xr:uid="{B6A886EF-7414-4303-8B73-9461C3082339}"/>
    <cellStyle name="Normal 4 6 2 3 3 3 3" xfId="22478" xr:uid="{5D71EE3B-DC89-484A-9838-7C55A55D3FBF}"/>
    <cellStyle name="Normal 4 6 2 3 3 4" xfId="9823" xr:uid="{3F0CE45D-5962-4198-B220-F2C1F45CD576}"/>
    <cellStyle name="Normal 4 6 2 3 3 5" xfId="18261" xr:uid="{58BF4AA8-2661-476C-985E-872BEC9CA4EB}"/>
    <cellStyle name="Normal 4 6 2 3 4" xfId="1704" xr:uid="{00000000-0005-0000-0000-000035160000}"/>
    <cellStyle name="Normal 4 6 2 3 4 2" xfId="3934" xr:uid="{00000000-0005-0000-0000-000036160000}"/>
    <cellStyle name="Normal 4 6 2 3 4 2 2" xfId="8157" xr:uid="{00000000-0005-0000-0000-000037160000}"/>
    <cellStyle name="Normal 4 6 2 3 4 2 2 2" xfId="16599" xr:uid="{0FFF22C5-25B9-4C38-ACBB-E08E16E569D5}"/>
    <cellStyle name="Normal 4 6 2 3 4 2 2 3" xfId="25036" xr:uid="{50E2F942-47F9-41AE-8560-6158C1EBA20E}"/>
    <cellStyle name="Normal 4 6 2 3 4 2 3" xfId="12381" xr:uid="{C859AEF0-138F-4EB7-9327-47C84E88D8C6}"/>
    <cellStyle name="Normal 4 6 2 3 4 2 4" xfId="20819" xr:uid="{918B80EB-1EEE-479D-9C36-DA1C46A72E8C}"/>
    <cellStyle name="Normal 4 6 2 3 4 3" xfId="6012" xr:uid="{00000000-0005-0000-0000-000038160000}"/>
    <cellStyle name="Normal 4 6 2 3 4 3 2" xfId="14454" xr:uid="{F3FD5346-E888-42CB-8C66-77C023EF94F8}"/>
    <cellStyle name="Normal 4 6 2 3 4 3 3" xfId="22891" xr:uid="{C788424C-9B8A-4618-AB71-A487B87D9FA6}"/>
    <cellStyle name="Normal 4 6 2 3 4 4" xfId="10236" xr:uid="{8A2658A5-8000-48CE-AEFF-45579061E218}"/>
    <cellStyle name="Normal 4 6 2 3 4 5" xfId="18674" xr:uid="{0CFC5725-97EE-41B7-B65A-2F2C90313E89}"/>
    <cellStyle name="Normal 4 6 2 3 5" xfId="2118" xr:uid="{00000000-0005-0000-0000-000039160000}"/>
    <cellStyle name="Normal 4 6 2 3 5 2" xfId="4347" xr:uid="{00000000-0005-0000-0000-00003A160000}"/>
    <cellStyle name="Normal 4 6 2 3 5 2 2" xfId="8570" xr:uid="{00000000-0005-0000-0000-00003B160000}"/>
    <cellStyle name="Normal 4 6 2 3 5 2 2 2" xfId="17012" xr:uid="{A57E5EDD-DEF1-44B6-BB2F-8803835EA78A}"/>
    <cellStyle name="Normal 4 6 2 3 5 2 2 3" xfId="25449" xr:uid="{8FCEABC5-3F6D-40AB-96C4-32764CC9BC8F}"/>
    <cellStyle name="Normal 4 6 2 3 5 2 3" xfId="12794" xr:uid="{EDEC8EE2-053D-4340-BCFB-A4114094F446}"/>
    <cellStyle name="Normal 4 6 2 3 5 2 4" xfId="21232" xr:uid="{E7934C17-5F66-4D2D-A9B5-D4929C773D72}"/>
    <cellStyle name="Normal 4 6 2 3 5 3" xfId="6425" xr:uid="{00000000-0005-0000-0000-00003C160000}"/>
    <cellStyle name="Normal 4 6 2 3 5 3 2" xfId="14867" xr:uid="{8D3C056C-6862-439D-A719-FEC668675916}"/>
    <cellStyle name="Normal 4 6 2 3 5 3 3" xfId="23304" xr:uid="{5137C0E2-C42D-4883-91B5-340B73BD6153}"/>
    <cellStyle name="Normal 4 6 2 3 5 4" xfId="10649" xr:uid="{9C1407CE-E88E-4F31-A9D3-68EB3A949A13}"/>
    <cellStyle name="Normal 4 6 2 3 5 5" xfId="19087" xr:uid="{E6CF7A67-B39B-4277-BB6E-014B9B75D36C}"/>
    <cellStyle name="Normal 4 6 2 3 6" xfId="2554" xr:uid="{00000000-0005-0000-0000-00003D160000}"/>
    <cellStyle name="Normal 4 6 2 3 6 2" xfId="6838" xr:uid="{00000000-0005-0000-0000-00003E160000}"/>
    <cellStyle name="Normal 4 6 2 3 6 2 2" xfId="15280" xr:uid="{B38CF013-B839-4CD7-A293-828E0B457D50}"/>
    <cellStyle name="Normal 4 6 2 3 6 2 3" xfId="23717" xr:uid="{FAEEDC61-F790-463E-9325-B8F70166D43A}"/>
    <cellStyle name="Normal 4 6 2 3 6 3" xfId="11062" xr:uid="{2DA062CB-AFA4-4463-95B7-D670ADCD7588}"/>
    <cellStyle name="Normal 4 6 2 3 6 4" xfId="19500" xr:uid="{A7726C26-6853-4345-9649-11BE6BC0A0E1}"/>
    <cellStyle name="Normal 4 6 2 3 7" xfId="4773" xr:uid="{00000000-0005-0000-0000-00003F160000}"/>
    <cellStyle name="Normal 4 6 2 3 7 2" xfId="13215" xr:uid="{6E4D46CC-66AA-4906-A788-11538DFF7224}"/>
    <cellStyle name="Normal 4 6 2 3 7 3" xfId="21652" xr:uid="{7A3EBFE9-3586-439D-9E5D-7327A9E5C7C0}"/>
    <cellStyle name="Normal 4 6 2 3 8" xfId="8997" xr:uid="{28B86E01-098A-45A5-AF1E-B33A73BBF814}"/>
    <cellStyle name="Normal 4 6 2 3 9" xfId="17435" xr:uid="{8344D88B-8B80-4231-9798-1E18DECC6087}"/>
    <cellStyle name="Normal 4 6 2 4" xfId="870" xr:uid="{00000000-0005-0000-0000-000040160000}"/>
    <cellStyle name="Normal 4 6 2 4 2" xfId="3105" xr:uid="{00000000-0005-0000-0000-000041160000}"/>
    <cellStyle name="Normal 4 6 2 4 2 2" xfId="7328" xr:uid="{00000000-0005-0000-0000-000042160000}"/>
    <cellStyle name="Normal 4 6 2 4 2 2 2" xfId="15770" xr:uid="{92DED948-65C5-4A09-BC7B-BAFAF5F6248E}"/>
    <cellStyle name="Normal 4 6 2 4 2 2 3" xfId="24207" xr:uid="{06C24325-326D-4B69-9B5B-23FFB9814A31}"/>
    <cellStyle name="Normal 4 6 2 4 2 3" xfId="11552" xr:uid="{849712CC-7776-4D20-8D1A-5BF5BA3C1FA2}"/>
    <cellStyle name="Normal 4 6 2 4 2 4" xfId="19990" xr:uid="{05B6472D-C562-470B-89D9-BD3272F34013}"/>
    <cellStyle name="Normal 4 6 2 4 3" xfId="5183" xr:uid="{00000000-0005-0000-0000-000043160000}"/>
    <cellStyle name="Normal 4 6 2 4 3 2" xfId="13625" xr:uid="{91906574-7ECD-4831-B4D2-27951BE139A0}"/>
    <cellStyle name="Normal 4 6 2 4 3 3" xfId="22062" xr:uid="{BE4BC438-F5C4-4901-9F3F-18950064640C}"/>
    <cellStyle name="Normal 4 6 2 4 4" xfId="9407" xr:uid="{6DAA1CF6-3F68-4937-B0C5-09E6E4BE4734}"/>
    <cellStyle name="Normal 4 6 2 4 5" xfId="17845" xr:uid="{3CEA137B-FFCC-46D7-94A6-77D27E3916C3}"/>
    <cellStyle name="Normal 4 6 2 5" xfId="1288" xr:uid="{00000000-0005-0000-0000-000044160000}"/>
    <cellStyle name="Normal 4 6 2 5 2" xfId="3518" xr:uid="{00000000-0005-0000-0000-000045160000}"/>
    <cellStyle name="Normal 4 6 2 5 2 2" xfId="7741" xr:uid="{00000000-0005-0000-0000-000046160000}"/>
    <cellStyle name="Normal 4 6 2 5 2 2 2" xfId="16183" xr:uid="{9933C901-D1C1-4470-9745-C3790E2E5984}"/>
    <cellStyle name="Normal 4 6 2 5 2 2 3" xfId="24620" xr:uid="{2FC68432-867A-4A06-A288-56984570E316}"/>
    <cellStyle name="Normal 4 6 2 5 2 3" xfId="11965" xr:uid="{1CDA7934-3024-40D3-A2F6-486266E43846}"/>
    <cellStyle name="Normal 4 6 2 5 2 4" xfId="20403" xr:uid="{DFCAFCDE-9E88-47FB-AB33-718BC1F1C457}"/>
    <cellStyle name="Normal 4 6 2 5 3" xfId="5596" xr:uid="{00000000-0005-0000-0000-000047160000}"/>
    <cellStyle name="Normal 4 6 2 5 3 2" xfId="14038" xr:uid="{76C9D1E1-B6B4-458A-B91B-EADACC043DAA}"/>
    <cellStyle name="Normal 4 6 2 5 3 3" xfId="22475" xr:uid="{6AA35666-EAA7-45A5-8D7D-EDE2D5558DD3}"/>
    <cellStyle name="Normal 4 6 2 5 4" xfId="9820" xr:uid="{42BEC191-7521-4FF6-A3AD-1C2A750DC4E3}"/>
    <cellStyle name="Normal 4 6 2 5 5" xfId="18258" xr:uid="{C3CE5C57-8A99-4001-84EA-FCE9FAA8DAB6}"/>
    <cellStyle name="Normal 4 6 2 6" xfId="1701" xr:uid="{00000000-0005-0000-0000-000048160000}"/>
    <cellStyle name="Normal 4 6 2 6 2" xfId="3931" xr:uid="{00000000-0005-0000-0000-000049160000}"/>
    <cellStyle name="Normal 4 6 2 6 2 2" xfId="8154" xr:uid="{00000000-0005-0000-0000-00004A160000}"/>
    <cellStyle name="Normal 4 6 2 6 2 2 2" xfId="16596" xr:uid="{3A69420F-9145-4C30-BC0B-27E9AA63CF3F}"/>
    <cellStyle name="Normal 4 6 2 6 2 2 3" xfId="25033" xr:uid="{24E2ACCC-D926-4F6D-B02A-8C85B87B3354}"/>
    <cellStyle name="Normal 4 6 2 6 2 3" xfId="12378" xr:uid="{3C1B4979-3256-4707-9263-B90A79536E38}"/>
    <cellStyle name="Normal 4 6 2 6 2 4" xfId="20816" xr:uid="{828838E8-BEA1-45A7-9CA4-39490EF77ECD}"/>
    <cellStyle name="Normal 4 6 2 6 3" xfId="6009" xr:uid="{00000000-0005-0000-0000-00004B160000}"/>
    <cellStyle name="Normal 4 6 2 6 3 2" xfId="14451" xr:uid="{C1A8FBFF-72EC-409E-83A8-1F6B5CD37335}"/>
    <cellStyle name="Normal 4 6 2 6 3 3" xfId="22888" xr:uid="{8E693DF8-3691-486B-802E-F8B9559432F3}"/>
    <cellStyle name="Normal 4 6 2 6 4" xfId="10233" xr:uid="{76CB68AA-1D7A-4191-9C39-7BB9EA52FC1B}"/>
    <cellStyle name="Normal 4 6 2 6 5" xfId="18671" xr:uid="{B33EA8AB-C0F2-475D-B80B-76649D643B87}"/>
    <cellStyle name="Normal 4 6 2 7" xfId="2115" xr:uid="{00000000-0005-0000-0000-00004C160000}"/>
    <cellStyle name="Normal 4 6 2 7 2" xfId="4344" xr:uid="{00000000-0005-0000-0000-00004D160000}"/>
    <cellStyle name="Normal 4 6 2 7 2 2" xfId="8567" xr:uid="{00000000-0005-0000-0000-00004E160000}"/>
    <cellStyle name="Normal 4 6 2 7 2 2 2" xfId="17009" xr:uid="{2A6E6EED-589B-4BE1-926A-3FC27C88F9CC}"/>
    <cellStyle name="Normal 4 6 2 7 2 2 3" xfId="25446" xr:uid="{2615BD81-8EC0-46B3-93FC-9774390B445C}"/>
    <cellStyle name="Normal 4 6 2 7 2 3" xfId="12791" xr:uid="{F9FD91EA-70FA-449E-84B3-515981683A28}"/>
    <cellStyle name="Normal 4 6 2 7 2 4" xfId="21229" xr:uid="{0BE058C6-2396-4975-8B6A-7C30838ECF2B}"/>
    <cellStyle name="Normal 4 6 2 7 3" xfId="6422" xr:uid="{00000000-0005-0000-0000-00004F160000}"/>
    <cellStyle name="Normal 4 6 2 7 3 2" xfId="14864" xr:uid="{99125DD8-7BC6-4FE8-8437-FF53AD7CF44E}"/>
    <cellStyle name="Normal 4 6 2 7 3 3" xfId="23301" xr:uid="{37A3CAAB-1B08-4F61-8B3B-4E7A7B844B69}"/>
    <cellStyle name="Normal 4 6 2 7 4" xfId="10646" xr:uid="{78178E38-830A-4F95-B72B-81035620568C}"/>
    <cellStyle name="Normal 4 6 2 7 5" xfId="19084" xr:uid="{CD07F6B3-B1B5-4B5B-BF80-274632ED26BE}"/>
    <cellStyle name="Normal 4 6 2 8" xfId="2551" xr:uid="{00000000-0005-0000-0000-000050160000}"/>
    <cellStyle name="Normal 4 6 2 8 2" xfId="6835" xr:uid="{00000000-0005-0000-0000-000051160000}"/>
    <cellStyle name="Normal 4 6 2 8 2 2" xfId="15277" xr:uid="{F416E167-10B4-415E-B5AB-D93C5868D2F6}"/>
    <cellStyle name="Normal 4 6 2 8 2 3" xfId="23714" xr:uid="{482A5F9D-7AF4-466E-B243-82B65C13852C}"/>
    <cellStyle name="Normal 4 6 2 8 3" xfId="11059" xr:uid="{2E24F5A1-027D-4271-9AA0-659957C6C68F}"/>
    <cellStyle name="Normal 4 6 2 8 4" xfId="19497" xr:uid="{685DE580-DCB4-4A55-B482-05F8313AB55A}"/>
    <cellStyle name="Normal 4 6 2 9" xfId="4770" xr:uid="{00000000-0005-0000-0000-000052160000}"/>
    <cellStyle name="Normal 4 6 2 9 2" xfId="13212" xr:uid="{D2747E85-040A-4779-95E6-0141240C9EF9}"/>
    <cellStyle name="Normal 4 6 2 9 3" xfId="21649" xr:uid="{6A70715D-8A19-477C-876E-DAFDFCF4637A}"/>
    <cellStyle name="Normal 4 6 3" xfId="400" xr:uid="{00000000-0005-0000-0000-000053160000}"/>
    <cellStyle name="Normal 4 6 3 10" xfId="17436" xr:uid="{5B69B45C-C361-4408-98C8-591A1A445465}"/>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2 2 2" xfId="15775" xr:uid="{16FF18D5-FF7E-4287-A601-04204347CD02}"/>
    <cellStyle name="Normal 4 6 3 2 2 2 2 3" xfId="24212" xr:uid="{A91E7AE0-E2B1-4A85-847D-8ED3380288FB}"/>
    <cellStyle name="Normal 4 6 3 2 2 2 3" xfId="11557" xr:uid="{D90DBB76-F7B1-49A2-912A-790060F69EDA}"/>
    <cellStyle name="Normal 4 6 3 2 2 2 4" xfId="19995" xr:uid="{7D465F9C-CF1B-48BD-8658-AFD1628B2F49}"/>
    <cellStyle name="Normal 4 6 3 2 2 3" xfId="5188" xr:uid="{00000000-0005-0000-0000-000058160000}"/>
    <cellStyle name="Normal 4 6 3 2 2 3 2" xfId="13630" xr:uid="{CF1730AE-EF29-47E9-B8F2-C64379024AB8}"/>
    <cellStyle name="Normal 4 6 3 2 2 3 3" xfId="22067" xr:uid="{E1078E2A-6DE7-4685-9129-122269FDFFF0}"/>
    <cellStyle name="Normal 4 6 3 2 2 4" xfId="9412" xr:uid="{4E600F59-C7F2-4D0A-B285-F25BBC089342}"/>
    <cellStyle name="Normal 4 6 3 2 2 5" xfId="17850" xr:uid="{E8E0E700-A2F8-4218-A1EF-082FF9327F8F}"/>
    <cellStyle name="Normal 4 6 3 2 3" xfId="1293" xr:uid="{00000000-0005-0000-0000-000059160000}"/>
    <cellStyle name="Normal 4 6 3 2 3 2" xfId="3523" xr:uid="{00000000-0005-0000-0000-00005A160000}"/>
    <cellStyle name="Normal 4 6 3 2 3 2 2" xfId="7746" xr:uid="{00000000-0005-0000-0000-00005B160000}"/>
    <cellStyle name="Normal 4 6 3 2 3 2 2 2" xfId="16188" xr:uid="{E234B212-3CD8-42AE-A9F3-C51D02D37106}"/>
    <cellStyle name="Normal 4 6 3 2 3 2 2 3" xfId="24625" xr:uid="{D4B40DC4-518D-4306-8FB7-1CBD91B46D31}"/>
    <cellStyle name="Normal 4 6 3 2 3 2 3" xfId="11970" xr:uid="{90056830-0240-43B9-949E-0ABFAFCD4C4C}"/>
    <cellStyle name="Normal 4 6 3 2 3 2 4" xfId="20408" xr:uid="{E405955C-4EC2-49D4-85BF-F6BE36F5B325}"/>
    <cellStyle name="Normal 4 6 3 2 3 3" xfId="5601" xr:uid="{00000000-0005-0000-0000-00005C160000}"/>
    <cellStyle name="Normal 4 6 3 2 3 3 2" xfId="14043" xr:uid="{E3A6B6AD-A653-4A82-856E-271E1F4792D0}"/>
    <cellStyle name="Normal 4 6 3 2 3 3 3" xfId="22480" xr:uid="{A8328890-C9A8-436B-836C-1B44413A3CC0}"/>
    <cellStyle name="Normal 4 6 3 2 3 4" xfId="9825" xr:uid="{9B2C929A-8804-4D70-A397-025D2AD5E805}"/>
    <cellStyle name="Normal 4 6 3 2 3 5" xfId="18263" xr:uid="{82804370-ED37-41FD-8CF0-9897C4317C5E}"/>
    <cellStyle name="Normal 4 6 3 2 4" xfId="1706" xr:uid="{00000000-0005-0000-0000-00005D160000}"/>
    <cellStyle name="Normal 4 6 3 2 4 2" xfId="3936" xr:uid="{00000000-0005-0000-0000-00005E160000}"/>
    <cellStyle name="Normal 4 6 3 2 4 2 2" xfId="8159" xr:uid="{00000000-0005-0000-0000-00005F160000}"/>
    <cellStyle name="Normal 4 6 3 2 4 2 2 2" xfId="16601" xr:uid="{4D22E9E5-63AB-4966-916E-106ECD61E247}"/>
    <cellStyle name="Normal 4 6 3 2 4 2 2 3" xfId="25038" xr:uid="{06735051-7B48-4BD9-A903-393C1C2139C7}"/>
    <cellStyle name="Normal 4 6 3 2 4 2 3" xfId="12383" xr:uid="{6D753E42-B5B9-496B-8F67-C20202B0BCD2}"/>
    <cellStyle name="Normal 4 6 3 2 4 2 4" xfId="20821" xr:uid="{6019A456-40FF-42E2-9BD3-510D456B1645}"/>
    <cellStyle name="Normal 4 6 3 2 4 3" xfId="6014" xr:uid="{00000000-0005-0000-0000-000060160000}"/>
    <cellStyle name="Normal 4 6 3 2 4 3 2" xfId="14456" xr:uid="{0870B2B4-B9C5-4301-A8A3-DE7A254DE411}"/>
    <cellStyle name="Normal 4 6 3 2 4 3 3" xfId="22893" xr:uid="{9174BAC1-7E03-405B-97D6-E376678E3223}"/>
    <cellStyle name="Normal 4 6 3 2 4 4" xfId="10238" xr:uid="{9774EE8D-508D-47EF-B2D6-FE64C1CF0357}"/>
    <cellStyle name="Normal 4 6 3 2 4 5" xfId="18676" xr:uid="{1B77CE42-0E2D-41B1-9DBD-2C599074DFFE}"/>
    <cellStyle name="Normal 4 6 3 2 5" xfId="2120" xr:uid="{00000000-0005-0000-0000-000061160000}"/>
    <cellStyle name="Normal 4 6 3 2 5 2" xfId="4349" xr:uid="{00000000-0005-0000-0000-000062160000}"/>
    <cellStyle name="Normal 4 6 3 2 5 2 2" xfId="8572" xr:uid="{00000000-0005-0000-0000-000063160000}"/>
    <cellStyle name="Normal 4 6 3 2 5 2 2 2" xfId="17014" xr:uid="{7BFC7C92-0147-474C-B4CE-84B442BDA48E}"/>
    <cellStyle name="Normal 4 6 3 2 5 2 2 3" xfId="25451" xr:uid="{2752EC2B-C306-4FBB-9BFF-457BF6642660}"/>
    <cellStyle name="Normal 4 6 3 2 5 2 3" xfId="12796" xr:uid="{FBBB4D1F-B3B7-4536-9C22-E0B9FDC3983B}"/>
    <cellStyle name="Normal 4 6 3 2 5 2 4" xfId="21234" xr:uid="{E64F292A-15B3-4E43-806E-D99A81213A00}"/>
    <cellStyle name="Normal 4 6 3 2 5 3" xfId="6427" xr:uid="{00000000-0005-0000-0000-000064160000}"/>
    <cellStyle name="Normal 4 6 3 2 5 3 2" xfId="14869" xr:uid="{C3465B4C-6490-41B4-AF28-D4047459BC03}"/>
    <cellStyle name="Normal 4 6 3 2 5 3 3" xfId="23306" xr:uid="{669EAD0C-4525-4FFD-89AA-43BEB726A231}"/>
    <cellStyle name="Normal 4 6 3 2 5 4" xfId="10651" xr:uid="{696F3DEF-B019-43E5-81FC-3B57B581CF5E}"/>
    <cellStyle name="Normal 4 6 3 2 5 5" xfId="19089" xr:uid="{CD237E1C-4A4D-4D82-830A-33E6BE0947E8}"/>
    <cellStyle name="Normal 4 6 3 2 6" xfId="2556" xr:uid="{00000000-0005-0000-0000-000065160000}"/>
    <cellStyle name="Normal 4 6 3 2 6 2" xfId="6840" xr:uid="{00000000-0005-0000-0000-000066160000}"/>
    <cellStyle name="Normal 4 6 3 2 6 2 2" xfId="15282" xr:uid="{1C9708FF-049C-432E-AE41-2207EC129893}"/>
    <cellStyle name="Normal 4 6 3 2 6 2 3" xfId="23719" xr:uid="{D07B2FC2-716A-4E41-A006-D702F6806893}"/>
    <cellStyle name="Normal 4 6 3 2 6 3" xfId="11064" xr:uid="{D55BF873-CEC7-4985-8294-E2836494FE22}"/>
    <cellStyle name="Normal 4 6 3 2 6 4" xfId="19502" xr:uid="{279DF407-DD51-4697-98D2-4CDDE7DF2453}"/>
    <cellStyle name="Normal 4 6 3 2 7" xfId="4775" xr:uid="{00000000-0005-0000-0000-000067160000}"/>
    <cellStyle name="Normal 4 6 3 2 7 2" xfId="13217" xr:uid="{46E2F440-E609-4F0D-BB12-CE66AF9592A8}"/>
    <cellStyle name="Normal 4 6 3 2 7 3" xfId="21654" xr:uid="{B36A3566-CD2F-4958-A0E2-CAEDFA2B20C0}"/>
    <cellStyle name="Normal 4 6 3 2 8" xfId="8999" xr:uid="{763DCA84-C1D4-481F-9409-C21456CCA621}"/>
    <cellStyle name="Normal 4 6 3 2 9" xfId="17437" xr:uid="{A9DEF62E-F904-4750-AF51-47EE73360B05}"/>
    <cellStyle name="Normal 4 6 3 3" xfId="874" xr:uid="{00000000-0005-0000-0000-000068160000}"/>
    <cellStyle name="Normal 4 6 3 3 2" xfId="3109" xr:uid="{00000000-0005-0000-0000-000069160000}"/>
    <cellStyle name="Normal 4 6 3 3 2 2" xfId="7332" xr:uid="{00000000-0005-0000-0000-00006A160000}"/>
    <cellStyle name="Normal 4 6 3 3 2 2 2" xfId="15774" xr:uid="{48ABF1E2-219F-435D-9B69-0EA18502829C}"/>
    <cellStyle name="Normal 4 6 3 3 2 2 3" xfId="24211" xr:uid="{0AD77A17-D11F-45E0-8632-DF1AEAD9D5CC}"/>
    <cellStyle name="Normal 4 6 3 3 2 3" xfId="11556" xr:uid="{503A02E7-AA40-45E6-B02B-97239DC1F250}"/>
    <cellStyle name="Normal 4 6 3 3 2 4" xfId="19994" xr:uid="{843AE085-131C-4A60-A8C1-6F88333C72D1}"/>
    <cellStyle name="Normal 4 6 3 3 3" xfId="5187" xr:uid="{00000000-0005-0000-0000-00006B160000}"/>
    <cellStyle name="Normal 4 6 3 3 3 2" xfId="13629" xr:uid="{8FA7027F-4881-49AF-BA73-AF5DB4FDDF46}"/>
    <cellStyle name="Normal 4 6 3 3 3 3" xfId="22066" xr:uid="{95838697-CED3-41AA-B543-8DA1E4359AD9}"/>
    <cellStyle name="Normal 4 6 3 3 4" xfId="9411" xr:uid="{D42C676E-A646-4302-9591-0C0DC827464F}"/>
    <cellStyle name="Normal 4 6 3 3 5" xfId="17849" xr:uid="{1F139AE4-0B32-42F1-9538-3A14DCA36CDE}"/>
    <cellStyle name="Normal 4 6 3 4" xfId="1292" xr:uid="{00000000-0005-0000-0000-00006C160000}"/>
    <cellStyle name="Normal 4 6 3 4 2" xfId="3522" xr:uid="{00000000-0005-0000-0000-00006D160000}"/>
    <cellStyle name="Normal 4 6 3 4 2 2" xfId="7745" xr:uid="{00000000-0005-0000-0000-00006E160000}"/>
    <cellStyle name="Normal 4 6 3 4 2 2 2" xfId="16187" xr:uid="{9E07F893-D493-4ECF-9AAA-57350576EA6A}"/>
    <cellStyle name="Normal 4 6 3 4 2 2 3" xfId="24624" xr:uid="{BED60F52-2FC1-4C64-BD75-29655C665A55}"/>
    <cellStyle name="Normal 4 6 3 4 2 3" xfId="11969" xr:uid="{5561D4BB-11D6-48CB-A98F-7920CFF60E2A}"/>
    <cellStyle name="Normal 4 6 3 4 2 4" xfId="20407" xr:uid="{23F4A30B-5AB5-4F46-AB7D-8DE678B0BA57}"/>
    <cellStyle name="Normal 4 6 3 4 3" xfId="5600" xr:uid="{00000000-0005-0000-0000-00006F160000}"/>
    <cellStyle name="Normal 4 6 3 4 3 2" xfId="14042" xr:uid="{BA9FFE85-C997-41A7-8E14-8DF3C9081C42}"/>
    <cellStyle name="Normal 4 6 3 4 3 3" xfId="22479" xr:uid="{BC79C989-2A3F-4167-95F5-05B130F49CE5}"/>
    <cellStyle name="Normal 4 6 3 4 4" xfId="9824" xr:uid="{4E768745-A2FB-4677-8071-C3B7CC62A795}"/>
    <cellStyle name="Normal 4 6 3 4 5" xfId="18262" xr:uid="{A33ACF65-2F56-4F60-94B7-605D01373E38}"/>
    <cellStyle name="Normal 4 6 3 5" xfId="1705" xr:uid="{00000000-0005-0000-0000-000070160000}"/>
    <cellStyle name="Normal 4 6 3 5 2" xfId="3935" xr:uid="{00000000-0005-0000-0000-000071160000}"/>
    <cellStyle name="Normal 4 6 3 5 2 2" xfId="8158" xr:uid="{00000000-0005-0000-0000-000072160000}"/>
    <cellStyle name="Normal 4 6 3 5 2 2 2" xfId="16600" xr:uid="{E46E09D6-3448-422A-A951-C898EE95C486}"/>
    <cellStyle name="Normal 4 6 3 5 2 2 3" xfId="25037" xr:uid="{741C82FD-FAF0-447C-906C-AD2A8653616D}"/>
    <cellStyle name="Normal 4 6 3 5 2 3" xfId="12382" xr:uid="{FCA3B5E0-1F2A-40EC-8625-BCFC1BD834F9}"/>
    <cellStyle name="Normal 4 6 3 5 2 4" xfId="20820" xr:uid="{88CB5356-3AB5-44E1-9466-A2064F1C29BD}"/>
    <cellStyle name="Normal 4 6 3 5 3" xfId="6013" xr:uid="{00000000-0005-0000-0000-000073160000}"/>
    <cellStyle name="Normal 4 6 3 5 3 2" xfId="14455" xr:uid="{4E30223E-1789-44E6-8774-FF6AE40F852C}"/>
    <cellStyle name="Normal 4 6 3 5 3 3" xfId="22892" xr:uid="{BDDDA2E5-A6BE-4C2D-9C1F-37F25D6CEA93}"/>
    <cellStyle name="Normal 4 6 3 5 4" xfId="10237" xr:uid="{63A3EF91-9946-4E8F-A6AA-356A2FA75220}"/>
    <cellStyle name="Normal 4 6 3 5 5" xfId="18675" xr:uid="{38E85A16-189D-42D7-A621-C73419FCD8E3}"/>
    <cellStyle name="Normal 4 6 3 6" xfId="2119" xr:uid="{00000000-0005-0000-0000-000074160000}"/>
    <cellStyle name="Normal 4 6 3 6 2" xfId="4348" xr:uid="{00000000-0005-0000-0000-000075160000}"/>
    <cellStyle name="Normal 4 6 3 6 2 2" xfId="8571" xr:uid="{00000000-0005-0000-0000-000076160000}"/>
    <cellStyle name="Normal 4 6 3 6 2 2 2" xfId="17013" xr:uid="{53BC4385-C7EC-4E5D-907E-6D7E388EA9E7}"/>
    <cellStyle name="Normal 4 6 3 6 2 2 3" xfId="25450" xr:uid="{0FBEAD1C-315C-4A1A-A202-22FAE54E374C}"/>
    <cellStyle name="Normal 4 6 3 6 2 3" xfId="12795" xr:uid="{9B662B27-66F5-42A9-883E-F9E030851C7C}"/>
    <cellStyle name="Normal 4 6 3 6 2 4" xfId="21233" xr:uid="{5BC42B55-7AC0-482E-9E36-7227800DEBA2}"/>
    <cellStyle name="Normal 4 6 3 6 3" xfId="6426" xr:uid="{00000000-0005-0000-0000-000077160000}"/>
    <cellStyle name="Normal 4 6 3 6 3 2" xfId="14868" xr:uid="{4329BB90-F7F5-4179-BAB7-70505F7BD303}"/>
    <cellStyle name="Normal 4 6 3 6 3 3" xfId="23305" xr:uid="{41DF4CA6-E13E-4ECC-A784-FD4D6C5DC924}"/>
    <cellStyle name="Normal 4 6 3 6 4" xfId="10650" xr:uid="{E2BD35A8-6EC8-45EB-A6A5-9EAB4A332B6E}"/>
    <cellStyle name="Normal 4 6 3 6 5" xfId="19088" xr:uid="{3AEECBB5-B796-4DC9-80BD-D3A6F64F9CAE}"/>
    <cellStyle name="Normal 4 6 3 7" xfId="2555" xr:uid="{00000000-0005-0000-0000-000078160000}"/>
    <cellStyle name="Normal 4 6 3 7 2" xfId="6839" xr:uid="{00000000-0005-0000-0000-000079160000}"/>
    <cellStyle name="Normal 4 6 3 7 2 2" xfId="15281" xr:uid="{72EEBAED-0368-4A45-81DC-9A07B4ED138E}"/>
    <cellStyle name="Normal 4 6 3 7 2 3" xfId="23718" xr:uid="{CD716F50-6852-413D-9C7B-9AE12DC57165}"/>
    <cellStyle name="Normal 4 6 3 7 3" xfId="11063" xr:uid="{729E5F7F-79BA-4FB4-B97A-27F274AEC1EA}"/>
    <cellStyle name="Normal 4 6 3 7 4" xfId="19501" xr:uid="{4842B0A2-6721-4C03-878A-24C50769C198}"/>
    <cellStyle name="Normal 4 6 3 8" xfId="4774" xr:uid="{00000000-0005-0000-0000-00007A160000}"/>
    <cellStyle name="Normal 4 6 3 8 2" xfId="13216" xr:uid="{18B9353A-A6AD-4243-8C89-9FB6DDAC962A}"/>
    <cellStyle name="Normal 4 6 3 8 3" xfId="21653" xr:uid="{12A50EF0-5916-4011-9358-BFCB43C2BA54}"/>
    <cellStyle name="Normal 4 6 3 9" xfId="8998" xr:uid="{F68BA5C8-0F9D-4164-B7D4-82C7995C17C8}"/>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2 2 2" xfId="15776" xr:uid="{565147D5-99B2-4E48-BA3E-901086400AC2}"/>
    <cellStyle name="Normal 4 6 4 2 2 2 3" xfId="24213" xr:uid="{F5EB6AE4-EE81-446F-B8B8-5FF7E5DED404}"/>
    <cellStyle name="Normal 4 6 4 2 2 3" xfId="11558" xr:uid="{4399E5ED-1AAC-497C-B9DA-ECE3F68A463C}"/>
    <cellStyle name="Normal 4 6 4 2 2 4" xfId="19996" xr:uid="{4CC1467A-2A59-4677-B644-F698DEF598E3}"/>
    <cellStyle name="Normal 4 6 4 2 3" xfId="5189" xr:uid="{00000000-0005-0000-0000-00007F160000}"/>
    <cellStyle name="Normal 4 6 4 2 3 2" xfId="13631" xr:uid="{DDC29FC4-6AF7-4CAB-A129-9891C2F9842D}"/>
    <cellStyle name="Normal 4 6 4 2 3 3" xfId="22068" xr:uid="{A1CBD42B-549B-4100-9DE6-DBD4DF989818}"/>
    <cellStyle name="Normal 4 6 4 2 4" xfId="9413" xr:uid="{3BC29549-7A91-4D08-9F41-E8F7C05A11DB}"/>
    <cellStyle name="Normal 4 6 4 2 5" xfId="17851" xr:uid="{D1A099A2-314B-4A54-A581-C965EBCA424E}"/>
    <cellStyle name="Normal 4 6 4 3" xfId="1294" xr:uid="{00000000-0005-0000-0000-000080160000}"/>
    <cellStyle name="Normal 4 6 4 3 2" xfId="3524" xr:uid="{00000000-0005-0000-0000-000081160000}"/>
    <cellStyle name="Normal 4 6 4 3 2 2" xfId="7747" xr:uid="{00000000-0005-0000-0000-000082160000}"/>
    <cellStyle name="Normal 4 6 4 3 2 2 2" xfId="16189" xr:uid="{21008FDE-4C0D-4843-BD5E-27EB8BB74E01}"/>
    <cellStyle name="Normal 4 6 4 3 2 2 3" xfId="24626" xr:uid="{027C3866-EE24-4EB2-B53F-6001ACFCF346}"/>
    <cellStyle name="Normal 4 6 4 3 2 3" xfId="11971" xr:uid="{54B7CB65-0FC1-4413-9839-E170E67035B8}"/>
    <cellStyle name="Normal 4 6 4 3 2 4" xfId="20409" xr:uid="{6190EBEF-7E30-4BAC-82FA-7DB57E6CEBFB}"/>
    <cellStyle name="Normal 4 6 4 3 3" xfId="5602" xr:uid="{00000000-0005-0000-0000-000083160000}"/>
    <cellStyle name="Normal 4 6 4 3 3 2" xfId="14044" xr:uid="{CFA64BF2-6157-4F3A-85F9-0867EB7A8154}"/>
    <cellStyle name="Normal 4 6 4 3 3 3" xfId="22481" xr:uid="{DB144CCE-8A9A-4781-B591-08351A6B9C2B}"/>
    <cellStyle name="Normal 4 6 4 3 4" xfId="9826" xr:uid="{2527B905-96BE-48A7-A722-7384ACFC7FE5}"/>
    <cellStyle name="Normal 4 6 4 3 5" xfId="18264" xr:uid="{416C6B82-6C73-4BB2-B16C-4C8E17C43F65}"/>
    <cellStyle name="Normal 4 6 4 4" xfId="1707" xr:uid="{00000000-0005-0000-0000-000084160000}"/>
    <cellStyle name="Normal 4 6 4 4 2" xfId="3937" xr:uid="{00000000-0005-0000-0000-000085160000}"/>
    <cellStyle name="Normal 4 6 4 4 2 2" xfId="8160" xr:uid="{00000000-0005-0000-0000-000086160000}"/>
    <cellStyle name="Normal 4 6 4 4 2 2 2" xfId="16602" xr:uid="{C3C313FC-588C-4DD6-8433-7483DDA75FDC}"/>
    <cellStyle name="Normal 4 6 4 4 2 2 3" xfId="25039" xr:uid="{941F30BF-D19F-4F6B-8107-E02831877602}"/>
    <cellStyle name="Normal 4 6 4 4 2 3" xfId="12384" xr:uid="{47732B07-C1F5-435F-BE27-33F85C9F0812}"/>
    <cellStyle name="Normal 4 6 4 4 2 4" xfId="20822" xr:uid="{4519A8A1-DF8A-4B34-BEA0-02E57C70E33D}"/>
    <cellStyle name="Normal 4 6 4 4 3" xfId="6015" xr:uid="{00000000-0005-0000-0000-000087160000}"/>
    <cellStyle name="Normal 4 6 4 4 3 2" xfId="14457" xr:uid="{45CCA6DC-5030-4356-95CB-0D3785D3CEF1}"/>
    <cellStyle name="Normal 4 6 4 4 3 3" xfId="22894" xr:uid="{610A4692-4289-4A95-9F1C-3B6E40385D3C}"/>
    <cellStyle name="Normal 4 6 4 4 4" xfId="10239" xr:uid="{8EDFD772-B373-4D07-ADA2-331FC012C57B}"/>
    <cellStyle name="Normal 4 6 4 4 5" xfId="18677" xr:uid="{45F76035-570A-4DD7-9973-6B93765B6BCD}"/>
    <cellStyle name="Normal 4 6 4 5" xfId="2121" xr:uid="{00000000-0005-0000-0000-000088160000}"/>
    <cellStyle name="Normal 4 6 4 5 2" xfId="4350" xr:uid="{00000000-0005-0000-0000-000089160000}"/>
    <cellStyle name="Normal 4 6 4 5 2 2" xfId="8573" xr:uid="{00000000-0005-0000-0000-00008A160000}"/>
    <cellStyle name="Normal 4 6 4 5 2 2 2" xfId="17015" xr:uid="{77ACE30F-1B06-4C09-9579-D2483A89CF4F}"/>
    <cellStyle name="Normal 4 6 4 5 2 2 3" xfId="25452" xr:uid="{B9F1DD84-EC0C-4BC5-A01C-F6707207B32F}"/>
    <cellStyle name="Normal 4 6 4 5 2 3" xfId="12797" xr:uid="{487E9466-E479-4F8C-9324-FC2445EAEAF9}"/>
    <cellStyle name="Normal 4 6 4 5 2 4" xfId="21235" xr:uid="{C582E6EB-F0F8-4FF4-A1A8-E625B9564637}"/>
    <cellStyle name="Normal 4 6 4 5 3" xfId="6428" xr:uid="{00000000-0005-0000-0000-00008B160000}"/>
    <cellStyle name="Normal 4 6 4 5 3 2" xfId="14870" xr:uid="{A8D3E59C-3AC3-4EF7-8EBF-ADEE75E27B03}"/>
    <cellStyle name="Normal 4 6 4 5 3 3" xfId="23307" xr:uid="{8D848933-1EC0-4B1F-A007-559303F735D4}"/>
    <cellStyle name="Normal 4 6 4 5 4" xfId="10652" xr:uid="{E302EC16-9B6E-444B-A6E1-A403A55560D6}"/>
    <cellStyle name="Normal 4 6 4 5 5" xfId="19090" xr:uid="{FF5A8546-4B5C-4E1B-9967-E2F497ADE480}"/>
    <cellStyle name="Normal 4 6 4 6" xfId="2557" xr:uid="{00000000-0005-0000-0000-00008C160000}"/>
    <cellStyle name="Normal 4 6 4 6 2" xfId="6841" xr:uid="{00000000-0005-0000-0000-00008D160000}"/>
    <cellStyle name="Normal 4 6 4 6 2 2" xfId="15283" xr:uid="{D171A4DE-EF20-4C1F-B32B-52F27DDF9D42}"/>
    <cellStyle name="Normal 4 6 4 6 2 3" xfId="23720" xr:uid="{D0BEE0FD-EA2C-4FB6-8250-2B0C069530A8}"/>
    <cellStyle name="Normal 4 6 4 6 3" xfId="11065" xr:uid="{6D69582B-5030-4F10-B83F-0A9B061C8578}"/>
    <cellStyle name="Normal 4 6 4 6 4" xfId="19503" xr:uid="{B38C3D5C-2702-4A53-9200-53090588C15D}"/>
    <cellStyle name="Normal 4 6 4 7" xfId="4776" xr:uid="{00000000-0005-0000-0000-00008E160000}"/>
    <cellStyle name="Normal 4 6 4 7 2" xfId="13218" xr:uid="{A5C40998-DB7F-4F9A-A631-F373DE4165BD}"/>
    <cellStyle name="Normal 4 6 4 7 3" xfId="21655" xr:uid="{D7289D54-9616-4ED7-960B-DA1D25837ED7}"/>
    <cellStyle name="Normal 4 6 4 8" xfId="9000" xr:uid="{A1F7D633-D1C9-4A28-9D6E-77AABE49A3E5}"/>
    <cellStyle name="Normal 4 6 4 9" xfId="17438" xr:uid="{D6FFC272-C992-4218-8B4D-6C2B25DA07B3}"/>
    <cellStyle name="Normal 4 6 5" xfId="869" xr:uid="{00000000-0005-0000-0000-00008F160000}"/>
    <cellStyle name="Normal 4 6 5 2" xfId="3104" xr:uid="{00000000-0005-0000-0000-000090160000}"/>
    <cellStyle name="Normal 4 6 5 2 2" xfId="7327" xr:uid="{00000000-0005-0000-0000-000091160000}"/>
    <cellStyle name="Normal 4 6 5 2 2 2" xfId="15769" xr:uid="{579444DC-A892-41FE-A705-0CF985485A4A}"/>
    <cellStyle name="Normal 4 6 5 2 2 3" xfId="24206" xr:uid="{10F04112-D263-4345-AA10-4303514756E5}"/>
    <cellStyle name="Normal 4 6 5 2 3" xfId="11551" xr:uid="{98256603-6613-469A-8DF1-63B3D9D74D86}"/>
    <cellStyle name="Normal 4 6 5 2 4" xfId="19989" xr:uid="{8F3026D3-ECD6-4B21-9276-971BEA7AB107}"/>
    <cellStyle name="Normal 4 6 5 3" xfId="5182" xr:uid="{00000000-0005-0000-0000-000092160000}"/>
    <cellStyle name="Normal 4 6 5 3 2" xfId="13624" xr:uid="{9183798B-3FAE-4050-BE9A-DEBFE90BBABE}"/>
    <cellStyle name="Normal 4 6 5 3 3" xfId="22061" xr:uid="{21E6A48A-B35E-458E-AE94-7BD7632134DC}"/>
    <cellStyle name="Normal 4 6 5 4" xfId="9406" xr:uid="{69FFF72D-C799-404F-A53C-AE46286BBF2B}"/>
    <cellStyle name="Normal 4 6 5 5" xfId="17844" xr:uid="{16D07139-4E4C-4E4F-B6D4-4AE4E51F4F0C}"/>
    <cellStyle name="Normal 4 6 6" xfId="1287" xr:uid="{00000000-0005-0000-0000-000093160000}"/>
    <cellStyle name="Normal 4 6 6 2" xfId="3517" xr:uid="{00000000-0005-0000-0000-000094160000}"/>
    <cellStyle name="Normal 4 6 6 2 2" xfId="7740" xr:uid="{00000000-0005-0000-0000-000095160000}"/>
    <cellStyle name="Normal 4 6 6 2 2 2" xfId="16182" xr:uid="{39FB6315-5A45-41B6-A68A-7DF3208174D9}"/>
    <cellStyle name="Normal 4 6 6 2 2 3" xfId="24619" xr:uid="{33B7C774-13A2-479A-A13B-57ED62B8F974}"/>
    <cellStyle name="Normal 4 6 6 2 3" xfId="11964" xr:uid="{D2C53987-332F-4048-A1A9-CE8717BA5832}"/>
    <cellStyle name="Normal 4 6 6 2 4" xfId="20402" xr:uid="{D5C439DF-FEA6-4EA3-B846-4E8867845AF0}"/>
    <cellStyle name="Normal 4 6 6 3" xfId="5595" xr:uid="{00000000-0005-0000-0000-000096160000}"/>
    <cellStyle name="Normal 4 6 6 3 2" xfId="14037" xr:uid="{283663E7-FCB7-4F4D-8A9D-3D621F816491}"/>
    <cellStyle name="Normal 4 6 6 3 3" xfId="22474" xr:uid="{9E7DFB98-5A6C-4F56-8628-48583EB74D5C}"/>
    <cellStyle name="Normal 4 6 6 4" xfId="9819" xr:uid="{213248B0-1766-4F5C-892C-B0BC02E7D6E2}"/>
    <cellStyle name="Normal 4 6 6 5" xfId="18257" xr:uid="{4B8899A5-95FF-4828-8BBC-CF32B52EDF09}"/>
    <cellStyle name="Normal 4 6 7" xfId="1700" xr:uid="{00000000-0005-0000-0000-000097160000}"/>
    <cellStyle name="Normal 4 6 7 2" xfId="3930" xr:uid="{00000000-0005-0000-0000-000098160000}"/>
    <cellStyle name="Normal 4 6 7 2 2" xfId="8153" xr:uid="{00000000-0005-0000-0000-000099160000}"/>
    <cellStyle name="Normal 4 6 7 2 2 2" xfId="16595" xr:uid="{98AAA1BB-DB36-4176-BF73-CFCAADCF76C6}"/>
    <cellStyle name="Normal 4 6 7 2 2 3" xfId="25032" xr:uid="{35438A40-70EF-43B5-A25B-076AEEDBB546}"/>
    <cellStyle name="Normal 4 6 7 2 3" xfId="12377" xr:uid="{40B6EC7A-368A-438F-A613-F4097197A3B8}"/>
    <cellStyle name="Normal 4 6 7 2 4" xfId="20815" xr:uid="{78E094C9-6623-468E-B2C8-72AFDDC38EA9}"/>
    <cellStyle name="Normal 4 6 7 3" xfId="6008" xr:uid="{00000000-0005-0000-0000-00009A160000}"/>
    <cellStyle name="Normal 4 6 7 3 2" xfId="14450" xr:uid="{61250F90-A9CC-4862-85A3-A81E77F7232E}"/>
    <cellStyle name="Normal 4 6 7 3 3" xfId="22887" xr:uid="{15D92FE1-EF36-4D5C-AD5E-DA3840F8F71B}"/>
    <cellStyle name="Normal 4 6 7 4" xfId="10232" xr:uid="{6DD50971-18B7-47E5-BCA5-8A4EA51FE4AC}"/>
    <cellStyle name="Normal 4 6 7 5" xfId="18670" xr:uid="{32DA0780-BF29-4F1C-96C9-A8AF3FE7F679}"/>
    <cellStyle name="Normal 4 6 8" xfId="2114" xr:uid="{00000000-0005-0000-0000-00009B160000}"/>
    <cellStyle name="Normal 4 6 8 2" xfId="4343" xr:uid="{00000000-0005-0000-0000-00009C160000}"/>
    <cellStyle name="Normal 4 6 8 2 2" xfId="8566" xr:uid="{00000000-0005-0000-0000-00009D160000}"/>
    <cellStyle name="Normal 4 6 8 2 2 2" xfId="17008" xr:uid="{78ED2BA1-CE36-49AC-8641-FE283006E2E3}"/>
    <cellStyle name="Normal 4 6 8 2 2 3" xfId="25445" xr:uid="{1EFE9CE3-5601-4B33-AEAF-6B6918DC75F2}"/>
    <cellStyle name="Normal 4 6 8 2 3" xfId="12790" xr:uid="{7CF28B0A-A566-4DA5-94E5-CDF0977B598A}"/>
    <cellStyle name="Normal 4 6 8 2 4" xfId="21228" xr:uid="{1D4EB9E1-23D6-4A86-B899-96BEE1EC4D45}"/>
    <cellStyle name="Normal 4 6 8 3" xfId="6421" xr:uid="{00000000-0005-0000-0000-00009E160000}"/>
    <cellStyle name="Normal 4 6 8 3 2" xfId="14863" xr:uid="{D1634AD1-ED32-4C33-B7A4-5AB3C517EFA5}"/>
    <cellStyle name="Normal 4 6 8 3 3" xfId="23300" xr:uid="{AF6767FC-08A9-4E97-BD9B-5AE626DE27B7}"/>
    <cellStyle name="Normal 4 6 8 4" xfId="10645" xr:uid="{9AFE83F9-4866-4E1F-985D-AE7488061D0F}"/>
    <cellStyle name="Normal 4 6 8 5" xfId="19083" xr:uid="{C3998229-BF57-4510-9CD0-DFC4CAA0430F}"/>
    <cellStyle name="Normal 4 6 9" xfId="2550" xr:uid="{00000000-0005-0000-0000-00009F160000}"/>
    <cellStyle name="Normal 4 6 9 2" xfId="6834" xr:uid="{00000000-0005-0000-0000-0000A0160000}"/>
    <cellStyle name="Normal 4 6 9 2 2" xfId="15276" xr:uid="{7E93E810-5B48-48A0-B910-CE07C7276CC3}"/>
    <cellStyle name="Normal 4 6 9 2 3" xfId="23713" xr:uid="{988BAC44-E2FB-4713-9A58-4B6DBCA7A2BE}"/>
    <cellStyle name="Normal 4 6 9 3" xfId="11058" xr:uid="{7A1E67C4-5063-4312-A1F0-531F15C1F069}"/>
    <cellStyle name="Normal 4 6 9 4" xfId="19496" xr:uid="{D7A1191A-ED8A-48DE-A808-9FE48D1C927C}"/>
    <cellStyle name="Normal 4 7" xfId="403" xr:uid="{00000000-0005-0000-0000-0000A1160000}"/>
    <cellStyle name="Normal 4 7 10" xfId="17439" xr:uid="{4D8D6F20-1616-425D-9052-1AF2D7D38607}"/>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2 2 2" xfId="15778" xr:uid="{1FAD4A7A-9E23-432A-88BA-D5C380F97CEE}"/>
    <cellStyle name="Normal 4 7 2 2 2 2 3" xfId="24215" xr:uid="{31D0E83E-891F-43D9-95F0-A5419A975348}"/>
    <cellStyle name="Normal 4 7 2 2 2 3" xfId="11560" xr:uid="{E7957D56-E1A4-4350-B515-C944332DD5B4}"/>
    <cellStyle name="Normal 4 7 2 2 2 4" xfId="19998" xr:uid="{7CFA6E03-F9B8-46EA-9AB6-137F5F053A41}"/>
    <cellStyle name="Normal 4 7 2 2 3" xfId="5191" xr:uid="{00000000-0005-0000-0000-0000A6160000}"/>
    <cellStyle name="Normal 4 7 2 2 3 2" xfId="13633" xr:uid="{30B0B93F-6F1D-40CA-91FA-4E57CF66CBD4}"/>
    <cellStyle name="Normal 4 7 2 2 3 3" xfId="22070" xr:uid="{A3BEB162-FF82-41B9-93A2-17D4856152CB}"/>
    <cellStyle name="Normal 4 7 2 2 4" xfId="9415" xr:uid="{FFF07E3B-4E3D-4834-AB5B-E34E83C16B04}"/>
    <cellStyle name="Normal 4 7 2 2 5" xfId="17853" xr:uid="{16E9B6D0-79D7-4732-BEB6-8B141138192C}"/>
    <cellStyle name="Normal 4 7 2 3" xfId="1296" xr:uid="{00000000-0005-0000-0000-0000A7160000}"/>
    <cellStyle name="Normal 4 7 2 3 2" xfId="3526" xr:uid="{00000000-0005-0000-0000-0000A8160000}"/>
    <cellStyle name="Normal 4 7 2 3 2 2" xfId="7749" xr:uid="{00000000-0005-0000-0000-0000A9160000}"/>
    <cellStyle name="Normal 4 7 2 3 2 2 2" xfId="16191" xr:uid="{EA23DB60-909E-46C4-BDB4-43B946E9E765}"/>
    <cellStyle name="Normal 4 7 2 3 2 2 3" xfId="24628" xr:uid="{BBE39EAD-E4E8-4D43-8A7B-059ACEDE2A80}"/>
    <cellStyle name="Normal 4 7 2 3 2 3" xfId="11973" xr:uid="{0534AC91-DAD4-45CB-8BF2-62F921150309}"/>
    <cellStyle name="Normal 4 7 2 3 2 4" xfId="20411" xr:uid="{BFC0D890-1FEF-4B0A-A555-F9E42A62C769}"/>
    <cellStyle name="Normal 4 7 2 3 3" xfId="5604" xr:uid="{00000000-0005-0000-0000-0000AA160000}"/>
    <cellStyle name="Normal 4 7 2 3 3 2" xfId="14046" xr:uid="{727B852B-A9D1-416F-A6DF-F0A33489EC1F}"/>
    <cellStyle name="Normal 4 7 2 3 3 3" xfId="22483" xr:uid="{1FB557BD-1690-41BD-AA5E-A7DAD66C1821}"/>
    <cellStyle name="Normal 4 7 2 3 4" xfId="9828" xr:uid="{45129477-08A7-4867-B50E-724A297514CA}"/>
    <cellStyle name="Normal 4 7 2 3 5" xfId="18266" xr:uid="{7A264647-5380-402D-8882-220FBD02EB6C}"/>
    <cellStyle name="Normal 4 7 2 4" xfId="1709" xr:uid="{00000000-0005-0000-0000-0000AB160000}"/>
    <cellStyle name="Normal 4 7 2 4 2" xfId="3939" xr:uid="{00000000-0005-0000-0000-0000AC160000}"/>
    <cellStyle name="Normal 4 7 2 4 2 2" xfId="8162" xr:uid="{00000000-0005-0000-0000-0000AD160000}"/>
    <cellStyle name="Normal 4 7 2 4 2 2 2" xfId="16604" xr:uid="{BEC76548-51D7-46C8-8E5B-F044EE1DAC57}"/>
    <cellStyle name="Normal 4 7 2 4 2 2 3" xfId="25041" xr:uid="{16B22EBC-A939-49E6-B84B-8F32646640DA}"/>
    <cellStyle name="Normal 4 7 2 4 2 3" xfId="12386" xr:uid="{1BC7D2D8-D824-40AE-95B4-FD8CEB8F931D}"/>
    <cellStyle name="Normal 4 7 2 4 2 4" xfId="20824" xr:uid="{B82224B1-1638-42A6-BC3E-9AB2749D04D2}"/>
    <cellStyle name="Normal 4 7 2 4 3" xfId="6017" xr:uid="{00000000-0005-0000-0000-0000AE160000}"/>
    <cellStyle name="Normal 4 7 2 4 3 2" xfId="14459" xr:uid="{74DC061D-3F8D-494D-AFB9-9BBC59B552E9}"/>
    <cellStyle name="Normal 4 7 2 4 3 3" xfId="22896" xr:uid="{FDA4C9BA-8750-4F9A-93E0-66A68AF02B04}"/>
    <cellStyle name="Normal 4 7 2 4 4" xfId="10241" xr:uid="{19957986-122B-4350-AEEE-D44F0C5B173E}"/>
    <cellStyle name="Normal 4 7 2 4 5" xfId="18679" xr:uid="{F22D543E-4690-4BFB-806C-DA2C66A908B7}"/>
    <cellStyle name="Normal 4 7 2 5" xfId="2123" xr:uid="{00000000-0005-0000-0000-0000AF160000}"/>
    <cellStyle name="Normal 4 7 2 5 2" xfId="4352" xr:uid="{00000000-0005-0000-0000-0000B0160000}"/>
    <cellStyle name="Normal 4 7 2 5 2 2" xfId="8575" xr:uid="{00000000-0005-0000-0000-0000B1160000}"/>
    <cellStyle name="Normal 4 7 2 5 2 2 2" xfId="17017" xr:uid="{FF9710A6-A014-4A0F-9E57-0C69B536648F}"/>
    <cellStyle name="Normal 4 7 2 5 2 2 3" xfId="25454" xr:uid="{A8DE8D6A-B35E-448A-8617-9560DB39AE56}"/>
    <cellStyle name="Normal 4 7 2 5 2 3" xfId="12799" xr:uid="{07313236-EF77-4157-95E8-DC3B03A44317}"/>
    <cellStyle name="Normal 4 7 2 5 2 4" xfId="21237" xr:uid="{C9C53E6D-C121-422E-A589-5E0D19B137FE}"/>
    <cellStyle name="Normal 4 7 2 5 3" xfId="6430" xr:uid="{00000000-0005-0000-0000-0000B2160000}"/>
    <cellStyle name="Normal 4 7 2 5 3 2" xfId="14872" xr:uid="{6B6B2377-72FD-427A-A2CA-038BC8CD353C}"/>
    <cellStyle name="Normal 4 7 2 5 3 3" xfId="23309" xr:uid="{E6523D9A-B5FF-4B12-9A80-002762B0473C}"/>
    <cellStyle name="Normal 4 7 2 5 4" xfId="10654" xr:uid="{EA59E7EE-C7B8-4F25-935C-B4088EDF337F}"/>
    <cellStyle name="Normal 4 7 2 5 5" xfId="19092" xr:uid="{191A0D0B-586A-481D-8657-6F6917C21761}"/>
    <cellStyle name="Normal 4 7 2 6" xfId="2559" xr:uid="{00000000-0005-0000-0000-0000B3160000}"/>
    <cellStyle name="Normal 4 7 2 6 2" xfId="6843" xr:uid="{00000000-0005-0000-0000-0000B4160000}"/>
    <cellStyle name="Normal 4 7 2 6 2 2" xfId="15285" xr:uid="{4B21AF47-0903-41AE-A9DB-18FFAB69017E}"/>
    <cellStyle name="Normal 4 7 2 6 2 3" xfId="23722" xr:uid="{5951635C-B3FF-4580-BBAC-8622D648D998}"/>
    <cellStyle name="Normal 4 7 2 6 3" xfId="11067" xr:uid="{75CEAF91-6D9E-4C96-BC15-3C75A8BC126E}"/>
    <cellStyle name="Normal 4 7 2 6 4" xfId="19505" xr:uid="{96CF5AA4-D104-4598-B54F-AA84490F68C7}"/>
    <cellStyle name="Normal 4 7 2 7" xfId="4778" xr:uid="{00000000-0005-0000-0000-0000B5160000}"/>
    <cellStyle name="Normal 4 7 2 7 2" xfId="13220" xr:uid="{E88B2D70-A975-46A2-93DD-BDBFA1049F28}"/>
    <cellStyle name="Normal 4 7 2 7 3" xfId="21657" xr:uid="{E2132043-7984-448D-83F9-5620D60CD9EC}"/>
    <cellStyle name="Normal 4 7 2 8" xfId="9002" xr:uid="{338C566D-3744-4F0A-9444-199B1C7C03D2}"/>
    <cellStyle name="Normal 4 7 2 9" xfId="17440" xr:uid="{8DD43082-697E-42DE-873B-7BD1550C3BDB}"/>
    <cellStyle name="Normal 4 7 3" xfId="877" xr:uid="{00000000-0005-0000-0000-0000B6160000}"/>
    <cellStyle name="Normal 4 7 3 2" xfId="3112" xr:uid="{00000000-0005-0000-0000-0000B7160000}"/>
    <cellStyle name="Normal 4 7 3 2 2" xfId="7335" xr:uid="{00000000-0005-0000-0000-0000B8160000}"/>
    <cellStyle name="Normal 4 7 3 2 2 2" xfId="15777" xr:uid="{BDD67830-5DBC-4B2C-997F-8BEEC172DA71}"/>
    <cellStyle name="Normal 4 7 3 2 2 3" xfId="24214" xr:uid="{A76B63E7-B490-490D-B5A5-CA9ED2C05B36}"/>
    <cellStyle name="Normal 4 7 3 2 3" xfId="11559" xr:uid="{AFFB6068-168B-4026-A786-5C89058CE61F}"/>
    <cellStyle name="Normal 4 7 3 2 4" xfId="19997" xr:uid="{1E883FCF-5848-44BD-B760-7CF96195CDE6}"/>
    <cellStyle name="Normal 4 7 3 3" xfId="5190" xr:uid="{00000000-0005-0000-0000-0000B9160000}"/>
    <cellStyle name="Normal 4 7 3 3 2" xfId="13632" xr:uid="{2A82FB93-D281-47F8-800E-F28F7560C568}"/>
    <cellStyle name="Normal 4 7 3 3 3" xfId="22069" xr:uid="{34F3DE12-AEE7-4808-9599-1C47453FEF9F}"/>
    <cellStyle name="Normal 4 7 3 4" xfId="9414" xr:uid="{CDB70134-1371-4A1F-A8AD-6110460B98D0}"/>
    <cellStyle name="Normal 4 7 3 5" xfId="17852" xr:uid="{4341CBFC-0F01-4511-8541-70C32E70A7CE}"/>
    <cellStyle name="Normal 4 7 4" xfId="1295" xr:uid="{00000000-0005-0000-0000-0000BA160000}"/>
    <cellStyle name="Normal 4 7 4 2" xfId="3525" xr:uid="{00000000-0005-0000-0000-0000BB160000}"/>
    <cellStyle name="Normal 4 7 4 2 2" xfId="7748" xr:uid="{00000000-0005-0000-0000-0000BC160000}"/>
    <cellStyle name="Normal 4 7 4 2 2 2" xfId="16190" xr:uid="{828E98CC-93F9-4185-89B5-BFECE8931931}"/>
    <cellStyle name="Normal 4 7 4 2 2 3" xfId="24627" xr:uid="{78342FEE-2DE2-4C3E-A095-4693A3BFE132}"/>
    <cellStyle name="Normal 4 7 4 2 3" xfId="11972" xr:uid="{A033BEA8-FFF0-46EC-96AE-0B75D6F91EC0}"/>
    <cellStyle name="Normal 4 7 4 2 4" xfId="20410" xr:uid="{338620CD-F169-4B32-B461-B67CA3466A57}"/>
    <cellStyle name="Normal 4 7 4 3" xfId="5603" xr:uid="{00000000-0005-0000-0000-0000BD160000}"/>
    <cellStyle name="Normal 4 7 4 3 2" xfId="14045" xr:uid="{A849ADC0-63B7-43D0-ADC5-35A26683E3C0}"/>
    <cellStyle name="Normal 4 7 4 3 3" xfId="22482" xr:uid="{B34CF0CC-EAB6-4B63-AB2B-00A840A9508B}"/>
    <cellStyle name="Normal 4 7 4 4" xfId="9827" xr:uid="{4C303369-8D52-45A2-8B83-0346BE7D1E0A}"/>
    <cellStyle name="Normal 4 7 4 5" xfId="18265" xr:uid="{C2822BA5-0B76-49D8-A079-460F49CC9E5F}"/>
    <cellStyle name="Normal 4 7 5" xfId="1708" xr:uid="{00000000-0005-0000-0000-0000BE160000}"/>
    <cellStyle name="Normal 4 7 5 2" xfId="3938" xr:uid="{00000000-0005-0000-0000-0000BF160000}"/>
    <cellStyle name="Normal 4 7 5 2 2" xfId="8161" xr:uid="{00000000-0005-0000-0000-0000C0160000}"/>
    <cellStyle name="Normal 4 7 5 2 2 2" xfId="16603" xr:uid="{21148929-D943-416C-8BCA-03A980907892}"/>
    <cellStyle name="Normal 4 7 5 2 2 3" xfId="25040" xr:uid="{3FFDFC77-7B01-47A5-88E9-6D6E3F483FD3}"/>
    <cellStyle name="Normal 4 7 5 2 3" xfId="12385" xr:uid="{DAFD98CE-695C-47C2-B345-4EFFC776A33A}"/>
    <cellStyle name="Normal 4 7 5 2 4" xfId="20823" xr:uid="{F0FEBDD3-EA29-43A4-B646-1E17B6822D4F}"/>
    <cellStyle name="Normal 4 7 5 3" xfId="6016" xr:uid="{00000000-0005-0000-0000-0000C1160000}"/>
    <cellStyle name="Normal 4 7 5 3 2" xfId="14458" xr:uid="{24B027D3-39CB-44A2-B89A-62E6ECE89593}"/>
    <cellStyle name="Normal 4 7 5 3 3" xfId="22895" xr:uid="{AA5C7FF6-B93D-4684-AE97-12A5EEFD8DB0}"/>
    <cellStyle name="Normal 4 7 5 4" xfId="10240" xr:uid="{EDF2363D-32E1-40A1-B813-0E827DB16A9E}"/>
    <cellStyle name="Normal 4 7 5 5" xfId="18678" xr:uid="{142D99EC-7B80-4171-B67B-873057E32089}"/>
    <cellStyle name="Normal 4 7 6" xfId="2122" xr:uid="{00000000-0005-0000-0000-0000C2160000}"/>
    <cellStyle name="Normal 4 7 6 2" xfId="4351" xr:uid="{00000000-0005-0000-0000-0000C3160000}"/>
    <cellStyle name="Normal 4 7 6 2 2" xfId="8574" xr:uid="{00000000-0005-0000-0000-0000C4160000}"/>
    <cellStyle name="Normal 4 7 6 2 2 2" xfId="17016" xr:uid="{13E8C74E-4F64-4453-B315-9504BF61992D}"/>
    <cellStyle name="Normal 4 7 6 2 2 3" xfId="25453" xr:uid="{82F9E346-F6EB-49ED-B157-3E909A6F35ED}"/>
    <cellStyle name="Normal 4 7 6 2 3" xfId="12798" xr:uid="{74235A2A-F757-4D6D-AE5D-A89B9931A018}"/>
    <cellStyle name="Normal 4 7 6 2 4" xfId="21236" xr:uid="{0EB13DF8-6D81-4ABC-B267-28C5E95D06E6}"/>
    <cellStyle name="Normal 4 7 6 3" xfId="6429" xr:uid="{00000000-0005-0000-0000-0000C5160000}"/>
    <cellStyle name="Normal 4 7 6 3 2" xfId="14871" xr:uid="{7641E45A-6B73-4885-A70C-06392EE91C69}"/>
    <cellStyle name="Normal 4 7 6 3 3" xfId="23308" xr:uid="{D42240BA-ED0E-4DA2-8A85-BDB7D581664F}"/>
    <cellStyle name="Normal 4 7 6 4" xfId="10653" xr:uid="{624704AF-0C6E-44ED-9885-1B4ED9F27F48}"/>
    <cellStyle name="Normal 4 7 6 5" xfId="19091" xr:uid="{7FC49EAE-CF23-432F-B448-A52FB577BA65}"/>
    <cellStyle name="Normal 4 7 7" xfId="2558" xr:uid="{00000000-0005-0000-0000-0000C6160000}"/>
    <cellStyle name="Normal 4 7 7 2" xfId="6842" xr:uid="{00000000-0005-0000-0000-0000C7160000}"/>
    <cellStyle name="Normal 4 7 7 2 2" xfId="15284" xr:uid="{52E57813-0192-46D8-B53A-59ACFC16A3CC}"/>
    <cellStyle name="Normal 4 7 7 2 3" xfId="23721" xr:uid="{A78E43F1-8D43-497B-AB4B-7067184081D8}"/>
    <cellStyle name="Normal 4 7 7 3" xfId="11066" xr:uid="{1D2D2BA5-17DF-4254-B1B6-A9FE9827F595}"/>
    <cellStyle name="Normal 4 7 7 4" xfId="19504" xr:uid="{7198C73F-566C-4E92-BBEC-115C31DDC6C6}"/>
    <cellStyle name="Normal 4 7 8" xfId="4777" xr:uid="{00000000-0005-0000-0000-0000C8160000}"/>
    <cellStyle name="Normal 4 7 8 2" xfId="13219" xr:uid="{C7E85BFF-7479-4DBC-ABAF-EC17A7048DC9}"/>
    <cellStyle name="Normal 4 7 8 3" xfId="21656" xr:uid="{900614E9-1A88-4A11-BDE6-50B0899E03A0}"/>
    <cellStyle name="Normal 4 7 9" xfId="9001" xr:uid="{1F9400BF-7B97-4586-A01C-101BFC42D6E2}"/>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2 2 2" xfId="15779" xr:uid="{5768AF6E-F6D0-4957-99FC-0C6AF51BC58D}"/>
    <cellStyle name="Normal 4 8 2 2 2 3" xfId="24216" xr:uid="{EC2D2981-3467-45B7-9396-6E79F5ACCC1C}"/>
    <cellStyle name="Normal 4 8 2 2 3" xfId="11561" xr:uid="{54D8419D-B434-4266-AFDB-A38A559AD2F3}"/>
    <cellStyle name="Normal 4 8 2 2 4" xfId="19999" xr:uid="{DD5853BC-E998-43C8-93D6-1499547E66AA}"/>
    <cellStyle name="Normal 4 8 2 3" xfId="5192" xr:uid="{00000000-0005-0000-0000-0000CD160000}"/>
    <cellStyle name="Normal 4 8 2 3 2" xfId="13634" xr:uid="{8F35265D-4401-49A2-A000-FB846117E6F3}"/>
    <cellStyle name="Normal 4 8 2 3 3" xfId="22071" xr:uid="{EDA7C731-D470-4EC8-9124-C9A869B7E939}"/>
    <cellStyle name="Normal 4 8 2 4" xfId="9416" xr:uid="{FBD03F61-C616-40D0-A0FD-198DFE5BA7A4}"/>
    <cellStyle name="Normal 4 8 2 5" xfId="17854" xr:uid="{91BA3EC2-9FC5-4413-8FF0-9DD240F4AEBE}"/>
    <cellStyle name="Normal 4 8 3" xfId="1297" xr:uid="{00000000-0005-0000-0000-0000CE160000}"/>
    <cellStyle name="Normal 4 8 3 2" xfId="3527" xr:uid="{00000000-0005-0000-0000-0000CF160000}"/>
    <cellStyle name="Normal 4 8 3 2 2" xfId="7750" xr:uid="{00000000-0005-0000-0000-0000D0160000}"/>
    <cellStyle name="Normal 4 8 3 2 2 2" xfId="16192" xr:uid="{C34AFDB1-AE72-451F-B30B-DB708B5581AC}"/>
    <cellStyle name="Normal 4 8 3 2 2 3" xfId="24629" xr:uid="{CA67AA25-75A5-4BC0-9009-2D266EF2DDC6}"/>
    <cellStyle name="Normal 4 8 3 2 3" xfId="11974" xr:uid="{20F7EAFC-9AF5-43CA-B082-F4C6D42BDC95}"/>
    <cellStyle name="Normal 4 8 3 2 4" xfId="20412" xr:uid="{8F3B7FDC-C0B7-47D0-86B7-E52C5868D54D}"/>
    <cellStyle name="Normal 4 8 3 3" xfId="5605" xr:uid="{00000000-0005-0000-0000-0000D1160000}"/>
    <cellStyle name="Normal 4 8 3 3 2" xfId="14047" xr:uid="{89B88441-DC11-4C64-91A5-E3AC714D083F}"/>
    <cellStyle name="Normal 4 8 3 3 3" xfId="22484" xr:uid="{E07D7CE5-B6FE-41DC-B62D-BF4712AA44E8}"/>
    <cellStyle name="Normal 4 8 3 4" xfId="9829" xr:uid="{EB8C1A22-8857-4E12-8270-5877CCA5FE6C}"/>
    <cellStyle name="Normal 4 8 3 5" xfId="18267" xr:uid="{D02586DF-FDDC-4E84-9AC0-D9BD16CB6D4D}"/>
    <cellStyle name="Normal 4 8 4" xfId="1710" xr:uid="{00000000-0005-0000-0000-0000D2160000}"/>
    <cellStyle name="Normal 4 8 4 2" xfId="3940" xr:uid="{00000000-0005-0000-0000-0000D3160000}"/>
    <cellStyle name="Normal 4 8 4 2 2" xfId="8163" xr:uid="{00000000-0005-0000-0000-0000D4160000}"/>
    <cellStyle name="Normal 4 8 4 2 2 2" xfId="16605" xr:uid="{0B4AAE7F-6DBF-4B6B-AFB8-C53FB5DF811F}"/>
    <cellStyle name="Normal 4 8 4 2 2 3" xfId="25042" xr:uid="{79143BF6-6ECA-4BA2-9702-741C638C89B8}"/>
    <cellStyle name="Normal 4 8 4 2 3" xfId="12387" xr:uid="{5602188C-2753-40D0-904A-B8A5C19733E9}"/>
    <cellStyle name="Normal 4 8 4 2 4" xfId="20825" xr:uid="{3ECEB4D3-A3FC-426E-B87C-C95E2B78618D}"/>
    <cellStyle name="Normal 4 8 4 3" xfId="6018" xr:uid="{00000000-0005-0000-0000-0000D5160000}"/>
    <cellStyle name="Normal 4 8 4 3 2" xfId="14460" xr:uid="{EB8367B0-24BD-4EAA-8318-BF569104D412}"/>
    <cellStyle name="Normal 4 8 4 3 3" xfId="22897" xr:uid="{9148FFAB-7DB0-4A85-B2D1-D70553798747}"/>
    <cellStyle name="Normal 4 8 4 4" xfId="10242" xr:uid="{FE321C05-A48D-4EC8-BE30-5503DC4F173D}"/>
    <cellStyle name="Normal 4 8 4 5" xfId="18680" xr:uid="{311D7A4C-AFDF-42E3-A024-A73F4BAF9C53}"/>
    <cellStyle name="Normal 4 8 5" xfId="2124" xr:uid="{00000000-0005-0000-0000-0000D6160000}"/>
    <cellStyle name="Normal 4 8 5 2" xfId="4353" xr:uid="{00000000-0005-0000-0000-0000D7160000}"/>
    <cellStyle name="Normal 4 8 5 2 2" xfId="8576" xr:uid="{00000000-0005-0000-0000-0000D8160000}"/>
    <cellStyle name="Normal 4 8 5 2 2 2" xfId="17018" xr:uid="{774C837A-B2AB-4028-BD8C-4DB3EAD501FA}"/>
    <cellStyle name="Normal 4 8 5 2 2 3" xfId="25455" xr:uid="{7D617D2A-0B45-42AE-96AB-A3F3CC1CBA87}"/>
    <cellStyle name="Normal 4 8 5 2 3" xfId="12800" xr:uid="{C5CC50C4-ACAA-4536-AC1B-2BF79BFBD1E5}"/>
    <cellStyle name="Normal 4 8 5 2 4" xfId="21238" xr:uid="{C7E14AA1-4781-488D-918E-30E839048115}"/>
    <cellStyle name="Normal 4 8 5 3" xfId="6431" xr:uid="{00000000-0005-0000-0000-0000D9160000}"/>
    <cellStyle name="Normal 4 8 5 3 2" xfId="14873" xr:uid="{9DC634CE-5E1F-4498-B61C-C25FBB4D2AFC}"/>
    <cellStyle name="Normal 4 8 5 3 3" xfId="23310" xr:uid="{5EC7E82F-3C5B-4B2A-998B-423401951C77}"/>
    <cellStyle name="Normal 4 8 5 4" xfId="10655" xr:uid="{D6B1A35D-7A15-47A2-821E-89B021EDEECB}"/>
    <cellStyle name="Normal 4 8 5 5" xfId="19093" xr:uid="{AA272407-0D93-4008-B7AA-9D5C77B58596}"/>
    <cellStyle name="Normal 4 8 6" xfId="2560" xr:uid="{00000000-0005-0000-0000-0000DA160000}"/>
    <cellStyle name="Normal 4 8 6 2" xfId="6844" xr:uid="{00000000-0005-0000-0000-0000DB160000}"/>
    <cellStyle name="Normal 4 8 6 2 2" xfId="15286" xr:uid="{A3DB8C8D-58C2-4418-A862-1E569D0E47F6}"/>
    <cellStyle name="Normal 4 8 6 2 3" xfId="23723" xr:uid="{3A22E9EF-0D7F-4FB0-A4A7-0506A1E9CFBF}"/>
    <cellStyle name="Normal 4 8 6 3" xfId="11068" xr:uid="{9A2B000C-DF50-4DAF-8C7D-A417D875BF70}"/>
    <cellStyle name="Normal 4 8 6 4" xfId="19506" xr:uid="{D16B4464-9033-4AFF-A5E9-9B29FE22F2FC}"/>
    <cellStyle name="Normal 4 8 7" xfId="4779" xr:uid="{00000000-0005-0000-0000-0000DC160000}"/>
    <cellStyle name="Normal 4 8 7 2" xfId="13221" xr:uid="{1E91D4F6-9CDA-4039-9A47-E805AAF59F03}"/>
    <cellStyle name="Normal 4 8 7 3" xfId="21658" xr:uid="{E06C9EEA-9A3D-47DD-B63D-A4261B9691E1}"/>
    <cellStyle name="Normal 4 8 8" xfId="9003" xr:uid="{E63EB722-6DC7-4E1F-8EC1-9FE39757C6AF}"/>
    <cellStyle name="Normal 4 8 9" xfId="17441" xr:uid="{CB421011-A142-400D-8747-DA8DAAF67571}"/>
    <cellStyle name="Normal 4 9" xfId="4716" xr:uid="{00000000-0005-0000-0000-0000DD160000}"/>
    <cellStyle name="Normal 4 9 2" xfId="13158" xr:uid="{D9F1EFCF-027A-48CD-809D-4B4EC2A0CA5D}"/>
    <cellStyle name="Normal 4 9 3" xfId="21595" xr:uid="{EBD8AE88-3F30-4D75-A5CF-B1DFF77AF12F}"/>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2 2 2" xfId="16606" xr:uid="{B374C7B2-92F9-4229-8EF7-59111984FB13}"/>
    <cellStyle name="Normal 5 10 2 2 3" xfId="25043" xr:uid="{914E6DC5-F9E5-400E-971B-5FD4871E7A2E}"/>
    <cellStyle name="Normal 5 10 2 3" xfId="12388" xr:uid="{CF65A64B-C1A7-4566-B820-BBD514BC1993}"/>
    <cellStyle name="Normal 5 10 2 4" xfId="20826" xr:uid="{56B0F608-9F82-4356-B876-7B3E2294E58A}"/>
    <cellStyle name="Normal 5 10 3" xfId="6019" xr:uid="{00000000-0005-0000-0000-0000E2160000}"/>
    <cellStyle name="Normal 5 10 3 2" xfId="14461" xr:uid="{E8C26974-8E8C-4576-BBBE-52FCE7DBB91D}"/>
    <cellStyle name="Normal 5 10 3 3" xfId="22898" xr:uid="{18678A4C-06CE-4A23-B0A6-75E46A2FBF39}"/>
    <cellStyle name="Normal 5 10 4" xfId="10243" xr:uid="{09C29BB4-BD81-4745-BBEE-123B50DFF02B}"/>
    <cellStyle name="Normal 5 10 5" xfId="18681" xr:uid="{6F9136A8-E290-4D70-87D2-FE433E4A3410}"/>
    <cellStyle name="Normal 5 11" xfId="2125" xr:uid="{00000000-0005-0000-0000-0000E3160000}"/>
    <cellStyle name="Normal 5 11 2" xfId="4354" xr:uid="{00000000-0005-0000-0000-0000E4160000}"/>
    <cellStyle name="Normal 5 11 2 2" xfId="8577" xr:uid="{00000000-0005-0000-0000-0000E5160000}"/>
    <cellStyle name="Normal 5 11 2 2 2" xfId="17019" xr:uid="{266A3FB2-D8B2-4547-8F38-34B7CB51D4EE}"/>
    <cellStyle name="Normal 5 11 2 2 3" xfId="25456" xr:uid="{DA164D67-B892-40B3-8442-A1DD5AE86BE2}"/>
    <cellStyle name="Normal 5 11 2 3" xfId="12801" xr:uid="{2145C01D-A7AA-4113-9235-59520778D035}"/>
    <cellStyle name="Normal 5 11 2 4" xfId="21239" xr:uid="{66DB3EE9-D0E3-4F30-A09E-A2D2ABABF20B}"/>
    <cellStyle name="Normal 5 11 3" xfId="6432" xr:uid="{00000000-0005-0000-0000-0000E6160000}"/>
    <cellStyle name="Normal 5 11 3 2" xfId="14874" xr:uid="{F27B29EC-9DD6-4D23-B12B-2902AF03F356}"/>
    <cellStyle name="Normal 5 11 3 3" xfId="23311" xr:uid="{A4DEEA58-90E1-4A18-940D-DA0DCA1293FC}"/>
    <cellStyle name="Normal 5 11 4" xfId="10656" xr:uid="{950C5454-BDA1-4EAD-ACB9-CFF434AD0352}"/>
    <cellStyle name="Normal 5 11 5" xfId="19094" xr:uid="{0A639453-A9D4-4865-B92A-A6A9CEFC2F1E}"/>
    <cellStyle name="Normal 5 12" xfId="2561" xr:uid="{00000000-0005-0000-0000-0000E7160000}"/>
    <cellStyle name="Normal 5 12 2" xfId="6845" xr:uid="{00000000-0005-0000-0000-0000E8160000}"/>
    <cellStyle name="Normal 5 12 2 2" xfId="15287" xr:uid="{CBB036E8-ED12-4AE2-A0EC-A2D24F140F9A}"/>
    <cellStyle name="Normal 5 12 2 3" xfId="23724" xr:uid="{2C80A6F0-F7EC-4AFB-BB1B-A1B641B25498}"/>
    <cellStyle name="Normal 5 12 3" xfId="11069" xr:uid="{CB5FF1D5-0C50-4851-B9FC-D9C62018F1F7}"/>
    <cellStyle name="Normal 5 12 4" xfId="19507" xr:uid="{830A700D-CF35-4AC6-B904-926AD543680E}"/>
    <cellStyle name="Normal 5 13" xfId="4780" xr:uid="{00000000-0005-0000-0000-0000E9160000}"/>
    <cellStyle name="Normal 5 13 2" xfId="13222" xr:uid="{CC78DCD3-0906-4E23-A755-8FF04CB2FF87}"/>
    <cellStyle name="Normal 5 13 3" xfId="21659" xr:uid="{C4D28706-7CD8-4E26-80B3-EFC8CD59DA4B}"/>
    <cellStyle name="Normal 5 14" xfId="9004" xr:uid="{FC648BEC-A3C4-421C-84DA-11538CF9883D}"/>
    <cellStyle name="Normal 5 15" xfId="17442" xr:uid="{3D63D8FE-0497-4639-9B4C-D10F6AB8C0B1}"/>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2 2 2" xfId="17020" xr:uid="{57102569-DE14-45A8-A785-1C85E5CBB357}"/>
    <cellStyle name="Normal 5 2 10 2 2 3" xfId="25457" xr:uid="{5DC36E95-3BFE-4F10-8B2A-A34464E7B51B}"/>
    <cellStyle name="Normal 5 2 10 2 3" xfId="12802" xr:uid="{803F9423-91A0-4F86-AE1E-C7E68B7636BC}"/>
    <cellStyle name="Normal 5 2 10 2 4" xfId="21240" xr:uid="{9D05859E-9D60-4E6A-914C-6E48FA7968BD}"/>
    <cellStyle name="Normal 5 2 10 3" xfId="6433" xr:uid="{00000000-0005-0000-0000-0000EE160000}"/>
    <cellStyle name="Normal 5 2 10 3 2" xfId="14875" xr:uid="{AA08BC7A-9584-4AC9-8D6B-23A69CEB844B}"/>
    <cellStyle name="Normal 5 2 10 3 3" xfId="23312" xr:uid="{7C9E3576-EC13-4A4A-8141-8C44E8BD5CAB}"/>
    <cellStyle name="Normal 5 2 10 4" xfId="10657" xr:uid="{C656B777-A3D5-4655-A8D0-9F71A6B953A9}"/>
    <cellStyle name="Normal 5 2 10 5" xfId="19095" xr:uid="{EA90E65E-2930-489F-B45C-0DC434F132FC}"/>
    <cellStyle name="Normal 5 2 11" xfId="2562" xr:uid="{00000000-0005-0000-0000-0000EF160000}"/>
    <cellStyle name="Normal 5 2 11 2" xfId="6846" xr:uid="{00000000-0005-0000-0000-0000F0160000}"/>
    <cellStyle name="Normal 5 2 11 2 2" xfId="15288" xr:uid="{FB56010F-9B6E-46D0-AD59-C2E700503502}"/>
    <cellStyle name="Normal 5 2 11 2 3" xfId="23725" xr:uid="{F89F289F-20BD-4768-AD6B-46148BD44C78}"/>
    <cellStyle name="Normal 5 2 11 3" xfId="11070" xr:uid="{4245CECE-C2A6-4E16-BD1E-6EB406E9A140}"/>
    <cellStyle name="Normal 5 2 11 4" xfId="19508" xr:uid="{287D0F43-EAE7-44BA-82E3-04DAB41ACDCF}"/>
    <cellStyle name="Normal 5 2 12" xfId="4781" xr:uid="{00000000-0005-0000-0000-0000F1160000}"/>
    <cellStyle name="Normal 5 2 12 2" xfId="13223" xr:uid="{249AA280-5EB8-4727-9BE9-09050465CFB9}"/>
    <cellStyle name="Normal 5 2 12 3" xfId="21660" xr:uid="{E07E38FE-B648-4311-9202-DE0A01D67BE8}"/>
    <cellStyle name="Normal 5 2 13" xfId="9005" xr:uid="{F8699D7B-CC7D-417E-8ADA-19401115279D}"/>
    <cellStyle name="Normal 5 2 14" xfId="17443" xr:uid="{9FA34913-3E30-46AB-A477-6FED1A4A99EB}"/>
    <cellStyle name="Normal 5 2 2" xfId="408" xr:uid="{00000000-0005-0000-0000-0000F2160000}"/>
    <cellStyle name="Normal 5 2 2 10" xfId="2563" xr:uid="{00000000-0005-0000-0000-0000F3160000}"/>
    <cellStyle name="Normal 5 2 2 10 2" xfId="6847" xr:uid="{00000000-0005-0000-0000-0000F4160000}"/>
    <cellStyle name="Normal 5 2 2 10 2 2" xfId="15289" xr:uid="{CDC16623-F313-4F82-AF05-95C0EFB357BE}"/>
    <cellStyle name="Normal 5 2 2 10 2 3" xfId="23726" xr:uid="{0D4A8C61-0202-428A-8565-41DEA8C17928}"/>
    <cellStyle name="Normal 5 2 2 10 3" xfId="11071" xr:uid="{144CD33D-079B-40FD-B45D-A5654961032B}"/>
    <cellStyle name="Normal 5 2 2 10 4" xfId="19509" xr:uid="{932EC302-4459-4C01-8149-A3E08C768961}"/>
    <cellStyle name="Normal 5 2 2 11" xfId="4782" xr:uid="{00000000-0005-0000-0000-0000F5160000}"/>
    <cellStyle name="Normal 5 2 2 11 2" xfId="13224" xr:uid="{67EE849D-3A58-405E-9338-38D6D9F1F127}"/>
    <cellStyle name="Normal 5 2 2 11 3" xfId="21661" xr:uid="{209E0DEE-0A81-4089-9028-0C97FD2CDD38}"/>
    <cellStyle name="Normal 5 2 2 12" xfId="9006" xr:uid="{793E3D35-8038-49F9-9C8B-7AAC6D1A5376}"/>
    <cellStyle name="Normal 5 2 2 13" xfId="17444" xr:uid="{A298F283-71FA-4CF0-9EF9-B4177303FC08}"/>
    <cellStyle name="Normal 5 2 2 2" xfId="409" xr:uid="{00000000-0005-0000-0000-0000F6160000}"/>
    <cellStyle name="Normal 5 2 2 2 10" xfId="4783" xr:uid="{00000000-0005-0000-0000-0000F7160000}"/>
    <cellStyle name="Normal 5 2 2 2 10 2" xfId="13225" xr:uid="{EF0158D3-5498-4C3C-AD61-76A692F17058}"/>
    <cellStyle name="Normal 5 2 2 2 10 3" xfId="21662" xr:uid="{C41370D9-69CD-49DC-943B-9BFD14652CDC}"/>
    <cellStyle name="Normal 5 2 2 2 11" xfId="9007" xr:uid="{58BDD64E-93ED-46A5-9DD4-2D2BB2E8651C}"/>
    <cellStyle name="Normal 5 2 2 2 12" xfId="17445" xr:uid="{30EBBD85-794F-4DAF-8D10-F727DC1714D0}"/>
    <cellStyle name="Normal 5 2 2 2 2" xfId="410" xr:uid="{00000000-0005-0000-0000-0000F8160000}"/>
    <cellStyle name="Normal 5 2 2 2 2 10" xfId="9008" xr:uid="{A0FD6016-60EF-44A3-BCF9-E3DDA5DEFEBB}"/>
    <cellStyle name="Normal 5 2 2 2 2 11" xfId="17446" xr:uid="{1DFF448D-6A4F-4841-B46C-6C4EABB41921}"/>
    <cellStyle name="Normal 5 2 2 2 2 2" xfId="411" xr:uid="{00000000-0005-0000-0000-0000F9160000}"/>
    <cellStyle name="Normal 5 2 2 2 2 2 10" xfId="17447" xr:uid="{80B44DE4-86FB-43C9-A775-C4742108ADDE}"/>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2 2 2" xfId="15786" xr:uid="{C4C52B1D-DB33-4175-91DD-C9964C89A7FC}"/>
    <cellStyle name="Normal 5 2 2 2 2 2 2 2 2 2 3" xfId="24223" xr:uid="{C26CDDB0-5DC8-4C0F-8EE6-7BC89A6171F5}"/>
    <cellStyle name="Normal 5 2 2 2 2 2 2 2 2 3" xfId="11568" xr:uid="{63EAB7BD-2AF2-49CC-BF52-2CCDD997BECE}"/>
    <cellStyle name="Normal 5 2 2 2 2 2 2 2 2 4" xfId="20006" xr:uid="{D2AAD7DF-A238-4F4C-96F1-1B300A9F19A9}"/>
    <cellStyle name="Normal 5 2 2 2 2 2 2 2 3" xfId="5199" xr:uid="{00000000-0005-0000-0000-0000FE160000}"/>
    <cellStyle name="Normal 5 2 2 2 2 2 2 2 3 2" xfId="13641" xr:uid="{010EBB69-9698-48D8-8D34-09BA6ADD56A1}"/>
    <cellStyle name="Normal 5 2 2 2 2 2 2 2 3 3" xfId="22078" xr:uid="{64D6B51C-33DB-468C-A5DB-F24811C1907C}"/>
    <cellStyle name="Normal 5 2 2 2 2 2 2 2 4" xfId="9423" xr:uid="{33B0E96A-C609-4999-9674-90DC86D3FBD2}"/>
    <cellStyle name="Normal 5 2 2 2 2 2 2 2 5" xfId="17861" xr:uid="{0CCA6FD9-865C-4AEC-95FE-1479973EADD7}"/>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2 2 2" xfId="16199" xr:uid="{C38CE358-8BF0-4400-9430-EBEDCF12C570}"/>
    <cellStyle name="Normal 5 2 2 2 2 2 2 3 2 2 3" xfId="24636" xr:uid="{430E2AF7-24DB-4535-9D3C-94626A0B834F}"/>
    <cellStyle name="Normal 5 2 2 2 2 2 2 3 2 3" xfId="11981" xr:uid="{574A42C0-622D-41A5-9ECD-089589461A6C}"/>
    <cellStyle name="Normal 5 2 2 2 2 2 2 3 2 4" xfId="20419" xr:uid="{74337693-2021-4896-860D-22A8B02BFC3C}"/>
    <cellStyle name="Normal 5 2 2 2 2 2 2 3 3" xfId="5612" xr:uid="{00000000-0005-0000-0000-000002170000}"/>
    <cellStyle name="Normal 5 2 2 2 2 2 2 3 3 2" xfId="14054" xr:uid="{B446BCD7-6F26-4ABE-992D-25C92B0E62AC}"/>
    <cellStyle name="Normal 5 2 2 2 2 2 2 3 3 3" xfId="22491" xr:uid="{96EC5F00-330E-4961-B865-4F09D0E5E462}"/>
    <cellStyle name="Normal 5 2 2 2 2 2 2 3 4" xfId="9836" xr:uid="{75EC0828-B12F-42A5-B374-A340C092F735}"/>
    <cellStyle name="Normal 5 2 2 2 2 2 2 3 5" xfId="18274" xr:uid="{97CF8336-A42F-4C13-8FC8-23C3E4516461}"/>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2 2 2" xfId="16612" xr:uid="{C94EFF45-047D-4873-BF70-F82A015E6B29}"/>
    <cellStyle name="Normal 5 2 2 2 2 2 2 4 2 2 3" xfId="25049" xr:uid="{C0B76BCC-278E-4C32-AFEC-8B90CEFA7DB5}"/>
    <cellStyle name="Normal 5 2 2 2 2 2 2 4 2 3" xfId="12394" xr:uid="{37ADC6F5-78F3-4216-A40C-DE11FB2D0461}"/>
    <cellStyle name="Normal 5 2 2 2 2 2 2 4 2 4" xfId="20832" xr:uid="{45BEE28E-C89D-4934-8305-A4B276053EF0}"/>
    <cellStyle name="Normal 5 2 2 2 2 2 2 4 3" xfId="6025" xr:uid="{00000000-0005-0000-0000-000006170000}"/>
    <cellStyle name="Normal 5 2 2 2 2 2 2 4 3 2" xfId="14467" xr:uid="{40FC94C2-289C-41D7-A895-9EC162A6B5F8}"/>
    <cellStyle name="Normal 5 2 2 2 2 2 2 4 3 3" xfId="22904" xr:uid="{D299E26F-2C49-48A8-BB31-7D5F859A501A}"/>
    <cellStyle name="Normal 5 2 2 2 2 2 2 4 4" xfId="10249" xr:uid="{1CFA02D5-497E-445C-9BEE-B87B5D60C369}"/>
    <cellStyle name="Normal 5 2 2 2 2 2 2 4 5" xfId="18687" xr:uid="{61BD1D64-1F8A-45F0-89A1-1DBFD5747A08}"/>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2 2 2" xfId="17025" xr:uid="{DE31F3A0-BDD9-4B12-943F-C255D08B3454}"/>
    <cellStyle name="Normal 5 2 2 2 2 2 2 5 2 2 3" xfId="25462" xr:uid="{2D9D2128-8F9F-46C1-B3CC-15984CA8B84F}"/>
    <cellStyle name="Normal 5 2 2 2 2 2 2 5 2 3" xfId="12807" xr:uid="{E4A208CF-D343-4363-8A09-AD3737A00191}"/>
    <cellStyle name="Normal 5 2 2 2 2 2 2 5 2 4" xfId="21245" xr:uid="{9C3BD275-BF7F-4C0D-94B5-0ED1FFC78124}"/>
    <cellStyle name="Normal 5 2 2 2 2 2 2 5 3" xfId="6438" xr:uid="{00000000-0005-0000-0000-00000A170000}"/>
    <cellStyle name="Normal 5 2 2 2 2 2 2 5 3 2" xfId="14880" xr:uid="{FBD163A0-B223-4EB1-BC5C-A33CBBB31ECB}"/>
    <cellStyle name="Normal 5 2 2 2 2 2 2 5 3 3" xfId="23317" xr:uid="{BCCA8FFC-416B-4F48-B6BA-6FDF675CD44F}"/>
    <cellStyle name="Normal 5 2 2 2 2 2 2 5 4" xfId="10662" xr:uid="{E1741C39-C250-46E0-A50C-0E1884D07647}"/>
    <cellStyle name="Normal 5 2 2 2 2 2 2 5 5" xfId="19100" xr:uid="{7097435C-5D1D-496F-82CC-469CCC554E12}"/>
    <cellStyle name="Normal 5 2 2 2 2 2 2 6" xfId="2567" xr:uid="{00000000-0005-0000-0000-00000B170000}"/>
    <cellStyle name="Normal 5 2 2 2 2 2 2 6 2" xfId="6851" xr:uid="{00000000-0005-0000-0000-00000C170000}"/>
    <cellStyle name="Normal 5 2 2 2 2 2 2 6 2 2" xfId="15293" xr:uid="{3EAE9B8F-C364-4203-B5ED-A459F48EBE5E}"/>
    <cellStyle name="Normal 5 2 2 2 2 2 2 6 2 3" xfId="23730" xr:uid="{734ECD02-6916-4223-AD75-14B19414EBA6}"/>
    <cellStyle name="Normal 5 2 2 2 2 2 2 6 3" xfId="11075" xr:uid="{E63F7B6A-B6B5-46AE-A374-616F4C6AA43F}"/>
    <cellStyle name="Normal 5 2 2 2 2 2 2 6 4" xfId="19513" xr:uid="{BDFF0D82-94BD-44B2-BF72-AA77BD8448C4}"/>
    <cellStyle name="Normal 5 2 2 2 2 2 2 7" xfId="4786" xr:uid="{00000000-0005-0000-0000-00000D170000}"/>
    <cellStyle name="Normal 5 2 2 2 2 2 2 7 2" xfId="13228" xr:uid="{518DCDAE-A1E7-4DFA-8503-653C6F90679C}"/>
    <cellStyle name="Normal 5 2 2 2 2 2 2 7 3" xfId="21665" xr:uid="{8F611452-500A-475D-B26E-06E626739214}"/>
    <cellStyle name="Normal 5 2 2 2 2 2 2 8" xfId="9010" xr:uid="{238355A5-91D7-4036-8F20-0013C0403641}"/>
    <cellStyle name="Normal 5 2 2 2 2 2 2 9" xfId="17448" xr:uid="{3D2BF8F7-AD19-4190-B8D7-AFCF5B92ADC3}"/>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2 2 2" xfId="15785" xr:uid="{3AF630F8-BEE7-43BF-8A8A-324F93A338C7}"/>
    <cellStyle name="Normal 5 2 2 2 2 2 3 2 2 3" xfId="24222" xr:uid="{57492D62-2521-4405-A384-CF68AC84AA56}"/>
    <cellStyle name="Normal 5 2 2 2 2 2 3 2 3" xfId="11567" xr:uid="{DACB751C-8EFB-4933-878A-3102B38CB2FC}"/>
    <cellStyle name="Normal 5 2 2 2 2 2 3 2 4" xfId="20005" xr:uid="{0135ADFA-0DFC-4D0D-ACB5-6F3322F33092}"/>
    <cellStyle name="Normal 5 2 2 2 2 2 3 3" xfId="5198" xr:uid="{00000000-0005-0000-0000-000011170000}"/>
    <cellStyle name="Normal 5 2 2 2 2 2 3 3 2" xfId="13640" xr:uid="{8DDF81A0-1B04-4967-8ADA-6742E4C40908}"/>
    <cellStyle name="Normal 5 2 2 2 2 2 3 3 3" xfId="22077" xr:uid="{404CFA95-EB2F-4984-8766-AB2ACD28D9E2}"/>
    <cellStyle name="Normal 5 2 2 2 2 2 3 4" xfId="9422" xr:uid="{4A1FF989-DBAB-4E83-B7B3-A56C88F562CD}"/>
    <cellStyle name="Normal 5 2 2 2 2 2 3 5" xfId="17860" xr:uid="{9078CF32-AD75-419E-A8BD-506A19E7B969}"/>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2 2 2" xfId="16198" xr:uid="{5AB8B61C-81B4-4508-8454-4B729CF35603}"/>
    <cellStyle name="Normal 5 2 2 2 2 2 4 2 2 3" xfId="24635" xr:uid="{F8563181-C26C-42E3-ABA8-4C5A8019F817}"/>
    <cellStyle name="Normal 5 2 2 2 2 2 4 2 3" xfId="11980" xr:uid="{B1CD544B-0E46-476E-A709-79C1D75A9082}"/>
    <cellStyle name="Normal 5 2 2 2 2 2 4 2 4" xfId="20418" xr:uid="{2F206E39-4218-4B49-9617-44DAE0F335C2}"/>
    <cellStyle name="Normal 5 2 2 2 2 2 4 3" xfId="5611" xr:uid="{00000000-0005-0000-0000-000015170000}"/>
    <cellStyle name="Normal 5 2 2 2 2 2 4 3 2" xfId="14053" xr:uid="{A9C81397-B342-47FB-AAEA-E2D71DADABDB}"/>
    <cellStyle name="Normal 5 2 2 2 2 2 4 3 3" xfId="22490" xr:uid="{F450653D-6719-4163-95FF-9528763B2ADA}"/>
    <cellStyle name="Normal 5 2 2 2 2 2 4 4" xfId="9835" xr:uid="{35B9A424-911C-424E-B8F0-B7FB6D015BCF}"/>
    <cellStyle name="Normal 5 2 2 2 2 2 4 5" xfId="18273" xr:uid="{077AC292-D687-4142-9AA7-333E8D8918A1}"/>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2 2 2" xfId="16611" xr:uid="{2128DD57-AA25-47E6-9A70-80A6312C4605}"/>
    <cellStyle name="Normal 5 2 2 2 2 2 5 2 2 3" xfId="25048" xr:uid="{82C3AF34-C2BC-4E06-A870-301DCDC398C4}"/>
    <cellStyle name="Normal 5 2 2 2 2 2 5 2 3" xfId="12393" xr:uid="{7574D152-77FC-41D8-880D-9DB71991F958}"/>
    <cellStyle name="Normal 5 2 2 2 2 2 5 2 4" xfId="20831" xr:uid="{294342DB-716E-46F9-A82B-A9F8260096EA}"/>
    <cellStyle name="Normal 5 2 2 2 2 2 5 3" xfId="6024" xr:uid="{00000000-0005-0000-0000-000019170000}"/>
    <cellStyle name="Normal 5 2 2 2 2 2 5 3 2" xfId="14466" xr:uid="{DCE7C518-888F-4697-97A9-51671B3DD4E2}"/>
    <cellStyle name="Normal 5 2 2 2 2 2 5 3 3" xfId="22903" xr:uid="{B037BF6F-175A-451F-9AC3-08D80A98BF97}"/>
    <cellStyle name="Normal 5 2 2 2 2 2 5 4" xfId="10248" xr:uid="{DE97BFA8-826A-4606-B9A6-78E3D4151FCE}"/>
    <cellStyle name="Normal 5 2 2 2 2 2 5 5" xfId="18686" xr:uid="{B1D84002-D02B-4DA5-80EE-BA44824FF5FD}"/>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2 2 2" xfId="17024" xr:uid="{5AA0EC4C-2745-4680-9E41-D4CF08CE827D}"/>
    <cellStyle name="Normal 5 2 2 2 2 2 6 2 2 3" xfId="25461" xr:uid="{06A9D529-C085-4884-8264-184D715B32A4}"/>
    <cellStyle name="Normal 5 2 2 2 2 2 6 2 3" xfId="12806" xr:uid="{7E4F509C-BCC3-49AA-8CFE-CAE32020A7F3}"/>
    <cellStyle name="Normal 5 2 2 2 2 2 6 2 4" xfId="21244" xr:uid="{D426DDF6-6B60-41B3-8899-0210CEC2E13E}"/>
    <cellStyle name="Normal 5 2 2 2 2 2 6 3" xfId="6437" xr:uid="{00000000-0005-0000-0000-00001D170000}"/>
    <cellStyle name="Normal 5 2 2 2 2 2 6 3 2" xfId="14879" xr:uid="{B121DA21-1B10-4C20-A157-0CBEA5254580}"/>
    <cellStyle name="Normal 5 2 2 2 2 2 6 3 3" xfId="23316" xr:uid="{FFB6E2FF-BF08-47F9-97A5-DD4F9E3EA3F1}"/>
    <cellStyle name="Normal 5 2 2 2 2 2 6 4" xfId="10661" xr:uid="{104D7B84-8643-4F1D-85C2-44E5F4A3BF18}"/>
    <cellStyle name="Normal 5 2 2 2 2 2 6 5" xfId="19099" xr:uid="{0433EE36-4D5D-4E8A-ACC7-50C7DB1CB745}"/>
    <cellStyle name="Normal 5 2 2 2 2 2 7" xfId="2566" xr:uid="{00000000-0005-0000-0000-00001E170000}"/>
    <cellStyle name="Normal 5 2 2 2 2 2 7 2" xfId="6850" xr:uid="{00000000-0005-0000-0000-00001F170000}"/>
    <cellStyle name="Normal 5 2 2 2 2 2 7 2 2" xfId="15292" xr:uid="{3DB9FBD7-F75D-4CF0-9864-5896D5D188BE}"/>
    <cellStyle name="Normal 5 2 2 2 2 2 7 2 3" xfId="23729" xr:uid="{5F5DAEB2-F25C-403F-8AF7-6C23EDCD26D2}"/>
    <cellStyle name="Normal 5 2 2 2 2 2 7 3" xfId="11074" xr:uid="{F5B56F11-2799-41AD-9565-1EF4EBCEEF04}"/>
    <cellStyle name="Normal 5 2 2 2 2 2 7 4" xfId="19512" xr:uid="{3DB4394C-B9ED-4471-9DD3-B0EB37949D35}"/>
    <cellStyle name="Normal 5 2 2 2 2 2 8" xfId="4785" xr:uid="{00000000-0005-0000-0000-000020170000}"/>
    <cellStyle name="Normal 5 2 2 2 2 2 8 2" xfId="13227" xr:uid="{6971F3EC-1AA0-497F-9069-526446F4C552}"/>
    <cellStyle name="Normal 5 2 2 2 2 2 8 3" xfId="21664" xr:uid="{29E0E849-38EA-4D6F-A7C8-ABDF0E16FFD5}"/>
    <cellStyle name="Normal 5 2 2 2 2 2 9" xfId="9009" xr:uid="{221C9A35-FCEF-4D37-A562-732A58472DB2}"/>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2 2 2" xfId="15787" xr:uid="{CCE09310-B1CF-4F13-B92B-5E8E041B9F47}"/>
    <cellStyle name="Normal 5 2 2 2 2 3 2 2 2 3" xfId="24224" xr:uid="{35D2E1BA-0C2C-467B-8473-74E09637A889}"/>
    <cellStyle name="Normal 5 2 2 2 2 3 2 2 3" xfId="11569" xr:uid="{19C5CE9C-10DE-41BC-AD0C-CA7C33E23ADA}"/>
    <cellStyle name="Normal 5 2 2 2 2 3 2 2 4" xfId="20007" xr:uid="{38CFA8C4-7F64-4C35-A1B8-21EC61EA048F}"/>
    <cellStyle name="Normal 5 2 2 2 2 3 2 3" xfId="5200" xr:uid="{00000000-0005-0000-0000-000025170000}"/>
    <cellStyle name="Normal 5 2 2 2 2 3 2 3 2" xfId="13642" xr:uid="{212A3D1A-82F3-472A-9D0A-6B0E68A93B4D}"/>
    <cellStyle name="Normal 5 2 2 2 2 3 2 3 3" xfId="22079" xr:uid="{D1B302A9-8418-4736-9A53-A7DF85372BAF}"/>
    <cellStyle name="Normal 5 2 2 2 2 3 2 4" xfId="9424" xr:uid="{FF762B03-EE28-4755-8816-E9CC8E3E07E2}"/>
    <cellStyle name="Normal 5 2 2 2 2 3 2 5" xfId="17862" xr:uid="{77477E40-32FE-443D-B3A2-BFFC267DAE97}"/>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2 2 2" xfId="16200" xr:uid="{C2E012B7-3F41-41FD-873F-FA592C44A3EE}"/>
    <cellStyle name="Normal 5 2 2 2 2 3 3 2 2 3" xfId="24637" xr:uid="{0765A5E9-A5EC-4B65-8B84-9E5CBA5CAFCE}"/>
    <cellStyle name="Normal 5 2 2 2 2 3 3 2 3" xfId="11982" xr:uid="{98820890-4D60-4622-8504-7A768579C622}"/>
    <cellStyle name="Normal 5 2 2 2 2 3 3 2 4" xfId="20420" xr:uid="{7C894A4C-D4FB-49A1-9EE5-67A0A26FA5FE}"/>
    <cellStyle name="Normal 5 2 2 2 2 3 3 3" xfId="5613" xr:uid="{00000000-0005-0000-0000-000029170000}"/>
    <cellStyle name="Normal 5 2 2 2 2 3 3 3 2" xfId="14055" xr:uid="{A30E17EC-04B5-4E01-ACBA-19C3074D0EA6}"/>
    <cellStyle name="Normal 5 2 2 2 2 3 3 3 3" xfId="22492" xr:uid="{B557A494-937B-4649-A7CF-60E97273AAEA}"/>
    <cellStyle name="Normal 5 2 2 2 2 3 3 4" xfId="9837" xr:uid="{4B9AAF77-7FC9-4058-9BDD-893579DC3FEC}"/>
    <cellStyle name="Normal 5 2 2 2 2 3 3 5" xfId="18275" xr:uid="{D5A55E00-5409-4115-8001-B648DB7E3D0F}"/>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2 2 2" xfId="16613" xr:uid="{80A84ACB-C362-467A-97D7-45D1F69D27ED}"/>
    <cellStyle name="Normal 5 2 2 2 2 3 4 2 2 3" xfId="25050" xr:uid="{D6ED1F8A-4845-4CA5-B7DD-970481D0FFB2}"/>
    <cellStyle name="Normal 5 2 2 2 2 3 4 2 3" xfId="12395" xr:uid="{D32903D4-191B-4F69-A96E-4361615C3D6A}"/>
    <cellStyle name="Normal 5 2 2 2 2 3 4 2 4" xfId="20833" xr:uid="{E6CBCB4C-2E9A-4DFC-85EC-6983076FFEBA}"/>
    <cellStyle name="Normal 5 2 2 2 2 3 4 3" xfId="6026" xr:uid="{00000000-0005-0000-0000-00002D170000}"/>
    <cellStyle name="Normal 5 2 2 2 2 3 4 3 2" xfId="14468" xr:uid="{3C0F9D87-88E9-4EA0-9EE2-A0EDD0E0307A}"/>
    <cellStyle name="Normal 5 2 2 2 2 3 4 3 3" xfId="22905" xr:uid="{74DEEF18-99A2-4C5C-BBFE-A91409E02F51}"/>
    <cellStyle name="Normal 5 2 2 2 2 3 4 4" xfId="10250" xr:uid="{B5B2C2D2-1E09-4F70-81C7-535F51E5C9DD}"/>
    <cellStyle name="Normal 5 2 2 2 2 3 4 5" xfId="18688" xr:uid="{6BD782BE-9223-440A-BF17-CEB99E80B1D3}"/>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2 2 2" xfId="17026" xr:uid="{A7DEC483-D8A0-4B77-9E80-801701C9C18C}"/>
    <cellStyle name="Normal 5 2 2 2 2 3 5 2 2 3" xfId="25463" xr:uid="{4F794271-E842-4AD6-90B5-EA98665B6AC6}"/>
    <cellStyle name="Normal 5 2 2 2 2 3 5 2 3" xfId="12808" xr:uid="{7D816FFD-5461-456A-BD41-0B6577081A8C}"/>
    <cellStyle name="Normal 5 2 2 2 2 3 5 2 4" xfId="21246" xr:uid="{642AB697-E4F1-4844-9510-35BDE507A039}"/>
    <cellStyle name="Normal 5 2 2 2 2 3 5 3" xfId="6439" xr:uid="{00000000-0005-0000-0000-000031170000}"/>
    <cellStyle name="Normal 5 2 2 2 2 3 5 3 2" xfId="14881" xr:uid="{A242564E-9C73-4365-8C96-50DA0AABDCD3}"/>
    <cellStyle name="Normal 5 2 2 2 2 3 5 3 3" xfId="23318" xr:uid="{7EE0646A-67EE-423B-8916-23778A0DA690}"/>
    <cellStyle name="Normal 5 2 2 2 2 3 5 4" xfId="10663" xr:uid="{74ED7209-C226-488F-B415-0A7B1D2877F9}"/>
    <cellStyle name="Normal 5 2 2 2 2 3 5 5" xfId="19101" xr:uid="{27C89EA7-566E-4A46-A076-BD8EACFA360B}"/>
    <cellStyle name="Normal 5 2 2 2 2 3 6" xfId="2568" xr:uid="{00000000-0005-0000-0000-000032170000}"/>
    <cellStyle name="Normal 5 2 2 2 2 3 6 2" xfId="6852" xr:uid="{00000000-0005-0000-0000-000033170000}"/>
    <cellStyle name="Normal 5 2 2 2 2 3 6 2 2" xfId="15294" xr:uid="{CC836305-5333-4ABB-92DD-4CE0E3FCE6FF}"/>
    <cellStyle name="Normal 5 2 2 2 2 3 6 2 3" xfId="23731" xr:uid="{93D9D117-AC97-42D8-A783-16C51ABD489A}"/>
    <cellStyle name="Normal 5 2 2 2 2 3 6 3" xfId="11076" xr:uid="{4E3A2F18-8DA4-433D-A0F5-5EF1FDD702B4}"/>
    <cellStyle name="Normal 5 2 2 2 2 3 6 4" xfId="19514" xr:uid="{AD9BC624-008E-4700-B346-69F80C9AF922}"/>
    <cellStyle name="Normal 5 2 2 2 2 3 7" xfId="4787" xr:uid="{00000000-0005-0000-0000-000034170000}"/>
    <cellStyle name="Normal 5 2 2 2 2 3 7 2" xfId="13229" xr:uid="{B7729EBD-5F08-4822-B7DC-FA1CD0C0A24F}"/>
    <cellStyle name="Normal 5 2 2 2 2 3 7 3" xfId="21666" xr:uid="{AEED71E2-40C1-4EF1-888F-F6FE21EDEFBF}"/>
    <cellStyle name="Normal 5 2 2 2 2 3 8" xfId="9011" xr:uid="{102E1836-5322-4379-9583-51AA595D053D}"/>
    <cellStyle name="Normal 5 2 2 2 2 3 9" xfId="17449" xr:uid="{DD108BCA-EE65-4FC7-89FE-4F795C29214B}"/>
    <cellStyle name="Normal 5 2 2 2 2 4" xfId="884" xr:uid="{00000000-0005-0000-0000-000035170000}"/>
    <cellStyle name="Normal 5 2 2 2 2 4 2" xfId="3119" xr:uid="{00000000-0005-0000-0000-000036170000}"/>
    <cellStyle name="Normal 5 2 2 2 2 4 2 2" xfId="7342" xr:uid="{00000000-0005-0000-0000-000037170000}"/>
    <cellStyle name="Normal 5 2 2 2 2 4 2 2 2" xfId="15784" xr:uid="{F1853E49-024C-4EE5-9028-91CFA1D152F1}"/>
    <cellStyle name="Normal 5 2 2 2 2 4 2 2 3" xfId="24221" xr:uid="{9C51D203-DB9A-49C8-AA1F-5C273DF84C09}"/>
    <cellStyle name="Normal 5 2 2 2 2 4 2 3" xfId="11566" xr:uid="{82AACE99-6F8D-45B7-89D1-4BF1607D9CD8}"/>
    <cellStyle name="Normal 5 2 2 2 2 4 2 4" xfId="20004" xr:uid="{0600AD21-745B-4BFB-BA9B-7F9444941A00}"/>
    <cellStyle name="Normal 5 2 2 2 2 4 3" xfId="5197" xr:uid="{00000000-0005-0000-0000-000038170000}"/>
    <cellStyle name="Normal 5 2 2 2 2 4 3 2" xfId="13639" xr:uid="{AD393397-1A12-4CC8-8449-25FCACED3C18}"/>
    <cellStyle name="Normal 5 2 2 2 2 4 3 3" xfId="22076" xr:uid="{F5E21054-8560-4812-8D3A-330D75430263}"/>
    <cellStyle name="Normal 5 2 2 2 2 4 4" xfId="9421" xr:uid="{90C6639E-B612-4854-AB3D-AB26EE47D8D6}"/>
    <cellStyle name="Normal 5 2 2 2 2 4 5" xfId="17859" xr:uid="{D604AF26-45E1-4283-B170-A8D0B8602794}"/>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2 2 2" xfId="16197" xr:uid="{FF71C830-D39D-4910-8795-68C37CB0EEDE}"/>
    <cellStyle name="Normal 5 2 2 2 2 5 2 2 3" xfId="24634" xr:uid="{EC9F714B-4811-4B6F-882F-87B424F4270A}"/>
    <cellStyle name="Normal 5 2 2 2 2 5 2 3" xfId="11979" xr:uid="{F54F1192-5881-4A47-9C10-12A6AF6D1002}"/>
    <cellStyle name="Normal 5 2 2 2 2 5 2 4" xfId="20417" xr:uid="{0FE6F32A-468E-47E3-AE33-218E60847AAE}"/>
    <cellStyle name="Normal 5 2 2 2 2 5 3" xfId="5610" xr:uid="{00000000-0005-0000-0000-00003C170000}"/>
    <cellStyle name="Normal 5 2 2 2 2 5 3 2" xfId="14052" xr:uid="{C1ED7F46-6658-46FC-AF71-D552D555FA83}"/>
    <cellStyle name="Normal 5 2 2 2 2 5 3 3" xfId="22489" xr:uid="{760E07B3-3963-400B-A70C-47D9462E4018}"/>
    <cellStyle name="Normal 5 2 2 2 2 5 4" xfId="9834" xr:uid="{5512F145-C9D5-4944-88A8-C4470E3F601B}"/>
    <cellStyle name="Normal 5 2 2 2 2 5 5" xfId="18272" xr:uid="{5E9B7291-E514-4835-8A24-E6CA6D8BF655}"/>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2 2 2" xfId="16610" xr:uid="{B4A70508-225C-4805-B10D-547F6902A405}"/>
    <cellStyle name="Normal 5 2 2 2 2 6 2 2 3" xfId="25047" xr:uid="{D757E132-DF54-4FB9-9DA5-8B0F42B465E5}"/>
    <cellStyle name="Normal 5 2 2 2 2 6 2 3" xfId="12392" xr:uid="{D9FDB0F2-39F7-42AC-909F-AECBB1B6240A}"/>
    <cellStyle name="Normal 5 2 2 2 2 6 2 4" xfId="20830" xr:uid="{BEC37333-F295-4E34-A1AB-2D5763E42D72}"/>
    <cellStyle name="Normal 5 2 2 2 2 6 3" xfId="6023" xr:uid="{00000000-0005-0000-0000-000040170000}"/>
    <cellStyle name="Normal 5 2 2 2 2 6 3 2" xfId="14465" xr:uid="{7A1B3050-A80B-430B-BC6D-8E8357AEB230}"/>
    <cellStyle name="Normal 5 2 2 2 2 6 3 3" xfId="22902" xr:uid="{50935111-348B-46AE-8428-C798677905FE}"/>
    <cellStyle name="Normal 5 2 2 2 2 6 4" xfId="10247" xr:uid="{F5871A96-A5C9-4A3B-8766-31C072CDDC3A}"/>
    <cellStyle name="Normal 5 2 2 2 2 6 5" xfId="18685" xr:uid="{8EB4FF8C-93C4-4600-8A3F-1AD0A70276BB}"/>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2 2 2" xfId="17023" xr:uid="{41B5FD99-8E89-4054-8BF5-FBD8601C0C53}"/>
    <cellStyle name="Normal 5 2 2 2 2 7 2 2 3" xfId="25460" xr:uid="{F89F889D-3D12-4D90-9D9C-FE0E03A59F71}"/>
    <cellStyle name="Normal 5 2 2 2 2 7 2 3" xfId="12805" xr:uid="{4FAACFE6-7DDE-4F6B-BB51-570420AFEBB6}"/>
    <cellStyle name="Normal 5 2 2 2 2 7 2 4" xfId="21243" xr:uid="{CCDDAFE6-1B84-43FA-ACD7-1ECF5FBF6B16}"/>
    <cellStyle name="Normal 5 2 2 2 2 7 3" xfId="6436" xr:uid="{00000000-0005-0000-0000-000044170000}"/>
    <cellStyle name="Normal 5 2 2 2 2 7 3 2" xfId="14878" xr:uid="{26CF75FF-198F-4418-BEAF-54196BB3BF3B}"/>
    <cellStyle name="Normal 5 2 2 2 2 7 3 3" xfId="23315" xr:uid="{B6A9CB73-A065-44A7-956F-B125A5C2F60C}"/>
    <cellStyle name="Normal 5 2 2 2 2 7 4" xfId="10660" xr:uid="{30B5C358-C7FD-4A2F-9EB5-1EA553CB1E6F}"/>
    <cellStyle name="Normal 5 2 2 2 2 7 5" xfId="19098" xr:uid="{3893EB6A-3A46-466E-A316-4DB2527BAFD7}"/>
    <cellStyle name="Normal 5 2 2 2 2 8" xfId="2565" xr:uid="{00000000-0005-0000-0000-000045170000}"/>
    <cellStyle name="Normal 5 2 2 2 2 8 2" xfId="6849" xr:uid="{00000000-0005-0000-0000-000046170000}"/>
    <cellStyle name="Normal 5 2 2 2 2 8 2 2" xfId="15291" xr:uid="{BB0A171B-0E5B-42DD-8F1D-F8331059FFDA}"/>
    <cellStyle name="Normal 5 2 2 2 2 8 2 3" xfId="23728" xr:uid="{8B69ACFC-FAFF-4D4B-878D-DEB4B95C9C01}"/>
    <cellStyle name="Normal 5 2 2 2 2 8 3" xfId="11073" xr:uid="{93EAD802-3FCD-4F0F-8EDF-5CD68EFA12BF}"/>
    <cellStyle name="Normal 5 2 2 2 2 8 4" xfId="19511" xr:uid="{83151062-1654-426A-90E5-BDD66B6E19B3}"/>
    <cellStyle name="Normal 5 2 2 2 2 9" xfId="4784" xr:uid="{00000000-0005-0000-0000-000047170000}"/>
    <cellStyle name="Normal 5 2 2 2 2 9 2" xfId="13226" xr:uid="{7016EFD6-D0D2-459C-ADD6-9EFEBF6D8D3D}"/>
    <cellStyle name="Normal 5 2 2 2 2 9 3" xfId="21663" xr:uid="{3A4B47BB-C15F-4E09-86B6-0C20DF81C0C7}"/>
    <cellStyle name="Normal 5 2 2 2 3" xfId="414" xr:uid="{00000000-0005-0000-0000-000048170000}"/>
    <cellStyle name="Normal 5 2 2 2 3 10" xfId="17450" xr:uid="{C645D599-DA31-4CB4-B4FB-F1C7175D918E}"/>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2 2 2" xfId="15789" xr:uid="{A02EDC0B-DAFA-4F3B-B605-0F23B16F2395}"/>
    <cellStyle name="Normal 5 2 2 2 3 2 2 2 2 3" xfId="24226" xr:uid="{7755FA3B-11EB-490C-8B2E-363D6C66D16A}"/>
    <cellStyle name="Normal 5 2 2 2 3 2 2 2 3" xfId="11571" xr:uid="{C9F57164-1A46-4CB8-87BB-9EE01C440875}"/>
    <cellStyle name="Normal 5 2 2 2 3 2 2 2 4" xfId="20009" xr:uid="{67C194E3-A3A3-4B0C-8A8D-875B2E1A6044}"/>
    <cellStyle name="Normal 5 2 2 2 3 2 2 3" xfId="5202" xr:uid="{00000000-0005-0000-0000-00004D170000}"/>
    <cellStyle name="Normal 5 2 2 2 3 2 2 3 2" xfId="13644" xr:uid="{27574D7A-B7EE-4E7C-BDBF-4EAF49342C7E}"/>
    <cellStyle name="Normal 5 2 2 2 3 2 2 3 3" xfId="22081" xr:uid="{D79EA20A-F4F6-48C7-85A5-6495983E4C7B}"/>
    <cellStyle name="Normal 5 2 2 2 3 2 2 4" xfId="9426" xr:uid="{A07F7074-1133-423E-BB77-D401E320616E}"/>
    <cellStyle name="Normal 5 2 2 2 3 2 2 5" xfId="17864" xr:uid="{D8081B18-6EE4-45E9-A81A-F89A5676BF32}"/>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2 2 2" xfId="16202" xr:uid="{C882DBFF-C2A9-4F2A-B9EA-720611C9E895}"/>
    <cellStyle name="Normal 5 2 2 2 3 2 3 2 2 3" xfId="24639" xr:uid="{FC6C1401-1ABD-48A2-B337-B30990EB7BEA}"/>
    <cellStyle name="Normal 5 2 2 2 3 2 3 2 3" xfId="11984" xr:uid="{12B86FAA-058F-45ED-91A9-E5A0A0EF9BDF}"/>
    <cellStyle name="Normal 5 2 2 2 3 2 3 2 4" xfId="20422" xr:uid="{6AED1660-F75B-42E5-BAE6-39871C1FF72D}"/>
    <cellStyle name="Normal 5 2 2 2 3 2 3 3" xfId="5615" xr:uid="{00000000-0005-0000-0000-000051170000}"/>
    <cellStyle name="Normal 5 2 2 2 3 2 3 3 2" xfId="14057" xr:uid="{592EFF40-4C5C-4226-99B2-7E6B060220A8}"/>
    <cellStyle name="Normal 5 2 2 2 3 2 3 3 3" xfId="22494" xr:uid="{6E68AF0A-BE52-467E-B0F6-131E8045C3C1}"/>
    <cellStyle name="Normal 5 2 2 2 3 2 3 4" xfId="9839" xr:uid="{6F5B154D-B5F7-4A8F-A15B-77EEFFAC4355}"/>
    <cellStyle name="Normal 5 2 2 2 3 2 3 5" xfId="18277" xr:uid="{B67B4655-966E-4E92-9322-964923F18B24}"/>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2 2 2" xfId="16615" xr:uid="{0DF19190-D806-4E22-91DC-1E0A94D6D7ED}"/>
    <cellStyle name="Normal 5 2 2 2 3 2 4 2 2 3" xfId="25052" xr:uid="{B38F9188-C925-4406-88CF-40BC228C1755}"/>
    <cellStyle name="Normal 5 2 2 2 3 2 4 2 3" xfId="12397" xr:uid="{D400C4C2-1394-4F7A-AA23-6EFC397DD142}"/>
    <cellStyle name="Normal 5 2 2 2 3 2 4 2 4" xfId="20835" xr:uid="{9D972295-C85E-4C09-A9F6-D07BFB317364}"/>
    <cellStyle name="Normal 5 2 2 2 3 2 4 3" xfId="6028" xr:uid="{00000000-0005-0000-0000-000055170000}"/>
    <cellStyle name="Normal 5 2 2 2 3 2 4 3 2" xfId="14470" xr:uid="{3ECC96CB-A5D5-4783-8635-95FCD658E2EF}"/>
    <cellStyle name="Normal 5 2 2 2 3 2 4 3 3" xfId="22907" xr:uid="{D0291696-6D7E-4A45-8667-EE6F4396C8E8}"/>
    <cellStyle name="Normal 5 2 2 2 3 2 4 4" xfId="10252" xr:uid="{9B39FDCD-7DAF-42E3-BF1F-F36C0A16BF32}"/>
    <cellStyle name="Normal 5 2 2 2 3 2 4 5" xfId="18690" xr:uid="{73705BE1-ABD1-4C42-AFB7-E5A340019ADB}"/>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2 2 2" xfId="17028" xr:uid="{07C98ADB-8653-4F9C-88E3-E6B1F15C090F}"/>
    <cellStyle name="Normal 5 2 2 2 3 2 5 2 2 3" xfId="25465" xr:uid="{47C91EE4-DD1E-45AC-A022-FFB43DFDF9ED}"/>
    <cellStyle name="Normal 5 2 2 2 3 2 5 2 3" xfId="12810" xr:uid="{25B13419-7C30-4211-8F4D-493E6F58688B}"/>
    <cellStyle name="Normal 5 2 2 2 3 2 5 2 4" xfId="21248" xr:uid="{4FF9B07B-5C00-4F56-8EF1-51691937528A}"/>
    <cellStyle name="Normal 5 2 2 2 3 2 5 3" xfId="6441" xr:uid="{00000000-0005-0000-0000-000059170000}"/>
    <cellStyle name="Normal 5 2 2 2 3 2 5 3 2" xfId="14883" xr:uid="{DCED21EC-E1E6-4ABD-964C-A45BE478AB29}"/>
    <cellStyle name="Normal 5 2 2 2 3 2 5 3 3" xfId="23320" xr:uid="{11D19AC5-2AFD-4711-9AEB-89D8D9B21C2F}"/>
    <cellStyle name="Normal 5 2 2 2 3 2 5 4" xfId="10665" xr:uid="{A4E5B7BA-021A-4025-A2F4-D483776953D6}"/>
    <cellStyle name="Normal 5 2 2 2 3 2 5 5" xfId="19103" xr:uid="{4A1D9EC3-05E0-42A6-B1BA-5482F04152F3}"/>
    <cellStyle name="Normal 5 2 2 2 3 2 6" xfId="2570" xr:uid="{00000000-0005-0000-0000-00005A170000}"/>
    <cellStyle name="Normal 5 2 2 2 3 2 6 2" xfId="6854" xr:uid="{00000000-0005-0000-0000-00005B170000}"/>
    <cellStyle name="Normal 5 2 2 2 3 2 6 2 2" xfId="15296" xr:uid="{0CCE48A7-1D06-434C-86CF-AAA70C9CA1A9}"/>
    <cellStyle name="Normal 5 2 2 2 3 2 6 2 3" xfId="23733" xr:uid="{D37ACE75-0C84-4195-A950-41751D4A2305}"/>
    <cellStyle name="Normal 5 2 2 2 3 2 6 3" xfId="11078" xr:uid="{4B0C1F51-051B-47BB-AFE8-22A428A0A7F9}"/>
    <cellStyle name="Normal 5 2 2 2 3 2 6 4" xfId="19516" xr:uid="{24768AE1-5F13-4DA1-9845-7F280724620A}"/>
    <cellStyle name="Normal 5 2 2 2 3 2 7" xfId="4789" xr:uid="{00000000-0005-0000-0000-00005C170000}"/>
    <cellStyle name="Normal 5 2 2 2 3 2 7 2" xfId="13231" xr:uid="{72C9E3EA-DCCD-47B4-9C6C-DC94C62FE897}"/>
    <cellStyle name="Normal 5 2 2 2 3 2 7 3" xfId="21668" xr:uid="{984248D2-CF79-474F-805C-2958A2D8EE78}"/>
    <cellStyle name="Normal 5 2 2 2 3 2 8" xfId="9013" xr:uid="{99AA5260-C38A-4685-892C-095ED8A7979B}"/>
    <cellStyle name="Normal 5 2 2 2 3 2 9" xfId="17451" xr:uid="{8094AB8B-06AE-4EF5-8DE2-0011CDF5F37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2 2 2" xfId="15788" xr:uid="{0EA99187-58FD-4005-A088-60DA5E6287C4}"/>
    <cellStyle name="Normal 5 2 2 2 3 3 2 2 3" xfId="24225" xr:uid="{887216BF-93DF-43C5-BCD8-F2F63247603C}"/>
    <cellStyle name="Normal 5 2 2 2 3 3 2 3" xfId="11570" xr:uid="{9B7CA695-99F8-4F4C-B33E-D632DFBBEECA}"/>
    <cellStyle name="Normal 5 2 2 2 3 3 2 4" xfId="20008" xr:uid="{74B0A413-3E9E-4F19-B3AF-7002A59F87F5}"/>
    <cellStyle name="Normal 5 2 2 2 3 3 3" xfId="5201" xr:uid="{00000000-0005-0000-0000-000060170000}"/>
    <cellStyle name="Normal 5 2 2 2 3 3 3 2" xfId="13643" xr:uid="{112A81B8-BBE3-4B6C-B150-94CDAC9E5E8E}"/>
    <cellStyle name="Normal 5 2 2 2 3 3 3 3" xfId="22080" xr:uid="{19A70C5B-970C-40BD-B957-316494E0A258}"/>
    <cellStyle name="Normal 5 2 2 2 3 3 4" xfId="9425" xr:uid="{A473C3D3-BE40-4B2E-BC93-F179487A0BD4}"/>
    <cellStyle name="Normal 5 2 2 2 3 3 5" xfId="17863" xr:uid="{E3702E74-2D99-47ED-B2D7-E2DBC3E6E76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2 2 2" xfId="16201" xr:uid="{B27C6461-4E22-43BD-AD6F-D30E4CCFD14C}"/>
    <cellStyle name="Normal 5 2 2 2 3 4 2 2 3" xfId="24638" xr:uid="{1B411459-6E93-4CE9-8C3A-FB5F212086E5}"/>
    <cellStyle name="Normal 5 2 2 2 3 4 2 3" xfId="11983" xr:uid="{230B5E7A-C28A-4CFD-A842-AF2371727593}"/>
    <cellStyle name="Normal 5 2 2 2 3 4 2 4" xfId="20421" xr:uid="{08C43123-C197-4123-8A78-336B93920349}"/>
    <cellStyle name="Normal 5 2 2 2 3 4 3" xfId="5614" xr:uid="{00000000-0005-0000-0000-000064170000}"/>
    <cellStyle name="Normal 5 2 2 2 3 4 3 2" xfId="14056" xr:uid="{FA582D49-8465-4F89-939B-3C87B2676694}"/>
    <cellStyle name="Normal 5 2 2 2 3 4 3 3" xfId="22493" xr:uid="{B38EDD2F-B67E-4C15-AD0B-5A4D749481D9}"/>
    <cellStyle name="Normal 5 2 2 2 3 4 4" xfId="9838" xr:uid="{EF29FD20-0860-41C2-BC28-F252FD3E4CF7}"/>
    <cellStyle name="Normal 5 2 2 2 3 4 5" xfId="18276" xr:uid="{B7FE0C5F-8834-4CE7-8B0A-998601EA8FF1}"/>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2 2 2" xfId="16614" xr:uid="{0C0FB9FC-E4AE-4757-8C9C-90908AEE1008}"/>
    <cellStyle name="Normal 5 2 2 2 3 5 2 2 3" xfId="25051" xr:uid="{E833BF69-8FDB-439A-A595-33E62A8CE0C1}"/>
    <cellStyle name="Normal 5 2 2 2 3 5 2 3" xfId="12396" xr:uid="{CC1D2A4F-C4A3-4457-84D5-6CD385F8E41E}"/>
    <cellStyle name="Normal 5 2 2 2 3 5 2 4" xfId="20834" xr:uid="{A2F73455-AB45-4EAD-AD22-2F86E37B1B46}"/>
    <cellStyle name="Normal 5 2 2 2 3 5 3" xfId="6027" xr:uid="{00000000-0005-0000-0000-000068170000}"/>
    <cellStyle name="Normal 5 2 2 2 3 5 3 2" xfId="14469" xr:uid="{AEF851C2-C0A0-4F43-AE9F-D5D7370B7DCD}"/>
    <cellStyle name="Normal 5 2 2 2 3 5 3 3" xfId="22906" xr:uid="{DD4E2B7F-B24C-4B2C-83E1-6775A1E2207F}"/>
    <cellStyle name="Normal 5 2 2 2 3 5 4" xfId="10251" xr:uid="{4A190752-D2B9-4A46-AF80-EF5742F80655}"/>
    <cellStyle name="Normal 5 2 2 2 3 5 5" xfId="18689" xr:uid="{AE5BDF82-B7E5-4498-97B9-66480C5B504D}"/>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2 2 2" xfId="17027" xr:uid="{8AE8A05D-D4EF-4BEC-B49C-D3C81382075C}"/>
    <cellStyle name="Normal 5 2 2 2 3 6 2 2 3" xfId="25464" xr:uid="{5F6822D8-00E0-458B-A4D2-03EAB9B16E59}"/>
    <cellStyle name="Normal 5 2 2 2 3 6 2 3" xfId="12809" xr:uid="{C6B46A07-D7B8-41F2-9BA3-9802FFEACB6F}"/>
    <cellStyle name="Normal 5 2 2 2 3 6 2 4" xfId="21247" xr:uid="{6DF557AA-C368-4529-A91D-9023F90AAC3C}"/>
    <cellStyle name="Normal 5 2 2 2 3 6 3" xfId="6440" xr:uid="{00000000-0005-0000-0000-00006C170000}"/>
    <cellStyle name="Normal 5 2 2 2 3 6 3 2" xfId="14882" xr:uid="{69C163B6-8A4A-4658-9450-BD401E05FABB}"/>
    <cellStyle name="Normal 5 2 2 2 3 6 3 3" xfId="23319" xr:uid="{FEDFB2DA-BDCA-4034-8396-3324570B7F37}"/>
    <cellStyle name="Normal 5 2 2 2 3 6 4" xfId="10664" xr:uid="{7F368D74-253D-4F1F-89E3-8123CAA18574}"/>
    <cellStyle name="Normal 5 2 2 2 3 6 5" xfId="19102" xr:uid="{82BA74B0-DFF4-4F1F-8EE1-275EBFA4B91B}"/>
    <cellStyle name="Normal 5 2 2 2 3 7" xfId="2569" xr:uid="{00000000-0005-0000-0000-00006D170000}"/>
    <cellStyle name="Normal 5 2 2 2 3 7 2" xfId="6853" xr:uid="{00000000-0005-0000-0000-00006E170000}"/>
    <cellStyle name="Normal 5 2 2 2 3 7 2 2" xfId="15295" xr:uid="{0293C317-74AB-45FA-9F18-4A87D4DF0527}"/>
    <cellStyle name="Normal 5 2 2 2 3 7 2 3" xfId="23732" xr:uid="{24A7F1BA-5C0B-4DC3-B6CE-63105DCB7A52}"/>
    <cellStyle name="Normal 5 2 2 2 3 7 3" xfId="11077" xr:uid="{23FCE5E7-387A-4485-95F7-ADE27851BF91}"/>
    <cellStyle name="Normal 5 2 2 2 3 7 4" xfId="19515" xr:uid="{95B8DD61-6E2F-4A7C-868D-A99D79C0EC6D}"/>
    <cellStyle name="Normal 5 2 2 2 3 8" xfId="4788" xr:uid="{00000000-0005-0000-0000-00006F170000}"/>
    <cellStyle name="Normal 5 2 2 2 3 8 2" xfId="13230" xr:uid="{5EB84CF6-B586-4231-82E7-49809B2299BF}"/>
    <cellStyle name="Normal 5 2 2 2 3 8 3" xfId="21667" xr:uid="{4DBB37D8-99A5-4024-B977-3E41E091323B}"/>
    <cellStyle name="Normal 5 2 2 2 3 9" xfId="9012" xr:uid="{EDA9B467-FE36-4C1C-81D1-B2F6B5EF6E9B}"/>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2 2 2" xfId="15790" xr:uid="{4BD6D5FC-6D85-442A-8342-BDE6D91B52F9}"/>
    <cellStyle name="Normal 5 2 2 2 4 2 2 2 3" xfId="24227" xr:uid="{38514452-ECE1-462D-A49A-BB2BABC8C1DF}"/>
    <cellStyle name="Normal 5 2 2 2 4 2 2 3" xfId="11572" xr:uid="{708CB6FC-9D74-4A5A-8E45-D6D0F4555A0B}"/>
    <cellStyle name="Normal 5 2 2 2 4 2 2 4" xfId="20010" xr:uid="{5055251D-1E4B-41A9-980E-96123FF253BE}"/>
    <cellStyle name="Normal 5 2 2 2 4 2 3" xfId="5203" xr:uid="{00000000-0005-0000-0000-000074170000}"/>
    <cellStyle name="Normal 5 2 2 2 4 2 3 2" xfId="13645" xr:uid="{095FFBA2-C1FF-4563-9DDD-125281E41B53}"/>
    <cellStyle name="Normal 5 2 2 2 4 2 3 3" xfId="22082" xr:uid="{5DE0538C-5BF9-49F9-92D3-09F70B540086}"/>
    <cellStyle name="Normal 5 2 2 2 4 2 4" xfId="9427" xr:uid="{387AA827-E716-4243-B67A-129333034505}"/>
    <cellStyle name="Normal 5 2 2 2 4 2 5" xfId="17865" xr:uid="{3763BF0F-32F0-405B-A22A-650883C03BA2}"/>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2 2 2" xfId="16203" xr:uid="{841482DF-C266-4CE3-8A09-4A414A00EAD5}"/>
    <cellStyle name="Normal 5 2 2 2 4 3 2 2 3" xfId="24640" xr:uid="{005D0A7C-F5CF-41EE-8794-6FE389B004A3}"/>
    <cellStyle name="Normal 5 2 2 2 4 3 2 3" xfId="11985" xr:uid="{7D28ACD6-B805-4FCB-98FD-B2482DE1FE97}"/>
    <cellStyle name="Normal 5 2 2 2 4 3 2 4" xfId="20423" xr:uid="{7D2CAE94-CFD6-425C-842C-B3576DE846EA}"/>
    <cellStyle name="Normal 5 2 2 2 4 3 3" xfId="5616" xr:uid="{00000000-0005-0000-0000-000078170000}"/>
    <cellStyle name="Normal 5 2 2 2 4 3 3 2" xfId="14058" xr:uid="{BBCBC4E6-1C74-48FC-97D0-AC939AB26DF2}"/>
    <cellStyle name="Normal 5 2 2 2 4 3 3 3" xfId="22495" xr:uid="{89B2ADA6-1C8D-40FA-9042-924A3A29B3AD}"/>
    <cellStyle name="Normal 5 2 2 2 4 3 4" xfId="9840" xr:uid="{F74EA8C4-FB8F-41AB-BA70-F23859EC1C17}"/>
    <cellStyle name="Normal 5 2 2 2 4 3 5" xfId="18278" xr:uid="{AFF4B6CF-3954-4BB1-B9DB-37E071A2768E}"/>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2 2 2" xfId="16616" xr:uid="{9D4D718B-756D-49D5-BE25-066B01A2BDF7}"/>
    <cellStyle name="Normal 5 2 2 2 4 4 2 2 3" xfId="25053" xr:uid="{CE5646FE-2089-484F-872E-7BB805A58A5A}"/>
    <cellStyle name="Normal 5 2 2 2 4 4 2 3" xfId="12398" xr:uid="{7B431C91-D368-42AD-BD26-F3BBD93E71EA}"/>
    <cellStyle name="Normal 5 2 2 2 4 4 2 4" xfId="20836" xr:uid="{29AFDB95-98C1-4129-9BC0-566962206BA8}"/>
    <cellStyle name="Normal 5 2 2 2 4 4 3" xfId="6029" xr:uid="{00000000-0005-0000-0000-00007C170000}"/>
    <cellStyle name="Normal 5 2 2 2 4 4 3 2" xfId="14471" xr:uid="{B465E585-6F0B-4723-97BC-A6069B565BC6}"/>
    <cellStyle name="Normal 5 2 2 2 4 4 3 3" xfId="22908" xr:uid="{DDBA8623-02E7-4AD2-BA17-CF3D479E93EB}"/>
    <cellStyle name="Normal 5 2 2 2 4 4 4" xfId="10253" xr:uid="{5B5494D3-53F7-46F6-B0AE-A3747908B167}"/>
    <cellStyle name="Normal 5 2 2 2 4 4 5" xfId="18691" xr:uid="{3104015A-C663-4788-A0C7-008A94438C39}"/>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2 2 2" xfId="17029" xr:uid="{7AEE68B2-A428-4C14-9475-57B7104177BE}"/>
    <cellStyle name="Normal 5 2 2 2 4 5 2 2 3" xfId="25466" xr:uid="{53F127E8-AEA0-4BEE-A00F-D71DE8B700EC}"/>
    <cellStyle name="Normal 5 2 2 2 4 5 2 3" xfId="12811" xr:uid="{37694586-BCE1-4275-ADBC-8E49CD42E318}"/>
    <cellStyle name="Normal 5 2 2 2 4 5 2 4" xfId="21249" xr:uid="{C6B12DA7-C088-4220-AD57-17323B49B904}"/>
    <cellStyle name="Normal 5 2 2 2 4 5 3" xfId="6442" xr:uid="{00000000-0005-0000-0000-000080170000}"/>
    <cellStyle name="Normal 5 2 2 2 4 5 3 2" xfId="14884" xr:uid="{EECA7B5E-61E5-4283-BCC6-D700E78D1DD5}"/>
    <cellStyle name="Normal 5 2 2 2 4 5 3 3" xfId="23321" xr:uid="{41890A57-EE89-4DD3-91B3-2F83D2E10213}"/>
    <cellStyle name="Normal 5 2 2 2 4 5 4" xfId="10666" xr:uid="{E7F546B9-3B7C-4022-949B-598648A3834B}"/>
    <cellStyle name="Normal 5 2 2 2 4 5 5" xfId="19104" xr:uid="{9EE9C057-7C29-4001-AFD5-06627524482A}"/>
    <cellStyle name="Normal 5 2 2 2 4 6" xfId="2571" xr:uid="{00000000-0005-0000-0000-000081170000}"/>
    <cellStyle name="Normal 5 2 2 2 4 6 2" xfId="6855" xr:uid="{00000000-0005-0000-0000-000082170000}"/>
    <cellStyle name="Normal 5 2 2 2 4 6 2 2" xfId="15297" xr:uid="{CB740401-ADB6-47F9-9553-9EDD234BBF5A}"/>
    <cellStyle name="Normal 5 2 2 2 4 6 2 3" xfId="23734" xr:uid="{50643E88-1900-4F93-A692-1DC303C25967}"/>
    <cellStyle name="Normal 5 2 2 2 4 6 3" xfId="11079" xr:uid="{77D6E12D-1755-4917-B7EF-6C1778FB2F11}"/>
    <cellStyle name="Normal 5 2 2 2 4 6 4" xfId="19517" xr:uid="{A7AF6807-1F90-4F35-BEAE-CBA77F8928E6}"/>
    <cellStyle name="Normal 5 2 2 2 4 7" xfId="4790" xr:uid="{00000000-0005-0000-0000-000083170000}"/>
    <cellStyle name="Normal 5 2 2 2 4 7 2" xfId="13232" xr:uid="{7AB584D6-A55A-47CB-BF3B-387AABE41FD5}"/>
    <cellStyle name="Normal 5 2 2 2 4 7 3" xfId="21669" xr:uid="{D68C03F1-5A9F-438B-B1B4-67A8FC890BDA}"/>
    <cellStyle name="Normal 5 2 2 2 4 8" xfId="9014" xr:uid="{203774F6-53BA-478E-AC5D-25C655A001DC}"/>
    <cellStyle name="Normal 5 2 2 2 4 9" xfId="17452" xr:uid="{59159520-BFEC-4CB3-9848-DE0954B936B7}"/>
    <cellStyle name="Normal 5 2 2 2 5" xfId="883" xr:uid="{00000000-0005-0000-0000-000084170000}"/>
    <cellStyle name="Normal 5 2 2 2 5 2" xfId="3118" xr:uid="{00000000-0005-0000-0000-000085170000}"/>
    <cellStyle name="Normal 5 2 2 2 5 2 2" xfId="7341" xr:uid="{00000000-0005-0000-0000-000086170000}"/>
    <cellStyle name="Normal 5 2 2 2 5 2 2 2" xfId="15783" xr:uid="{6F987428-D888-42A3-9F1F-FF114F4D14B0}"/>
    <cellStyle name="Normal 5 2 2 2 5 2 2 3" xfId="24220" xr:uid="{59140102-A442-4B8C-BD66-CF70728C790B}"/>
    <cellStyle name="Normal 5 2 2 2 5 2 3" xfId="11565" xr:uid="{B24040DA-9C00-41DF-A530-338F737FA551}"/>
    <cellStyle name="Normal 5 2 2 2 5 2 4" xfId="20003" xr:uid="{F8FB29C1-38C4-4D81-8EC6-6BCCE3567A6A}"/>
    <cellStyle name="Normal 5 2 2 2 5 3" xfId="5196" xr:uid="{00000000-0005-0000-0000-000087170000}"/>
    <cellStyle name="Normal 5 2 2 2 5 3 2" xfId="13638" xr:uid="{8A3C3DA9-4BDD-4868-8353-89DF8A0D9CC2}"/>
    <cellStyle name="Normal 5 2 2 2 5 3 3" xfId="22075" xr:uid="{0E0C1CE6-EAC8-4511-BC52-FDFB859BDBF0}"/>
    <cellStyle name="Normal 5 2 2 2 5 4" xfId="9420" xr:uid="{5341C4E6-FF2F-498F-A11E-F39DE797B65C}"/>
    <cellStyle name="Normal 5 2 2 2 5 5" xfId="17858" xr:uid="{55CE50D9-601C-42B3-9106-83FECCDC7E13}"/>
    <cellStyle name="Normal 5 2 2 2 6" xfId="1301" xr:uid="{00000000-0005-0000-0000-000088170000}"/>
    <cellStyle name="Normal 5 2 2 2 6 2" xfId="3531" xr:uid="{00000000-0005-0000-0000-000089170000}"/>
    <cellStyle name="Normal 5 2 2 2 6 2 2" xfId="7754" xr:uid="{00000000-0005-0000-0000-00008A170000}"/>
    <cellStyle name="Normal 5 2 2 2 6 2 2 2" xfId="16196" xr:uid="{81289691-71EB-495A-9DFF-A8E86A2A0681}"/>
    <cellStyle name="Normal 5 2 2 2 6 2 2 3" xfId="24633" xr:uid="{2D50C212-B302-4E55-85C3-D8FA4D3F2DA4}"/>
    <cellStyle name="Normal 5 2 2 2 6 2 3" xfId="11978" xr:uid="{5C71361B-2FE3-47CF-AD38-174B36B5F792}"/>
    <cellStyle name="Normal 5 2 2 2 6 2 4" xfId="20416" xr:uid="{6B5DA1EA-83AA-423B-B66B-B1CC513C95E2}"/>
    <cellStyle name="Normal 5 2 2 2 6 3" xfId="5609" xr:uid="{00000000-0005-0000-0000-00008B170000}"/>
    <cellStyle name="Normal 5 2 2 2 6 3 2" xfId="14051" xr:uid="{41D4B349-2B55-41AC-A0F6-66B66173E338}"/>
    <cellStyle name="Normal 5 2 2 2 6 3 3" xfId="22488" xr:uid="{AA5046EB-2D5C-4EE6-A2BF-D4BD02BBBA99}"/>
    <cellStyle name="Normal 5 2 2 2 6 4" xfId="9833" xr:uid="{19DCCAB5-0CEA-40C5-BD99-AC1F3D1C4C3B}"/>
    <cellStyle name="Normal 5 2 2 2 6 5" xfId="18271" xr:uid="{12369CEF-BFB4-4D55-8E9A-AB564418B629}"/>
    <cellStyle name="Normal 5 2 2 2 7" xfId="1714" xr:uid="{00000000-0005-0000-0000-00008C170000}"/>
    <cellStyle name="Normal 5 2 2 2 7 2" xfId="3944" xr:uid="{00000000-0005-0000-0000-00008D170000}"/>
    <cellStyle name="Normal 5 2 2 2 7 2 2" xfId="8167" xr:uid="{00000000-0005-0000-0000-00008E170000}"/>
    <cellStyle name="Normal 5 2 2 2 7 2 2 2" xfId="16609" xr:uid="{812F4BA1-8E00-49E9-ACBC-E32BF919CCD8}"/>
    <cellStyle name="Normal 5 2 2 2 7 2 2 3" xfId="25046" xr:uid="{86FC3D26-830C-46BD-92CF-2EC7D9CFA24E}"/>
    <cellStyle name="Normal 5 2 2 2 7 2 3" xfId="12391" xr:uid="{21431D7A-DB1C-4EF8-B476-1DAE8DF8BC2F}"/>
    <cellStyle name="Normal 5 2 2 2 7 2 4" xfId="20829" xr:uid="{7F8FCDED-CF4B-486D-AD0F-3A6A33ED2628}"/>
    <cellStyle name="Normal 5 2 2 2 7 3" xfId="6022" xr:uid="{00000000-0005-0000-0000-00008F170000}"/>
    <cellStyle name="Normal 5 2 2 2 7 3 2" xfId="14464" xr:uid="{8CED560C-49D8-4ACE-A66C-952874C9F7E5}"/>
    <cellStyle name="Normal 5 2 2 2 7 3 3" xfId="22901" xr:uid="{0D71B5E5-3593-4C3C-AA59-1A1F664F6202}"/>
    <cellStyle name="Normal 5 2 2 2 7 4" xfId="10246" xr:uid="{D207ADC5-921A-40AB-AACA-47102445DBE8}"/>
    <cellStyle name="Normal 5 2 2 2 7 5" xfId="18684" xr:uid="{E1619E01-CAAE-4D45-B6E4-73CE6394195D}"/>
    <cellStyle name="Normal 5 2 2 2 8" xfId="2128" xr:uid="{00000000-0005-0000-0000-000090170000}"/>
    <cellStyle name="Normal 5 2 2 2 8 2" xfId="4357" xr:uid="{00000000-0005-0000-0000-000091170000}"/>
    <cellStyle name="Normal 5 2 2 2 8 2 2" xfId="8580" xr:uid="{00000000-0005-0000-0000-000092170000}"/>
    <cellStyle name="Normal 5 2 2 2 8 2 2 2" xfId="17022" xr:uid="{286F5C22-A269-411E-8F2F-1A6BC6B45D49}"/>
    <cellStyle name="Normal 5 2 2 2 8 2 2 3" xfId="25459" xr:uid="{8C0E7388-D4A7-4F02-88CD-DC415A51DD61}"/>
    <cellStyle name="Normal 5 2 2 2 8 2 3" xfId="12804" xr:uid="{5E2B08AF-253B-42D6-982B-71E86380FC99}"/>
    <cellStyle name="Normal 5 2 2 2 8 2 4" xfId="21242" xr:uid="{205CDCF4-49D8-4B89-9621-31A154454C72}"/>
    <cellStyle name="Normal 5 2 2 2 8 3" xfId="6435" xr:uid="{00000000-0005-0000-0000-000093170000}"/>
    <cellStyle name="Normal 5 2 2 2 8 3 2" xfId="14877" xr:uid="{22A16ADE-986A-4E82-AA60-181A5141D800}"/>
    <cellStyle name="Normal 5 2 2 2 8 3 3" xfId="23314" xr:uid="{108112A1-F8F3-4C8D-9099-59F94D7C8A5F}"/>
    <cellStyle name="Normal 5 2 2 2 8 4" xfId="10659" xr:uid="{9F5E593B-4F67-48C7-9E03-57CA82320E64}"/>
    <cellStyle name="Normal 5 2 2 2 8 5" xfId="19097" xr:uid="{12CAF7EF-E63F-4AB5-90F8-58B349ABBCD5}"/>
    <cellStyle name="Normal 5 2 2 2 9" xfId="2564" xr:uid="{00000000-0005-0000-0000-000094170000}"/>
    <cellStyle name="Normal 5 2 2 2 9 2" xfId="6848" xr:uid="{00000000-0005-0000-0000-000095170000}"/>
    <cellStyle name="Normal 5 2 2 2 9 2 2" xfId="15290" xr:uid="{9F2015FC-1B96-4DEF-B4F7-04A1B83A587E}"/>
    <cellStyle name="Normal 5 2 2 2 9 2 3" xfId="23727" xr:uid="{A16E1DDA-3CFC-4E39-9D29-AA6B0BBD3554}"/>
    <cellStyle name="Normal 5 2 2 2 9 3" xfId="11072" xr:uid="{0A9859F8-154E-47A9-98BF-A028B9E188E2}"/>
    <cellStyle name="Normal 5 2 2 2 9 4" xfId="19510" xr:uid="{C4C87DBC-B3CB-49B2-8F30-37AEB575EA2A}"/>
    <cellStyle name="Normal 5 2 2 3" xfId="417" xr:uid="{00000000-0005-0000-0000-000096170000}"/>
    <cellStyle name="Normal 5 2 2 3 10" xfId="9015" xr:uid="{BB5CBC01-C38C-4DFB-B1F1-BC885BC42358}"/>
    <cellStyle name="Normal 5 2 2 3 11" xfId="17453" xr:uid="{C7CF0B12-18BC-4608-8AC0-00776DCAA144}"/>
    <cellStyle name="Normal 5 2 2 3 2" xfId="418" xr:uid="{00000000-0005-0000-0000-000097170000}"/>
    <cellStyle name="Normal 5 2 2 3 2 10" xfId="17454" xr:uid="{C4FC9CE5-0150-428B-8FE7-9286DBB46476}"/>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2 2 2" xfId="15793" xr:uid="{8312E0E0-2D38-4BD4-A427-C03B3A0610EF}"/>
    <cellStyle name="Normal 5 2 2 3 2 2 2 2 2 3" xfId="24230" xr:uid="{D39E8BBD-5720-4D11-B2DB-9EF58FEDA279}"/>
    <cellStyle name="Normal 5 2 2 3 2 2 2 2 3" xfId="11575" xr:uid="{986EB7F3-4B75-4000-8B6A-0BA4C41FBE54}"/>
    <cellStyle name="Normal 5 2 2 3 2 2 2 2 4" xfId="20013" xr:uid="{F9ECEC06-C34B-4EBB-9B86-FAF2B9C09D6B}"/>
    <cellStyle name="Normal 5 2 2 3 2 2 2 3" xfId="5206" xr:uid="{00000000-0005-0000-0000-00009C170000}"/>
    <cellStyle name="Normal 5 2 2 3 2 2 2 3 2" xfId="13648" xr:uid="{518E7E07-8491-41DB-AB51-2892C5BD5F1C}"/>
    <cellStyle name="Normal 5 2 2 3 2 2 2 3 3" xfId="22085" xr:uid="{FD253C77-29EA-4E68-8622-AB89A984A14F}"/>
    <cellStyle name="Normal 5 2 2 3 2 2 2 4" xfId="9430" xr:uid="{5E6212F6-39CB-43EA-91AE-0D765813C542}"/>
    <cellStyle name="Normal 5 2 2 3 2 2 2 5" xfId="17868" xr:uid="{C38E7048-B234-49E2-A6B7-BCE7C42F2DF8}"/>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2 2 2" xfId="16206" xr:uid="{FA1946EB-B88C-4BD6-811A-4E97337FE7AC}"/>
    <cellStyle name="Normal 5 2 2 3 2 2 3 2 2 3" xfId="24643" xr:uid="{7C0ACC72-1768-4E77-B508-1044F0E9DC2B}"/>
    <cellStyle name="Normal 5 2 2 3 2 2 3 2 3" xfId="11988" xr:uid="{F9AE9A44-7828-4265-8F9E-8260F2A09C47}"/>
    <cellStyle name="Normal 5 2 2 3 2 2 3 2 4" xfId="20426" xr:uid="{80A4C79B-732E-4917-879B-317529F24642}"/>
    <cellStyle name="Normal 5 2 2 3 2 2 3 3" xfId="5619" xr:uid="{00000000-0005-0000-0000-0000A0170000}"/>
    <cellStyle name="Normal 5 2 2 3 2 2 3 3 2" xfId="14061" xr:uid="{7A0611F5-5CBE-4351-9C14-F1F2CE2B69BA}"/>
    <cellStyle name="Normal 5 2 2 3 2 2 3 3 3" xfId="22498" xr:uid="{3A8A391C-F915-4719-B8C0-75274C47A0D4}"/>
    <cellStyle name="Normal 5 2 2 3 2 2 3 4" xfId="9843" xr:uid="{A20BA279-590F-4186-89D6-7B4CE58FDAAB}"/>
    <cellStyle name="Normal 5 2 2 3 2 2 3 5" xfId="18281" xr:uid="{1820BF39-2903-4674-8DDB-72688883237E}"/>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2 2 2" xfId="16619" xr:uid="{32736EAB-2F12-4455-8DEE-0E3B7BAFEFF9}"/>
    <cellStyle name="Normal 5 2 2 3 2 2 4 2 2 3" xfId="25056" xr:uid="{779FBB2B-9C15-48C8-8B9E-D6C5324F620A}"/>
    <cellStyle name="Normal 5 2 2 3 2 2 4 2 3" xfId="12401" xr:uid="{34C42C72-2A07-4DF8-9535-F30924E730BE}"/>
    <cellStyle name="Normal 5 2 2 3 2 2 4 2 4" xfId="20839" xr:uid="{B6754BBC-2EAC-4098-B0B9-5F945EB4F747}"/>
    <cellStyle name="Normal 5 2 2 3 2 2 4 3" xfId="6032" xr:uid="{00000000-0005-0000-0000-0000A4170000}"/>
    <cellStyle name="Normal 5 2 2 3 2 2 4 3 2" xfId="14474" xr:uid="{EE0B3F1D-7430-468E-B7D4-24B56B0F91F8}"/>
    <cellStyle name="Normal 5 2 2 3 2 2 4 3 3" xfId="22911" xr:uid="{C830FF29-6520-4E61-91A5-5D07FC8B9102}"/>
    <cellStyle name="Normal 5 2 2 3 2 2 4 4" xfId="10256" xr:uid="{A6A6E9E9-01FA-44F6-A4CB-4D13DE4AC32D}"/>
    <cellStyle name="Normal 5 2 2 3 2 2 4 5" xfId="18694" xr:uid="{043C654A-7A82-4ED5-AE65-5B22CA745225}"/>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2 2 2" xfId="17032" xr:uid="{E1FF198F-C60A-4D24-8D0E-D3D3C9E7458D}"/>
    <cellStyle name="Normal 5 2 2 3 2 2 5 2 2 3" xfId="25469" xr:uid="{3A1FBBB1-26CD-4366-908D-7AF15772D323}"/>
    <cellStyle name="Normal 5 2 2 3 2 2 5 2 3" xfId="12814" xr:uid="{0544756E-094B-4EA2-8AB9-8EC9ED201F79}"/>
    <cellStyle name="Normal 5 2 2 3 2 2 5 2 4" xfId="21252" xr:uid="{83BC2450-E1AE-4BD5-8102-6919A0573BFA}"/>
    <cellStyle name="Normal 5 2 2 3 2 2 5 3" xfId="6445" xr:uid="{00000000-0005-0000-0000-0000A8170000}"/>
    <cellStyle name="Normal 5 2 2 3 2 2 5 3 2" xfId="14887" xr:uid="{BDC6A1D8-8ED3-47EC-BB25-07E561485D44}"/>
    <cellStyle name="Normal 5 2 2 3 2 2 5 3 3" xfId="23324" xr:uid="{B7D39F3C-6A67-40E0-8EF3-09E4EFF3BCE6}"/>
    <cellStyle name="Normal 5 2 2 3 2 2 5 4" xfId="10669" xr:uid="{F53E2605-A281-45BC-A113-29340DCDB577}"/>
    <cellStyle name="Normal 5 2 2 3 2 2 5 5" xfId="19107" xr:uid="{5F486450-57D9-4C8D-8F58-6559E92222E7}"/>
    <cellStyle name="Normal 5 2 2 3 2 2 6" xfId="2574" xr:uid="{00000000-0005-0000-0000-0000A9170000}"/>
    <cellStyle name="Normal 5 2 2 3 2 2 6 2" xfId="6858" xr:uid="{00000000-0005-0000-0000-0000AA170000}"/>
    <cellStyle name="Normal 5 2 2 3 2 2 6 2 2" xfId="15300" xr:uid="{18150892-FFEA-492E-9B51-3B4C1E8C4E48}"/>
    <cellStyle name="Normal 5 2 2 3 2 2 6 2 3" xfId="23737" xr:uid="{B172E16A-E1FD-4A9B-8AA1-2261B7ADF4FA}"/>
    <cellStyle name="Normal 5 2 2 3 2 2 6 3" xfId="11082" xr:uid="{1A6430D8-32E8-4C58-B585-A090009F22A9}"/>
    <cellStyle name="Normal 5 2 2 3 2 2 6 4" xfId="19520" xr:uid="{B9FD3D28-1C88-4CE9-B25E-AB3273E1B4C2}"/>
    <cellStyle name="Normal 5 2 2 3 2 2 7" xfId="4793" xr:uid="{00000000-0005-0000-0000-0000AB170000}"/>
    <cellStyle name="Normal 5 2 2 3 2 2 7 2" xfId="13235" xr:uid="{8D66DFDF-CF8C-4DBA-9D06-06F791DC1D4F}"/>
    <cellStyle name="Normal 5 2 2 3 2 2 7 3" xfId="21672" xr:uid="{5D0EFBA8-1E94-4C2A-9CFD-815F8AAD44E4}"/>
    <cellStyle name="Normal 5 2 2 3 2 2 8" xfId="9017" xr:uid="{FA2AF589-9CA0-4877-A76B-A2F7C124A4F7}"/>
    <cellStyle name="Normal 5 2 2 3 2 2 9" xfId="17455" xr:uid="{28EE9ED2-D78D-4455-B540-A02618CB2DEF}"/>
    <cellStyle name="Normal 5 2 2 3 2 3" xfId="892" xr:uid="{00000000-0005-0000-0000-0000AC170000}"/>
    <cellStyle name="Normal 5 2 2 3 2 3 2" xfId="3127" xr:uid="{00000000-0005-0000-0000-0000AD170000}"/>
    <cellStyle name="Normal 5 2 2 3 2 3 2 2" xfId="7350" xr:uid="{00000000-0005-0000-0000-0000AE170000}"/>
    <cellStyle name="Normal 5 2 2 3 2 3 2 2 2" xfId="15792" xr:uid="{8742DCFB-B660-4A05-8CB0-39C49E1236F6}"/>
    <cellStyle name="Normal 5 2 2 3 2 3 2 2 3" xfId="24229" xr:uid="{B563A802-FC5B-424C-9F15-5893E756A0AB}"/>
    <cellStyle name="Normal 5 2 2 3 2 3 2 3" xfId="11574" xr:uid="{F3791FEE-78B4-4E65-A469-7FE63B561E9E}"/>
    <cellStyle name="Normal 5 2 2 3 2 3 2 4" xfId="20012" xr:uid="{8B4A9E59-798C-4D66-987A-EC94B873E390}"/>
    <cellStyle name="Normal 5 2 2 3 2 3 3" xfId="5205" xr:uid="{00000000-0005-0000-0000-0000AF170000}"/>
    <cellStyle name="Normal 5 2 2 3 2 3 3 2" xfId="13647" xr:uid="{D4ADFF9E-DB46-450F-A1E3-6A0B60F5A33C}"/>
    <cellStyle name="Normal 5 2 2 3 2 3 3 3" xfId="22084" xr:uid="{DAC5338E-AF8A-4771-9B07-F296CBF7E467}"/>
    <cellStyle name="Normal 5 2 2 3 2 3 4" xfId="9429" xr:uid="{0E6B7B46-E0C4-40AF-A53B-A5877879DB94}"/>
    <cellStyle name="Normal 5 2 2 3 2 3 5" xfId="17867" xr:uid="{D60E4C86-6455-4DB7-BA7E-0B81A9193662}"/>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2 2 2" xfId="16205" xr:uid="{5DD1ECD0-B5E0-4637-B986-76604449D75A}"/>
    <cellStyle name="Normal 5 2 2 3 2 4 2 2 3" xfId="24642" xr:uid="{3844215D-4E70-4322-B0F5-0954E32C7F1C}"/>
    <cellStyle name="Normal 5 2 2 3 2 4 2 3" xfId="11987" xr:uid="{71C9C26A-2768-4FF5-8E07-43DDAF8724E0}"/>
    <cellStyle name="Normal 5 2 2 3 2 4 2 4" xfId="20425" xr:uid="{0346D9AD-7271-47E5-9F27-F5AF07235575}"/>
    <cellStyle name="Normal 5 2 2 3 2 4 3" xfId="5618" xr:uid="{00000000-0005-0000-0000-0000B3170000}"/>
    <cellStyle name="Normal 5 2 2 3 2 4 3 2" xfId="14060" xr:uid="{B8A6207E-2B74-4586-BC81-ED450B4CE395}"/>
    <cellStyle name="Normal 5 2 2 3 2 4 3 3" xfId="22497" xr:uid="{D85E15BD-EBBA-4D36-B44C-74D402D07350}"/>
    <cellStyle name="Normal 5 2 2 3 2 4 4" xfId="9842" xr:uid="{E3CE4316-933B-405D-A9B6-CD22510B0C76}"/>
    <cellStyle name="Normal 5 2 2 3 2 4 5" xfId="18280" xr:uid="{3720BEC0-121B-4251-865F-11218BCE76CA}"/>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2 2 2" xfId="16618" xr:uid="{B6C71813-0F63-4D48-970D-BFA0C874D487}"/>
    <cellStyle name="Normal 5 2 2 3 2 5 2 2 3" xfId="25055" xr:uid="{6E013F23-DFE9-422C-8301-8EF8A1737677}"/>
    <cellStyle name="Normal 5 2 2 3 2 5 2 3" xfId="12400" xr:uid="{4C6A9F92-C72E-4C77-907F-BFAD270CC68F}"/>
    <cellStyle name="Normal 5 2 2 3 2 5 2 4" xfId="20838" xr:uid="{BF6E7573-7D49-4DC8-A44A-D4277CBEBC2C}"/>
    <cellStyle name="Normal 5 2 2 3 2 5 3" xfId="6031" xr:uid="{00000000-0005-0000-0000-0000B7170000}"/>
    <cellStyle name="Normal 5 2 2 3 2 5 3 2" xfId="14473" xr:uid="{FB48F16E-E26A-4076-8661-FB0C8B054F86}"/>
    <cellStyle name="Normal 5 2 2 3 2 5 3 3" xfId="22910" xr:uid="{9E9E5488-067F-4D7F-BE6E-E20E4759B23B}"/>
    <cellStyle name="Normal 5 2 2 3 2 5 4" xfId="10255" xr:uid="{BB6E6E26-EE38-40F1-9907-D8C8DD5B00A2}"/>
    <cellStyle name="Normal 5 2 2 3 2 5 5" xfId="18693" xr:uid="{0D31269E-DA19-4665-BAC7-CDD85AA6C66E}"/>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2 2 2" xfId="17031" xr:uid="{96C307FC-3829-435F-AE78-10FE0CD28070}"/>
    <cellStyle name="Normal 5 2 2 3 2 6 2 2 3" xfId="25468" xr:uid="{4600CDE1-3D67-4D46-99B7-A8504C269E54}"/>
    <cellStyle name="Normal 5 2 2 3 2 6 2 3" xfId="12813" xr:uid="{D24799B8-75F5-4378-92F1-DCC5DC941022}"/>
    <cellStyle name="Normal 5 2 2 3 2 6 2 4" xfId="21251" xr:uid="{5297DF63-6841-47C0-8F73-3B483706C472}"/>
    <cellStyle name="Normal 5 2 2 3 2 6 3" xfId="6444" xr:uid="{00000000-0005-0000-0000-0000BB170000}"/>
    <cellStyle name="Normal 5 2 2 3 2 6 3 2" xfId="14886" xr:uid="{A3224B75-8589-428D-9ECB-B9C8B8E30F85}"/>
    <cellStyle name="Normal 5 2 2 3 2 6 3 3" xfId="23323" xr:uid="{45E51D1C-AFD3-450F-9AD1-170E73BDBAB2}"/>
    <cellStyle name="Normal 5 2 2 3 2 6 4" xfId="10668" xr:uid="{701DA822-0BC9-4E52-B5C0-FC8DFB256BDF}"/>
    <cellStyle name="Normal 5 2 2 3 2 6 5" xfId="19106" xr:uid="{9283CC9D-D8CF-4A2B-A1D3-6AD6F2EA59A4}"/>
    <cellStyle name="Normal 5 2 2 3 2 7" xfId="2573" xr:uid="{00000000-0005-0000-0000-0000BC170000}"/>
    <cellStyle name="Normal 5 2 2 3 2 7 2" xfId="6857" xr:uid="{00000000-0005-0000-0000-0000BD170000}"/>
    <cellStyle name="Normal 5 2 2 3 2 7 2 2" xfId="15299" xr:uid="{2BD3735D-71F0-4F37-8ABD-CE277E32F26F}"/>
    <cellStyle name="Normal 5 2 2 3 2 7 2 3" xfId="23736" xr:uid="{92C7C32B-BE56-4309-ABBC-864391A8D582}"/>
    <cellStyle name="Normal 5 2 2 3 2 7 3" xfId="11081" xr:uid="{7AF33ACA-2AFD-4545-964E-6090FF115261}"/>
    <cellStyle name="Normal 5 2 2 3 2 7 4" xfId="19519" xr:uid="{E1F75CE7-0269-4C50-B23E-0CFEA5A2AB15}"/>
    <cellStyle name="Normal 5 2 2 3 2 8" xfId="4792" xr:uid="{00000000-0005-0000-0000-0000BE170000}"/>
    <cellStyle name="Normal 5 2 2 3 2 8 2" xfId="13234" xr:uid="{466FCCE6-F684-4380-9E54-002E4929986A}"/>
    <cellStyle name="Normal 5 2 2 3 2 8 3" xfId="21671" xr:uid="{D045541D-B594-4E23-B090-6529DCB13DD0}"/>
    <cellStyle name="Normal 5 2 2 3 2 9" xfId="9016" xr:uid="{273D780A-B8E9-430A-B356-975CE85C4861}"/>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2 2 2" xfId="15794" xr:uid="{7F258FFC-1282-47BD-86B2-137BB8FE313D}"/>
    <cellStyle name="Normal 5 2 2 3 3 2 2 2 3" xfId="24231" xr:uid="{E58F23C2-4C5B-4BF0-96D2-D219056D7FF2}"/>
    <cellStyle name="Normal 5 2 2 3 3 2 2 3" xfId="11576" xr:uid="{1412650E-A7FB-4744-8DE5-286D6C6D42B3}"/>
    <cellStyle name="Normal 5 2 2 3 3 2 2 4" xfId="20014" xr:uid="{66B26186-3C3F-4C76-94F9-91E4E3B5C115}"/>
    <cellStyle name="Normal 5 2 2 3 3 2 3" xfId="5207" xr:uid="{00000000-0005-0000-0000-0000C3170000}"/>
    <cellStyle name="Normal 5 2 2 3 3 2 3 2" xfId="13649" xr:uid="{A370BEED-ACAA-4307-8BC8-6C0047C91DED}"/>
    <cellStyle name="Normal 5 2 2 3 3 2 3 3" xfId="22086" xr:uid="{B9C12535-74B3-4291-99CC-1CBAC727E01C}"/>
    <cellStyle name="Normal 5 2 2 3 3 2 4" xfId="9431" xr:uid="{11D6DF0C-06F9-45D1-964D-56B7D406FBD5}"/>
    <cellStyle name="Normal 5 2 2 3 3 2 5" xfId="17869" xr:uid="{33F7F1E0-A342-4AE9-B6CA-1CBF38ABEA1E}"/>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2 2 2" xfId="16207" xr:uid="{3D48C5D9-3BEA-4B29-B1B2-A50CEF14BD93}"/>
    <cellStyle name="Normal 5 2 2 3 3 3 2 2 3" xfId="24644" xr:uid="{F8388FBE-C585-47A4-9F91-608F149B15D8}"/>
    <cellStyle name="Normal 5 2 2 3 3 3 2 3" xfId="11989" xr:uid="{3658A2F2-4563-47C7-ADF0-E4FBE9B2C7FB}"/>
    <cellStyle name="Normal 5 2 2 3 3 3 2 4" xfId="20427" xr:uid="{18758BBB-0143-49BB-B41F-956B5D2D9580}"/>
    <cellStyle name="Normal 5 2 2 3 3 3 3" xfId="5620" xr:uid="{00000000-0005-0000-0000-0000C7170000}"/>
    <cellStyle name="Normal 5 2 2 3 3 3 3 2" xfId="14062" xr:uid="{CC0C5EAF-6BB8-4E70-B15B-2BB2BCF0344A}"/>
    <cellStyle name="Normal 5 2 2 3 3 3 3 3" xfId="22499" xr:uid="{F7655D2F-7EED-4E03-9E45-9ACC57119674}"/>
    <cellStyle name="Normal 5 2 2 3 3 3 4" xfId="9844" xr:uid="{6D4BCFA4-09A6-457A-BB18-AD32B3B16FD0}"/>
    <cellStyle name="Normal 5 2 2 3 3 3 5" xfId="18282" xr:uid="{41ECD4DC-E675-4B6F-92D0-23E434DDF504}"/>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2 2 2" xfId="16620" xr:uid="{BD8FD846-6FB8-4755-A429-146B47538419}"/>
    <cellStyle name="Normal 5 2 2 3 3 4 2 2 3" xfId="25057" xr:uid="{354B3D31-EFC9-423F-BEDB-C05F75E67F1A}"/>
    <cellStyle name="Normal 5 2 2 3 3 4 2 3" xfId="12402" xr:uid="{9EB96AB8-CF54-4138-B1ED-D5ED8A5FB92D}"/>
    <cellStyle name="Normal 5 2 2 3 3 4 2 4" xfId="20840" xr:uid="{E3D6C069-DBED-43C1-A199-1734D6B3E747}"/>
    <cellStyle name="Normal 5 2 2 3 3 4 3" xfId="6033" xr:uid="{00000000-0005-0000-0000-0000CB170000}"/>
    <cellStyle name="Normal 5 2 2 3 3 4 3 2" xfId="14475" xr:uid="{7F79B8A4-89E0-4BF2-AD37-979EFC286174}"/>
    <cellStyle name="Normal 5 2 2 3 3 4 3 3" xfId="22912" xr:uid="{CF3D288E-8E1A-45C3-9073-815F1651A4A0}"/>
    <cellStyle name="Normal 5 2 2 3 3 4 4" xfId="10257" xr:uid="{9CDB2B80-685F-4450-AB1E-E22E66B213E8}"/>
    <cellStyle name="Normal 5 2 2 3 3 4 5" xfId="18695" xr:uid="{ED3CCD97-5FA1-48D6-9B95-8270E06F1351}"/>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2 2 2" xfId="17033" xr:uid="{48D095C4-CBC8-48C7-BFC3-B27D57906F7F}"/>
    <cellStyle name="Normal 5 2 2 3 3 5 2 2 3" xfId="25470" xr:uid="{365D2841-1381-4B80-9951-3574E5AF359B}"/>
    <cellStyle name="Normal 5 2 2 3 3 5 2 3" xfId="12815" xr:uid="{88504AFA-169E-44CC-A3A6-259A81843C0D}"/>
    <cellStyle name="Normal 5 2 2 3 3 5 2 4" xfId="21253" xr:uid="{70DF8823-6A3F-4F9D-B898-743C7D75FFB3}"/>
    <cellStyle name="Normal 5 2 2 3 3 5 3" xfId="6446" xr:uid="{00000000-0005-0000-0000-0000CF170000}"/>
    <cellStyle name="Normal 5 2 2 3 3 5 3 2" xfId="14888" xr:uid="{F51C72CD-1A02-48D7-BC1E-F553804C7218}"/>
    <cellStyle name="Normal 5 2 2 3 3 5 3 3" xfId="23325" xr:uid="{63072B65-2414-4087-9CCF-2FC3AF48D2F3}"/>
    <cellStyle name="Normal 5 2 2 3 3 5 4" xfId="10670" xr:uid="{8C8D62B9-4BB0-4F74-88DE-A0DA914A5139}"/>
    <cellStyle name="Normal 5 2 2 3 3 5 5" xfId="19108" xr:uid="{F2B70C8A-01F0-4BC7-A35D-16737FFDEC86}"/>
    <cellStyle name="Normal 5 2 2 3 3 6" xfId="2575" xr:uid="{00000000-0005-0000-0000-0000D0170000}"/>
    <cellStyle name="Normal 5 2 2 3 3 6 2" xfId="6859" xr:uid="{00000000-0005-0000-0000-0000D1170000}"/>
    <cellStyle name="Normal 5 2 2 3 3 6 2 2" xfId="15301" xr:uid="{39A92C2D-950B-4E90-9405-6C009C98B54F}"/>
    <cellStyle name="Normal 5 2 2 3 3 6 2 3" xfId="23738" xr:uid="{4212D00D-EEAA-42DF-AC2F-6F46C568B408}"/>
    <cellStyle name="Normal 5 2 2 3 3 6 3" xfId="11083" xr:uid="{4430458D-3414-40E3-8211-43A9D40CC5FB}"/>
    <cellStyle name="Normal 5 2 2 3 3 6 4" xfId="19521" xr:uid="{FBA5DD5E-DE05-49FA-A4E7-3749EF9A0EE9}"/>
    <cellStyle name="Normal 5 2 2 3 3 7" xfId="4794" xr:uid="{00000000-0005-0000-0000-0000D2170000}"/>
    <cellStyle name="Normal 5 2 2 3 3 7 2" xfId="13236" xr:uid="{488A3AA3-AFA0-4942-83D9-8E99D87985C6}"/>
    <cellStyle name="Normal 5 2 2 3 3 7 3" xfId="21673" xr:uid="{29D41647-F035-42B9-8A50-E7D265276E9C}"/>
    <cellStyle name="Normal 5 2 2 3 3 8" xfId="9018" xr:uid="{6EAD0252-AE33-47CE-84C1-197D3FE010B2}"/>
    <cellStyle name="Normal 5 2 2 3 3 9" xfId="17456" xr:uid="{5DC96B33-EC44-437B-9796-1832E393535D}"/>
    <cellStyle name="Normal 5 2 2 3 4" xfId="891" xr:uid="{00000000-0005-0000-0000-0000D3170000}"/>
    <cellStyle name="Normal 5 2 2 3 4 2" xfId="3126" xr:uid="{00000000-0005-0000-0000-0000D4170000}"/>
    <cellStyle name="Normal 5 2 2 3 4 2 2" xfId="7349" xr:uid="{00000000-0005-0000-0000-0000D5170000}"/>
    <cellStyle name="Normal 5 2 2 3 4 2 2 2" xfId="15791" xr:uid="{81AB62EC-B828-4277-8418-9B3F936FB73C}"/>
    <cellStyle name="Normal 5 2 2 3 4 2 2 3" xfId="24228" xr:uid="{4E3C7C0C-3ACB-42FB-A13F-5D819CE1C0E0}"/>
    <cellStyle name="Normal 5 2 2 3 4 2 3" xfId="11573" xr:uid="{0DAB1AFD-342B-4F6D-8B19-BE1E3687E4A7}"/>
    <cellStyle name="Normal 5 2 2 3 4 2 4" xfId="20011" xr:uid="{919718BA-4C42-4597-9138-D353231519CB}"/>
    <cellStyle name="Normal 5 2 2 3 4 3" xfId="5204" xr:uid="{00000000-0005-0000-0000-0000D6170000}"/>
    <cellStyle name="Normal 5 2 2 3 4 3 2" xfId="13646" xr:uid="{35E6BE38-69A5-4E63-8F7F-79621E8B94A8}"/>
    <cellStyle name="Normal 5 2 2 3 4 3 3" xfId="22083" xr:uid="{C35E1525-4899-4B17-AE9E-F57C55A6599C}"/>
    <cellStyle name="Normal 5 2 2 3 4 4" xfId="9428" xr:uid="{81256302-3CAF-46E6-AC99-B681F10CD615}"/>
    <cellStyle name="Normal 5 2 2 3 4 5" xfId="17866" xr:uid="{87717BAC-6C65-4232-A09E-D60F028E909A}"/>
    <cellStyle name="Normal 5 2 2 3 5" xfId="1309" xr:uid="{00000000-0005-0000-0000-0000D7170000}"/>
    <cellStyle name="Normal 5 2 2 3 5 2" xfId="3539" xr:uid="{00000000-0005-0000-0000-0000D8170000}"/>
    <cellStyle name="Normal 5 2 2 3 5 2 2" xfId="7762" xr:uid="{00000000-0005-0000-0000-0000D9170000}"/>
    <cellStyle name="Normal 5 2 2 3 5 2 2 2" xfId="16204" xr:uid="{199C6B05-64C1-4EC3-B343-62BF297C1C34}"/>
    <cellStyle name="Normal 5 2 2 3 5 2 2 3" xfId="24641" xr:uid="{85B62B4D-4E96-4BC3-9624-A344C23AD30C}"/>
    <cellStyle name="Normal 5 2 2 3 5 2 3" xfId="11986" xr:uid="{F78BDA1C-28EA-4A62-B2BD-192271107FEA}"/>
    <cellStyle name="Normal 5 2 2 3 5 2 4" xfId="20424" xr:uid="{4B69E82C-DB59-4B1F-9CE0-2CC7668F2023}"/>
    <cellStyle name="Normal 5 2 2 3 5 3" xfId="5617" xr:uid="{00000000-0005-0000-0000-0000DA170000}"/>
    <cellStyle name="Normal 5 2 2 3 5 3 2" xfId="14059" xr:uid="{04ECD57D-649B-4DEA-9A93-9B5073CB4F4E}"/>
    <cellStyle name="Normal 5 2 2 3 5 3 3" xfId="22496" xr:uid="{FD8548AD-1CA5-4074-B8A2-F115E8F58F23}"/>
    <cellStyle name="Normal 5 2 2 3 5 4" xfId="9841" xr:uid="{1C91D1E0-6BDE-4BEE-8CBC-8CEF562E3DDF}"/>
    <cellStyle name="Normal 5 2 2 3 5 5" xfId="18279" xr:uid="{D25C7402-9E92-4171-A940-76014B3985E5}"/>
    <cellStyle name="Normal 5 2 2 3 6" xfId="1722" xr:uid="{00000000-0005-0000-0000-0000DB170000}"/>
    <cellStyle name="Normal 5 2 2 3 6 2" xfId="3952" xr:uid="{00000000-0005-0000-0000-0000DC170000}"/>
    <cellStyle name="Normal 5 2 2 3 6 2 2" xfId="8175" xr:uid="{00000000-0005-0000-0000-0000DD170000}"/>
    <cellStyle name="Normal 5 2 2 3 6 2 2 2" xfId="16617" xr:uid="{07618CDA-2527-4533-961B-3DBBF730456E}"/>
    <cellStyle name="Normal 5 2 2 3 6 2 2 3" xfId="25054" xr:uid="{004DCD59-FD67-4055-8260-3BE3FDF8AD7E}"/>
    <cellStyle name="Normal 5 2 2 3 6 2 3" xfId="12399" xr:uid="{26B0C9A6-8704-4C8B-A786-F5DA249C6BDE}"/>
    <cellStyle name="Normal 5 2 2 3 6 2 4" xfId="20837" xr:uid="{AF576547-BA60-4A67-B19C-318C40CC750D}"/>
    <cellStyle name="Normal 5 2 2 3 6 3" xfId="6030" xr:uid="{00000000-0005-0000-0000-0000DE170000}"/>
    <cellStyle name="Normal 5 2 2 3 6 3 2" xfId="14472" xr:uid="{ED64043D-F764-44BB-95C1-EFEE17AF0DBA}"/>
    <cellStyle name="Normal 5 2 2 3 6 3 3" xfId="22909" xr:uid="{6EE61F86-564F-453A-BAA1-66F714717951}"/>
    <cellStyle name="Normal 5 2 2 3 6 4" xfId="10254" xr:uid="{8EF07D46-3128-4DC0-9CA0-2342733E0552}"/>
    <cellStyle name="Normal 5 2 2 3 6 5" xfId="18692" xr:uid="{99545A86-3A7A-4CF0-86D9-249099F166ED}"/>
    <cellStyle name="Normal 5 2 2 3 7" xfId="2136" xr:uid="{00000000-0005-0000-0000-0000DF170000}"/>
    <cellStyle name="Normal 5 2 2 3 7 2" xfId="4365" xr:uid="{00000000-0005-0000-0000-0000E0170000}"/>
    <cellStyle name="Normal 5 2 2 3 7 2 2" xfId="8588" xr:uid="{00000000-0005-0000-0000-0000E1170000}"/>
    <cellStyle name="Normal 5 2 2 3 7 2 2 2" xfId="17030" xr:uid="{1CAED379-3423-4DF8-82B1-ACCDB5AFA87B}"/>
    <cellStyle name="Normal 5 2 2 3 7 2 2 3" xfId="25467" xr:uid="{6538C9BD-9FCD-453A-AC49-7E8C54991BC8}"/>
    <cellStyle name="Normal 5 2 2 3 7 2 3" xfId="12812" xr:uid="{9870C7EE-A1D0-423E-9B78-8EE085E02529}"/>
    <cellStyle name="Normal 5 2 2 3 7 2 4" xfId="21250" xr:uid="{DBE1C097-CECC-4082-A5BB-D6B93DEE09EE}"/>
    <cellStyle name="Normal 5 2 2 3 7 3" xfId="6443" xr:uid="{00000000-0005-0000-0000-0000E2170000}"/>
    <cellStyle name="Normal 5 2 2 3 7 3 2" xfId="14885" xr:uid="{8EE9BE2C-E726-48EE-8B46-3ED76E2BDB61}"/>
    <cellStyle name="Normal 5 2 2 3 7 3 3" xfId="23322" xr:uid="{B09541D1-7618-41E9-B394-228BE32983B2}"/>
    <cellStyle name="Normal 5 2 2 3 7 4" xfId="10667" xr:uid="{BF2C19CF-5400-4D82-A948-FDB06008D9C2}"/>
    <cellStyle name="Normal 5 2 2 3 7 5" xfId="19105" xr:uid="{F5A34F13-0B48-496C-9FA4-7EC83C9E5760}"/>
    <cellStyle name="Normal 5 2 2 3 8" xfId="2572" xr:uid="{00000000-0005-0000-0000-0000E3170000}"/>
    <cellStyle name="Normal 5 2 2 3 8 2" xfId="6856" xr:uid="{00000000-0005-0000-0000-0000E4170000}"/>
    <cellStyle name="Normal 5 2 2 3 8 2 2" xfId="15298" xr:uid="{E09297DD-E257-43EB-8AA0-2F4F9CB6B2E9}"/>
    <cellStyle name="Normal 5 2 2 3 8 2 3" xfId="23735" xr:uid="{9FFCCF1F-0176-4B93-BD49-1E848FDCFEA6}"/>
    <cellStyle name="Normal 5 2 2 3 8 3" xfId="11080" xr:uid="{3238CBD0-365A-4E10-ABC0-A4B86A288217}"/>
    <cellStyle name="Normal 5 2 2 3 8 4" xfId="19518" xr:uid="{513504EE-D980-4CE0-A8E8-E4B1413D4FCA}"/>
    <cellStyle name="Normal 5 2 2 3 9" xfId="4791" xr:uid="{00000000-0005-0000-0000-0000E5170000}"/>
    <cellStyle name="Normal 5 2 2 3 9 2" xfId="13233" xr:uid="{CF781184-5104-4267-B524-CE55C69DE4A8}"/>
    <cellStyle name="Normal 5 2 2 3 9 3" xfId="21670" xr:uid="{68EF3175-4F77-48D9-94FF-7DBEB574DCAA}"/>
    <cellStyle name="Normal 5 2 2 4" xfId="421" xr:uid="{00000000-0005-0000-0000-0000E6170000}"/>
    <cellStyle name="Normal 5 2 2 4 10" xfId="17457" xr:uid="{B2E8D595-DA58-4B66-B06E-3BF0C24C9F6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2 2 2" xfId="15796" xr:uid="{135B94FB-BFFE-457E-A425-9377CE823E58}"/>
    <cellStyle name="Normal 5 2 2 4 2 2 2 2 3" xfId="24233" xr:uid="{D1C22DAA-5A8F-4DEB-8AC1-4A4EE362C7A4}"/>
    <cellStyle name="Normal 5 2 2 4 2 2 2 3" xfId="11578" xr:uid="{AB43D758-C85D-4D8F-8760-A0C57DAC69B1}"/>
    <cellStyle name="Normal 5 2 2 4 2 2 2 4" xfId="20016" xr:uid="{227A83EB-66D5-49C5-9236-4A844D9549CC}"/>
    <cellStyle name="Normal 5 2 2 4 2 2 3" xfId="5209" xr:uid="{00000000-0005-0000-0000-0000EB170000}"/>
    <cellStyle name="Normal 5 2 2 4 2 2 3 2" xfId="13651" xr:uid="{D9ED629F-E2C4-4AC3-89B0-1E294647700E}"/>
    <cellStyle name="Normal 5 2 2 4 2 2 3 3" xfId="22088" xr:uid="{5D25F4E9-DF08-4921-B834-B16A710A0332}"/>
    <cellStyle name="Normal 5 2 2 4 2 2 4" xfId="9433" xr:uid="{3A286CB1-9032-4EBC-A1A6-9B7E76466EA0}"/>
    <cellStyle name="Normal 5 2 2 4 2 2 5" xfId="17871" xr:uid="{9A76CD45-2E88-4F8D-A5F5-8691080B612D}"/>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2 2 2" xfId="16209" xr:uid="{4EEAF7D2-F41F-411A-8AFA-3E4B88613BB0}"/>
    <cellStyle name="Normal 5 2 2 4 2 3 2 2 3" xfId="24646" xr:uid="{7C6F1AA1-E0AD-4007-A750-151C8177AEEC}"/>
    <cellStyle name="Normal 5 2 2 4 2 3 2 3" xfId="11991" xr:uid="{8A1F9870-C4BE-40A4-A130-3CD09AAA16C7}"/>
    <cellStyle name="Normal 5 2 2 4 2 3 2 4" xfId="20429" xr:uid="{31CE17C5-0519-41A0-B837-8CC16C55FE66}"/>
    <cellStyle name="Normal 5 2 2 4 2 3 3" xfId="5622" xr:uid="{00000000-0005-0000-0000-0000EF170000}"/>
    <cellStyle name="Normal 5 2 2 4 2 3 3 2" xfId="14064" xr:uid="{5C2ED77E-1B0F-4A89-817E-6E8D74597FA3}"/>
    <cellStyle name="Normal 5 2 2 4 2 3 3 3" xfId="22501" xr:uid="{D739D649-A3A2-4660-9997-15AA84204EF8}"/>
    <cellStyle name="Normal 5 2 2 4 2 3 4" xfId="9846" xr:uid="{B3C5A241-87BD-4E05-9733-DC78F48E5B01}"/>
    <cellStyle name="Normal 5 2 2 4 2 3 5" xfId="18284" xr:uid="{958403F4-EC73-4839-A82A-DBA01583EF33}"/>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2 2 2" xfId="16622" xr:uid="{D03D068B-F17F-4886-92C3-15A5BD10ACB0}"/>
    <cellStyle name="Normal 5 2 2 4 2 4 2 2 3" xfId="25059" xr:uid="{0C3E36C0-8A39-4B3E-8D55-6D71715C56D7}"/>
    <cellStyle name="Normal 5 2 2 4 2 4 2 3" xfId="12404" xr:uid="{2BB2FBE4-DC8B-47B1-8571-27EFBE9D467C}"/>
    <cellStyle name="Normal 5 2 2 4 2 4 2 4" xfId="20842" xr:uid="{A233179E-2D70-49B1-B63F-F6C5429E0D35}"/>
    <cellStyle name="Normal 5 2 2 4 2 4 3" xfId="6035" xr:uid="{00000000-0005-0000-0000-0000F3170000}"/>
    <cellStyle name="Normal 5 2 2 4 2 4 3 2" xfId="14477" xr:uid="{7D145F1D-D160-4060-8C3F-78AA5B1E6D2A}"/>
    <cellStyle name="Normal 5 2 2 4 2 4 3 3" xfId="22914" xr:uid="{045D0767-5793-4D9B-A8EF-F244167F789B}"/>
    <cellStyle name="Normal 5 2 2 4 2 4 4" xfId="10259" xr:uid="{2E330BEC-F9A8-4253-819A-EEB762173684}"/>
    <cellStyle name="Normal 5 2 2 4 2 4 5" xfId="18697" xr:uid="{56B50585-0775-45DC-ABC6-4EE3311CE0EC}"/>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2 2 2" xfId="17035" xr:uid="{70E87539-0D2D-4CE1-B385-8BBA17544160}"/>
    <cellStyle name="Normal 5 2 2 4 2 5 2 2 3" xfId="25472" xr:uid="{F33292F3-1551-470F-84A1-917743AA3785}"/>
    <cellStyle name="Normal 5 2 2 4 2 5 2 3" xfId="12817" xr:uid="{DC273D50-E015-4CB2-B4B0-831E702A3F34}"/>
    <cellStyle name="Normal 5 2 2 4 2 5 2 4" xfId="21255" xr:uid="{7023C550-6FF8-46F7-9D78-169A022BA321}"/>
    <cellStyle name="Normal 5 2 2 4 2 5 3" xfId="6448" xr:uid="{00000000-0005-0000-0000-0000F7170000}"/>
    <cellStyle name="Normal 5 2 2 4 2 5 3 2" xfId="14890" xr:uid="{FE271EAC-8563-4430-BC7A-C41E22E57384}"/>
    <cellStyle name="Normal 5 2 2 4 2 5 3 3" xfId="23327" xr:uid="{FA667773-C295-4F7D-88D8-E6F2B2F5F497}"/>
    <cellStyle name="Normal 5 2 2 4 2 5 4" xfId="10672" xr:uid="{6F3802A8-5598-40FA-B9BF-440791601EE9}"/>
    <cellStyle name="Normal 5 2 2 4 2 5 5" xfId="19110" xr:uid="{CFF19B06-F142-4923-8EEB-B066234DF899}"/>
    <cellStyle name="Normal 5 2 2 4 2 6" xfId="2577" xr:uid="{00000000-0005-0000-0000-0000F8170000}"/>
    <cellStyle name="Normal 5 2 2 4 2 6 2" xfId="6861" xr:uid="{00000000-0005-0000-0000-0000F9170000}"/>
    <cellStyle name="Normal 5 2 2 4 2 6 2 2" xfId="15303" xr:uid="{60167D8B-E5E9-42B5-AB71-A3118D46C9F7}"/>
    <cellStyle name="Normal 5 2 2 4 2 6 2 3" xfId="23740" xr:uid="{7DBA1B75-2359-4C2A-88C1-453BCA4B059B}"/>
    <cellStyle name="Normal 5 2 2 4 2 6 3" xfId="11085" xr:uid="{C2E8B783-C0EA-4EC5-9FFF-62D9C6D8BDE7}"/>
    <cellStyle name="Normal 5 2 2 4 2 6 4" xfId="19523" xr:uid="{826ACE5C-76BC-469F-9004-2AB11C638B0A}"/>
    <cellStyle name="Normal 5 2 2 4 2 7" xfId="4796" xr:uid="{00000000-0005-0000-0000-0000FA170000}"/>
    <cellStyle name="Normal 5 2 2 4 2 7 2" xfId="13238" xr:uid="{D1FD2F6C-B9DB-4487-8FB0-0F153DEA0CEB}"/>
    <cellStyle name="Normal 5 2 2 4 2 7 3" xfId="21675" xr:uid="{0685EE8F-1F67-4334-B629-13B6DD8BC277}"/>
    <cellStyle name="Normal 5 2 2 4 2 8" xfId="9020" xr:uid="{D65CDF67-6479-4775-8730-C95E43814829}"/>
    <cellStyle name="Normal 5 2 2 4 2 9" xfId="17458" xr:uid="{D3CEA351-3E45-48B2-982E-C892D7C46C09}"/>
    <cellStyle name="Normal 5 2 2 4 3" xfId="895" xr:uid="{00000000-0005-0000-0000-0000FB170000}"/>
    <cellStyle name="Normal 5 2 2 4 3 2" xfId="3130" xr:uid="{00000000-0005-0000-0000-0000FC170000}"/>
    <cellStyle name="Normal 5 2 2 4 3 2 2" xfId="7353" xr:uid="{00000000-0005-0000-0000-0000FD170000}"/>
    <cellStyle name="Normal 5 2 2 4 3 2 2 2" xfId="15795" xr:uid="{B66BC94B-AD9A-47F7-A2AF-2E867EA0F652}"/>
    <cellStyle name="Normal 5 2 2 4 3 2 2 3" xfId="24232" xr:uid="{73D62261-940D-4F64-B9C8-28912B6985EC}"/>
    <cellStyle name="Normal 5 2 2 4 3 2 3" xfId="11577" xr:uid="{CD6738F6-4258-46FD-9769-B658E1007B19}"/>
    <cellStyle name="Normal 5 2 2 4 3 2 4" xfId="20015" xr:uid="{72AD53A3-7302-4F8F-9CDD-B2D336EDA755}"/>
    <cellStyle name="Normal 5 2 2 4 3 3" xfId="5208" xr:uid="{00000000-0005-0000-0000-0000FE170000}"/>
    <cellStyle name="Normal 5 2 2 4 3 3 2" xfId="13650" xr:uid="{4046C66D-5A2F-47BB-B2DC-0BA74CBF9636}"/>
    <cellStyle name="Normal 5 2 2 4 3 3 3" xfId="22087" xr:uid="{735A6B69-5C03-41D9-A7F0-D832280E43DA}"/>
    <cellStyle name="Normal 5 2 2 4 3 4" xfId="9432" xr:uid="{A2857121-74BD-4E92-837E-4FD1D33681B0}"/>
    <cellStyle name="Normal 5 2 2 4 3 5" xfId="17870" xr:uid="{ED84BC45-C3FB-4BC9-984A-3805DC6F80FC}"/>
    <cellStyle name="Normal 5 2 2 4 4" xfId="1313" xr:uid="{00000000-0005-0000-0000-0000FF170000}"/>
    <cellStyle name="Normal 5 2 2 4 4 2" xfId="3543" xr:uid="{00000000-0005-0000-0000-000000180000}"/>
    <cellStyle name="Normal 5 2 2 4 4 2 2" xfId="7766" xr:uid="{00000000-0005-0000-0000-000001180000}"/>
    <cellStyle name="Normal 5 2 2 4 4 2 2 2" xfId="16208" xr:uid="{0FB655A9-771F-4327-82AE-217C038531C0}"/>
    <cellStyle name="Normal 5 2 2 4 4 2 2 3" xfId="24645" xr:uid="{05721EFC-0F97-4302-B8AE-C788599724E9}"/>
    <cellStyle name="Normal 5 2 2 4 4 2 3" xfId="11990" xr:uid="{3FB2EAFE-8C94-429C-BB42-0214FC869BC0}"/>
    <cellStyle name="Normal 5 2 2 4 4 2 4" xfId="20428" xr:uid="{85F49DF8-AE79-4756-95E5-7D56B31F7452}"/>
    <cellStyle name="Normal 5 2 2 4 4 3" xfId="5621" xr:uid="{00000000-0005-0000-0000-000002180000}"/>
    <cellStyle name="Normal 5 2 2 4 4 3 2" xfId="14063" xr:uid="{B322E081-4B5C-47BE-8D9F-54E01793ACD5}"/>
    <cellStyle name="Normal 5 2 2 4 4 3 3" xfId="22500" xr:uid="{B9A918D5-905F-48CA-9DD9-F34FC4FACED3}"/>
    <cellStyle name="Normal 5 2 2 4 4 4" xfId="9845" xr:uid="{424154BD-1D9F-44E4-8CF4-230D834BE362}"/>
    <cellStyle name="Normal 5 2 2 4 4 5" xfId="18283" xr:uid="{DA4EDFF1-AF92-45A0-9FD9-9E1CEA3A1A71}"/>
    <cellStyle name="Normal 5 2 2 4 5" xfId="1726" xr:uid="{00000000-0005-0000-0000-000003180000}"/>
    <cellStyle name="Normal 5 2 2 4 5 2" xfId="3956" xr:uid="{00000000-0005-0000-0000-000004180000}"/>
    <cellStyle name="Normal 5 2 2 4 5 2 2" xfId="8179" xr:uid="{00000000-0005-0000-0000-000005180000}"/>
    <cellStyle name="Normal 5 2 2 4 5 2 2 2" xfId="16621" xr:uid="{3CF65F02-EB85-4D80-93C8-EE76B1EB436D}"/>
    <cellStyle name="Normal 5 2 2 4 5 2 2 3" xfId="25058" xr:uid="{B9A1376C-4F42-4752-B6FD-27FDDB92F855}"/>
    <cellStyle name="Normal 5 2 2 4 5 2 3" xfId="12403" xr:uid="{D8424954-D298-40BA-A610-61F16ACD277A}"/>
    <cellStyle name="Normal 5 2 2 4 5 2 4" xfId="20841" xr:uid="{6961C5BA-E087-4BC8-AFF2-194881DE8B3F}"/>
    <cellStyle name="Normal 5 2 2 4 5 3" xfId="6034" xr:uid="{00000000-0005-0000-0000-000006180000}"/>
    <cellStyle name="Normal 5 2 2 4 5 3 2" xfId="14476" xr:uid="{1D391BBC-6758-4FFA-8E6E-4202938CC349}"/>
    <cellStyle name="Normal 5 2 2 4 5 3 3" xfId="22913" xr:uid="{DC92BB4C-60F5-481D-A903-9461C0895CE6}"/>
    <cellStyle name="Normal 5 2 2 4 5 4" xfId="10258" xr:uid="{CE10DBBB-BDF5-41EF-903F-31689EE72E8F}"/>
    <cellStyle name="Normal 5 2 2 4 5 5" xfId="18696" xr:uid="{DAFC1679-FF9B-45E5-8217-36042EB276A5}"/>
    <cellStyle name="Normal 5 2 2 4 6" xfId="2140" xr:uid="{00000000-0005-0000-0000-000007180000}"/>
    <cellStyle name="Normal 5 2 2 4 6 2" xfId="4369" xr:uid="{00000000-0005-0000-0000-000008180000}"/>
    <cellStyle name="Normal 5 2 2 4 6 2 2" xfId="8592" xr:uid="{00000000-0005-0000-0000-000009180000}"/>
    <cellStyle name="Normal 5 2 2 4 6 2 2 2" xfId="17034" xr:uid="{65BFF05F-AA18-4DDC-8F8A-3BB49847FC9A}"/>
    <cellStyle name="Normal 5 2 2 4 6 2 2 3" xfId="25471" xr:uid="{8541514E-FF00-4C1B-AFCA-E3A58284C7B2}"/>
    <cellStyle name="Normal 5 2 2 4 6 2 3" xfId="12816" xr:uid="{66428244-66E1-414C-B6D0-95A4B029A519}"/>
    <cellStyle name="Normal 5 2 2 4 6 2 4" xfId="21254" xr:uid="{FAE7681D-19D9-4AFF-A845-EDA5BD59E00E}"/>
    <cellStyle name="Normal 5 2 2 4 6 3" xfId="6447" xr:uid="{00000000-0005-0000-0000-00000A180000}"/>
    <cellStyle name="Normal 5 2 2 4 6 3 2" xfId="14889" xr:uid="{D53A85F3-B514-456F-8826-7C281676F4E8}"/>
    <cellStyle name="Normal 5 2 2 4 6 3 3" xfId="23326" xr:uid="{DDA31127-BA88-4FE4-8650-D61474FA8286}"/>
    <cellStyle name="Normal 5 2 2 4 6 4" xfId="10671" xr:uid="{777CDC81-0DD9-4123-A587-0535D99ABB88}"/>
    <cellStyle name="Normal 5 2 2 4 6 5" xfId="19109" xr:uid="{CFA116B3-0763-4AE7-A5C5-8A6F9919D20F}"/>
    <cellStyle name="Normal 5 2 2 4 7" xfId="2576" xr:uid="{00000000-0005-0000-0000-00000B180000}"/>
    <cellStyle name="Normal 5 2 2 4 7 2" xfId="6860" xr:uid="{00000000-0005-0000-0000-00000C180000}"/>
    <cellStyle name="Normal 5 2 2 4 7 2 2" xfId="15302" xr:uid="{FB3FD530-91E5-45B1-8754-ADDCC918D3C2}"/>
    <cellStyle name="Normal 5 2 2 4 7 2 3" xfId="23739" xr:uid="{AF28C5FB-124A-4576-81EB-388D1D49E6DA}"/>
    <cellStyle name="Normal 5 2 2 4 7 3" xfId="11084" xr:uid="{44667155-15B8-465E-9426-5267D1846FDB}"/>
    <cellStyle name="Normal 5 2 2 4 7 4" xfId="19522" xr:uid="{0CA56EEE-ECB7-42DE-B20E-17CB4CC86E4B}"/>
    <cellStyle name="Normal 5 2 2 4 8" xfId="4795" xr:uid="{00000000-0005-0000-0000-00000D180000}"/>
    <cellStyle name="Normal 5 2 2 4 8 2" xfId="13237" xr:uid="{D9234295-F3D6-43F9-AE0E-4A33F741AD00}"/>
    <cellStyle name="Normal 5 2 2 4 8 3" xfId="21674" xr:uid="{FF24C61F-6770-481A-B192-366B77A7A4FF}"/>
    <cellStyle name="Normal 5 2 2 4 9" xfId="9019" xr:uid="{EDBD5AE7-8C4B-4EDB-8B57-5D1D36268574}"/>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2 2 2" xfId="15797" xr:uid="{38444DFA-025B-4F42-B770-CE46AF6548A1}"/>
    <cellStyle name="Normal 5 2 2 5 2 2 2 3" xfId="24234" xr:uid="{503DF845-94E0-4901-94A8-63B2B70A6CBF}"/>
    <cellStyle name="Normal 5 2 2 5 2 2 3" xfId="11579" xr:uid="{FD759B16-3B96-4468-BC05-03C5BC1B7F13}"/>
    <cellStyle name="Normal 5 2 2 5 2 2 4" xfId="20017" xr:uid="{DDD42FA2-D180-4F12-83AD-F3DC7509C8D5}"/>
    <cellStyle name="Normal 5 2 2 5 2 3" xfId="5210" xr:uid="{00000000-0005-0000-0000-000012180000}"/>
    <cellStyle name="Normal 5 2 2 5 2 3 2" xfId="13652" xr:uid="{FA11D394-0BAD-445F-8B99-27A6B9E673A7}"/>
    <cellStyle name="Normal 5 2 2 5 2 3 3" xfId="22089" xr:uid="{BC40C8DC-A7E1-489F-A007-0B910F1A38E9}"/>
    <cellStyle name="Normal 5 2 2 5 2 4" xfId="9434" xr:uid="{D7C91FE1-1DD7-488B-834A-DA20CEE6E2D8}"/>
    <cellStyle name="Normal 5 2 2 5 2 5" xfId="17872" xr:uid="{069DB4D9-8903-4CAE-AFD0-8AA534A0A39C}"/>
    <cellStyle name="Normal 5 2 2 5 3" xfId="1315" xr:uid="{00000000-0005-0000-0000-000013180000}"/>
    <cellStyle name="Normal 5 2 2 5 3 2" xfId="3545" xr:uid="{00000000-0005-0000-0000-000014180000}"/>
    <cellStyle name="Normal 5 2 2 5 3 2 2" xfId="7768" xr:uid="{00000000-0005-0000-0000-000015180000}"/>
    <cellStyle name="Normal 5 2 2 5 3 2 2 2" xfId="16210" xr:uid="{E9182874-77E5-4BD0-B20D-4975D5479473}"/>
    <cellStyle name="Normal 5 2 2 5 3 2 2 3" xfId="24647" xr:uid="{1FDE896E-96E2-43BB-920A-F75A25D9306B}"/>
    <cellStyle name="Normal 5 2 2 5 3 2 3" xfId="11992" xr:uid="{40B58FCA-24AB-415E-8A95-18F5B7807DF7}"/>
    <cellStyle name="Normal 5 2 2 5 3 2 4" xfId="20430" xr:uid="{DBCEF7EA-67E2-44A1-8B60-EA5022520927}"/>
    <cellStyle name="Normal 5 2 2 5 3 3" xfId="5623" xr:uid="{00000000-0005-0000-0000-000016180000}"/>
    <cellStyle name="Normal 5 2 2 5 3 3 2" xfId="14065" xr:uid="{A86F3C15-C84A-47EF-97F0-DD4AB7036CAA}"/>
    <cellStyle name="Normal 5 2 2 5 3 3 3" xfId="22502" xr:uid="{0BC1B756-1153-4019-B671-BD14A1BEE412}"/>
    <cellStyle name="Normal 5 2 2 5 3 4" xfId="9847" xr:uid="{0F062A73-72FA-48C2-BD72-1F41C1BB8270}"/>
    <cellStyle name="Normal 5 2 2 5 3 5" xfId="18285" xr:uid="{6D59190B-C67C-441A-8045-DF8E984BA94D}"/>
    <cellStyle name="Normal 5 2 2 5 4" xfId="1728" xr:uid="{00000000-0005-0000-0000-000017180000}"/>
    <cellStyle name="Normal 5 2 2 5 4 2" xfId="3958" xr:uid="{00000000-0005-0000-0000-000018180000}"/>
    <cellStyle name="Normal 5 2 2 5 4 2 2" xfId="8181" xr:uid="{00000000-0005-0000-0000-000019180000}"/>
    <cellStyle name="Normal 5 2 2 5 4 2 2 2" xfId="16623" xr:uid="{88A34A37-CB7D-4CA4-97F9-3FF3167AF27D}"/>
    <cellStyle name="Normal 5 2 2 5 4 2 2 3" xfId="25060" xr:uid="{2BF9BA46-59E4-4996-93C9-1D2B21649055}"/>
    <cellStyle name="Normal 5 2 2 5 4 2 3" xfId="12405" xr:uid="{4C01826F-1AA6-4F23-8225-378D1330DA3A}"/>
    <cellStyle name="Normal 5 2 2 5 4 2 4" xfId="20843" xr:uid="{C80951BA-EFBB-4BD8-9939-457F1FD4C1B6}"/>
    <cellStyle name="Normal 5 2 2 5 4 3" xfId="6036" xr:uid="{00000000-0005-0000-0000-00001A180000}"/>
    <cellStyle name="Normal 5 2 2 5 4 3 2" xfId="14478" xr:uid="{45D3255D-720A-47A7-A432-3920984277F4}"/>
    <cellStyle name="Normal 5 2 2 5 4 3 3" xfId="22915" xr:uid="{EF029E2F-A7FE-47B2-AB9D-ADE19B6C6956}"/>
    <cellStyle name="Normal 5 2 2 5 4 4" xfId="10260" xr:uid="{037A96FA-8615-43CC-BD2C-222A9F887868}"/>
    <cellStyle name="Normal 5 2 2 5 4 5" xfId="18698" xr:uid="{39ED4425-3D0C-4901-AA79-A7EA3AAEB532}"/>
    <cellStyle name="Normal 5 2 2 5 5" xfId="2142" xr:uid="{00000000-0005-0000-0000-00001B180000}"/>
    <cellStyle name="Normal 5 2 2 5 5 2" xfId="4371" xr:uid="{00000000-0005-0000-0000-00001C180000}"/>
    <cellStyle name="Normal 5 2 2 5 5 2 2" xfId="8594" xr:uid="{00000000-0005-0000-0000-00001D180000}"/>
    <cellStyle name="Normal 5 2 2 5 5 2 2 2" xfId="17036" xr:uid="{CAB489A2-7F27-46C9-BFD1-8EA23F6DCBD9}"/>
    <cellStyle name="Normal 5 2 2 5 5 2 2 3" xfId="25473" xr:uid="{12E6C6A8-713D-44AF-A56A-DBFFE404A583}"/>
    <cellStyle name="Normal 5 2 2 5 5 2 3" xfId="12818" xr:uid="{812B1AD6-8780-4C6C-AE26-757902EC8E4D}"/>
    <cellStyle name="Normal 5 2 2 5 5 2 4" xfId="21256" xr:uid="{9619363D-AE8C-45A0-82A8-9229A1B6C24E}"/>
    <cellStyle name="Normal 5 2 2 5 5 3" xfId="6449" xr:uid="{00000000-0005-0000-0000-00001E180000}"/>
    <cellStyle name="Normal 5 2 2 5 5 3 2" xfId="14891" xr:uid="{3E329557-C24D-46DB-A386-D268149ABE7D}"/>
    <cellStyle name="Normal 5 2 2 5 5 3 3" xfId="23328" xr:uid="{C23A8860-54CB-42D0-9D0F-73502FE71558}"/>
    <cellStyle name="Normal 5 2 2 5 5 4" xfId="10673" xr:uid="{7214F763-1BA5-4932-BB8D-C9A1AF6447CF}"/>
    <cellStyle name="Normal 5 2 2 5 5 5" xfId="19111" xr:uid="{D30AEE8E-07A8-4F7C-8435-7AA22917DD0F}"/>
    <cellStyle name="Normal 5 2 2 5 6" xfId="2578" xr:uid="{00000000-0005-0000-0000-00001F180000}"/>
    <cellStyle name="Normal 5 2 2 5 6 2" xfId="6862" xr:uid="{00000000-0005-0000-0000-000020180000}"/>
    <cellStyle name="Normal 5 2 2 5 6 2 2" xfId="15304" xr:uid="{74F37611-0AEB-4DB0-B24C-2351B87EA8B7}"/>
    <cellStyle name="Normal 5 2 2 5 6 2 3" xfId="23741" xr:uid="{D7500536-36A0-4702-BB27-9B6E71CD104A}"/>
    <cellStyle name="Normal 5 2 2 5 6 3" xfId="11086" xr:uid="{327FCA88-C720-4E88-9DB9-E618563F0321}"/>
    <cellStyle name="Normal 5 2 2 5 6 4" xfId="19524" xr:uid="{825DD120-E91D-43B8-8FFA-B616892C01B9}"/>
    <cellStyle name="Normal 5 2 2 5 7" xfId="4797" xr:uid="{00000000-0005-0000-0000-000021180000}"/>
    <cellStyle name="Normal 5 2 2 5 7 2" xfId="13239" xr:uid="{B7ACC98E-8BDD-4765-A2CE-5D95129DDA71}"/>
    <cellStyle name="Normal 5 2 2 5 7 3" xfId="21676" xr:uid="{E501AFBE-8D1A-49F3-8FE3-0FC7E4D4B547}"/>
    <cellStyle name="Normal 5 2 2 5 8" xfId="9021" xr:uid="{04B74DCE-10CB-464B-AE53-7D3CF6A0F6FE}"/>
    <cellStyle name="Normal 5 2 2 5 9" xfId="17459" xr:uid="{F1F1F2D0-8490-4E44-A601-93FA55D489BA}"/>
    <cellStyle name="Normal 5 2 2 6" xfId="882" xr:uid="{00000000-0005-0000-0000-000022180000}"/>
    <cellStyle name="Normal 5 2 2 6 2" xfId="3117" xr:uid="{00000000-0005-0000-0000-000023180000}"/>
    <cellStyle name="Normal 5 2 2 6 2 2" xfId="7340" xr:uid="{00000000-0005-0000-0000-000024180000}"/>
    <cellStyle name="Normal 5 2 2 6 2 2 2" xfId="15782" xr:uid="{66D5FAAF-5953-4369-B22C-28759E67B05B}"/>
    <cellStyle name="Normal 5 2 2 6 2 2 3" xfId="24219" xr:uid="{1F8C1510-E75E-495A-A99D-B4DC487E0B66}"/>
    <cellStyle name="Normal 5 2 2 6 2 3" xfId="11564" xr:uid="{752EBD5D-B5F2-4EE7-BD60-6CFE9F06D82D}"/>
    <cellStyle name="Normal 5 2 2 6 2 4" xfId="20002" xr:uid="{2DA96654-4571-4E42-AD82-7157BD34AFB4}"/>
    <cellStyle name="Normal 5 2 2 6 3" xfId="5195" xr:uid="{00000000-0005-0000-0000-000025180000}"/>
    <cellStyle name="Normal 5 2 2 6 3 2" xfId="13637" xr:uid="{591CF69E-B85A-49BC-935F-8591A1D5FA74}"/>
    <cellStyle name="Normal 5 2 2 6 3 3" xfId="22074" xr:uid="{48EE6782-7D26-476F-A1EF-248541849446}"/>
    <cellStyle name="Normal 5 2 2 6 4" xfId="9419" xr:uid="{33C7AEC5-78B2-4272-BABC-9E4ED680E4A8}"/>
    <cellStyle name="Normal 5 2 2 6 5" xfId="17857" xr:uid="{FAB74D63-C134-4933-B788-AA235304F861}"/>
    <cellStyle name="Normal 5 2 2 7" xfId="1300" xr:uid="{00000000-0005-0000-0000-000026180000}"/>
    <cellStyle name="Normal 5 2 2 7 2" xfId="3530" xr:uid="{00000000-0005-0000-0000-000027180000}"/>
    <cellStyle name="Normal 5 2 2 7 2 2" xfId="7753" xr:uid="{00000000-0005-0000-0000-000028180000}"/>
    <cellStyle name="Normal 5 2 2 7 2 2 2" xfId="16195" xr:uid="{2AD699B1-A897-4E1B-B271-992E232B0DA8}"/>
    <cellStyle name="Normal 5 2 2 7 2 2 3" xfId="24632" xr:uid="{E0A9EA51-F1E2-486D-9540-1E58A19A4E0F}"/>
    <cellStyle name="Normal 5 2 2 7 2 3" xfId="11977" xr:uid="{173D6D6B-F4D4-4E2F-9A54-A20251135AA7}"/>
    <cellStyle name="Normal 5 2 2 7 2 4" xfId="20415" xr:uid="{E7D698F0-5412-4A40-8FD2-8F577EDBA378}"/>
    <cellStyle name="Normal 5 2 2 7 3" xfId="5608" xr:uid="{00000000-0005-0000-0000-000029180000}"/>
    <cellStyle name="Normal 5 2 2 7 3 2" xfId="14050" xr:uid="{09F99123-4C14-4B58-8772-6AB74F72DC9E}"/>
    <cellStyle name="Normal 5 2 2 7 3 3" xfId="22487" xr:uid="{98889A7C-9A8D-45F6-83F7-4485260694E1}"/>
    <cellStyle name="Normal 5 2 2 7 4" xfId="9832" xr:uid="{905F76FE-E278-44F1-B30B-4FD59363BC5D}"/>
    <cellStyle name="Normal 5 2 2 7 5" xfId="18270" xr:uid="{1649B0D4-265C-4A1A-A222-4EC53E097956}"/>
    <cellStyle name="Normal 5 2 2 8" xfId="1713" xr:uid="{00000000-0005-0000-0000-00002A180000}"/>
    <cellStyle name="Normal 5 2 2 8 2" xfId="3943" xr:uid="{00000000-0005-0000-0000-00002B180000}"/>
    <cellStyle name="Normal 5 2 2 8 2 2" xfId="8166" xr:uid="{00000000-0005-0000-0000-00002C180000}"/>
    <cellStyle name="Normal 5 2 2 8 2 2 2" xfId="16608" xr:uid="{ACB69B79-DBE0-49D9-99FD-C4F6809D120A}"/>
    <cellStyle name="Normal 5 2 2 8 2 2 3" xfId="25045" xr:uid="{FF1C83E6-C7D4-4032-88F0-F1760048591F}"/>
    <cellStyle name="Normal 5 2 2 8 2 3" xfId="12390" xr:uid="{7D814656-04E7-4960-A971-B3792D7B2373}"/>
    <cellStyle name="Normal 5 2 2 8 2 4" xfId="20828" xr:uid="{6FD22B94-3AB8-4240-AFC1-CD5140C8D57C}"/>
    <cellStyle name="Normal 5 2 2 8 3" xfId="6021" xr:uid="{00000000-0005-0000-0000-00002D180000}"/>
    <cellStyle name="Normal 5 2 2 8 3 2" xfId="14463" xr:uid="{AC41CDA8-01B7-4D41-BFD1-2AB680C8461C}"/>
    <cellStyle name="Normal 5 2 2 8 3 3" xfId="22900" xr:uid="{87743459-D6D9-43E1-8621-57D33DBB6F54}"/>
    <cellStyle name="Normal 5 2 2 8 4" xfId="10245" xr:uid="{699E9D5C-33AA-4940-AD8C-D1EB003552CD}"/>
    <cellStyle name="Normal 5 2 2 8 5" xfId="18683" xr:uid="{9D7437FF-FB85-42AD-89DB-84CC02791F41}"/>
    <cellStyle name="Normal 5 2 2 9" xfId="2127" xr:uid="{00000000-0005-0000-0000-00002E180000}"/>
    <cellStyle name="Normal 5 2 2 9 2" xfId="4356" xr:uid="{00000000-0005-0000-0000-00002F180000}"/>
    <cellStyle name="Normal 5 2 2 9 2 2" xfId="8579" xr:uid="{00000000-0005-0000-0000-000030180000}"/>
    <cellStyle name="Normal 5 2 2 9 2 2 2" xfId="17021" xr:uid="{35BAEEDD-2A25-4E0E-88FA-9289D2DAA2CE}"/>
    <cellStyle name="Normal 5 2 2 9 2 2 3" xfId="25458" xr:uid="{F86FCF38-5666-4049-8E9A-4A6D448357B8}"/>
    <cellStyle name="Normal 5 2 2 9 2 3" xfId="12803" xr:uid="{050205FA-B98D-4297-9CC5-19A32548EDE1}"/>
    <cellStyle name="Normal 5 2 2 9 2 4" xfId="21241" xr:uid="{9186EE1F-126C-458C-9633-376A98B9D314}"/>
    <cellStyle name="Normal 5 2 2 9 3" xfId="6434" xr:uid="{00000000-0005-0000-0000-000031180000}"/>
    <cellStyle name="Normal 5 2 2 9 3 2" xfId="14876" xr:uid="{DC75D493-0A49-4CCE-B540-45741BF7C07A}"/>
    <cellStyle name="Normal 5 2 2 9 3 3" xfId="23313" xr:uid="{8467839B-EE29-472E-9942-3B46DD0A5E08}"/>
    <cellStyle name="Normal 5 2 2 9 4" xfId="10658" xr:uid="{8EE98C6F-8A38-4C67-91CE-3B1863286CB9}"/>
    <cellStyle name="Normal 5 2 2 9 5" xfId="19096" xr:uid="{3F53DED7-2A96-47A7-93D8-73C864E6B478}"/>
    <cellStyle name="Normal 5 2 3" xfId="424" xr:uid="{00000000-0005-0000-0000-000032180000}"/>
    <cellStyle name="Normal 5 2 3 10" xfId="4798" xr:uid="{00000000-0005-0000-0000-000033180000}"/>
    <cellStyle name="Normal 5 2 3 10 2" xfId="13240" xr:uid="{57F41215-AB32-40B5-B3C7-EE0F65E516C1}"/>
    <cellStyle name="Normal 5 2 3 10 3" xfId="21677" xr:uid="{93110FDC-6AF9-40BD-968E-74003AB15A39}"/>
    <cellStyle name="Normal 5 2 3 11" xfId="9022" xr:uid="{9C705E89-6F95-486D-B8CA-6AF71E3F24FC}"/>
    <cellStyle name="Normal 5 2 3 12" xfId="17460" xr:uid="{6C41599F-7C93-4229-AA8C-F61CCBFEFA4D}"/>
    <cellStyle name="Normal 5 2 3 2" xfId="425" xr:uid="{00000000-0005-0000-0000-000034180000}"/>
    <cellStyle name="Normal 5 2 3 2 10" xfId="9023" xr:uid="{39B2B2D9-6ADA-4872-B0C6-2694FC0A76ED}"/>
    <cellStyle name="Normal 5 2 3 2 11" xfId="17461" xr:uid="{893E92C8-F691-440C-A23F-D6E6FC2D53DD}"/>
    <cellStyle name="Normal 5 2 3 2 2" xfId="426" xr:uid="{00000000-0005-0000-0000-000035180000}"/>
    <cellStyle name="Normal 5 2 3 2 2 10" xfId="17462" xr:uid="{55B4CCA2-78DA-4519-B48C-73C5E84E4F26}"/>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2 2 2" xfId="15801" xr:uid="{B8DB76C7-5F0C-41CB-B2AB-E32B6AD79635}"/>
    <cellStyle name="Normal 5 2 3 2 2 2 2 2 2 3" xfId="24238" xr:uid="{8D7A9064-BBC8-457A-BAC6-BDB38290239F}"/>
    <cellStyle name="Normal 5 2 3 2 2 2 2 2 3" xfId="11583" xr:uid="{10388208-FE01-4C83-8734-08A249CBFBC6}"/>
    <cellStyle name="Normal 5 2 3 2 2 2 2 2 4" xfId="20021" xr:uid="{D1AE8C98-7EA8-4A5E-AD46-E95B7D4F4141}"/>
    <cellStyle name="Normal 5 2 3 2 2 2 2 3" xfId="5214" xr:uid="{00000000-0005-0000-0000-00003A180000}"/>
    <cellStyle name="Normal 5 2 3 2 2 2 2 3 2" xfId="13656" xr:uid="{8A3759E2-1887-4655-B87E-1113BB474CEE}"/>
    <cellStyle name="Normal 5 2 3 2 2 2 2 3 3" xfId="22093" xr:uid="{D58C5B70-4AE8-406A-BF32-C5D2B21DC33C}"/>
    <cellStyle name="Normal 5 2 3 2 2 2 2 4" xfId="9438" xr:uid="{A9BFBC96-9D22-4096-9016-FCEA08CE985B}"/>
    <cellStyle name="Normal 5 2 3 2 2 2 2 5" xfId="17876" xr:uid="{28202709-A52B-4184-A8C7-4C575A7BC3CE}"/>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2 2 2" xfId="16214" xr:uid="{05B20CEE-FF81-4A6E-990A-EEAC75B28DA2}"/>
    <cellStyle name="Normal 5 2 3 2 2 2 3 2 2 3" xfId="24651" xr:uid="{0BF7D074-864D-4B87-AE34-C6CDB71CAB3A}"/>
    <cellStyle name="Normal 5 2 3 2 2 2 3 2 3" xfId="11996" xr:uid="{B7C353E3-24E9-469C-B1B3-F1535048DACF}"/>
    <cellStyle name="Normal 5 2 3 2 2 2 3 2 4" xfId="20434" xr:uid="{EC20A947-8070-47AA-9275-8EA5E3239261}"/>
    <cellStyle name="Normal 5 2 3 2 2 2 3 3" xfId="5627" xr:uid="{00000000-0005-0000-0000-00003E180000}"/>
    <cellStyle name="Normal 5 2 3 2 2 2 3 3 2" xfId="14069" xr:uid="{D03B87E8-8E41-445C-8229-7FCD395A9CBC}"/>
    <cellStyle name="Normal 5 2 3 2 2 2 3 3 3" xfId="22506" xr:uid="{665FE4CA-1731-417C-9BF5-45B42E053F5A}"/>
    <cellStyle name="Normal 5 2 3 2 2 2 3 4" xfId="9851" xr:uid="{B2CE2A8C-C4E4-4310-9A14-83D71D02FAFC}"/>
    <cellStyle name="Normal 5 2 3 2 2 2 3 5" xfId="18289" xr:uid="{7D4D8672-FDF7-4B64-9D52-8507AEE0D146}"/>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2 2 2" xfId="16627" xr:uid="{7CE30B82-7289-48B2-9390-232B11A7F5BB}"/>
    <cellStyle name="Normal 5 2 3 2 2 2 4 2 2 3" xfId="25064" xr:uid="{CD0F5B35-30F4-4DEA-A3EE-F7285B13CAE8}"/>
    <cellStyle name="Normal 5 2 3 2 2 2 4 2 3" xfId="12409" xr:uid="{F5128623-A646-47EE-A03D-85DAF27430BC}"/>
    <cellStyle name="Normal 5 2 3 2 2 2 4 2 4" xfId="20847" xr:uid="{93DA414C-CA6B-4172-B398-FAF583901646}"/>
    <cellStyle name="Normal 5 2 3 2 2 2 4 3" xfId="6040" xr:uid="{00000000-0005-0000-0000-000042180000}"/>
    <cellStyle name="Normal 5 2 3 2 2 2 4 3 2" xfId="14482" xr:uid="{33B42060-0306-4D7E-A14D-6CC7563FF790}"/>
    <cellStyle name="Normal 5 2 3 2 2 2 4 3 3" xfId="22919" xr:uid="{9038414B-1490-49DF-96EC-101FABE0ADA8}"/>
    <cellStyle name="Normal 5 2 3 2 2 2 4 4" xfId="10264" xr:uid="{7DC07924-05C3-4637-BF48-86CFD5934636}"/>
    <cellStyle name="Normal 5 2 3 2 2 2 4 5" xfId="18702" xr:uid="{240B6E07-402F-4495-85DD-8A8D9CB9FCFE}"/>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2 2 2" xfId="17040" xr:uid="{31B660DF-C3FD-4E50-B26B-17D4D77181A9}"/>
    <cellStyle name="Normal 5 2 3 2 2 2 5 2 2 3" xfId="25477" xr:uid="{C059137E-C3FB-49A2-B8BD-766BBC21ACD8}"/>
    <cellStyle name="Normal 5 2 3 2 2 2 5 2 3" xfId="12822" xr:uid="{EBC3C144-4819-4BE4-BBC5-EBDECB083AFB}"/>
    <cellStyle name="Normal 5 2 3 2 2 2 5 2 4" xfId="21260" xr:uid="{BA46F622-32BC-4109-B484-601341095146}"/>
    <cellStyle name="Normal 5 2 3 2 2 2 5 3" xfId="6453" xr:uid="{00000000-0005-0000-0000-000046180000}"/>
    <cellStyle name="Normal 5 2 3 2 2 2 5 3 2" xfId="14895" xr:uid="{B9874CD9-A86E-400C-AF29-55BC5F118FEF}"/>
    <cellStyle name="Normal 5 2 3 2 2 2 5 3 3" xfId="23332" xr:uid="{D68A852A-1E0F-465D-AD9A-24DAE4C727AA}"/>
    <cellStyle name="Normal 5 2 3 2 2 2 5 4" xfId="10677" xr:uid="{5758AA1D-911E-4DC4-9886-21E19FF730B0}"/>
    <cellStyle name="Normal 5 2 3 2 2 2 5 5" xfId="19115" xr:uid="{4FC98E67-E31B-4C47-95BC-01A4D7C9A5E1}"/>
    <cellStyle name="Normal 5 2 3 2 2 2 6" xfId="2582" xr:uid="{00000000-0005-0000-0000-000047180000}"/>
    <cellStyle name="Normal 5 2 3 2 2 2 6 2" xfId="6866" xr:uid="{00000000-0005-0000-0000-000048180000}"/>
    <cellStyle name="Normal 5 2 3 2 2 2 6 2 2" xfId="15308" xr:uid="{1CDCE26A-7E7D-4494-A96B-79D41EEEA16E}"/>
    <cellStyle name="Normal 5 2 3 2 2 2 6 2 3" xfId="23745" xr:uid="{CFB15BCF-EB71-4F75-BCC6-1DF6493D86A7}"/>
    <cellStyle name="Normal 5 2 3 2 2 2 6 3" xfId="11090" xr:uid="{2D80D0D4-C524-40C3-A4CB-A54A7B606B41}"/>
    <cellStyle name="Normal 5 2 3 2 2 2 6 4" xfId="19528" xr:uid="{86FCDC0B-0D1B-43EE-AEA3-696F1E8C81EC}"/>
    <cellStyle name="Normal 5 2 3 2 2 2 7" xfId="4801" xr:uid="{00000000-0005-0000-0000-000049180000}"/>
    <cellStyle name="Normal 5 2 3 2 2 2 7 2" xfId="13243" xr:uid="{C35883D7-2AB3-4C45-93FD-56CF68CCE8D9}"/>
    <cellStyle name="Normal 5 2 3 2 2 2 7 3" xfId="21680" xr:uid="{18B0A833-05EE-47EA-B557-949A2C9B83EE}"/>
    <cellStyle name="Normal 5 2 3 2 2 2 8" xfId="9025" xr:uid="{5F7C3BD9-EF82-458F-AD00-9B9F32AC7DAF}"/>
    <cellStyle name="Normal 5 2 3 2 2 2 9" xfId="17463" xr:uid="{F24CFA55-8B66-4B99-885B-EC0511DAA533}"/>
    <cellStyle name="Normal 5 2 3 2 2 3" xfId="900" xr:uid="{00000000-0005-0000-0000-00004A180000}"/>
    <cellStyle name="Normal 5 2 3 2 2 3 2" xfId="3135" xr:uid="{00000000-0005-0000-0000-00004B180000}"/>
    <cellStyle name="Normal 5 2 3 2 2 3 2 2" xfId="7358" xr:uid="{00000000-0005-0000-0000-00004C180000}"/>
    <cellStyle name="Normal 5 2 3 2 2 3 2 2 2" xfId="15800" xr:uid="{77CB50C9-2245-48A8-8A72-191C42E0A1BD}"/>
    <cellStyle name="Normal 5 2 3 2 2 3 2 2 3" xfId="24237" xr:uid="{C060406E-7219-4897-903B-DE9EFC7ADCE2}"/>
    <cellStyle name="Normal 5 2 3 2 2 3 2 3" xfId="11582" xr:uid="{E3D5215F-ADB9-42A9-916A-78655E9028BE}"/>
    <cellStyle name="Normal 5 2 3 2 2 3 2 4" xfId="20020" xr:uid="{FEDF4221-9651-4B05-9E8C-2D93C00F4BF9}"/>
    <cellStyle name="Normal 5 2 3 2 2 3 3" xfId="5213" xr:uid="{00000000-0005-0000-0000-00004D180000}"/>
    <cellStyle name="Normal 5 2 3 2 2 3 3 2" xfId="13655" xr:uid="{16D18ADA-3773-41FD-B16A-F27CA9E3A417}"/>
    <cellStyle name="Normal 5 2 3 2 2 3 3 3" xfId="22092" xr:uid="{BC510E0C-819A-4B4A-A8E6-7D338ED5F23E}"/>
    <cellStyle name="Normal 5 2 3 2 2 3 4" xfId="9437" xr:uid="{752629AA-A723-473D-8845-8931255C6D62}"/>
    <cellStyle name="Normal 5 2 3 2 2 3 5" xfId="17875" xr:uid="{837D8F9B-9EB7-4E64-8198-47FF1BCB7A93}"/>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2 2 2" xfId="16213" xr:uid="{BDA71977-A3EA-4619-B14E-55F2F54FAB09}"/>
    <cellStyle name="Normal 5 2 3 2 2 4 2 2 3" xfId="24650" xr:uid="{9BDC09D0-222A-47EA-A77C-4A7742110934}"/>
    <cellStyle name="Normal 5 2 3 2 2 4 2 3" xfId="11995" xr:uid="{6A95BD8C-5E0D-490C-A6EA-707452233C53}"/>
    <cellStyle name="Normal 5 2 3 2 2 4 2 4" xfId="20433" xr:uid="{745DB996-825A-4AE0-8463-B576F7EF3F98}"/>
    <cellStyle name="Normal 5 2 3 2 2 4 3" xfId="5626" xr:uid="{00000000-0005-0000-0000-000051180000}"/>
    <cellStyle name="Normal 5 2 3 2 2 4 3 2" xfId="14068" xr:uid="{542582FA-C5D5-42C6-8CFD-6D59623C9040}"/>
    <cellStyle name="Normal 5 2 3 2 2 4 3 3" xfId="22505" xr:uid="{3A4F1584-9069-42B8-8264-B36C6F66EAA9}"/>
    <cellStyle name="Normal 5 2 3 2 2 4 4" xfId="9850" xr:uid="{F628A7E5-1DCA-4F25-8628-E2804F305DD4}"/>
    <cellStyle name="Normal 5 2 3 2 2 4 5" xfId="18288" xr:uid="{B6E68A6B-984D-4B42-A9EF-06E037D7C92E}"/>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2 2 2" xfId="16626" xr:uid="{92FAA49D-E83D-4D9B-B35B-7D6BCD75FB93}"/>
    <cellStyle name="Normal 5 2 3 2 2 5 2 2 3" xfId="25063" xr:uid="{A082E3E5-B99F-4091-A4A0-C984FF25B8F9}"/>
    <cellStyle name="Normal 5 2 3 2 2 5 2 3" xfId="12408" xr:uid="{C031B008-50DE-497F-AD4E-7129E43943E8}"/>
    <cellStyle name="Normal 5 2 3 2 2 5 2 4" xfId="20846" xr:uid="{FC1C713D-3B7F-42BA-A230-B57372DCBFB4}"/>
    <cellStyle name="Normal 5 2 3 2 2 5 3" xfId="6039" xr:uid="{00000000-0005-0000-0000-000055180000}"/>
    <cellStyle name="Normal 5 2 3 2 2 5 3 2" xfId="14481" xr:uid="{6906254C-EBF2-4AE8-9C01-03031000AADE}"/>
    <cellStyle name="Normal 5 2 3 2 2 5 3 3" xfId="22918" xr:uid="{7CD3068C-4A64-4156-8D64-73BD8C753603}"/>
    <cellStyle name="Normal 5 2 3 2 2 5 4" xfId="10263" xr:uid="{C31B6999-43ED-4B81-ADCC-621B1C41E426}"/>
    <cellStyle name="Normal 5 2 3 2 2 5 5" xfId="18701" xr:uid="{3B8C62FC-C140-4DC4-A8C6-27572A8BD05C}"/>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2 2 2" xfId="17039" xr:uid="{3767DF41-13FC-4F63-9A76-83853BA0B927}"/>
    <cellStyle name="Normal 5 2 3 2 2 6 2 2 3" xfId="25476" xr:uid="{AC986A09-B79F-4DEF-9377-ADB62D5BB2D3}"/>
    <cellStyle name="Normal 5 2 3 2 2 6 2 3" xfId="12821" xr:uid="{7B8D47A6-B8BD-41FA-98E8-4FEEAE4E9AF0}"/>
    <cellStyle name="Normal 5 2 3 2 2 6 2 4" xfId="21259" xr:uid="{293049EF-11EE-412C-BE00-3C69B8A56A7D}"/>
    <cellStyle name="Normal 5 2 3 2 2 6 3" xfId="6452" xr:uid="{00000000-0005-0000-0000-000059180000}"/>
    <cellStyle name="Normal 5 2 3 2 2 6 3 2" xfId="14894" xr:uid="{824B2F71-DA2E-467B-B557-D369130794D8}"/>
    <cellStyle name="Normal 5 2 3 2 2 6 3 3" xfId="23331" xr:uid="{2FB0DD17-92E6-4C35-A21A-315B38E3804B}"/>
    <cellStyle name="Normal 5 2 3 2 2 6 4" xfId="10676" xr:uid="{569DBAD4-B909-4064-9633-8AC0052E1507}"/>
    <cellStyle name="Normal 5 2 3 2 2 6 5" xfId="19114" xr:uid="{2040BFE0-3D6D-4319-A6B9-1AE863CF2ADF}"/>
    <cellStyle name="Normal 5 2 3 2 2 7" xfId="2581" xr:uid="{00000000-0005-0000-0000-00005A180000}"/>
    <cellStyle name="Normal 5 2 3 2 2 7 2" xfId="6865" xr:uid="{00000000-0005-0000-0000-00005B180000}"/>
    <cellStyle name="Normal 5 2 3 2 2 7 2 2" xfId="15307" xr:uid="{94546949-6D7B-4926-965E-64EE2ACDA77F}"/>
    <cellStyle name="Normal 5 2 3 2 2 7 2 3" xfId="23744" xr:uid="{3BD13993-531A-444B-84C5-1FA5B1AF4A12}"/>
    <cellStyle name="Normal 5 2 3 2 2 7 3" xfId="11089" xr:uid="{3EDC5727-EA83-4360-8E00-AA2A108DC203}"/>
    <cellStyle name="Normal 5 2 3 2 2 7 4" xfId="19527" xr:uid="{44F70694-2ED8-4526-A141-410A879A7B0E}"/>
    <cellStyle name="Normal 5 2 3 2 2 8" xfId="4800" xr:uid="{00000000-0005-0000-0000-00005C180000}"/>
    <cellStyle name="Normal 5 2 3 2 2 8 2" xfId="13242" xr:uid="{886BB945-2367-4810-8CAD-CE8D8DA72C34}"/>
    <cellStyle name="Normal 5 2 3 2 2 8 3" xfId="21679" xr:uid="{368149B3-6DC4-4816-9460-D3590F26B75A}"/>
    <cellStyle name="Normal 5 2 3 2 2 9" xfId="9024" xr:uid="{CFEB1AC0-FC15-42FE-B850-1945A89E7AD8}"/>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2 2 2" xfId="15802" xr:uid="{90316F23-395D-46D9-90A8-BFA9AE26DD75}"/>
    <cellStyle name="Normal 5 2 3 2 3 2 2 2 3" xfId="24239" xr:uid="{988A03CD-E134-4013-B203-249272759E4A}"/>
    <cellStyle name="Normal 5 2 3 2 3 2 2 3" xfId="11584" xr:uid="{739AC4B7-22DD-44C5-81F8-D6AC5C2A4785}"/>
    <cellStyle name="Normal 5 2 3 2 3 2 2 4" xfId="20022" xr:uid="{C88BEA74-D228-4F22-9175-32F6181F1C80}"/>
    <cellStyle name="Normal 5 2 3 2 3 2 3" xfId="5215" xr:uid="{00000000-0005-0000-0000-000061180000}"/>
    <cellStyle name="Normal 5 2 3 2 3 2 3 2" xfId="13657" xr:uid="{5F0FD37C-BFEE-4C2E-9A57-2C98C2BCC786}"/>
    <cellStyle name="Normal 5 2 3 2 3 2 3 3" xfId="22094" xr:uid="{568EAA53-3045-4B0E-8480-EDE0F9666821}"/>
    <cellStyle name="Normal 5 2 3 2 3 2 4" xfId="9439" xr:uid="{D677936A-AD57-4018-BB25-8814EC2D9499}"/>
    <cellStyle name="Normal 5 2 3 2 3 2 5" xfId="17877" xr:uid="{5625E79E-D2DB-47AF-8BA9-2565944257B8}"/>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2 2 2" xfId="16215" xr:uid="{A370B20F-1F4D-4F00-B251-8D4310DEF7D6}"/>
    <cellStyle name="Normal 5 2 3 2 3 3 2 2 3" xfId="24652" xr:uid="{A3F0B1AD-D7E9-44D2-A5E6-CCDBDE5A2531}"/>
    <cellStyle name="Normal 5 2 3 2 3 3 2 3" xfId="11997" xr:uid="{958AFC90-ED03-44F7-816D-1B0C95C8D4EB}"/>
    <cellStyle name="Normal 5 2 3 2 3 3 2 4" xfId="20435" xr:uid="{B7EC17B9-D947-4902-86DF-70A5E06ACCC6}"/>
    <cellStyle name="Normal 5 2 3 2 3 3 3" xfId="5628" xr:uid="{00000000-0005-0000-0000-000065180000}"/>
    <cellStyle name="Normal 5 2 3 2 3 3 3 2" xfId="14070" xr:uid="{0BE24EC6-E265-4008-A212-CFBD926962AC}"/>
    <cellStyle name="Normal 5 2 3 2 3 3 3 3" xfId="22507" xr:uid="{113CA8CF-2B1B-4F0A-A617-9479C3FEDFBD}"/>
    <cellStyle name="Normal 5 2 3 2 3 3 4" xfId="9852" xr:uid="{D12A26CF-D4A4-4FFE-B545-1B247C0F3824}"/>
    <cellStyle name="Normal 5 2 3 2 3 3 5" xfId="18290" xr:uid="{D30B7DCB-575F-46E3-8FC9-BF798576BEAC}"/>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2 2 2" xfId="16628" xr:uid="{3B3C6B0F-CE7D-4CC9-A475-DF007A0DFA2A}"/>
    <cellStyle name="Normal 5 2 3 2 3 4 2 2 3" xfId="25065" xr:uid="{C7FE12D9-9322-4E83-924B-9125CDF22C06}"/>
    <cellStyle name="Normal 5 2 3 2 3 4 2 3" xfId="12410" xr:uid="{6E4FC0FD-B1BC-4B23-B92D-75D22479D4AA}"/>
    <cellStyle name="Normal 5 2 3 2 3 4 2 4" xfId="20848" xr:uid="{A348EB02-9480-4F30-B15F-9539FD836578}"/>
    <cellStyle name="Normal 5 2 3 2 3 4 3" xfId="6041" xr:uid="{00000000-0005-0000-0000-000069180000}"/>
    <cellStyle name="Normal 5 2 3 2 3 4 3 2" xfId="14483" xr:uid="{565CDE9D-DB14-4C8D-B336-194ADEA0B552}"/>
    <cellStyle name="Normal 5 2 3 2 3 4 3 3" xfId="22920" xr:uid="{6C7A6E5F-C038-471D-951E-DC60AE809819}"/>
    <cellStyle name="Normal 5 2 3 2 3 4 4" xfId="10265" xr:uid="{1A88DDA3-B197-4C29-9197-04FC34DCB56D}"/>
    <cellStyle name="Normal 5 2 3 2 3 4 5" xfId="18703" xr:uid="{6731DE20-89D4-4557-9F6F-B10F31E552EB}"/>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2 2 2" xfId="17041" xr:uid="{4EDE6D98-4C85-4100-8D82-FD116F3AE57D}"/>
    <cellStyle name="Normal 5 2 3 2 3 5 2 2 3" xfId="25478" xr:uid="{2BF251FF-99E6-4792-A871-17EFDA04D37E}"/>
    <cellStyle name="Normal 5 2 3 2 3 5 2 3" xfId="12823" xr:uid="{845DDB8E-B3EC-4F2A-A1AC-8C227CDB859D}"/>
    <cellStyle name="Normal 5 2 3 2 3 5 2 4" xfId="21261" xr:uid="{9360310A-09F7-4B04-8E73-5EA9C02AB934}"/>
    <cellStyle name="Normal 5 2 3 2 3 5 3" xfId="6454" xr:uid="{00000000-0005-0000-0000-00006D180000}"/>
    <cellStyle name="Normal 5 2 3 2 3 5 3 2" xfId="14896" xr:uid="{90EE3F6A-6800-4E9A-BCD5-6B7BE720CEE8}"/>
    <cellStyle name="Normal 5 2 3 2 3 5 3 3" xfId="23333" xr:uid="{5EA56284-68D5-416D-977F-B58653F7F3F0}"/>
    <cellStyle name="Normal 5 2 3 2 3 5 4" xfId="10678" xr:uid="{375CE12B-4A73-4037-9688-F44965599E6B}"/>
    <cellStyle name="Normal 5 2 3 2 3 5 5" xfId="19116" xr:uid="{F3060967-2A3E-48F1-9B42-99478D9747C3}"/>
    <cellStyle name="Normal 5 2 3 2 3 6" xfId="2583" xr:uid="{00000000-0005-0000-0000-00006E180000}"/>
    <cellStyle name="Normal 5 2 3 2 3 6 2" xfId="6867" xr:uid="{00000000-0005-0000-0000-00006F180000}"/>
    <cellStyle name="Normal 5 2 3 2 3 6 2 2" xfId="15309" xr:uid="{4F8BD78C-CB7B-432B-AEC8-722B5B7E48B2}"/>
    <cellStyle name="Normal 5 2 3 2 3 6 2 3" xfId="23746" xr:uid="{61E58FD4-3812-4755-A9B8-72ACAAAF84E7}"/>
    <cellStyle name="Normal 5 2 3 2 3 6 3" xfId="11091" xr:uid="{230479C2-9A5B-47A3-961E-B27ACC4D5C6A}"/>
    <cellStyle name="Normal 5 2 3 2 3 6 4" xfId="19529" xr:uid="{FB214E70-8A18-499F-AE6B-53401B3DD84E}"/>
    <cellStyle name="Normal 5 2 3 2 3 7" xfId="4802" xr:uid="{00000000-0005-0000-0000-000070180000}"/>
    <cellStyle name="Normal 5 2 3 2 3 7 2" xfId="13244" xr:uid="{692EA11F-9984-47EC-B2C6-2815C081C0E7}"/>
    <cellStyle name="Normal 5 2 3 2 3 7 3" xfId="21681" xr:uid="{AF094C54-BE54-40AE-9889-6F6D43261C24}"/>
    <cellStyle name="Normal 5 2 3 2 3 8" xfId="9026" xr:uid="{2FFF7CCF-3D1D-45B0-B551-5F1CE1AE3830}"/>
    <cellStyle name="Normal 5 2 3 2 3 9" xfId="17464" xr:uid="{1A31A0CB-B457-4E0B-85F7-6CBC14E4F6EB}"/>
    <cellStyle name="Normal 5 2 3 2 4" xfId="899" xr:uid="{00000000-0005-0000-0000-000071180000}"/>
    <cellStyle name="Normal 5 2 3 2 4 2" xfId="3134" xr:uid="{00000000-0005-0000-0000-000072180000}"/>
    <cellStyle name="Normal 5 2 3 2 4 2 2" xfId="7357" xr:uid="{00000000-0005-0000-0000-000073180000}"/>
    <cellStyle name="Normal 5 2 3 2 4 2 2 2" xfId="15799" xr:uid="{33300E1C-9021-442D-BE94-6D2CB21D7A88}"/>
    <cellStyle name="Normal 5 2 3 2 4 2 2 3" xfId="24236" xr:uid="{A11606B8-B7E7-426C-8182-5F29BEEE6B74}"/>
    <cellStyle name="Normal 5 2 3 2 4 2 3" xfId="11581" xr:uid="{73E664EA-7C51-4717-BAA5-BD874A3C4690}"/>
    <cellStyle name="Normal 5 2 3 2 4 2 4" xfId="20019" xr:uid="{0C11ADDA-635D-4DED-9C42-D366133E10E9}"/>
    <cellStyle name="Normal 5 2 3 2 4 3" xfId="5212" xr:uid="{00000000-0005-0000-0000-000074180000}"/>
    <cellStyle name="Normal 5 2 3 2 4 3 2" xfId="13654" xr:uid="{6065FAA5-90A4-49C1-BD2A-D73F523ADF39}"/>
    <cellStyle name="Normal 5 2 3 2 4 3 3" xfId="22091" xr:uid="{9077EB56-E669-404C-B18A-F533B82CE6F9}"/>
    <cellStyle name="Normal 5 2 3 2 4 4" xfId="9436" xr:uid="{65619FAF-6F58-49DB-A425-0A83690C237C}"/>
    <cellStyle name="Normal 5 2 3 2 4 5" xfId="17874" xr:uid="{E4F7F84D-8950-4BFF-9599-4514A101E375}"/>
    <cellStyle name="Normal 5 2 3 2 5" xfId="1317" xr:uid="{00000000-0005-0000-0000-000075180000}"/>
    <cellStyle name="Normal 5 2 3 2 5 2" xfId="3547" xr:uid="{00000000-0005-0000-0000-000076180000}"/>
    <cellStyle name="Normal 5 2 3 2 5 2 2" xfId="7770" xr:uid="{00000000-0005-0000-0000-000077180000}"/>
    <cellStyle name="Normal 5 2 3 2 5 2 2 2" xfId="16212" xr:uid="{C6DEC974-5FF9-4108-9750-D7B7AA847E7B}"/>
    <cellStyle name="Normal 5 2 3 2 5 2 2 3" xfId="24649" xr:uid="{B8DEA287-DC5D-4232-8A89-CB9A71F57921}"/>
    <cellStyle name="Normal 5 2 3 2 5 2 3" xfId="11994" xr:uid="{332D1D16-4489-48DC-97C0-87FBB12E1E8A}"/>
    <cellStyle name="Normal 5 2 3 2 5 2 4" xfId="20432" xr:uid="{30B3273E-A64D-408E-8B5B-2042506807DF}"/>
    <cellStyle name="Normal 5 2 3 2 5 3" xfId="5625" xr:uid="{00000000-0005-0000-0000-000078180000}"/>
    <cellStyle name="Normal 5 2 3 2 5 3 2" xfId="14067" xr:uid="{D500C7DF-5DCE-48D3-824F-9938D017FF68}"/>
    <cellStyle name="Normal 5 2 3 2 5 3 3" xfId="22504" xr:uid="{B3D7140E-1E00-4B74-A658-39A298E24DDC}"/>
    <cellStyle name="Normal 5 2 3 2 5 4" xfId="9849" xr:uid="{92689BA4-34F8-4278-B7AF-78B4E522EDCC}"/>
    <cellStyle name="Normal 5 2 3 2 5 5" xfId="18287" xr:uid="{A25CFE50-A3B5-406E-AA38-7FC9ECB7CC8B}"/>
    <cellStyle name="Normal 5 2 3 2 6" xfId="1730" xr:uid="{00000000-0005-0000-0000-000079180000}"/>
    <cellStyle name="Normal 5 2 3 2 6 2" xfId="3960" xr:uid="{00000000-0005-0000-0000-00007A180000}"/>
    <cellStyle name="Normal 5 2 3 2 6 2 2" xfId="8183" xr:uid="{00000000-0005-0000-0000-00007B180000}"/>
    <cellStyle name="Normal 5 2 3 2 6 2 2 2" xfId="16625" xr:uid="{A566107D-1B0E-4175-B918-9F35283021AE}"/>
    <cellStyle name="Normal 5 2 3 2 6 2 2 3" xfId="25062" xr:uid="{86E7E719-D7EE-4A1B-90C5-D14099793FD6}"/>
    <cellStyle name="Normal 5 2 3 2 6 2 3" xfId="12407" xr:uid="{E74E29BD-C053-4A8F-AE96-BF13102C5BB8}"/>
    <cellStyle name="Normal 5 2 3 2 6 2 4" xfId="20845" xr:uid="{11466497-1BA0-45CB-93D8-902CE3F9CF1B}"/>
    <cellStyle name="Normal 5 2 3 2 6 3" xfId="6038" xr:uid="{00000000-0005-0000-0000-00007C180000}"/>
    <cellStyle name="Normal 5 2 3 2 6 3 2" xfId="14480" xr:uid="{09446B3B-8508-4646-AC69-68346E441A8E}"/>
    <cellStyle name="Normal 5 2 3 2 6 3 3" xfId="22917" xr:uid="{313DA249-F6C7-41E7-B131-D1A1ADC16258}"/>
    <cellStyle name="Normal 5 2 3 2 6 4" xfId="10262" xr:uid="{D306EEF8-E64D-441A-924C-1F277EF3CD0D}"/>
    <cellStyle name="Normal 5 2 3 2 6 5" xfId="18700" xr:uid="{05A779F7-B353-4F74-A869-F1AD1BA1C78B}"/>
    <cellStyle name="Normal 5 2 3 2 7" xfId="2144" xr:uid="{00000000-0005-0000-0000-00007D180000}"/>
    <cellStyle name="Normal 5 2 3 2 7 2" xfId="4373" xr:uid="{00000000-0005-0000-0000-00007E180000}"/>
    <cellStyle name="Normal 5 2 3 2 7 2 2" xfId="8596" xr:uid="{00000000-0005-0000-0000-00007F180000}"/>
    <cellStyle name="Normal 5 2 3 2 7 2 2 2" xfId="17038" xr:uid="{2027FB3A-9190-4CA1-BB44-1D04CCD48085}"/>
    <cellStyle name="Normal 5 2 3 2 7 2 2 3" xfId="25475" xr:uid="{25596CE3-0C37-4E33-AD0A-65D8ECB7A8AB}"/>
    <cellStyle name="Normal 5 2 3 2 7 2 3" xfId="12820" xr:uid="{60ECB3C1-3946-4040-8284-981445872AA6}"/>
    <cellStyle name="Normal 5 2 3 2 7 2 4" xfId="21258" xr:uid="{073B7D0B-5B78-4C45-8086-FF673E7FD09C}"/>
    <cellStyle name="Normal 5 2 3 2 7 3" xfId="6451" xr:uid="{00000000-0005-0000-0000-000080180000}"/>
    <cellStyle name="Normal 5 2 3 2 7 3 2" xfId="14893" xr:uid="{1FAB27DF-3F09-40BC-86B4-2E7555B9A7F5}"/>
    <cellStyle name="Normal 5 2 3 2 7 3 3" xfId="23330" xr:uid="{0FB7BDE8-8F7B-4F06-9ECC-5BA6DCB4EF1D}"/>
    <cellStyle name="Normal 5 2 3 2 7 4" xfId="10675" xr:uid="{AFBC99E0-BB2C-4D50-8952-C0586D2493CC}"/>
    <cellStyle name="Normal 5 2 3 2 7 5" xfId="19113" xr:uid="{F0B99BEA-55A7-4428-956F-D46FBE4F068A}"/>
    <cellStyle name="Normal 5 2 3 2 8" xfId="2580" xr:uid="{00000000-0005-0000-0000-000081180000}"/>
    <cellStyle name="Normal 5 2 3 2 8 2" xfId="6864" xr:uid="{00000000-0005-0000-0000-000082180000}"/>
    <cellStyle name="Normal 5 2 3 2 8 2 2" xfId="15306" xr:uid="{75C681E3-D61E-431A-9D81-2B8458B89876}"/>
    <cellStyle name="Normal 5 2 3 2 8 2 3" xfId="23743" xr:uid="{B951F810-7D16-42A3-83A2-94CE56773CB2}"/>
    <cellStyle name="Normal 5 2 3 2 8 3" xfId="11088" xr:uid="{069615D1-9A65-4DBF-B344-08D077E36606}"/>
    <cellStyle name="Normal 5 2 3 2 8 4" xfId="19526" xr:uid="{DC17307D-0FE6-44EF-A768-81511F2889E2}"/>
    <cellStyle name="Normal 5 2 3 2 9" xfId="4799" xr:uid="{00000000-0005-0000-0000-000083180000}"/>
    <cellStyle name="Normal 5 2 3 2 9 2" xfId="13241" xr:uid="{222A206A-0B31-44AD-A240-D35FB9E2D82F}"/>
    <cellStyle name="Normal 5 2 3 2 9 3" xfId="21678" xr:uid="{12FCCF9D-FEAD-4A68-8946-6618911D71F1}"/>
    <cellStyle name="Normal 5 2 3 3" xfId="429" xr:uid="{00000000-0005-0000-0000-000084180000}"/>
    <cellStyle name="Normal 5 2 3 3 10" xfId="17465" xr:uid="{63D424D6-CCB5-4ABC-8AD4-F49E6A923731}"/>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2 2 2" xfId="15804" xr:uid="{B99A0179-B838-4E42-B4AF-707363670932}"/>
    <cellStyle name="Normal 5 2 3 3 2 2 2 2 3" xfId="24241" xr:uid="{D7824DA8-8C57-4E1F-ADCE-E54FC4DDCB1E}"/>
    <cellStyle name="Normal 5 2 3 3 2 2 2 3" xfId="11586" xr:uid="{37BB3EE2-F755-4E28-96BF-F768EA19CE48}"/>
    <cellStyle name="Normal 5 2 3 3 2 2 2 4" xfId="20024" xr:uid="{079C6C57-9AB0-4C8C-83D5-85E598ECB6E0}"/>
    <cellStyle name="Normal 5 2 3 3 2 2 3" xfId="5217" xr:uid="{00000000-0005-0000-0000-000089180000}"/>
    <cellStyle name="Normal 5 2 3 3 2 2 3 2" xfId="13659" xr:uid="{C4BF97B2-644F-4C4C-8598-5C213DBF4F9A}"/>
    <cellStyle name="Normal 5 2 3 3 2 2 3 3" xfId="22096" xr:uid="{BF2700B8-1B89-40DA-8886-2D8190BAC5B4}"/>
    <cellStyle name="Normal 5 2 3 3 2 2 4" xfId="9441" xr:uid="{7400EC5F-F589-4768-8A1D-ADD3356A36A5}"/>
    <cellStyle name="Normal 5 2 3 3 2 2 5" xfId="17879" xr:uid="{01FB2279-55CB-42B6-8F97-DBCAE7AF143F}"/>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2 2 2" xfId="16217" xr:uid="{0332D4FF-A214-4ED6-82E6-F4B84FAC4F07}"/>
    <cellStyle name="Normal 5 2 3 3 2 3 2 2 3" xfId="24654" xr:uid="{A8C90535-9900-430E-905D-3CE613A6CF45}"/>
    <cellStyle name="Normal 5 2 3 3 2 3 2 3" xfId="11999" xr:uid="{7461EA84-0BF2-47BC-B5C1-3B12E0DBC60E}"/>
    <cellStyle name="Normal 5 2 3 3 2 3 2 4" xfId="20437" xr:uid="{D597A0D0-1187-4A1C-BB6C-CEB7C953AAB6}"/>
    <cellStyle name="Normal 5 2 3 3 2 3 3" xfId="5630" xr:uid="{00000000-0005-0000-0000-00008D180000}"/>
    <cellStyle name="Normal 5 2 3 3 2 3 3 2" xfId="14072" xr:uid="{BAF68607-6959-4BF8-9FD5-7B4BE5CE4C9E}"/>
    <cellStyle name="Normal 5 2 3 3 2 3 3 3" xfId="22509" xr:uid="{A64F589D-A343-4E18-BD17-1B1DB2A70C6F}"/>
    <cellStyle name="Normal 5 2 3 3 2 3 4" xfId="9854" xr:uid="{450B8BEF-1463-4C0A-98E1-F37990D49505}"/>
    <cellStyle name="Normal 5 2 3 3 2 3 5" xfId="18292" xr:uid="{F5667A00-5312-42D3-8FEB-9B8E82F55A13}"/>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2 2 2" xfId="16630" xr:uid="{E160CDDF-CD56-40BA-95DA-28BEC61A4F30}"/>
    <cellStyle name="Normal 5 2 3 3 2 4 2 2 3" xfId="25067" xr:uid="{0428CB76-07CD-4D0B-9CE0-57F5BCF95BBD}"/>
    <cellStyle name="Normal 5 2 3 3 2 4 2 3" xfId="12412" xr:uid="{43D79C1E-375F-4D60-ADC8-A5EA4EB807EB}"/>
    <cellStyle name="Normal 5 2 3 3 2 4 2 4" xfId="20850" xr:uid="{937164CB-217C-4702-BD6D-8BF2459A7D64}"/>
    <cellStyle name="Normal 5 2 3 3 2 4 3" xfId="6043" xr:uid="{00000000-0005-0000-0000-000091180000}"/>
    <cellStyle name="Normal 5 2 3 3 2 4 3 2" xfId="14485" xr:uid="{EC5ED66D-6D02-4743-9E40-53B4C3C781E0}"/>
    <cellStyle name="Normal 5 2 3 3 2 4 3 3" xfId="22922" xr:uid="{5D33913D-1147-4721-8B5E-F52B503A06AE}"/>
    <cellStyle name="Normal 5 2 3 3 2 4 4" xfId="10267" xr:uid="{21AFCB42-E696-4380-A187-27842E809AF2}"/>
    <cellStyle name="Normal 5 2 3 3 2 4 5" xfId="18705" xr:uid="{40AEAD42-269F-4E42-99A4-8C60D8108C38}"/>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2 2 2" xfId="17043" xr:uid="{E6FFCF46-5C5A-4431-AD34-D4A5358B4B7B}"/>
    <cellStyle name="Normal 5 2 3 3 2 5 2 2 3" xfId="25480" xr:uid="{61F695C1-71BD-41D9-B787-B746639DEC68}"/>
    <cellStyle name="Normal 5 2 3 3 2 5 2 3" xfId="12825" xr:uid="{A7C0FB7D-4432-4990-919B-399044322DF3}"/>
    <cellStyle name="Normal 5 2 3 3 2 5 2 4" xfId="21263" xr:uid="{B8411A8F-FB15-48A3-933A-2F95948DADD9}"/>
    <cellStyle name="Normal 5 2 3 3 2 5 3" xfId="6456" xr:uid="{00000000-0005-0000-0000-000095180000}"/>
    <cellStyle name="Normal 5 2 3 3 2 5 3 2" xfId="14898" xr:uid="{77786EAF-DD14-4384-A015-7C361D8F3CA1}"/>
    <cellStyle name="Normal 5 2 3 3 2 5 3 3" xfId="23335" xr:uid="{91FF966C-AFAC-4B52-A185-93C1F987D939}"/>
    <cellStyle name="Normal 5 2 3 3 2 5 4" xfId="10680" xr:uid="{7BE223BD-80D7-43C8-9847-FA075B99FDD7}"/>
    <cellStyle name="Normal 5 2 3 3 2 5 5" xfId="19118" xr:uid="{D8E20CB4-5297-49B2-8D36-9BB4C53695E4}"/>
    <cellStyle name="Normal 5 2 3 3 2 6" xfId="2585" xr:uid="{00000000-0005-0000-0000-000096180000}"/>
    <cellStyle name="Normal 5 2 3 3 2 6 2" xfId="6869" xr:uid="{00000000-0005-0000-0000-000097180000}"/>
    <cellStyle name="Normal 5 2 3 3 2 6 2 2" xfId="15311" xr:uid="{4ECC5C6E-EC07-4AB3-81B7-8DCBA69F288C}"/>
    <cellStyle name="Normal 5 2 3 3 2 6 2 3" xfId="23748" xr:uid="{2197C001-144D-4B42-8D5C-365A75E91242}"/>
    <cellStyle name="Normal 5 2 3 3 2 6 3" xfId="11093" xr:uid="{3592047F-2AC9-438F-86A9-274C35B4BB1E}"/>
    <cellStyle name="Normal 5 2 3 3 2 6 4" xfId="19531" xr:uid="{373D5BC2-E9D4-420D-A53E-F6A6EB37BB54}"/>
    <cellStyle name="Normal 5 2 3 3 2 7" xfId="4804" xr:uid="{00000000-0005-0000-0000-000098180000}"/>
    <cellStyle name="Normal 5 2 3 3 2 7 2" xfId="13246" xr:uid="{B654AE7D-2EC6-4D4E-A14E-3109526400BC}"/>
    <cellStyle name="Normal 5 2 3 3 2 7 3" xfId="21683" xr:uid="{78937201-4B71-4CCB-BDE2-6160AE0BF870}"/>
    <cellStyle name="Normal 5 2 3 3 2 8" xfId="9028" xr:uid="{CEF28FE3-0246-47AA-B2FA-380257A272EE}"/>
    <cellStyle name="Normal 5 2 3 3 2 9" xfId="17466" xr:uid="{3E2D7676-C72D-469F-A1B8-9F74B7B8C7A5}"/>
    <cellStyle name="Normal 5 2 3 3 3" xfId="903" xr:uid="{00000000-0005-0000-0000-000099180000}"/>
    <cellStyle name="Normal 5 2 3 3 3 2" xfId="3138" xr:uid="{00000000-0005-0000-0000-00009A180000}"/>
    <cellStyle name="Normal 5 2 3 3 3 2 2" xfId="7361" xr:uid="{00000000-0005-0000-0000-00009B180000}"/>
    <cellStyle name="Normal 5 2 3 3 3 2 2 2" xfId="15803" xr:uid="{775F7299-5A23-4552-8E28-C17CC991A194}"/>
    <cellStyle name="Normal 5 2 3 3 3 2 2 3" xfId="24240" xr:uid="{CBB2EA27-33A1-478A-A8B8-48DAC7F37335}"/>
    <cellStyle name="Normal 5 2 3 3 3 2 3" xfId="11585" xr:uid="{50F95AF3-A194-48AD-9B38-B38C2234AA22}"/>
    <cellStyle name="Normal 5 2 3 3 3 2 4" xfId="20023" xr:uid="{A9C0F711-F91B-44C2-9B07-DF3177A16DB0}"/>
    <cellStyle name="Normal 5 2 3 3 3 3" xfId="5216" xr:uid="{00000000-0005-0000-0000-00009C180000}"/>
    <cellStyle name="Normal 5 2 3 3 3 3 2" xfId="13658" xr:uid="{9E9FA0CD-A618-4A8B-9E07-C65AE07A0996}"/>
    <cellStyle name="Normal 5 2 3 3 3 3 3" xfId="22095" xr:uid="{54A59ECE-5F06-47DE-9F77-FB9526DB712E}"/>
    <cellStyle name="Normal 5 2 3 3 3 4" xfId="9440" xr:uid="{55BFF70C-026A-481D-972E-F57F9E2993F9}"/>
    <cellStyle name="Normal 5 2 3 3 3 5" xfId="17878" xr:uid="{AC5405CA-3C59-4668-B67C-A39C26A98B40}"/>
    <cellStyle name="Normal 5 2 3 3 4" xfId="1321" xr:uid="{00000000-0005-0000-0000-00009D180000}"/>
    <cellStyle name="Normal 5 2 3 3 4 2" xfId="3551" xr:uid="{00000000-0005-0000-0000-00009E180000}"/>
    <cellStyle name="Normal 5 2 3 3 4 2 2" xfId="7774" xr:uid="{00000000-0005-0000-0000-00009F180000}"/>
    <cellStyle name="Normal 5 2 3 3 4 2 2 2" xfId="16216" xr:uid="{BC0C1CDE-EF35-4A38-AC44-BF5BD6891C1C}"/>
    <cellStyle name="Normal 5 2 3 3 4 2 2 3" xfId="24653" xr:uid="{CAC11763-E43C-417A-BE4A-F7F8B89A87B8}"/>
    <cellStyle name="Normal 5 2 3 3 4 2 3" xfId="11998" xr:uid="{8F74502A-7BAA-4B3F-9339-EEB8C542FD69}"/>
    <cellStyle name="Normal 5 2 3 3 4 2 4" xfId="20436" xr:uid="{C02451B8-3075-4EB1-A131-D95F5496C3A2}"/>
    <cellStyle name="Normal 5 2 3 3 4 3" xfId="5629" xr:uid="{00000000-0005-0000-0000-0000A0180000}"/>
    <cellStyle name="Normal 5 2 3 3 4 3 2" xfId="14071" xr:uid="{6EFCAF4F-8B59-4A87-B6C6-6387B777CDA2}"/>
    <cellStyle name="Normal 5 2 3 3 4 3 3" xfId="22508" xr:uid="{4E0690F6-EB82-4E7E-9E95-E7A02D39058F}"/>
    <cellStyle name="Normal 5 2 3 3 4 4" xfId="9853" xr:uid="{6E75A95B-AEE2-4168-83D8-E0FAF0C4D452}"/>
    <cellStyle name="Normal 5 2 3 3 4 5" xfId="18291" xr:uid="{DB20BF38-B071-4646-86BC-9F9FC497AA1D}"/>
    <cellStyle name="Normal 5 2 3 3 5" xfId="1734" xr:uid="{00000000-0005-0000-0000-0000A1180000}"/>
    <cellStyle name="Normal 5 2 3 3 5 2" xfId="3964" xr:uid="{00000000-0005-0000-0000-0000A2180000}"/>
    <cellStyle name="Normal 5 2 3 3 5 2 2" xfId="8187" xr:uid="{00000000-0005-0000-0000-0000A3180000}"/>
    <cellStyle name="Normal 5 2 3 3 5 2 2 2" xfId="16629" xr:uid="{C90A9B23-BD1B-4607-B785-2A6B2C38B5C9}"/>
    <cellStyle name="Normal 5 2 3 3 5 2 2 3" xfId="25066" xr:uid="{CEC28D43-30E9-457C-9F77-82C42D4A2A67}"/>
    <cellStyle name="Normal 5 2 3 3 5 2 3" xfId="12411" xr:uid="{A27C1072-4847-443E-AF04-4DAEF91A2E9D}"/>
    <cellStyle name="Normal 5 2 3 3 5 2 4" xfId="20849" xr:uid="{226AC8E0-AC61-4227-BAD9-DF6C96091B0C}"/>
    <cellStyle name="Normal 5 2 3 3 5 3" xfId="6042" xr:uid="{00000000-0005-0000-0000-0000A4180000}"/>
    <cellStyle name="Normal 5 2 3 3 5 3 2" xfId="14484" xr:uid="{727F9AAC-77CA-452F-BBAA-21159DA82E57}"/>
    <cellStyle name="Normal 5 2 3 3 5 3 3" xfId="22921" xr:uid="{19B0CFA5-2339-4D5B-96FB-179D4CDCA135}"/>
    <cellStyle name="Normal 5 2 3 3 5 4" xfId="10266" xr:uid="{C29638E9-7B5F-4BB8-9DF1-87BE241F0D36}"/>
    <cellStyle name="Normal 5 2 3 3 5 5" xfId="18704" xr:uid="{A7F27AC6-A129-4E3B-9485-35C801020E23}"/>
    <cellStyle name="Normal 5 2 3 3 6" xfId="2148" xr:uid="{00000000-0005-0000-0000-0000A5180000}"/>
    <cellStyle name="Normal 5 2 3 3 6 2" xfId="4377" xr:uid="{00000000-0005-0000-0000-0000A6180000}"/>
    <cellStyle name="Normal 5 2 3 3 6 2 2" xfId="8600" xr:uid="{00000000-0005-0000-0000-0000A7180000}"/>
    <cellStyle name="Normal 5 2 3 3 6 2 2 2" xfId="17042" xr:uid="{4D935428-C817-4EA9-A5A1-7DAA891026BC}"/>
    <cellStyle name="Normal 5 2 3 3 6 2 2 3" xfId="25479" xr:uid="{91A78D3B-360C-46D5-BC0D-A9B383234125}"/>
    <cellStyle name="Normal 5 2 3 3 6 2 3" xfId="12824" xr:uid="{A050175E-C5D1-4A29-9DF5-48B7367B0657}"/>
    <cellStyle name="Normal 5 2 3 3 6 2 4" xfId="21262" xr:uid="{168D377B-AE2A-4F89-9D99-8AFEFA565310}"/>
    <cellStyle name="Normal 5 2 3 3 6 3" xfId="6455" xr:uid="{00000000-0005-0000-0000-0000A8180000}"/>
    <cellStyle name="Normal 5 2 3 3 6 3 2" xfId="14897" xr:uid="{0158867B-C1BA-4F1C-9576-363749B5DCA7}"/>
    <cellStyle name="Normal 5 2 3 3 6 3 3" xfId="23334" xr:uid="{675B250F-E862-42AD-8490-6FA1D9D9761E}"/>
    <cellStyle name="Normal 5 2 3 3 6 4" xfId="10679" xr:uid="{EC92D91F-BB3D-4983-8FF9-812DA0970E31}"/>
    <cellStyle name="Normal 5 2 3 3 6 5" xfId="19117" xr:uid="{5FB24ED6-48FF-4715-8FAF-391533BDD9EA}"/>
    <cellStyle name="Normal 5 2 3 3 7" xfId="2584" xr:uid="{00000000-0005-0000-0000-0000A9180000}"/>
    <cellStyle name="Normal 5 2 3 3 7 2" xfId="6868" xr:uid="{00000000-0005-0000-0000-0000AA180000}"/>
    <cellStyle name="Normal 5 2 3 3 7 2 2" xfId="15310" xr:uid="{D7A94CB8-3910-49EC-BAE0-CCB71CB01630}"/>
    <cellStyle name="Normal 5 2 3 3 7 2 3" xfId="23747" xr:uid="{0396847C-4059-4626-8C08-D68DA82D1BEA}"/>
    <cellStyle name="Normal 5 2 3 3 7 3" xfId="11092" xr:uid="{15D563DD-6E16-408E-BD75-895AF996DA4F}"/>
    <cellStyle name="Normal 5 2 3 3 7 4" xfId="19530" xr:uid="{080BD0F8-FCC4-4263-9610-2BC771DAAFAE}"/>
    <cellStyle name="Normal 5 2 3 3 8" xfId="4803" xr:uid="{00000000-0005-0000-0000-0000AB180000}"/>
    <cellStyle name="Normal 5 2 3 3 8 2" xfId="13245" xr:uid="{B4323082-2613-410C-A6C9-C460D8FE9AF9}"/>
    <cellStyle name="Normal 5 2 3 3 8 3" xfId="21682" xr:uid="{DF2CFC49-EBB3-4CB2-875B-7EE61F5475D3}"/>
    <cellStyle name="Normal 5 2 3 3 9" xfId="9027" xr:uid="{08198FC1-A485-47CD-B5A6-98522B9C113B}"/>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2 2 2" xfId="15805" xr:uid="{9E1B7D46-CF24-4235-A850-1F113C86552C}"/>
    <cellStyle name="Normal 5 2 3 4 2 2 2 3" xfId="24242" xr:uid="{2EB3F862-0912-4D95-8C14-22E8FF39A838}"/>
    <cellStyle name="Normal 5 2 3 4 2 2 3" xfId="11587" xr:uid="{AA483B14-3EE6-4BB4-8859-D1CCDD33400B}"/>
    <cellStyle name="Normal 5 2 3 4 2 2 4" xfId="20025" xr:uid="{E8082082-EF47-4E51-BC11-2877B25D0266}"/>
    <cellStyle name="Normal 5 2 3 4 2 3" xfId="5218" xr:uid="{00000000-0005-0000-0000-0000B0180000}"/>
    <cellStyle name="Normal 5 2 3 4 2 3 2" xfId="13660" xr:uid="{08AF8F96-83C8-43D7-BE08-4F0B9108ED64}"/>
    <cellStyle name="Normal 5 2 3 4 2 3 3" xfId="22097" xr:uid="{9BE8F487-4C36-4E02-9D83-94616A5E85DC}"/>
    <cellStyle name="Normal 5 2 3 4 2 4" xfId="9442" xr:uid="{BA5DB9CA-B569-4A40-940C-3502161DF8BC}"/>
    <cellStyle name="Normal 5 2 3 4 2 5" xfId="17880" xr:uid="{D84AEE9D-3A59-474A-AC68-78AC83F93908}"/>
    <cellStyle name="Normal 5 2 3 4 3" xfId="1323" xr:uid="{00000000-0005-0000-0000-0000B1180000}"/>
    <cellStyle name="Normal 5 2 3 4 3 2" xfId="3553" xr:uid="{00000000-0005-0000-0000-0000B2180000}"/>
    <cellStyle name="Normal 5 2 3 4 3 2 2" xfId="7776" xr:uid="{00000000-0005-0000-0000-0000B3180000}"/>
    <cellStyle name="Normal 5 2 3 4 3 2 2 2" xfId="16218" xr:uid="{D5364552-5B7A-4187-81BE-88516C9ECCC7}"/>
    <cellStyle name="Normal 5 2 3 4 3 2 2 3" xfId="24655" xr:uid="{5D86EF3C-7551-4848-8241-BB7A5109C18D}"/>
    <cellStyle name="Normal 5 2 3 4 3 2 3" xfId="12000" xr:uid="{99ABF14F-4C8F-4CCB-B60A-33173727544E}"/>
    <cellStyle name="Normal 5 2 3 4 3 2 4" xfId="20438" xr:uid="{7557CC42-F0E8-4FD7-B5FC-CC13959F7E01}"/>
    <cellStyle name="Normal 5 2 3 4 3 3" xfId="5631" xr:uid="{00000000-0005-0000-0000-0000B4180000}"/>
    <cellStyle name="Normal 5 2 3 4 3 3 2" xfId="14073" xr:uid="{DB409C77-E8EE-4794-8158-C921700B8FF6}"/>
    <cellStyle name="Normal 5 2 3 4 3 3 3" xfId="22510" xr:uid="{2CB66289-CAE3-4DCF-9C70-22F08CD5E819}"/>
    <cellStyle name="Normal 5 2 3 4 3 4" xfId="9855" xr:uid="{7A4064CB-E5B1-4E83-A431-F13054EADF29}"/>
    <cellStyle name="Normal 5 2 3 4 3 5" xfId="18293" xr:uid="{F17494B3-2DBE-49E4-AFE8-29908B7D4341}"/>
    <cellStyle name="Normal 5 2 3 4 4" xfId="1736" xr:uid="{00000000-0005-0000-0000-0000B5180000}"/>
    <cellStyle name="Normal 5 2 3 4 4 2" xfId="3966" xr:uid="{00000000-0005-0000-0000-0000B6180000}"/>
    <cellStyle name="Normal 5 2 3 4 4 2 2" xfId="8189" xr:uid="{00000000-0005-0000-0000-0000B7180000}"/>
    <cellStyle name="Normal 5 2 3 4 4 2 2 2" xfId="16631" xr:uid="{54E8337E-3E98-4A3A-A6E0-72FD07241138}"/>
    <cellStyle name="Normal 5 2 3 4 4 2 2 3" xfId="25068" xr:uid="{9C5228FE-70F7-44E4-8903-FD12BDAFFF69}"/>
    <cellStyle name="Normal 5 2 3 4 4 2 3" xfId="12413" xr:uid="{F3B48F8C-2807-437C-BB1B-16270F83938A}"/>
    <cellStyle name="Normal 5 2 3 4 4 2 4" xfId="20851" xr:uid="{939BD1AB-7B47-4A29-80AE-C9FB57C6A8C5}"/>
    <cellStyle name="Normal 5 2 3 4 4 3" xfId="6044" xr:uid="{00000000-0005-0000-0000-0000B8180000}"/>
    <cellStyle name="Normal 5 2 3 4 4 3 2" xfId="14486" xr:uid="{4ED07763-E94D-443F-9226-C934003B9688}"/>
    <cellStyle name="Normal 5 2 3 4 4 3 3" xfId="22923" xr:uid="{848AF167-C0EA-41EB-AB5D-BDAA8C7BF498}"/>
    <cellStyle name="Normal 5 2 3 4 4 4" xfId="10268" xr:uid="{71DF0FA2-4765-44EE-94FB-85D0AFA5A7C4}"/>
    <cellStyle name="Normal 5 2 3 4 4 5" xfId="18706" xr:uid="{A2A30C8D-E177-4C46-9CB6-7BA01F546995}"/>
    <cellStyle name="Normal 5 2 3 4 5" xfId="2150" xr:uid="{00000000-0005-0000-0000-0000B9180000}"/>
    <cellStyle name="Normal 5 2 3 4 5 2" xfId="4379" xr:uid="{00000000-0005-0000-0000-0000BA180000}"/>
    <cellStyle name="Normal 5 2 3 4 5 2 2" xfId="8602" xr:uid="{00000000-0005-0000-0000-0000BB180000}"/>
    <cellStyle name="Normal 5 2 3 4 5 2 2 2" xfId="17044" xr:uid="{6D088803-08B9-413C-91FF-9B438452F513}"/>
    <cellStyle name="Normal 5 2 3 4 5 2 2 3" xfId="25481" xr:uid="{86329429-B184-45A1-91D5-CBB500A04FE0}"/>
    <cellStyle name="Normal 5 2 3 4 5 2 3" xfId="12826" xr:uid="{9E51814F-2CDF-4B20-BFF0-5E5D40EC05CF}"/>
    <cellStyle name="Normal 5 2 3 4 5 2 4" xfId="21264" xr:uid="{E914B99F-85C5-4A73-B936-1E31EACA6DE5}"/>
    <cellStyle name="Normal 5 2 3 4 5 3" xfId="6457" xr:uid="{00000000-0005-0000-0000-0000BC180000}"/>
    <cellStyle name="Normal 5 2 3 4 5 3 2" xfId="14899" xr:uid="{032E3B0D-11DF-44BE-B188-CD7498DD491D}"/>
    <cellStyle name="Normal 5 2 3 4 5 3 3" xfId="23336" xr:uid="{801F4BCC-413A-4E2F-9276-DA576648E35F}"/>
    <cellStyle name="Normal 5 2 3 4 5 4" xfId="10681" xr:uid="{440F0F6C-F6A7-45FF-8881-A8650D61545F}"/>
    <cellStyle name="Normal 5 2 3 4 5 5" xfId="19119" xr:uid="{C296F6B9-A258-4857-B8F5-911417AFEF81}"/>
    <cellStyle name="Normal 5 2 3 4 6" xfId="2586" xr:uid="{00000000-0005-0000-0000-0000BD180000}"/>
    <cellStyle name="Normal 5 2 3 4 6 2" xfId="6870" xr:uid="{00000000-0005-0000-0000-0000BE180000}"/>
    <cellStyle name="Normal 5 2 3 4 6 2 2" xfId="15312" xr:uid="{CCD742AF-53AC-4A03-A9E5-FB6AAACAED96}"/>
    <cellStyle name="Normal 5 2 3 4 6 2 3" xfId="23749" xr:uid="{F47025EA-9E93-4BB3-8B38-788801FA777A}"/>
    <cellStyle name="Normal 5 2 3 4 6 3" xfId="11094" xr:uid="{9533B461-8480-44B3-9B8D-DF7FADD34541}"/>
    <cellStyle name="Normal 5 2 3 4 6 4" xfId="19532" xr:uid="{90198208-DF5E-4CB8-A97E-0119FC46AD57}"/>
    <cellStyle name="Normal 5 2 3 4 7" xfId="4805" xr:uid="{00000000-0005-0000-0000-0000BF180000}"/>
    <cellStyle name="Normal 5 2 3 4 7 2" xfId="13247" xr:uid="{A8CBF55B-FDBA-40C6-9401-288FE919D740}"/>
    <cellStyle name="Normal 5 2 3 4 7 3" xfId="21684" xr:uid="{72566662-E593-4145-8FAE-CEC89C06CE5A}"/>
    <cellStyle name="Normal 5 2 3 4 8" xfId="9029" xr:uid="{B600AA18-38A8-4369-B8E6-32AB577398A9}"/>
    <cellStyle name="Normal 5 2 3 4 9" xfId="17467" xr:uid="{14C29F6B-71D6-421F-B093-9CEDC33A99A4}"/>
    <cellStyle name="Normal 5 2 3 5" xfId="898" xr:uid="{00000000-0005-0000-0000-0000C0180000}"/>
    <cellStyle name="Normal 5 2 3 5 2" xfId="3133" xr:uid="{00000000-0005-0000-0000-0000C1180000}"/>
    <cellStyle name="Normal 5 2 3 5 2 2" xfId="7356" xr:uid="{00000000-0005-0000-0000-0000C2180000}"/>
    <cellStyle name="Normal 5 2 3 5 2 2 2" xfId="15798" xr:uid="{F72CAB22-1555-4E74-BB0A-E73499E38252}"/>
    <cellStyle name="Normal 5 2 3 5 2 2 3" xfId="24235" xr:uid="{626E8D50-B70C-49EC-ADD2-CA658C87C967}"/>
    <cellStyle name="Normal 5 2 3 5 2 3" xfId="11580" xr:uid="{4083A200-F330-4B88-BFB0-3B95D65AAFAE}"/>
    <cellStyle name="Normal 5 2 3 5 2 4" xfId="20018" xr:uid="{160E6923-1E19-4829-A4E3-D8E6AA858539}"/>
    <cellStyle name="Normal 5 2 3 5 3" xfId="5211" xr:uid="{00000000-0005-0000-0000-0000C3180000}"/>
    <cellStyle name="Normal 5 2 3 5 3 2" xfId="13653" xr:uid="{3604909B-A6BD-440A-8F6D-F2D941B554F1}"/>
    <cellStyle name="Normal 5 2 3 5 3 3" xfId="22090" xr:uid="{054AED8E-0DD6-456E-892C-E32269EE2129}"/>
    <cellStyle name="Normal 5 2 3 5 4" xfId="9435" xr:uid="{1053EF30-D89A-4CC2-8D4C-CE2E9ED371AF}"/>
    <cellStyle name="Normal 5 2 3 5 5" xfId="17873" xr:uid="{4710F3D2-583C-4728-A5F2-35489A95691B}"/>
    <cellStyle name="Normal 5 2 3 6" xfId="1316" xr:uid="{00000000-0005-0000-0000-0000C4180000}"/>
    <cellStyle name="Normal 5 2 3 6 2" xfId="3546" xr:uid="{00000000-0005-0000-0000-0000C5180000}"/>
    <cellStyle name="Normal 5 2 3 6 2 2" xfId="7769" xr:uid="{00000000-0005-0000-0000-0000C6180000}"/>
    <cellStyle name="Normal 5 2 3 6 2 2 2" xfId="16211" xr:uid="{4D926E37-E69D-4A19-BF73-D6F275D3E248}"/>
    <cellStyle name="Normal 5 2 3 6 2 2 3" xfId="24648" xr:uid="{D97A411C-BE1B-4BC0-821D-EC9D42833B81}"/>
    <cellStyle name="Normal 5 2 3 6 2 3" xfId="11993" xr:uid="{B04D3BAA-CD37-4D27-AEE9-C11B7357FACC}"/>
    <cellStyle name="Normal 5 2 3 6 2 4" xfId="20431" xr:uid="{0F90737C-9C21-4792-9214-DFD871F18BEE}"/>
    <cellStyle name="Normal 5 2 3 6 3" xfId="5624" xr:uid="{00000000-0005-0000-0000-0000C7180000}"/>
    <cellStyle name="Normal 5 2 3 6 3 2" xfId="14066" xr:uid="{B6F46CDF-C9AA-4097-8724-213E5432CA99}"/>
    <cellStyle name="Normal 5 2 3 6 3 3" xfId="22503" xr:uid="{B76D130F-4528-40B3-9B04-5133BFAD9D89}"/>
    <cellStyle name="Normal 5 2 3 6 4" xfId="9848" xr:uid="{E9E529F2-C8C4-4820-86EE-A95238ADFBFF}"/>
    <cellStyle name="Normal 5 2 3 6 5" xfId="18286" xr:uid="{B9E48396-8CBD-4637-AF36-4E2FC9B0D156}"/>
    <cellStyle name="Normal 5 2 3 7" xfId="1729" xr:uid="{00000000-0005-0000-0000-0000C8180000}"/>
    <cellStyle name="Normal 5 2 3 7 2" xfId="3959" xr:uid="{00000000-0005-0000-0000-0000C9180000}"/>
    <cellStyle name="Normal 5 2 3 7 2 2" xfId="8182" xr:uid="{00000000-0005-0000-0000-0000CA180000}"/>
    <cellStyle name="Normal 5 2 3 7 2 2 2" xfId="16624" xr:uid="{E340166A-C625-4CAE-BFF2-D146DB15B49C}"/>
    <cellStyle name="Normal 5 2 3 7 2 2 3" xfId="25061" xr:uid="{8EFAAA41-2655-4A58-A66C-60F97A075958}"/>
    <cellStyle name="Normal 5 2 3 7 2 3" xfId="12406" xr:uid="{18C6FCAF-7C23-4F25-A934-5F9B2B86D881}"/>
    <cellStyle name="Normal 5 2 3 7 2 4" xfId="20844" xr:uid="{6B0BFF4F-9EBD-4CD0-96D0-F1170BAE0311}"/>
    <cellStyle name="Normal 5 2 3 7 3" xfId="6037" xr:uid="{00000000-0005-0000-0000-0000CB180000}"/>
    <cellStyle name="Normal 5 2 3 7 3 2" xfId="14479" xr:uid="{9D9DEDA9-FEFB-45D0-9909-CF2A193FF5CB}"/>
    <cellStyle name="Normal 5 2 3 7 3 3" xfId="22916" xr:uid="{643B9CE1-0365-4968-B354-8FBE5C0ED03B}"/>
    <cellStyle name="Normal 5 2 3 7 4" xfId="10261" xr:uid="{81874B0F-59F1-40CB-875E-0BCE5D61A362}"/>
    <cellStyle name="Normal 5 2 3 7 5" xfId="18699" xr:uid="{57105D24-3234-4606-84C1-5C5A19E75C1B}"/>
    <cellStyle name="Normal 5 2 3 8" xfId="2143" xr:uid="{00000000-0005-0000-0000-0000CC180000}"/>
    <cellStyle name="Normal 5 2 3 8 2" xfId="4372" xr:uid="{00000000-0005-0000-0000-0000CD180000}"/>
    <cellStyle name="Normal 5 2 3 8 2 2" xfId="8595" xr:uid="{00000000-0005-0000-0000-0000CE180000}"/>
    <cellStyle name="Normal 5 2 3 8 2 2 2" xfId="17037" xr:uid="{33395093-064A-4274-9B62-77822DB19B14}"/>
    <cellStyle name="Normal 5 2 3 8 2 2 3" xfId="25474" xr:uid="{B0052D42-4606-4835-AB4F-C38984755644}"/>
    <cellStyle name="Normal 5 2 3 8 2 3" xfId="12819" xr:uid="{81E4BCCC-D6CD-484F-A898-25635A6260AA}"/>
    <cellStyle name="Normal 5 2 3 8 2 4" xfId="21257" xr:uid="{F84C061B-881A-4709-8B3B-BF45B9A88B47}"/>
    <cellStyle name="Normal 5 2 3 8 3" xfId="6450" xr:uid="{00000000-0005-0000-0000-0000CF180000}"/>
    <cellStyle name="Normal 5 2 3 8 3 2" xfId="14892" xr:uid="{66A5A9EC-B20F-4DC2-8B68-394F958C842E}"/>
    <cellStyle name="Normal 5 2 3 8 3 3" xfId="23329" xr:uid="{458A7F3F-1AC9-41CE-AC17-F6B1A1D5CBF1}"/>
    <cellStyle name="Normal 5 2 3 8 4" xfId="10674" xr:uid="{9486987B-AD0B-4AD8-A3E6-4858B6863288}"/>
    <cellStyle name="Normal 5 2 3 8 5" xfId="19112" xr:uid="{671F5C4D-2D7E-4F64-B924-300F5AA1D1CC}"/>
    <cellStyle name="Normal 5 2 3 9" xfId="2579" xr:uid="{00000000-0005-0000-0000-0000D0180000}"/>
    <cellStyle name="Normal 5 2 3 9 2" xfId="6863" xr:uid="{00000000-0005-0000-0000-0000D1180000}"/>
    <cellStyle name="Normal 5 2 3 9 2 2" xfId="15305" xr:uid="{4AC84B27-5331-437F-AE31-DA4C0B579F27}"/>
    <cellStyle name="Normal 5 2 3 9 2 3" xfId="23742" xr:uid="{8A38E85E-1A51-4DC5-B341-6316E91400F3}"/>
    <cellStyle name="Normal 5 2 3 9 3" xfId="11087" xr:uid="{2C4FBC6C-2CA0-4A57-8657-7ADAAF4BBDF4}"/>
    <cellStyle name="Normal 5 2 3 9 4" xfId="19525" xr:uid="{2B9039EC-E1CA-47D9-A046-E2678BFD3EB5}"/>
    <cellStyle name="Normal 5 2 4" xfId="432" xr:uid="{00000000-0005-0000-0000-0000D2180000}"/>
    <cellStyle name="Normal 5 2 4 10" xfId="9030" xr:uid="{9D7A2FF6-C194-475E-905B-1806598E4D90}"/>
    <cellStyle name="Normal 5 2 4 11" xfId="17468" xr:uid="{18483175-9B34-427E-85AB-4B619C1C56E9}"/>
    <cellStyle name="Normal 5 2 4 2" xfId="433" xr:uid="{00000000-0005-0000-0000-0000D3180000}"/>
    <cellStyle name="Normal 5 2 4 2 10" xfId="17469" xr:uid="{5FDEBEC5-143F-495F-AA54-A4E9AB68860B}"/>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2 2 2" xfId="15808" xr:uid="{333F6BB6-51F1-46B8-8D09-F0EEEF66DA6B}"/>
    <cellStyle name="Normal 5 2 4 2 2 2 2 2 3" xfId="24245" xr:uid="{A019E88D-B260-4753-9076-3371EFD2120D}"/>
    <cellStyle name="Normal 5 2 4 2 2 2 2 3" xfId="11590" xr:uid="{3E477FC0-0C23-4989-8437-A1A399F2394C}"/>
    <cellStyle name="Normal 5 2 4 2 2 2 2 4" xfId="20028" xr:uid="{AE1A83B4-7CE5-4C21-9973-0287674754D3}"/>
    <cellStyle name="Normal 5 2 4 2 2 2 3" xfId="5221" xr:uid="{00000000-0005-0000-0000-0000D8180000}"/>
    <cellStyle name="Normal 5 2 4 2 2 2 3 2" xfId="13663" xr:uid="{F9C7F0B2-F72E-4E2A-B160-E9D6F2F97254}"/>
    <cellStyle name="Normal 5 2 4 2 2 2 3 3" xfId="22100" xr:uid="{00CD44DD-878E-46DC-B0B4-7DF82389C809}"/>
    <cellStyle name="Normal 5 2 4 2 2 2 4" xfId="9445" xr:uid="{8629ADF2-5069-4592-8E1F-DCCC77E79964}"/>
    <cellStyle name="Normal 5 2 4 2 2 2 5" xfId="17883" xr:uid="{8E121348-92A6-41A1-A5DA-D584FB4AB6CA}"/>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2 2 2" xfId="16221" xr:uid="{9E8EF368-BBBA-46D6-B43B-4DD6614D438C}"/>
    <cellStyle name="Normal 5 2 4 2 2 3 2 2 3" xfId="24658" xr:uid="{CD624921-2D84-4927-8C9E-61EAE30A4527}"/>
    <cellStyle name="Normal 5 2 4 2 2 3 2 3" xfId="12003" xr:uid="{E2AC5929-BC49-4A1A-9107-2623EA5EE0E9}"/>
    <cellStyle name="Normal 5 2 4 2 2 3 2 4" xfId="20441" xr:uid="{EE7C4738-2CEE-47EA-880C-92A724910804}"/>
    <cellStyle name="Normal 5 2 4 2 2 3 3" xfId="5634" xr:uid="{00000000-0005-0000-0000-0000DC180000}"/>
    <cellStyle name="Normal 5 2 4 2 2 3 3 2" xfId="14076" xr:uid="{8E9A75D1-A1F3-44EF-8572-EAF1CA2C0B5F}"/>
    <cellStyle name="Normal 5 2 4 2 2 3 3 3" xfId="22513" xr:uid="{7D3343D3-47C5-4841-9B33-78496BFEE7BB}"/>
    <cellStyle name="Normal 5 2 4 2 2 3 4" xfId="9858" xr:uid="{50949B97-7480-44D9-BDF2-6BD774B6F74E}"/>
    <cellStyle name="Normal 5 2 4 2 2 3 5" xfId="18296" xr:uid="{076B83B5-8A37-41B3-893A-70B35C3FE911}"/>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2 2 2" xfId="16634" xr:uid="{A78E2F11-0CDE-4645-9968-ACA17A481D32}"/>
    <cellStyle name="Normal 5 2 4 2 2 4 2 2 3" xfId="25071" xr:uid="{76AA2831-22DC-4058-BD7C-06431A0BE9E6}"/>
    <cellStyle name="Normal 5 2 4 2 2 4 2 3" xfId="12416" xr:uid="{92C9A2A4-6BE3-4CFC-BDA9-9601AAFD3191}"/>
    <cellStyle name="Normal 5 2 4 2 2 4 2 4" xfId="20854" xr:uid="{50AD6C5A-E44A-45A5-8429-256AAC156A79}"/>
    <cellStyle name="Normal 5 2 4 2 2 4 3" xfId="6047" xr:uid="{00000000-0005-0000-0000-0000E0180000}"/>
    <cellStyle name="Normal 5 2 4 2 2 4 3 2" xfId="14489" xr:uid="{5E049408-6250-450E-8EAC-91A09E12275E}"/>
    <cellStyle name="Normal 5 2 4 2 2 4 3 3" xfId="22926" xr:uid="{98EFC28E-C7B8-4963-9508-430B9EFCA547}"/>
    <cellStyle name="Normal 5 2 4 2 2 4 4" xfId="10271" xr:uid="{C3FC1669-909F-429F-BF08-5642E854E774}"/>
    <cellStyle name="Normal 5 2 4 2 2 4 5" xfId="18709" xr:uid="{344B8253-73D7-4326-B40C-001FA210D824}"/>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2 2 2" xfId="17047" xr:uid="{1C8171A1-C4DF-47F3-BD69-7C1D76A1FB5D}"/>
    <cellStyle name="Normal 5 2 4 2 2 5 2 2 3" xfId="25484" xr:uid="{2347D2C8-5540-4DDD-8E3D-C9B5C39A08DE}"/>
    <cellStyle name="Normal 5 2 4 2 2 5 2 3" xfId="12829" xr:uid="{75D588D7-DAB7-4EF2-970D-B44C354F2DB8}"/>
    <cellStyle name="Normal 5 2 4 2 2 5 2 4" xfId="21267" xr:uid="{7C5C6BC2-CEAA-44DE-86FF-F3D46CF1631E}"/>
    <cellStyle name="Normal 5 2 4 2 2 5 3" xfId="6460" xr:uid="{00000000-0005-0000-0000-0000E4180000}"/>
    <cellStyle name="Normal 5 2 4 2 2 5 3 2" xfId="14902" xr:uid="{BCC490A8-BF06-464A-9B05-9F0B24A0B8C4}"/>
    <cellStyle name="Normal 5 2 4 2 2 5 3 3" xfId="23339" xr:uid="{4A28866C-FED1-42FF-B134-E54C89E9C0C6}"/>
    <cellStyle name="Normal 5 2 4 2 2 5 4" xfId="10684" xr:uid="{089C407E-DDF9-4524-9440-07419CDD964C}"/>
    <cellStyle name="Normal 5 2 4 2 2 5 5" xfId="19122" xr:uid="{0A19A977-BED6-46A7-A070-C5ECA38AECEF}"/>
    <cellStyle name="Normal 5 2 4 2 2 6" xfId="2589" xr:uid="{00000000-0005-0000-0000-0000E5180000}"/>
    <cellStyle name="Normal 5 2 4 2 2 6 2" xfId="6873" xr:uid="{00000000-0005-0000-0000-0000E6180000}"/>
    <cellStyle name="Normal 5 2 4 2 2 6 2 2" xfId="15315" xr:uid="{33321813-7955-436F-86C6-EA1173EB06A8}"/>
    <cellStyle name="Normal 5 2 4 2 2 6 2 3" xfId="23752" xr:uid="{142DA1A0-E267-4F2F-90CB-536A534F6467}"/>
    <cellStyle name="Normal 5 2 4 2 2 6 3" xfId="11097" xr:uid="{0349A9F1-B594-4B52-824C-1ACDB6C7CB7B}"/>
    <cellStyle name="Normal 5 2 4 2 2 6 4" xfId="19535" xr:uid="{A99F78FE-B84E-4E38-A422-8204FDAC3579}"/>
    <cellStyle name="Normal 5 2 4 2 2 7" xfId="4808" xr:uid="{00000000-0005-0000-0000-0000E7180000}"/>
    <cellStyle name="Normal 5 2 4 2 2 7 2" xfId="13250" xr:uid="{7046186E-55A2-49EA-907F-7603054E11EE}"/>
    <cellStyle name="Normal 5 2 4 2 2 7 3" xfId="21687" xr:uid="{B08BF86E-42E0-4B3A-900E-71CA177EE7F3}"/>
    <cellStyle name="Normal 5 2 4 2 2 8" xfId="9032" xr:uid="{8D8FAFAA-701A-46E1-B3B5-B504029D6C21}"/>
    <cellStyle name="Normal 5 2 4 2 2 9" xfId="17470" xr:uid="{4F21C177-1097-4D48-AC4B-4E80D05F5525}"/>
    <cellStyle name="Normal 5 2 4 2 3" xfId="907" xr:uid="{00000000-0005-0000-0000-0000E8180000}"/>
    <cellStyle name="Normal 5 2 4 2 3 2" xfId="3142" xr:uid="{00000000-0005-0000-0000-0000E9180000}"/>
    <cellStyle name="Normal 5 2 4 2 3 2 2" xfId="7365" xr:uid="{00000000-0005-0000-0000-0000EA180000}"/>
    <cellStyle name="Normal 5 2 4 2 3 2 2 2" xfId="15807" xr:uid="{BA0A14EC-33E4-4B0E-BD43-2AC62486D930}"/>
    <cellStyle name="Normal 5 2 4 2 3 2 2 3" xfId="24244" xr:uid="{D1345EF6-4F66-4E77-8762-F6D9D86D57AE}"/>
    <cellStyle name="Normal 5 2 4 2 3 2 3" xfId="11589" xr:uid="{C4D434B7-E33C-4127-A493-10FDFFAF3452}"/>
    <cellStyle name="Normal 5 2 4 2 3 2 4" xfId="20027" xr:uid="{60ED569B-5D4E-407F-B404-6D52BBADFE5A}"/>
    <cellStyle name="Normal 5 2 4 2 3 3" xfId="5220" xr:uid="{00000000-0005-0000-0000-0000EB180000}"/>
    <cellStyle name="Normal 5 2 4 2 3 3 2" xfId="13662" xr:uid="{49486B3A-6A2E-4816-B911-951B660C1135}"/>
    <cellStyle name="Normal 5 2 4 2 3 3 3" xfId="22099" xr:uid="{24723545-FBC4-466B-BAA9-0F44C1F61CCD}"/>
    <cellStyle name="Normal 5 2 4 2 3 4" xfId="9444" xr:uid="{95321217-822F-4193-8E20-ED65B7C34AC0}"/>
    <cellStyle name="Normal 5 2 4 2 3 5" xfId="17882" xr:uid="{FC9CE011-ED18-4F21-92D0-F1A49788A235}"/>
    <cellStyle name="Normal 5 2 4 2 4" xfId="1325" xr:uid="{00000000-0005-0000-0000-0000EC180000}"/>
    <cellStyle name="Normal 5 2 4 2 4 2" xfId="3555" xr:uid="{00000000-0005-0000-0000-0000ED180000}"/>
    <cellStyle name="Normal 5 2 4 2 4 2 2" xfId="7778" xr:uid="{00000000-0005-0000-0000-0000EE180000}"/>
    <cellStyle name="Normal 5 2 4 2 4 2 2 2" xfId="16220" xr:uid="{B8D63339-7821-46B7-91AE-B193E93F3286}"/>
    <cellStyle name="Normal 5 2 4 2 4 2 2 3" xfId="24657" xr:uid="{4B6FBD70-AE60-4333-A821-B64F70FD64C9}"/>
    <cellStyle name="Normal 5 2 4 2 4 2 3" xfId="12002" xr:uid="{5F596EB7-91A7-4D4B-A7D5-F801403E8D77}"/>
    <cellStyle name="Normal 5 2 4 2 4 2 4" xfId="20440" xr:uid="{87AC79E5-8561-4770-8BEE-A3FBD69CF5E6}"/>
    <cellStyle name="Normal 5 2 4 2 4 3" xfId="5633" xr:uid="{00000000-0005-0000-0000-0000EF180000}"/>
    <cellStyle name="Normal 5 2 4 2 4 3 2" xfId="14075" xr:uid="{47F354F1-BC53-4955-A354-3FBF3785093E}"/>
    <cellStyle name="Normal 5 2 4 2 4 3 3" xfId="22512" xr:uid="{261D69CB-AB35-4A23-9D56-BF3029F4DEC4}"/>
    <cellStyle name="Normal 5 2 4 2 4 4" xfId="9857" xr:uid="{1B7FEDBE-FC92-4ADF-A778-58AF0DDDAFB1}"/>
    <cellStyle name="Normal 5 2 4 2 4 5" xfId="18295" xr:uid="{75D6391D-5EA2-44B2-8F9E-9349D21728D1}"/>
    <cellStyle name="Normal 5 2 4 2 5" xfId="1738" xr:uid="{00000000-0005-0000-0000-0000F0180000}"/>
    <cellStyle name="Normal 5 2 4 2 5 2" xfId="3968" xr:uid="{00000000-0005-0000-0000-0000F1180000}"/>
    <cellStyle name="Normal 5 2 4 2 5 2 2" xfId="8191" xr:uid="{00000000-0005-0000-0000-0000F2180000}"/>
    <cellStyle name="Normal 5 2 4 2 5 2 2 2" xfId="16633" xr:uid="{1121B910-EFD8-4EC5-A4EE-CCA3EF14A946}"/>
    <cellStyle name="Normal 5 2 4 2 5 2 2 3" xfId="25070" xr:uid="{BE43354F-93A5-44E5-93A2-F127342BC92A}"/>
    <cellStyle name="Normal 5 2 4 2 5 2 3" xfId="12415" xr:uid="{3BEDD619-21D2-47B1-9CC4-E45531B2A476}"/>
    <cellStyle name="Normal 5 2 4 2 5 2 4" xfId="20853" xr:uid="{9A2FF7C0-2201-469C-9ECC-AB3C6E3AB78D}"/>
    <cellStyle name="Normal 5 2 4 2 5 3" xfId="6046" xr:uid="{00000000-0005-0000-0000-0000F3180000}"/>
    <cellStyle name="Normal 5 2 4 2 5 3 2" xfId="14488" xr:uid="{93C89677-EFA9-4081-A999-42063FB60EA0}"/>
    <cellStyle name="Normal 5 2 4 2 5 3 3" xfId="22925" xr:uid="{F3F4D6B1-8549-46EC-8A51-92D52A15D900}"/>
    <cellStyle name="Normal 5 2 4 2 5 4" xfId="10270" xr:uid="{AB98322F-CBF4-4E2C-97AC-66D10E5CE585}"/>
    <cellStyle name="Normal 5 2 4 2 5 5" xfId="18708" xr:uid="{9C726FD1-F4E0-4163-8FD3-AFFC59DDFCDA}"/>
    <cellStyle name="Normal 5 2 4 2 6" xfId="2152" xr:uid="{00000000-0005-0000-0000-0000F4180000}"/>
    <cellStyle name="Normal 5 2 4 2 6 2" xfId="4381" xr:uid="{00000000-0005-0000-0000-0000F5180000}"/>
    <cellStyle name="Normal 5 2 4 2 6 2 2" xfId="8604" xr:uid="{00000000-0005-0000-0000-0000F6180000}"/>
    <cellStyle name="Normal 5 2 4 2 6 2 2 2" xfId="17046" xr:uid="{3256BA85-04F0-4E9B-B1CA-1F2EF7B5E37C}"/>
    <cellStyle name="Normal 5 2 4 2 6 2 2 3" xfId="25483" xr:uid="{37E9084D-792F-4AA6-B184-BCF0957DD008}"/>
    <cellStyle name="Normal 5 2 4 2 6 2 3" xfId="12828" xr:uid="{6707117F-397E-4AC8-97C8-F6AE7099EF7F}"/>
    <cellStyle name="Normal 5 2 4 2 6 2 4" xfId="21266" xr:uid="{5B7C9691-BF08-444D-89F8-37F5BA896067}"/>
    <cellStyle name="Normal 5 2 4 2 6 3" xfId="6459" xr:uid="{00000000-0005-0000-0000-0000F7180000}"/>
    <cellStyle name="Normal 5 2 4 2 6 3 2" xfId="14901" xr:uid="{96392398-6958-40CC-9433-DF4BB8E9D68E}"/>
    <cellStyle name="Normal 5 2 4 2 6 3 3" xfId="23338" xr:uid="{F85EBCDA-6847-4EC7-AE6A-2C28A3569327}"/>
    <cellStyle name="Normal 5 2 4 2 6 4" xfId="10683" xr:uid="{A7B9A53B-74A5-4D4A-9896-96357771CC94}"/>
    <cellStyle name="Normal 5 2 4 2 6 5" xfId="19121" xr:uid="{7466535B-BB99-4F29-A8B4-BEEF5D9314CC}"/>
    <cellStyle name="Normal 5 2 4 2 7" xfId="2588" xr:uid="{00000000-0005-0000-0000-0000F8180000}"/>
    <cellStyle name="Normal 5 2 4 2 7 2" xfId="6872" xr:uid="{00000000-0005-0000-0000-0000F9180000}"/>
    <cellStyle name="Normal 5 2 4 2 7 2 2" xfId="15314" xr:uid="{B7D6A97B-EED6-4DF5-AAB9-6D983D938E5B}"/>
    <cellStyle name="Normal 5 2 4 2 7 2 3" xfId="23751" xr:uid="{A4641218-E6D5-4B78-9CA4-29712DE3794A}"/>
    <cellStyle name="Normal 5 2 4 2 7 3" xfId="11096" xr:uid="{A2F2719B-0F84-48ED-9A94-93739A32E1F6}"/>
    <cellStyle name="Normal 5 2 4 2 7 4" xfId="19534" xr:uid="{5F900762-45FE-4D28-9938-2A6DABC1B2B2}"/>
    <cellStyle name="Normal 5 2 4 2 8" xfId="4807" xr:uid="{00000000-0005-0000-0000-0000FA180000}"/>
    <cellStyle name="Normal 5 2 4 2 8 2" xfId="13249" xr:uid="{093026EB-46A7-4680-846F-7BA717A0CA42}"/>
    <cellStyle name="Normal 5 2 4 2 8 3" xfId="21686" xr:uid="{DAF83262-1D54-4F7D-84E4-59A69BCC553C}"/>
    <cellStyle name="Normal 5 2 4 2 9" xfId="9031" xr:uid="{25B616AF-EC58-4CE5-88AE-83E00468304C}"/>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2 2 2" xfId="15809" xr:uid="{E69F3E92-92A0-4A2A-8183-E81052119996}"/>
    <cellStyle name="Normal 5 2 4 3 2 2 2 3" xfId="24246" xr:uid="{2D74CF94-4549-417B-AF8E-861F36BCFA26}"/>
    <cellStyle name="Normal 5 2 4 3 2 2 3" xfId="11591" xr:uid="{1F3B2702-494F-40C1-B1E4-B74EDBA045A6}"/>
    <cellStyle name="Normal 5 2 4 3 2 2 4" xfId="20029" xr:uid="{F39628C3-BFB4-4694-8BEC-1614275D2F26}"/>
    <cellStyle name="Normal 5 2 4 3 2 3" xfId="5222" xr:uid="{00000000-0005-0000-0000-0000FF180000}"/>
    <cellStyle name="Normal 5 2 4 3 2 3 2" xfId="13664" xr:uid="{D2CED97F-9237-4D93-ADD3-8A283EBAF446}"/>
    <cellStyle name="Normal 5 2 4 3 2 3 3" xfId="22101" xr:uid="{7C1A5428-E29B-4D74-8670-15D9A2CA7CB9}"/>
    <cellStyle name="Normal 5 2 4 3 2 4" xfId="9446" xr:uid="{FA3D3478-B27C-4447-B557-1B790EC0DAB1}"/>
    <cellStyle name="Normal 5 2 4 3 2 5" xfId="17884" xr:uid="{7FACA36C-06C6-4080-8F0B-0B4ED5EEE1C7}"/>
    <cellStyle name="Normal 5 2 4 3 3" xfId="1327" xr:uid="{00000000-0005-0000-0000-000000190000}"/>
    <cellStyle name="Normal 5 2 4 3 3 2" xfId="3557" xr:uid="{00000000-0005-0000-0000-000001190000}"/>
    <cellStyle name="Normal 5 2 4 3 3 2 2" xfId="7780" xr:uid="{00000000-0005-0000-0000-000002190000}"/>
    <cellStyle name="Normal 5 2 4 3 3 2 2 2" xfId="16222" xr:uid="{E494F26D-A53F-476C-A27B-AAB4EAF326D0}"/>
    <cellStyle name="Normal 5 2 4 3 3 2 2 3" xfId="24659" xr:uid="{18F2DE89-9E60-4DCD-94BE-F5CE645433F3}"/>
    <cellStyle name="Normal 5 2 4 3 3 2 3" xfId="12004" xr:uid="{EB9B57A8-DBEB-4BD0-BBCB-B7E8844303DB}"/>
    <cellStyle name="Normal 5 2 4 3 3 2 4" xfId="20442" xr:uid="{EDFF0001-90EF-4A5F-A35C-89B1F92EC58A}"/>
    <cellStyle name="Normal 5 2 4 3 3 3" xfId="5635" xr:uid="{00000000-0005-0000-0000-000003190000}"/>
    <cellStyle name="Normal 5 2 4 3 3 3 2" xfId="14077" xr:uid="{543B46C5-8657-4AD7-A3A0-80339AE5A60E}"/>
    <cellStyle name="Normal 5 2 4 3 3 3 3" xfId="22514" xr:uid="{63BC22BB-78F8-4345-A906-9BE961155D0C}"/>
    <cellStyle name="Normal 5 2 4 3 3 4" xfId="9859" xr:uid="{5803A7D4-9EE8-46B8-A3DB-85394F4C71D7}"/>
    <cellStyle name="Normal 5 2 4 3 3 5" xfId="18297" xr:uid="{EDCF668D-F6C0-4255-BE32-2BE515F59A13}"/>
    <cellStyle name="Normal 5 2 4 3 4" xfId="1740" xr:uid="{00000000-0005-0000-0000-000004190000}"/>
    <cellStyle name="Normal 5 2 4 3 4 2" xfId="3970" xr:uid="{00000000-0005-0000-0000-000005190000}"/>
    <cellStyle name="Normal 5 2 4 3 4 2 2" xfId="8193" xr:uid="{00000000-0005-0000-0000-000006190000}"/>
    <cellStyle name="Normal 5 2 4 3 4 2 2 2" xfId="16635" xr:uid="{D08CBA5C-951F-4E53-BF96-3A1885CC528F}"/>
    <cellStyle name="Normal 5 2 4 3 4 2 2 3" xfId="25072" xr:uid="{22C98B6F-9882-4DC1-A7C5-CE1E4E0AD176}"/>
    <cellStyle name="Normal 5 2 4 3 4 2 3" xfId="12417" xr:uid="{16AB44D2-F5E6-45B4-99FB-A5CE7EA4A6E5}"/>
    <cellStyle name="Normal 5 2 4 3 4 2 4" xfId="20855" xr:uid="{6810077A-FB65-4543-94AD-7DE2807D041F}"/>
    <cellStyle name="Normal 5 2 4 3 4 3" xfId="6048" xr:uid="{00000000-0005-0000-0000-000007190000}"/>
    <cellStyle name="Normal 5 2 4 3 4 3 2" xfId="14490" xr:uid="{0EC5A5CE-106B-469D-BAFA-EADAB7C32295}"/>
    <cellStyle name="Normal 5 2 4 3 4 3 3" xfId="22927" xr:uid="{8F47C994-F1EF-439C-90A8-0524C79B31EF}"/>
    <cellStyle name="Normal 5 2 4 3 4 4" xfId="10272" xr:uid="{02C3BFC3-4115-4335-B936-F42271CEFCAC}"/>
    <cellStyle name="Normal 5 2 4 3 4 5" xfId="18710" xr:uid="{09B05504-2BA9-4708-87BF-98AA1C001821}"/>
    <cellStyle name="Normal 5 2 4 3 5" xfId="2154" xr:uid="{00000000-0005-0000-0000-000008190000}"/>
    <cellStyle name="Normal 5 2 4 3 5 2" xfId="4383" xr:uid="{00000000-0005-0000-0000-000009190000}"/>
    <cellStyle name="Normal 5 2 4 3 5 2 2" xfId="8606" xr:uid="{00000000-0005-0000-0000-00000A190000}"/>
    <cellStyle name="Normal 5 2 4 3 5 2 2 2" xfId="17048" xr:uid="{C6851711-4101-4CC4-B87D-0CA7EB34936C}"/>
    <cellStyle name="Normal 5 2 4 3 5 2 2 3" xfId="25485" xr:uid="{535323BB-95E1-41CF-89EA-513617BDAED7}"/>
    <cellStyle name="Normal 5 2 4 3 5 2 3" xfId="12830" xr:uid="{3C3E6B52-3EE0-4D6A-AA58-54DE32BFD77E}"/>
    <cellStyle name="Normal 5 2 4 3 5 2 4" xfId="21268" xr:uid="{27AC4DE6-DF7D-4B99-BCDE-F63DD0C69DC0}"/>
    <cellStyle name="Normal 5 2 4 3 5 3" xfId="6461" xr:uid="{00000000-0005-0000-0000-00000B190000}"/>
    <cellStyle name="Normal 5 2 4 3 5 3 2" xfId="14903" xr:uid="{24A2B1C6-B493-4440-B65B-A15BD18CDF69}"/>
    <cellStyle name="Normal 5 2 4 3 5 3 3" xfId="23340" xr:uid="{A6F8E30B-51C2-4E8E-8139-6077D248A339}"/>
    <cellStyle name="Normal 5 2 4 3 5 4" xfId="10685" xr:uid="{1F80A766-AE86-48F8-8ECA-49D9F712C32D}"/>
    <cellStyle name="Normal 5 2 4 3 5 5" xfId="19123" xr:uid="{C78D561B-1180-4DDF-A593-83FFFDBF08D6}"/>
    <cellStyle name="Normal 5 2 4 3 6" xfId="2590" xr:uid="{00000000-0005-0000-0000-00000C190000}"/>
    <cellStyle name="Normal 5 2 4 3 6 2" xfId="6874" xr:uid="{00000000-0005-0000-0000-00000D190000}"/>
    <cellStyle name="Normal 5 2 4 3 6 2 2" xfId="15316" xr:uid="{B0FD4FAB-E271-4AEC-8A72-C7CB1AF9670E}"/>
    <cellStyle name="Normal 5 2 4 3 6 2 3" xfId="23753" xr:uid="{BBFFA3D4-59B3-47BE-9410-4E2BD2350E57}"/>
    <cellStyle name="Normal 5 2 4 3 6 3" xfId="11098" xr:uid="{DBA22896-325F-4686-B616-8FEBDB084876}"/>
    <cellStyle name="Normal 5 2 4 3 6 4" xfId="19536" xr:uid="{65997B6D-7877-4190-8D05-6D041CB87307}"/>
    <cellStyle name="Normal 5 2 4 3 7" xfId="4809" xr:uid="{00000000-0005-0000-0000-00000E190000}"/>
    <cellStyle name="Normal 5 2 4 3 7 2" xfId="13251" xr:uid="{3132587A-AD79-43C2-8FB4-0F69AEF56794}"/>
    <cellStyle name="Normal 5 2 4 3 7 3" xfId="21688" xr:uid="{3B4AF12E-2E4B-4114-ACC1-611F73804B70}"/>
    <cellStyle name="Normal 5 2 4 3 8" xfId="9033" xr:uid="{3E33BF10-7D3C-4273-B78F-F6691E555F7B}"/>
    <cellStyle name="Normal 5 2 4 3 9" xfId="17471" xr:uid="{C588BC5C-312F-45F7-8758-DC265F072591}"/>
    <cellStyle name="Normal 5 2 4 4" xfId="906" xr:uid="{00000000-0005-0000-0000-00000F190000}"/>
    <cellStyle name="Normal 5 2 4 4 2" xfId="3141" xr:uid="{00000000-0005-0000-0000-000010190000}"/>
    <cellStyle name="Normal 5 2 4 4 2 2" xfId="7364" xr:uid="{00000000-0005-0000-0000-000011190000}"/>
    <cellStyle name="Normal 5 2 4 4 2 2 2" xfId="15806" xr:uid="{C423BA75-01CE-4221-B6AD-F8ABCDA4BBE4}"/>
    <cellStyle name="Normal 5 2 4 4 2 2 3" xfId="24243" xr:uid="{94590F40-6F2D-45BC-9EF6-256772B7F1F9}"/>
    <cellStyle name="Normal 5 2 4 4 2 3" xfId="11588" xr:uid="{AEBE5A2A-097E-43A1-9947-C12B95C3AA4D}"/>
    <cellStyle name="Normal 5 2 4 4 2 4" xfId="20026" xr:uid="{3E30CDCC-118C-48A0-8AB0-7A06D1D13F30}"/>
    <cellStyle name="Normal 5 2 4 4 3" xfId="5219" xr:uid="{00000000-0005-0000-0000-000012190000}"/>
    <cellStyle name="Normal 5 2 4 4 3 2" xfId="13661" xr:uid="{BD19022C-1473-4FD5-B30E-C7A44FF75858}"/>
    <cellStyle name="Normal 5 2 4 4 3 3" xfId="22098" xr:uid="{429C2EDB-DFD1-49DF-87CE-F6BFCB87F9B9}"/>
    <cellStyle name="Normal 5 2 4 4 4" xfId="9443" xr:uid="{39273024-FB01-480B-AC52-AC76433A3D51}"/>
    <cellStyle name="Normal 5 2 4 4 5" xfId="17881" xr:uid="{F19F3A02-7C71-4F7B-91BF-3CEABA6E9E03}"/>
    <cellStyle name="Normal 5 2 4 5" xfId="1324" xr:uid="{00000000-0005-0000-0000-000013190000}"/>
    <cellStyle name="Normal 5 2 4 5 2" xfId="3554" xr:uid="{00000000-0005-0000-0000-000014190000}"/>
    <cellStyle name="Normal 5 2 4 5 2 2" xfId="7777" xr:uid="{00000000-0005-0000-0000-000015190000}"/>
    <cellStyle name="Normal 5 2 4 5 2 2 2" xfId="16219" xr:uid="{F9094F47-317D-4313-9BDA-C2A9A8758C54}"/>
    <cellStyle name="Normal 5 2 4 5 2 2 3" xfId="24656" xr:uid="{EB2D895F-162A-43F1-9C0B-2B18496FA725}"/>
    <cellStyle name="Normal 5 2 4 5 2 3" xfId="12001" xr:uid="{0867E4DC-F13D-4074-AB59-8FE7030A40F0}"/>
    <cellStyle name="Normal 5 2 4 5 2 4" xfId="20439" xr:uid="{B6293C6F-7ACD-4DC6-B606-508DA1D6A632}"/>
    <cellStyle name="Normal 5 2 4 5 3" xfId="5632" xr:uid="{00000000-0005-0000-0000-000016190000}"/>
    <cellStyle name="Normal 5 2 4 5 3 2" xfId="14074" xr:uid="{4F2433CE-6432-4872-A4ED-6C6C0EFD60D4}"/>
    <cellStyle name="Normal 5 2 4 5 3 3" xfId="22511" xr:uid="{7DCE4803-83A0-4ACF-B149-788DB24F4B17}"/>
    <cellStyle name="Normal 5 2 4 5 4" xfId="9856" xr:uid="{254C7DE9-0ACD-44B9-8F3D-E8A3F1BDC8DC}"/>
    <cellStyle name="Normal 5 2 4 5 5" xfId="18294" xr:uid="{34663610-CE60-487A-96EE-82E165922FFB}"/>
    <cellStyle name="Normal 5 2 4 6" xfId="1737" xr:uid="{00000000-0005-0000-0000-000017190000}"/>
    <cellStyle name="Normal 5 2 4 6 2" xfId="3967" xr:uid="{00000000-0005-0000-0000-000018190000}"/>
    <cellStyle name="Normal 5 2 4 6 2 2" xfId="8190" xr:uid="{00000000-0005-0000-0000-000019190000}"/>
    <cellStyle name="Normal 5 2 4 6 2 2 2" xfId="16632" xr:uid="{670052B7-A834-42F8-88C9-D2B11596E10D}"/>
    <cellStyle name="Normal 5 2 4 6 2 2 3" xfId="25069" xr:uid="{E805CEE7-E694-4C04-BD33-C8B7F33D1566}"/>
    <cellStyle name="Normal 5 2 4 6 2 3" xfId="12414" xr:uid="{32580AC2-1681-4D4B-BACF-5A583B494E9C}"/>
    <cellStyle name="Normal 5 2 4 6 2 4" xfId="20852" xr:uid="{490870F1-E8C4-4E7B-AB1F-66481C96981B}"/>
    <cellStyle name="Normal 5 2 4 6 3" xfId="6045" xr:uid="{00000000-0005-0000-0000-00001A190000}"/>
    <cellStyle name="Normal 5 2 4 6 3 2" xfId="14487" xr:uid="{7F3D79D7-7DD6-40CD-9B3D-B48195FD2CF4}"/>
    <cellStyle name="Normal 5 2 4 6 3 3" xfId="22924" xr:uid="{48E6ABA2-A492-46A4-999B-AAAB44243DDD}"/>
    <cellStyle name="Normal 5 2 4 6 4" xfId="10269" xr:uid="{FCE05E3D-069A-4636-9C1E-EE921F675978}"/>
    <cellStyle name="Normal 5 2 4 6 5" xfId="18707" xr:uid="{26DB401F-4FF5-494D-AD98-AA694A6BDE36}"/>
    <cellStyle name="Normal 5 2 4 7" xfId="2151" xr:uid="{00000000-0005-0000-0000-00001B190000}"/>
    <cellStyle name="Normal 5 2 4 7 2" xfId="4380" xr:uid="{00000000-0005-0000-0000-00001C190000}"/>
    <cellStyle name="Normal 5 2 4 7 2 2" xfId="8603" xr:uid="{00000000-0005-0000-0000-00001D190000}"/>
    <cellStyle name="Normal 5 2 4 7 2 2 2" xfId="17045" xr:uid="{E9584A53-C426-4A4A-8B9C-1AEB092A6E3C}"/>
    <cellStyle name="Normal 5 2 4 7 2 2 3" xfId="25482" xr:uid="{04B07EE0-E134-4A77-A3D5-8060A7EDB7E4}"/>
    <cellStyle name="Normal 5 2 4 7 2 3" xfId="12827" xr:uid="{51F8746D-67A8-4734-9220-4FC583B6648D}"/>
    <cellStyle name="Normal 5 2 4 7 2 4" xfId="21265" xr:uid="{D3B055B7-44E3-4A7D-B935-73D512F7E2E7}"/>
    <cellStyle name="Normal 5 2 4 7 3" xfId="6458" xr:uid="{00000000-0005-0000-0000-00001E190000}"/>
    <cellStyle name="Normal 5 2 4 7 3 2" xfId="14900" xr:uid="{5B99E5C8-1A3E-40CD-8106-B27B8A9A7639}"/>
    <cellStyle name="Normal 5 2 4 7 3 3" xfId="23337" xr:uid="{99843EB6-F93D-4610-BDF5-ADF2DA0703B3}"/>
    <cellStyle name="Normal 5 2 4 7 4" xfId="10682" xr:uid="{D231BA21-07AB-4451-A920-F9DB139995C4}"/>
    <cellStyle name="Normal 5 2 4 7 5" xfId="19120" xr:uid="{AAD35985-0F3C-4C48-BAC6-222085305077}"/>
    <cellStyle name="Normal 5 2 4 8" xfId="2587" xr:uid="{00000000-0005-0000-0000-00001F190000}"/>
    <cellStyle name="Normal 5 2 4 8 2" xfId="6871" xr:uid="{00000000-0005-0000-0000-000020190000}"/>
    <cellStyle name="Normal 5 2 4 8 2 2" xfId="15313" xr:uid="{9FEB01A3-FEA3-44F0-B260-5A1B78AE7EE5}"/>
    <cellStyle name="Normal 5 2 4 8 2 3" xfId="23750" xr:uid="{6DD1E597-B14D-4EF9-A462-2402F2ECCE99}"/>
    <cellStyle name="Normal 5 2 4 8 3" xfId="11095" xr:uid="{64530AC1-9BBE-4AC8-8698-1FC6229C6678}"/>
    <cellStyle name="Normal 5 2 4 8 4" xfId="19533" xr:uid="{00C928BB-DE68-4288-88CD-F6EEAD2380CF}"/>
    <cellStyle name="Normal 5 2 4 9" xfId="4806" xr:uid="{00000000-0005-0000-0000-000021190000}"/>
    <cellStyle name="Normal 5 2 4 9 2" xfId="13248" xr:uid="{22E86D76-A268-421F-83DA-CE23EE45E1F3}"/>
    <cellStyle name="Normal 5 2 4 9 3" xfId="21685" xr:uid="{55680C50-1997-49A6-B10F-F092CEF586D6}"/>
    <cellStyle name="Normal 5 2 5" xfId="436" xr:uid="{00000000-0005-0000-0000-000022190000}"/>
    <cellStyle name="Normal 5 2 5 10" xfId="17472" xr:uid="{73634A14-1EC1-4985-A6A6-767C20C1A916}"/>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2 2 2" xfId="15811" xr:uid="{096FBC57-7DAF-4071-ABC7-CD4419F78C61}"/>
    <cellStyle name="Normal 5 2 5 2 2 2 2 3" xfId="24248" xr:uid="{36F16193-DB75-410A-BAE2-677B97E1D5FD}"/>
    <cellStyle name="Normal 5 2 5 2 2 2 3" xfId="11593" xr:uid="{CD9CDE51-B82B-422F-822C-11C7C834979D}"/>
    <cellStyle name="Normal 5 2 5 2 2 2 4" xfId="20031" xr:uid="{ABE50580-D55F-4717-9207-9FC17E7C61C6}"/>
    <cellStyle name="Normal 5 2 5 2 2 3" xfId="5224" xr:uid="{00000000-0005-0000-0000-000027190000}"/>
    <cellStyle name="Normal 5 2 5 2 2 3 2" xfId="13666" xr:uid="{3566999C-41E8-44E5-8ADA-9A8636D5EB2A}"/>
    <cellStyle name="Normal 5 2 5 2 2 3 3" xfId="22103" xr:uid="{989A7FC8-F565-46AB-AFEA-A059BF644D18}"/>
    <cellStyle name="Normal 5 2 5 2 2 4" xfId="9448" xr:uid="{D09B91D0-C006-46DC-8DB9-E737F46E61DC}"/>
    <cellStyle name="Normal 5 2 5 2 2 5" xfId="17886" xr:uid="{2CBB8A35-10B2-4BCA-876E-ECFB9154E4AD}"/>
    <cellStyle name="Normal 5 2 5 2 3" xfId="1329" xr:uid="{00000000-0005-0000-0000-000028190000}"/>
    <cellStyle name="Normal 5 2 5 2 3 2" xfId="3559" xr:uid="{00000000-0005-0000-0000-000029190000}"/>
    <cellStyle name="Normal 5 2 5 2 3 2 2" xfId="7782" xr:uid="{00000000-0005-0000-0000-00002A190000}"/>
    <cellStyle name="Normal 5 2 5 2 3 2 2 2" xfId="16224" xr:uid="{85511FBA-009F-4E89-BD05-DE7DA5BEFCE0}"/>
    <cellStyle name="Normal 5 2 5 2 3 2 2 3" xfId="24661" xr:uid="{C1102015-22BC-4357-A5B6-98983EA97D14}"/>
    <cellStyle name="Normal 5 2 5 2 3 2 3" xfId="12006" xr:uid="{EADAA58E-46A9-4FF5-8DA9-1955E113BCEA}"/>
    <cellStyle name="Normal 5 2 5 2 3 2 4" xfId="20444" xr:uid="{BB1B2BEF-97A6-4EBC-B263-5D7263F9FD8B}"/>
    <cellStyle name="Normal 5 2 5 2 3 3" xfId="5637" xr:uid="{00000000-0005-0000-0000-00002B190000}"/>
    <cellStyle name="Normal 5 2 5 2 3 3 2" xfId="14079" xr:uid="{AAB45E5C-BF88-419F-94EB-6B6B4B0716AB}"/>
    <cellStyle name="Normal 5 2 5 2 3 3 3" xfId="22516" xr:uid="{7F8DE493-F7F0-412A-BE2B-ACE43F7E9B80}"/>
    <cellStyle name="Normal 5 2 5 2 3 4" xfId="9861" xr:uid="{D4E0BF8B-DF38-4D26-A558-6F62E9FFD46C}"/>
    <cellStyle name="Normal 5 2 5 2 3 5" xfId="18299" xr:uid="{724DC66D-7EE6-46E4-A590-7FAE1EF12663}"/>
    <cellStyle name="Normal 5 2 5 2 4" xfId="1742" xr:uid="{00000000-0005-0000-0000-00002C190000}"/>
    <cellStyle name="Normal 5 2 5 2 4 2" xfId="3972" xr:uid="{00000000-0005-0000-0000-00002D190000}"/>
    <cellStyle name="Normal 5 2 5 2 4 2 2" xfId="8195" xr:uid="{00000000-0005-0000-0000-00002E190000}"/>
    <cellStyle name="Normal 5 2 5 2 4 2 2 2" xfId="16637" xr:uid="{21B79B55-BCFE-4395-BB6E-1CAC4659BBC1}"/>
    <cellStyle name="Normal 5 2 5 2 4 2 2 3" xfId="25074" xr:uid="{B9263838-3666-4E33-8D79-EF3188031ABF}"/>
    <cellStyle name="Normal 5 2 5 2 4 2 3" xfId="12419" xr:uid="{32218BA9-7B10-45DF-A7B7-75E7ED896C97}"/>
    <cellStyle name="Normal 5 2 5 2 4 2 4" xfId="20857" xr:uid="{23EEDAC9-2357-4414-B091-028D3521AB5C}"/>
    <cellStyle name="Normal 5 2 5 2 4 3" xfId="6050" xr:uid="{00000000-0005-0000-0000-00002F190000}"/>
    <cellStyle name="Normal 5 2 5 2 4 3 2" xfId="14492" xr:uid="{5AB28A18-082D-4F75-B7BA-9AA9624B9709}"/>
    <cellStyle name="Normal 5 2 5 2 4 3 3" xfId="22929" xr:uid="{5739575D-C4B4-4E16-81FF-719BEA54EF2F}"/>
    <cellStyle name="Normal 5 2 5 2 4 4" xfId="10274" xr:uid="{B26A0548-C071-4B08-9128-CBF87C8B5E4D}"/>
    <cellStyle name="Normal 5 2 5 2 4 5" xfId="18712" xr:uid="{7BBC28BC-09DC-45FB-A72F-E859814A4B38}"/>
    <cellStyle name="Normal 5 2 5 2 5" xfId="2156" xr:uid="{00000000-0005-0000-0000-000030190000}"/>
    <cellStyle name="Normal 5 2 5 2 5 2" xfId="4385" xr:uid="{00000000-0005-0000-0000-000031190000}"/>
    <cellStyle name="Normal 5 2 5 2 5 2 2" xfId="8608" xr:uid="{00000000-0005-0000-0000-000032190000}"/>
    <cellStyle name="Normal 5 2 5 2 5 2 2 2" xfId="17050" xr:uid="{1BB83741-6F79-4ED0-8E5A-56007472199B}"/>
    <cellStyle name="Normal 5 2 5 2 5 2 2 3" xfId="25487" xr:uid="{EB3EF4CC-46C3-4A9C-9DC7-62611198411D}"/>
    <cellStyle name="Normal 5 2 5 2 5 2 3" xfId="12832" xr:uid="{578EB468-E3A7-4D11-95FB-F802DB0CE149}"/>
    <cellStyle name="Normal 5 2 5 2 5 2 4" xfId="21270" xr:uid="{A08C0426-32A5-4E79-83E7-1890FC950D24}"/>
    <cellStyle name="Normal 5 2 5 2 5 3" xfId="6463" xr:uid="{00000000-0005-0000-0000-000033190000}"/>
    <cellStyle name="Normal 5 2 5 2 5 3 2" xfId="14905" xr:uid="{F5AB4E77-E78B-4895-AFEC-3776F6CE0E92}"/>
    <cellStyle name="Normal 5 2 5 2 5 3 3" xfId="23342" xr:uid="{69283493-772E-4EA2-8F16-E11DC59F0644}"/>
    <cellStyle name="Normal 5 2 5 2 5 4" xfId="10687" xr:uid="{84557885-F54B-4F18-A6B2-D260813BDB06}"/>
    <cellStyle name="Normal 5 2 5 2 5 5" xfId="19125" xr:uid="{7C81A3F3-1423-4E75-A5FE-EAFB8D92E119}"/>
    <cellStyle name="Normal 5 2 5 2 6" xfId="2592" xr:uid="{00000000-0005-0000-0000-000034190000}"/>
    <cellStyle name="Normal 5 2 5 2 6 2" xfId="6876" xr:uid="{00000000-0005-0000-0000-000035190000}"/>
    <cellStyle name="Normal 5 2 5 2 6 2 2" xfId="15318" xr:uid="{5FE8E301-090A-4C2C-92D1-6C1EC7CA81BB}"/>
    <cellStyle name="Normal 5 2 5 2 6 2 3" xfId="23755" xr:uid="{D454883B-8D63-4240-B145-54C03A14AA0C}"/>
    <cellStyle name="Normal 5 2 5 2 6 3" xfId="11100" xr:uid="{39220007-032F-4445-B961-A2098FB30922}"/>
    <cellStyle name="Normal 5 2 5 2 6 4" xfId="19538" xr:uid="{9EF7ABB4-07F5-4AC8-96CE-E4DC712001A4}"/>
    <cellStyle name="Normal 5 2 5 2 7" xfId="4811" xr:uid="{00000000-0005-0000-0000-000036190000}"/>
    <cellStyle name="Normal 5 2 5 2 7 2" xfId="13253" xr:uid="{9A70BCE6-DD4B-484B-AA32-C10F9F4A3308}"/>
    <cellStyle name="Normal 5 2 5 2 7 3" xfId="21690" xr:uid="{E74DB022-1BD6-4899-B522-FFD971B57D38}"/>
    <cellStyle name="Normal 5 2 5 2 8" xfId="9035" xr:uid="{43F6E707-659F-4856-B89D-5DDA7B821A7E}"/>
    <cellStyle name="Normal 5 2 5 2 9" xfId="17473" xr:uid="{280046D1-D63C-4A74-A5BB-DAECED401D41}"/>
    <cellStyle name="Normal 5 2 5 3" xfId="910" xr:uid="{00000000-0005-0000-0000-000037190000}"/>
    <cellStyle name="Normal 5 2 5 3 2" xfId="3145" xr:uid="{00000000-0005-0000-0000-000038190000}"/>
    <cellStyle name="Normal 5 2 5 3 2 2" xfId="7368" xr:uid="{00000000-0005-0000-0000-000039190000}"/>
    <cellStyle name="Normal 5 2 5 3 2 2 2" xfId="15810" xr:uid="{AA980CA1-335B-491A-B16F-5BD70FC95BAB}"/>
    <cellStyle name="Normal 5 2 5 3 2 2 3" xfId="24247" xr:uid="{58899A7E-6FF5-4019-A8F2-7EBE2CAFA875}"/>
    <cellStyle name="Normal 5 2 5 3 2 3" xfId="11592" xr:uid="{0FEF1997-9A14-4596-8E72-9450D3A1FB6A}"/>
    <cellStyle name="Normal 5 2 5 3 2 4" xfId="20030" xr:uid="{8888D2DD-61DF-4486-B37E-32FEA7DAE09E}"/>
    <cellStyle name="Normal 5 2 5 3 3" xfId="5223" xr:uid="{00000000-0005-0000-0000-00003A190000}"/>
    <cellStyle name="Normal 5 2 5 3 3 2" xfId="13665" xr:uid="{E960DBFC-374C-4D83-9CE9-BB369A140FAB}"/>
    <cellStyle name="Normal 5 2 5 3 3 3" xfId="22102" xr:uid="{D9C464FC-5FED-447F-A1EA-A0F3EFADCD28}"/>
    <cellStyle name="Normal 5 2 5 3 4" xfId="9447" xr:uid="{71DC4DD6-5F0F-4427-83AC-4C9263F47CC3}"/>
    <cellStyle name="Normal 5 2 5 3 5" xfId="17885" xr:uid="{55B8BC32-CF96-4A99-8DF1-B78734E86E6F}"/>
    <cellStyle name="Normal 5 2 5 4" xfId="1328" xr:uid="{00000000-0005-0000-0000-00003B190000}"/>
    <cellStyle name="Normal 5 2 5 4 2" xfId="3558" xr:uid="{00000000-0005-0000-0000-00003C190000}"/>
    <cellStyle name="Normal 5 2 5 4 2 2" xfId="7781" xr:uid="{00000000-0005-0000-0000-00003D190000}"/>
    <cellStyle name="Normal 5 2 5 4 2 2 2" xfId="16223" xr:uid="{941C764F-44B0-4ED7-9D53-38B5B36045CA}"/>
    <cellStyle name="Normal 5 2 5 4 2 2 3" xfId="24660" xr:uid="{11289A1A-1F66-4AD1-819B-60DF1E0B064C}"/>
    <cellStyle name="Normal 5 2 5 4 2 3" xfId="12005" xr:uid="{A449B4FE-62E6-4F30-87A5-000EF6515618}"/>
    <cellStyle name="Normal 5 2 5 4 2 4" xfId="20443" xr:uid="{A596DB71-8A14-42AC-9132-D81E8F5063A9}"/>
    <cellStyle name="Normal 5 2 5 4 3" xfId="5636" xr:uid="{00000000-0005-0000-0000-00003E190000}"/>
    <cellStyle name="Normal 5 2 5 4 3 2" xfId="14078" xr:uid="{E50BFC19-50E0-4401-9540-B2E969AEA5BD}"/>
    <cellStyle name="Normal 5 2 5 4 3 3" xfId="22515" xr:uid="{443C17AB-0599-4538-91DA-C1641AAE6BEE}"/>
    <cellStyle name="Normal 5 2 5 4 4" xfId="9860" xr:uid="{D033120C-FE91-4955-BA0D-925A473B1D81}"/>
    <cellStyle name="Normal 5 2 5 4 5" xfId="18298" xr:uid="{A50D9439-D709-4D3C-9644-0F3824F07BDA}"/>
    <cellStyle name="Normal 5 2 5 5" xfId="1741" xr:uid="{00000000-0005-0000-0000-00003F190000}"/>
    <cellStyle name="Normal 5 2 5 5 2" xfId="3971" xr:uid="{00000000-0005-0000-0000-000040190000}"/>
    <cellStyle name="Normal 5 2 5 5 2 2" xfId="8194" xr:uid="{00000000-0005-0000-0000-000041190000}"/>
    <cellStyle name="Normal 5 2 5 5 2 2 2" xfId="16636" xr:uid="{2744B06B-C2F7-4A83-B0DE-7301BF36A5D5}"/>
    <cellStyle name="Normal 5 2 5 5 2 2 3" xfId="25073" xr:uid="{1560FE7B-8F77-4511-8941-99019D5F3708}"/>
    <cellStyle name="Normal 5 2 5 5 2 3" xfId="12418" xr:uid="{D0EF7ABF-13DC-451B-9583-1D009A1F5781}"/>
    <cellStyle name="Normal 5 2 5 5 2 4" xfId="20856" xr:uid="{4298C8BC-C2F7-4729-AEFF-5ED992A50B3C}"/>
    <cellStyle name="Normal 5 2 5 5 3" xfId="6049" xr:uid="{00000000-0005-0000-0000-000042190000}"/>
    <cellStyle name="Normal 5 2 5 5 3 2" xfId="14491" xr:uid="{E69D074B-8048-4E10-A261-FBE7B8E5361B}"/>
    <cellStyle name="Normal 5 2 5 5 3 3" xfId="22928" xr:uid="{96B4E06E-408F-4850-A42B-8DF8C66AD1CD}"/>
    <cellStyle name="Normal 5 2 5 5 4" xfId="10273" xr:uid="{F29208A2-7ED5-4D42-A19D-A61A1B9DA459}"/>
    <cellStyle name="Normal 5 2 5 5 5" xfId="18711" xr:uid="{C753D355-4839-4E91-A9BC-68BD6BE32C29}"/>
    <cellStyle name="Normal 5 2 5 6" xfId="2155" xr:uid="{00000000-0005-0000-0000-000043190000}"/>
    <cellStyle name="Normal 5 2 5 6 2" xfId="4384" xr:uid="{00000000-0005-0000-0000-000044190000}"/>
    <cellStyle name="Normal 5 2 5 6 2 2" xfId="8607" xr:uid="{00000000-0005-0000-0000-000045190000}"/>
    <cellStyle name="Normal 5 2 5 6 2 2 2" xfId="17049" xr:uid="{AC700242-30A5-4C89-BA98-6C13BAC74646}"/>
    <cellStyle name="Normal 5 2 5 6 2 2 3" xfId="25486" xr:uid="{40460D4D-90CD-4520-A84E-05DE151E8B3E}"/>
    <cellStyle name="Normal 5 2 5 6 2 3" xfId="12831" xr:uid="{517A6263-EC2F-4D56-803C-8310144B881A}"/>
    <cellStyle name="Normal 5 2 5 6 2 4" xfId="21269" xr:uid="{5F41AE3F-D34C-4124-A267-6A159EEF660D}"/>
    <cellStyle name="Normal 5 2 5 6 3" xfId="6462" xr:uid="{00000000-0005-0000-0000-000046190000}"/>
    <cellStyle name="Normal 5 2 5 6 3 2" xfId="14904" xr:uid="{AFC84C79-3D2E-49CC-A0EE-06658F922D35}"/>
    <cellStyle name="Normal 5 2 5 6 3 3" xfId="23341" xr:uid="{1526F2A3-A653-4826-A77E-6CC0E3AFE0FC}"/>
    <cellStyle name="Normal 5 2 5 6 4" xfId="10686" xr:uid="{B0385725-DC7F-47F5-804C-0B7FC3487211}"/>
    <cellStyle name="Normal 5 2 5 6 5" xfId="19124" xr:uid="{E4274D5D-BA03-4612-885A-3946DA24F14C}"/>
    <cellStyle name="Normal 5 2 5 7" xfId="2591" xr:uid="{00000000-0005-0000-0000-000047190000}"/>
    <cellStyle name="Normal 5 2 5 7 2" xfId="6875" xr:uid="{00000000-0005-0000-0000-000048190000}"/>
    <cellStyle name="Normal 5 2 5 7 2 2" xfId="15317" xr:uid="{96C3B1B0-ACBF-41EE-9851-9D63CA192B4D}"/>
    <cellStyle name="Normal 5 2 5 7 2 3" xfId="23754" xr:uid="{96EB62CC-8AA8-40CD-AA5D-769934DA8B21}"/>
    <cellStyle name="Normal 5 2 5 7 3" xfId="11099" xr:uid="{A8826283-06E7-4C4B-A7A9-50FE4E971FE0}"/>
    <cellStyle name="Normal 5 2 5 7 4" xfId="19537" xr:uid="{D33021F6-FBD5-482E-A53D-35CA8322A177}"/>
    <cellStyle name="Normal 5 2 5 8" xfId="4810" xr:uid="{00000000-0005-0000-0000-000049190000}"/>
    <cellStyle name="Normal 5 2 5 8 2" xfId="13252" xr:uid="{57DD8E71-4CC9-4F85-A7CF-CB1989C653E5}"/>
    <cellStyle name="Normal 5 2 5 8 3" xfId="21689" xr:uid="{C619AF6F-84F7-4FB7-804A-481E462177A5}"/>
    <cellStyle name="Normal 5 2 5 9" xfId="9034" xr:uid="{57707CE3-CE0F-460A-A43D-8C80CAEB0A0E}"/>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2 2 2" xfId="15812" xr:uid="{DAFBCE1B-062B-4CFC-89FA-EC1F6C0B64A8}"/>
    <cellStyle name="Normal 5 2 6 2 2 2 3" xfId="24249" xr:uid="{2BE92002-84E9-4293-B234-70C514EDF677}"/>
    <cellStyle name="Normal 5 2 6 2 2 3" xfId="11594" xr:uid="{0502DC18-6137-4825-BE8C-80D4FC8BB777}"/>
    <cellStyle name="Normal 5 2 6 2 2 4" xfId="20032" xr:uid="{06B6FC21-6FC5-4254-8EE4-685ECDE00AC4}"/>
    <cellStyle name="Normal 5 2 6 2 3" xfId="5225" xr:uid="{00000000-0005-0000-0000-00004E190000}"/>
    <cellStyle name="Normal 5 2 6 2 3 2" xfId="13667" xr:uid="{42213ED4-CD0F-4EB1-9D89-2A8EE7632641}"/>
    <cellStyle name="Normal 5 2 6 2 3 3" xfId="22104" xr:uid="{102EB5C0-05FA-4148-8A8F-708D1AF87C18}"/>
    <cellStyle name="Normal 5 2 6 2 4" xfId="9449" xr:uid="{120E8DF4-FA15-411F-8EDC-8E0C1F21AF8D}"/>
    <cellStyle name="Normal 5 2 6 2 5" xfId="17887" xr:uid="{050BC3C1-148E-4779-8276-ED97CA51F22E}"/>
    <cellStyle name="Normal 5 2 6 3" xfId="1330" xr:uid="{00000000-0005-0000-0000-00004F190000}"/>
    <cellStyle name="Normal 5 2 6 3 2" xfId="3560" xr:uid="{00000000-0005-0000-0000-000050190000}"/>
    <cellStyle name="Normal 5 2 6 3 2 2" xfId="7783" xr:uid="{00000000-0005-0000-0000-000051190000}"/>
    <cellStyle name="Normal 5 2 6 3 2 2 2" xfId="16225" xr:uid="{67CBC637-E0EA-45E1-87CE-95C443508BBC}"/>
    <cellStyle name="Normal 5 2 6 3 2 2 3" xfId="24662" xr:uid="{3C8BD42E-9D35-4486-99D1-5DC024F33AC2}"/>
    <cellStyle name="Normal 5 2 6 3 2 3" xfId="12007" xr:uid="{58441F2A-9404-4007-883E-E2169238CA78}"/>
    <cellStyle name="Normal 5 2 6 3 2 4" xfId="20445" xr:uid="{6768EA91-D8DA-479F-B7F3-E028F475733C}"/>
    <cellStyle name="Normal 5 2 6 3 3" xfId="5638" xr:uid="{00000000-0005-0000-0000-000052190000}"/>
    <cellStyle name="Normal 5 2 6 3 3 2" xfId="14080" xr:uid="{BF61D6A4-ADEA-4075-B4D0-4C219C1E1242}"/>
    <cellStyle name="Normal 5 2 6 3 3 3" xfId="22517" xr:uid="{7DF9C4C7-BC76-4E15-A98D-2F0513668054}"/>
    <cellStyle name="Normal 5 2 6 3 4" xfId="9862" xr:uid="{9F6250B2-B7F4-432B-86F2-418CA4DD7B1A}"/>
    <cellStyle name="Normal 5 2 6 3 5" xfId="18300" xr:uid="{8994D58F-CF8B-4980-A23D-291D8D6EEF06}"/>
    <cellStyle name="Normal 5 2 6 4" xfId="1743" xr:uid="{00000000-0005-0000-0000-000053190000}"/>
    <cellStyle name="Normal 5 2 6 4 2" xfId="3973" xr:uid="{00000000-0005-0000-0000-000054190000}"/>
    <cellStyle name="Normal 5 2 6 4 2 2" xfId="8196" xr:uid="{00000000-0005-0000-0000-000055190000}"/>
    <cellStyle name="Normal 5 2 6 4 2 2 2" xfId="16638" xr:uid="{D3607474-7A34-4AC4-ABB3-FFCF38BEE6A1}"/>
    <cellStyle name="Normal 5 2 6 4 2 2 3" xfId="25075" xr:uid="{71BC7F22-950C-4989-B678-719957F049B1}"/>
    <cellStyle name="Normal 5 2 6 4 2 3" xfId="12420" xr:uid="{9CA76C32-05CD-42CB-92DE-1E5B61237843}"/>
    <cellStyle name="Normal 5 2 6 4 2 4" xfId="20858" xr:uid="{15225048-82E2-46B6-94A4-44772067D504}"/>
    <cellStyle name="Normal 5 2 6 4 3" xfId="6051" xr:uid="{00000000-0005-0000-0000-000056190000}"/>
    <cellStyle name="Normal 5 2 6 4 3 2" xfId="14493" xr:uid="{59FDBD43-52C0-4659-9647-FFF98AB96211}"/>
    <cellStyle name="Normal 5 2 6 4 3 3" xfId="22930" xr:uid="{76B6E22A-AA4B-43B1-B51F-32D88D896470}"/>
    <cellStyle name="Normal 5 2 6 4 4" xfId="10275" xr:uid="{7D09193E-9848-45E1-A80E-3DD829216A3C}"/>
    <cellStyle name="Normal 5 2 6 4 5" xfId="18713" xr:uid="{044F9BD5-F3C5-46CC-8761-9BF39BC05006}"/>
    <cellStyle name="Normal 5 2 6 5" xfId="2157" xr:uid="{00000000-0005-0000-0000-000057190000}"/>
    <cellStyle name="Normal 5 2 6 5 2" xfId="4386" xr:uid="{00000000-0005-0000-0000-000058190000}"/>
    <cellStyle name="Normal 5 2 6 5 2 2" xfId="8609" xr:uid="{00000000-0005-0000-0000-000059190000}"/>
    <cellStyle name="Normal 5 2 6 5 2 2 2" xfId="17051" xr:uid="{897FB8B1-30CD-4FC0-A41C-2599FC26F1EF}"/>
    <cellStyle name="Normal 5 2 6 5 2 2 3" xfId="25488" xr:uid="{75C0C4F6-1B12-44C1-8568-6AB1AE328C5F}"/>
    <cellStyle name="Normal 5 2 6 5 2 3" xfId="12833" xr:uid="{D91CFDE2-9F7A-4BAC-89BA-18098A1487D6}"/>
    <cellStyle name="Normal 5 2 6 5 2 4" xfId="21271" xr:uid="{039A51C3-503A-4C7E-B07A-652167D3CD40}"/>
    <cellStyle name="Normal 5 2 6 5 3" xfId="6464" xr:uid="{00000000-0005-0000-0000-00005A190000}"/>
    <cellStyle name="Normal 5 2 6 5 3 2" xfId="14906" xr:uid="{B0E08325-3C9C-4861-9496-8FEA3A8910D4}"/>
    <cellStyle name="Normal 5 2 6 5 3 3" xfId="23343" xr:uid="{E4CB2F3A-6FCF-4494-BB1D-5517967FCC1E}"/>
    <cellStyle name="Normal 5 2 6 5 4" xfId="10688" xr:uid="{BBB6B8E1-BA7E-4610-9C56-D8FA30343491}"/>
    <cellStyle name="Normal 5 2 6 5 5" xfId="19126" xr:uid="{27E78275-A475-41F0-B8C4-65C875976410}"/>
    <cellStyle name="Normal 5 2 6 6" xfId="2593" xr:uid="{00000000-0005-0000-0000-00005B190000}"/>
    <cellStyle name="Normal 5 2 6 6 2" xfId="6877" xr:uid="{00000000-0005-0000-0000-00005C190000}"/>
    <cellStyle name="Normal 5 2 6 6 2 2" xfId="15319" xr:uid="{AB9BCD90-F6FB-4F7D-9CDA-6103896007A3}"/>
    <cellStyle name="Normal 5 2 6 6 2 3" xfId="23756" xr:uid="{C43D8F24-9937-49BE-9D9A-BDE077194579}"/>
    <cellStyle name="Normal 5 2 6 6 3" xfId="11101" xr:uid="{0F235AE7-8ECB-43F7-A5A8-107CBFFD1EAD}"/>
    <cellStyle name="Normal 5 2 6 6 4" xfId="19539" xr:uid="{C8D92722-F813-472B-A683-DCC1FC223B2C}"/>
    <cellStyle name="Normal 5 2 6 7" xfId="4812" xr:uid="{00000000-0005-0000-0000-00005D190000}"/>
    <cellStyle name="Normal 5 2 6 7 2" xfId="13254" xr:uid="{70AD2EA0-4FA1-4041-B11B-9D50AD53CB37}"/>
    <cellStyle name="Normal 5 2 6 7 3" xfId="21691" xr:uid="{A01DF799-1E01-4981-AACB-C7CEFABED2EB}"/>
    <cellStyle name="Normal 5 2 6 8" xfId="9036" xr:uid="{E9A25C84-8325-4655-AFF6-088D71877590}"/>
    <cellStyle name="Normal 5 2 6 9" xfId="17474" xr:uid="{504F7834-1A34-46B6-B80D-C060D7A4A4B7}"/>
    <cellStyle name="Normal 5 2 7" xfId="881" xr:uid="{00000000-0005-0000-0000-00005E190000}"/>
    <cellStyle name="Normal 5 2 7 2" xfId="3116" xr:uid="{00000000-0005-0000-0000-00005F190000}"/>
    <cellStyle name="Normal 5 2 7 2 2" xfId="7339" xr:uid="{00000000-0005-0000-0000-000060190000}"/>
    <cellStyle name="Normal 5 2 7 2 2 2" xfId="15781" xr:uid="{EA659386-E746-4A6A-A5AC-2B252247F5C8}"/>
    <cellStyle name="Normal 5 2 7 2 2 3" xfId="24218" xr:uid="{793DCFC7-13ED-46EE-BE99-8177738E2CB6}"/>
    <cellStyle name="Normal 5 2 7 2 3" xfId="11563" xr:uid="{883DDCDF-5278-4188-97F2-C27133B5A08F}"/>
    <cellStyle name="Normal 5 2 7 2 4" xfId="20001" xr:uid="{8D381CE2-DED1-4CDC-892B-7AF8E71954E6}"/>
    <cellStyle name="Normal 5 2 7 3" xfId="5194" xr:uid="{00000000-0005-0000-0000-000061190000}"/>
    <cellStyle name="Normal 5 2 7 3 2" xfId="13636" xr:uid="{5F8BCEB5-F8FE-4B43-818C-873C79ABEB1F}"/>
    <cellStyle name="Normal 5 2 7 3 3" xfId="22073" xr:uid="{42030CB7-B4EC-4006-BA3C-773AE3D08A99}"/>
    <cellStyle name="Normal 5 2 7 4" xfId="9418" xr:uid="{782D292C-2B36-4AE9-BB47-3065C01C495C}"/>
    <cellStyle name="Normal 5 2 7 5" xfId="17856" xr:uid="{6DED3D3E-E706-4ECC-9DE3-27D1BCC09570}"/>
    <cellStyle name="Normal 5 2 8" xfId="1299" xr:uid="{00000000-0005-0000-0000-000062190000}"/>
    <cellStyle name="Normal 5 2 8 2" xfId="3529" xr:uid="{00000000-0005-0000-0000-000063190000}"/>
    <cellStyle name="Normal 5 2 8 2 2" xfId="7752" xr:uid="{00000000-0005-0000-0000-000064190000}"/>
    <cellStyle name="Normal 5 2 8 2 2 2" xfId="16194" xr:uid="{F40B23C6-32DE-4C34-A38E-7A951774E084}"/>
    <cellStyle name="Normal 5 2 8 2 2 3" xfId="24631" xr:uid="{12B92F81-8194-44E4-9232-504FE26B7D64}"/>
    <cellStyle name="Normal 5 2 8 2 3" xfId="11976" xr:uid="{F3323E26-C109-4588-A99F-FB919A737E32}"/>
    <cellStyle name="Normal 5 2 8 2 4" xfId="20414" xr:uid="{803E4FA0-EE6F-4301-9F73-2A6ECBC8076D}"/>
    <cellStyle name="Normal 5 2 8 3" xfId="5607" xr:uid="{00000000-0005-0000-0000-000065190000}"/>
    <cellStyle name="Normal 5 2 8 3 2" xfId="14049" xr:uid="{F48E369F-F96C-458B-ACD5-45DCB2F23E34}"/>
    <cellStyle name="Normal 5 2 8 3 3" xfId="22486" xr:uid="{FFDC1BED-5B50-4FD4-AA9E-683D1015863A}"/>
    <cellStyle name="Normal 5 2 8 4" xfId="9831" xr:uid="{B183879E-7BAC-4E0C-A50E-F46659374B60}"/>
    <cellStyle name="Normal 5 2 8 5" xfId="18269" xr:uid="{397E0CC4-A6F4-4059-8880-401D2411FFC7}"/>
    <cellStyle name="Normal 5 2 9" xfId="1712" xr:uid="{00000000-0005-0000-0000-000066190000}"/>
    <cellStyle name="Normal 5 2 9 2" xfId="3942" xr:uid="{00000000-0005-0000-0000-000067190000}"/>
    <cellStyle name="Normal 5 2 9 2 2" xfId="8165" xr:uid="{00000000-0005-0000-0000-000068190000}"/>
    <cellStyle name="Normal 5 2 9 2 2 2" xfId="16607" xr:uid="{D33A183A-B382-4811-B8F2-38C7CAAAA733}"/>
    <cellStyle name="Normal 5 2 9 2 2 3" xfId="25044" xr:uid="{CB546535-499F-4805-AB67-6FB347B67605}"/>
    <cellStyle name="Normal 5 2 9 2 3" xfId="12389" xr:uid="{885E888F-B809-4811-86B8-8FBE079EEDD7}"/>
    <cellStyle name="Normal 5 2 9 2 4" xfId="20827" xr:uid="{D781D2E8-0DE4-4D53-B909-66F826091AA7}"/>
    <cellStyle name="Normal 5 2 9 3" xfId="6020" xr:uid="{00000000-0005-0000-0000-000069190000}"/>
    <cellStyle name="Normal 5 2 9 3 2" xfId="14462" xr:uid="{929591CD-66A7-4AD0-BD19-206A482CE8B5}"/>
    <cellStyle name="Normal 5 2 9 3 3" xfId="22899" xr:uid="{DEB66BFA-E5DF-48B4-9DA1-30DEC13E9EDD}"/>
    <cellStyle name="Normal 5 2 9 4" xfId="10244" xr:uid="{15B41D57-35EB-40C0-8DCB-E40190D3B751}"/>
    <cellStyle name="Normal 5 2 9 5" xfId="18682" xr:uid="{34E05C8D-4FEE-4A3A-BA20-C5D9F2C5DAFF}"/>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2 2 2" xfId="17052" xr:uid="{227C08AC-8156-44E1-82F3-A4E6121DEED0}"/>
    <cellStyle name="Normal 5 3 10 2 2 3" xfId="25489" xr:uid="{FF9966FD-2BFC-4873-9D59-010B1B2D9CBE}"/>
    <cellStyle name="Normal 5 3 10 2 3" xfId="12834" xr:uid="{003532C6-560A-4057-8F58-D289FA12E8B5}"/>
    <cellStyle name="Normal 5 3 10 2 4" xfId="21272" xr:uid="{F908292B-C0D4-45CE-AB27-EEE9848F1566}"/>
    <cellStyle name="Normal 5 3 10 3" xfId="6465" xr:uid="{00000000-0005-0000-0000-00006E190000}"/>
    <cellStyle name="Normal 5 3 10 3 2" xfId="14907" xr:uid="{B3589411-71F1-4725-A2D6-E3826E33BF57}"/>
    <cellStyle name="Normal 5 3 10 3 3" xfId="23344" xr:uid="{D8840C2E-4361-4252-8CFA-4929E733FEB7}"/>
    <cellStyle name="Normal 5 3 10 4" xfId="10689" xr:uid="{0741681D-9F3B-49E8-9C09-5BCD5D6FB49A}"/>
    <cellStyle name="Normal 5 3 10 5" xfId="19127" xr:uid="{07A89494-5BD7-4B84-815E-E730A63D1AED}"/>
    <cellStyle name="Normal 5 3 11" xfId="2594" xr:uid="{00000000-0005-0000-0000-00006F190000}"/>
    <cellStyle name="Normal 5 3 11 2" xfId="6878" xr:uid="{00000000-0005-0000-0000-000070190000}"/>
    <cellStyle name="Normal 5 3 11 2 2" xfId="15320" xr:uid="{36D456B0-1E3D-4245-A9E4-D8214F8B9487}"/>
    <cellStyle name="Normal 5 3 11 2 3" xfId="23757" xr:uid="{756A5ECB-A3A9-4EDB-B521-1302EA096084}"/>
    <cellStyle name="Normal 5 3 11 3" xfId="11102" xr:uid="{8E0893EA-0848-47F4-9571-8BEF157053B8}"/>
    <cellStyle name="Normal 5 3 11 4" xfId="19540" xr:uid="{2193BCDC-7CDC-4492-AC4C-58480F76477F}"/>
    <cellStyle name="Normal 5 3 12" xfId="4813" xr:uid="{00000000-0005-0000-0000-000071190000}"/>
    <cellStyle name="Normal 5 3 12 2" xfId="13255" xr:uid="{20E94DD2-DC72-4E47-9106-3382CDF79232}"/>
    <cellStyle name="Normal 5 3 12 3" xfId="21692" xr:uid="{E9DE8A47-D629-4CF5-903C-5CD0F0137317}"/>
    <cellStyle name="Normal 5 3 13" xfId="9037" xr:uid="{E100E6AE-FF91-4006-A78B-3F4E00BF7016}"/>
    <cellStyle name="Normal 5 3 14" xfId="17475" xr:uid="{C0E0F786-1F89-4801-A13D-9475485C462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10 2" xfId="13256" xr:uid="{9F2C67A1-6086-48F0-B68F-14F6D432C8CC}"/>
    <cellStyle name="Normal 5 3 3 10 3" xfId="21693" xr:uid="{424DBF0E-374D-41FC-A9B6-D816F45C572B}"/>
    <cellStyle name="Normal 5 3 3 11" xfId="9038" xr:uid="{A479EB54-E1CA-497E-A165-0075EAB58C40}"/>
    <cellStyle name="Normal 5 3 3 12" xfId="17476" xr:uid="{CA9F4D7E-15E9-4D8E-AD42-306FD4182CD7}"/>
    <cellStyle name="Normal 5 3 3 2" xfId="442" xr:uid="{00000000-0005-0000-0000-000076190000}"/>
    <cellStyle name="Normal 5 3 3 2 10" xfId="9039" xr:uid="{60ADA8A7-C315-4C52-9932-8A4828B66EE3}"/>
    <cellStyle name="Normal 5 3 3 2 11" xfId="17477" xr:uid="{209F9BA7-5346-44CA-9C13-1234F83F1A3E}"/>
    <cellStyle name="Normal 5 3 3 2 2" xfId="443" xr:uid="{00000000-0005-0000-0000-000077190000}"/>
    <cellStyle name="Normal 5 3 3 2 2 10" xfId="17478" xr:uid="{0423584F-93F7-462C-809A-027F721F7FE3}"/>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2 2 2" xfId="15817" xr:uid="{9142A946-FCF3-463A-8FE8-F1227159509F}"/>
    <cellStyle name="Normal 5 3 3 2 2 2 2 2 2 3" xfId="24254" xr:uid="{E8C84DEC-697D-4D53-B479-4D0C7CF144F4}"/>
    <cellStyle name="Normal 5 3 3 2 2 2 2 2 3" xfId="11599" xr:uid="{33F049F9-AF53-4BDE-8516-870FA2E424D1}"/>
    <cellStyle name="Normal 5 3 3 2 2 2 2 2 4" xfId="20037" xr:uid="{E48459AE-66D5-46AF-A178-6E5DD7D4B848}"/>
    <cellStyle name="Normal 5 3 3 2 2 2 2 3" xfId="5230" xr:uid="{00000000-0005-0000-0000-00007C190000}"/>
    <cellStyle name="Normal 5 3 3 2 2 2 2 3 2" xfId="13672" xr:uid="{49B9E24A-FD09-4B5C-9ACA-B39BF4A89854}"/>
    <cellStyle name="Normal 5 3 3 2 2 2 2 3 3" xfId="22109" xr:uid="{198E2AC8-BF4E-4107-8C97-904779756AA9}"/>
    <cellStyle name="Normal 5 3 3 2 2 2 2 4" xfId="9454" xr:uid="{F8890D7B-907C-45E4-9BF9-93B9E0037ABF}"/>
    <cellStyle name="Normal 5 3 3 2 2 2 2 5" xfId="17892" xr:uid="{A1F40352-EAE3-450D-AF31-465B3C174E8B}"/>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2 2 2" xfId="16230" xr:uid="{B485B268-2EC1-4D74-8948-75E153D952CF}"/>
    <cellStyle name="Normal 5 3 3 2 2 2 3 2 2 3" xfId="24667" xr:uid="{05C2C27D-DBDE-46F4-BD4E-3714999EEED3}"/>
    <cellStyle name="Normal 5 3 3 2 2 2 3 2 3" xfId="12012" xr:uid="{F3C52CC4-C4E6-4D2F-95F5-B83C014D2544}"/>
    <cellStyle name="Normal 5 3 3 2 2 2 3 2 4" xfId="20450" xr:uid="{A426672B-8675-4AFC-9FB8-89197EF5BB5D}"/>
    <cellStyle name="Normal 5 3 3 2 2 2 3 3" xfId="5643" xr:uid="{00000000-0005-0000-0000-000080190000}"/>
    <cellStyle name="Normal 5 3 3 2 2 2 3 3 2" xfId="14085" xr:uid="{72E66566-D0A8-43C0-9FED-61D6665BC076}"/>
    <cellStyle name="Normal 5 3 3 2 2 2 3 3 3" xfId="22522" xr:uid="{FD4DA88A-6343-4FF9-8D80-5CBEA1FFEA63}"/>
    <cellStyle name="Normal 5 3 3 2 2 2 3 4" xfId="9867" xr:uid="{105D4E51-F6AD-4F1F-98D4-D6FAE8FFDAFD}"/>
    <cellStyle name="Normal 5 3 3 2 2 2 3 5" xfId="18305" xr:uid="{BA43FFA3-960C-4905-AE77-CB872790BF96}"/>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2 2 2" xfId="16643" xr:uid="{B996F023-E5BD-4AAC-9AE3-1E37049EB200}"/>
    <cellStyle name="Normal 5 3 3 2 2 2 4 2 2 3" xfId="25080" xr:uid="{9188C1A7-440B-47DD-8CC4-99667172D5B8}"/>
    <cellStyle name="Normal 5 3 3 2 2 2 4 2 3" xfId="12425" xr:uid="{F3FB6980-1B9A-4CEA-9392-5DAD270D38EA}"/>
    <cellStyle name="Normal 5 3 3 2 2 2 4 2 4" xfId="20863" xr:uid="{68EFA7BD-5519-4224-88A5-DB04382619EC}"/>
    <cellStyle name="Normal 5 3 3 2 2 2 4 3" xfId="6056" xr:uid="{00000000-0005-0000-0000-000084190000}"/>
    <cellStyle name="Normal 5 3 3 2 2 2 4 3 2" xfId="14498" xr:uid="{DA473A34-208F-4AD7-A7A5-2A2B103B8F84}"/>
    <cellStyle name="Normal 5 3 3 2 2 2 4 3 3" xfId="22935" xr:uid="{80F97306-8D48-4C20-B48A-AE787967A106}"/>
    <cellStyle name="Normal 5 3 3 2 2 2 4 4" xfId="10280" xr:uid="{E6EF4D79-D4FB-4FFB-9031-6217D5E4B5F9}"/>
    <cellStyle name="Normal 5 3 3 2 2 2 4 5" xfId="18718" xr:uid="{284879DC-3737-46FA-AA55-E731A80D7887}"/>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2 2 2" xfId="17056" xr:uid="{64197C7C-3119-4E7F-927D-676DD56CAC81}"/>
    <cellStyle name="Normal 5 3 3 2 2 2 5 2 2 3" xfId="25493" xr:uid="{4EE0ACB2-4891-49BB-909F-49732DB6A9FA}"/>
    <cellStyle name="Normal 5 3 3 2 2 2 5 2 3" xfId="12838" xr:uid="{3A03DD71-A0BE-4060-938C-694F8DF4C6AB}"/>
    <cellStyle name="Normal 5 3 3 2 2 2 5 2 4" xfId="21276" xr:uid="{E0A1D4CC-5132-42E7-B007-4075E45A09A2}"/>
    <cellStyle name="Normal 5 3 3 2 2 2 5 3" xfId="6469" xr:uid="{00000000-0005-0000-0000-000088190000}"/>
    <cellStyle name="Normal 5 3 3 2 2 2 5 3 2" xfId="14911" xr:uid="{F42432C6-97A7-48FA-B384-E19D8A72E1D8}"/>
    <cellStyle name="Normal 5 3 3 2 2 2 5 3 3" xfId="23348" xr:uid="{8A0BF351-ADB8-4B53-B115-B3A24F9B8A98}"/>
    <cellStyle name="Normal 5 3 3 2 2 2 5 4" xfId="10693" xr:uid="{796E00A3-6FC8-45B8-AE78-1F96AF8FCF5A}"/>
    <cellStyle name="Normal 5 3 3 2 2 2 5 5" xfId="19131" xr:uid="{85488479-CE37-486A-9D89-18A7A218D6E9}"/>
    <cellStyle name="Normal 5 3 3 2 2 2 6" xfId="2598" xr:uid="{00000000-0005-0000-0000-000089190000}"/>
    <cellStyle name="Normal 5 3 3 2 2 2 6 2" xfId="6882" xr:uid="{00000000-0005-0000-0000-00008A190000}"/>
    <cellStyle name="Normal 5 3 3 2 2 2 6 2 2" xfId="15324" xr:uid="{9E2814AC-26D5-462B-B3D2-06263C4FB58B}"/>
    <cellStyle name="Normal 5 3 3 2 2 2 6 2 3" xfId="23761" xr:uid="{AE50A16D-F73E-456E-8E50-E11DCED3753B}"/>
    <cellStyle name="Normal 5 3 3 2 2 2 6 3" xfId="11106" xr:uid="{2ED8AEE5-8D39-4518-8D61-8026D333F428}"/>
    <cellStyle name="Normal 5 3 3 2 2 2 6 4" xfId="19544" xr:uid="{95BA83D1-ED2D-4424-9D1A-4D30A9CDFA5B}"/>
    <cellStyle name="Normal 5 3 3 2 2 2 7" xfId="4817" xr:uid="{00000000-0005-0000-0000-00008B190000}"/>
    <cellStyle name="Normal 5 3 3 2 2 2 7 2" xfId="13259" xr:uid="{945CC719-0907-4D8E-B8DF-75B1DA22C7DE}"/>
    <cellStyle name="Normal 5 3 3 2 2 2 7 3" xfId="21696" xr:uid="{C6C4AA6E-B832-405B-AEB7-E609DA41FF7B}"/>
    <cellStyle name="Normal 5 3 3 2 2 2 8" xfId="9041" xr:uid="{B9CB2C6C-40EF-4D25-ABD2-044E2DCE8C0C}"/>
    <cellStyle name="Normal 5 3 3 2 2 2 9" xfId="17479" xr:uid="{9801787D-6D4C-48F1-A5C2-855AD1CCA304}"/>
    <cellStyle name="Normal 5 3 3 2 2 3" xfId="917" xr:uid="{00000000-0005-0000-0000-00008C190000}"/>
    <cellStyle name="Normal 5 3 3 2 2 3 2" xfId="3151" xr:uid="{00000000-0005-0000-0000-00008D190000}"/>
    <cellStyle name="Normal 5 3 3 2 2 3 2 2" xfId="7374" xr:uid="{00000000-0005-0000-0000-00008E190000}"/>
    <cellStyle name="Normal 5 3 3 2 2 3 2 2 2" xfId="15816" xr:uid="{F9C80056-2163-4155-9248-8AEF293C327B}"/>
    <cellStyle name="Normal 5 3 3 2 2 3 2 2 3" xfId="24253" xr:uid="{DC00D133-DA0E-4EF2-ADDB-51869B451496}"/>
    <cellStyle name="Normal 5 3 3 2 2 3 2 3" xfId="11598" xr:uid="{A846A7D6-1481-4906-8A05-8594983F783A}"/>
    <cellStyle name="Normal 5 3 3 2 2 3 2 4" xfId="20036" xr:uid="{D3089082-4C7D-48CA-B959-3E8E721CBB72}"/>
    <cellStyle name="Normal 5 3 3 2 2 3 3" xfId="5229" xr:uid="{00000000-0005-0000-0000-00008F190000}"/>
    <cellStyle name="Normal 5 3 3 2 2 3 3 2" xfId="13671" xr:uid="{6C3095FF-AF41-4469-BE26-7269488209B2}"/>
    <cellStyle name="Normal 5 3 3 2 2 3 3 3" xfId="22108" xr:uid="{F73B8A93-F6C8-4D59-AFA7-63BFDC6DCA3E}"/>
    <cellStyle name="Normal 5 3 3 2 2 3 4" xfId="9453" xr:uid="{FE8EBC88-F502-4591-8C1B-D3D14B1881FD}"/>
    <cellStyle name="Normal 5 3 3 2 2 3 5" xfId="17891" xr:uid="{0C0C1AE5-02AD-461C-BEF8-579648E6F108}"/>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2 2 2" xfId="16229" xr:uid="{A1EBAC61-A9B2-4EF6-A5A8-715FBD9F2AB3}"/>
    <cellStyle name="Normal 5 3 3 2 2 4 2 2 3" xfId="24666" xr:uid="{6F85C73E-538E-49FC-8843-F506F3E1636C}"/>
    <cellStyle name="Normal 5 3 3 2 2 4 2 3" xfId="12011" xr:uid="{E1283564-D6DC-4788-A758-A3CA2358CBDB}"/>
    <cellStyle name="Normal 5 3 3 2 2 4 2 4" xfId="20449" xr:uid="{E07A0C35-91B5-451A-BDCF-0986E91A8584}"/>
    <cellStyle name="Normal 5 3 3 2 2 4 3" xfId="5642" xr:uid="{00000000-0005-0000-0000-000093190000}"/>
    <cellStyle name="Normal 5 3 3 2 2 4 3 2" xfId="14084" xr:uid="{B55981DF-2D28-451F-8CC3-53D18E3F021B}"/>
    <cellStyle name="Normal 5 3 3 2 2 4 3 3" xfId="22521" xr:uid="{C8439EF7-A976-4440-A71A-AB22D89B4F1E}"/>
    <cellStyle name="Normal 5 3 3 2 2 4 4" xfId="9866" xr:uid="{015CCA3E-807B-4946-939C-450A36DBF6AF}"/>
    <cellStyle name="Normal 5 3 3 2 2 4 5" xfId="18304" xr:uid="{85CC0563-460F-4CDC-AE01-D3529C9F0A5B}"/>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2 2 2" xfId="16642" xr:uid="{7F809400-83A3-46CB-A75A-78D15DF4E99A}"/>
    <cellStyle name="Normal 5 3 3 2 2 5 2 2 3" xfId="25079" xr:uid="{88E83794-87F7-4A39-B1EB-2281C4693D58}"/>
    <cellStyle name="Normal 5 3 3 2 2 5 2 3" xfId="12424" xr:uid="{CB1FAFFA-91E1-41E6-9CED-27CE833711D8}"/>
    <cellStyle name="Normal 5 3 3 2 2 5 2 4" xfId="20862" xr:uid="{A3D86696-2733-45D7-9AD4-2735E64C5972}"/>
    <cellStyle name="Normal 5 3 3 2 2 5 3" xfId="6055" xr:uid="{00000000-0005-0000-0000-000097190000}"/>
    <cellStyle name="Normal 5 3 3 2 2 5 3 2" xfId="14497" xr:uid="{498E40F4-297E-4CD5-BA32-5AC047704485}"/>
    <cellStyle name="Normal 5 3 3 2 2 5 3 3" xfId="22934" xr:uid="{5E670726-F7AB-4D8D-9B42-5C6725B67A4D}"/>
    <cellStyle name="Normal 5 3 3 2 2 5 4" xfId="10279" xr:uid="{BA7A918A-CD73-4F67-9193-59FFCE26EFC6}"/>
    <cellStyle name="Normal 5 3 3 2 2 5 5" xfId="18717" xr:uid="{F478633A-FBD5-437D-8A63-AC176798BDAD}"/>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2 2 2" xfId="17055" xr:uid="{5F114BB0-86C4-4C6E-88CD-BF4C63ACF228}"/>
    <cellStyle name="Normal 5 3 3 2 2 6 2 2 3" xfId="25492" xr:uid="{71A07854-A385-4C18-A122-90E28A5B89F0}"/>
    <cellStyle name="Normal 5 3 3 2 2 6 2 3" xfId="12837" xr:uid="{0A513381-A894-45B6-B588-B45AC8661063}"/>
    <cellStyle name="Normal 5 3 3 2 2 6 2 4" xfId="21275" xr:uid="{A8D01C01-DD37-40CB-92BD-17FB7254EDB1}"/>
    <cellStyle name="Normal 5 3 3 2 2 6 3" xfId="6468" xr:uid="{00000000-0005-0000-0000-00009B190000}"/>
    <cellStyle name="Normal 5 3 3 2 2 6 3 2" xfId="14910" xr:uid="{26B5C8BD-75D1-40B7-95BA-0D5E197B8BEB}"/>
    <cellStyle name="Normal 5 3 3 2 2 6 3 3" xfId="23347" xr:uid="{EA57EAE5-C78D-4652-829C-8C4ED9BFE946}"/>
    <cellStyle name="Normal 5 3 3 2 2 6 4" xfId="10692" xr:uid="{6EE13E28-68A7-455F-9EF5-81B4687B7648}"/>
    <cellStyle name="Normal 5 3 3 2 2 6 5" xfId="19130" xr:uid="{AED08208-B611-4FFB-829B-6601053BC3FC}"/>
    <cellStyle name="Normal 5 3 3 2 2 7" xfId="2597" xr:uid="{00000000-0005-0000-0000-00009C190000}"/>
    <cellStyle name="Normal 5 3 3 2 2 7 2" xfId="6881" xr:uid="{00000000-0005-0000-0000-00009D190000}"/>
    <cellStyle name="Normal 5 3 3 2 2 7 2 2" xfId="15323" xr:uid="{5C7B0840-A31E-414F-8326-82C3C2EC5146}"/>
    <cellStyle name="Normal 5 3 3 2 2 7 2 3" xfId="23760" xr:uid="{F240ABB7-7929-40C6-A951-E93B71F5B77A}"/>
    <cellStyle name="Normal 5 3 3 2 2 7 3" xfId="11105" xr:uid="{C6DA687F-9A6C-4520-8933-B828FA3028D6}"/>
    <cellStyle name="Normal 5 3 3 2 2 7 4" xfId="19543" xr:uid="{6EF464D9-77B0-428E-A178-33F5354FAB50}"/>
    <cellStyle name="Normal 5 3 3 2 2 8" xfId="4816" xr:uid="{00000000-0005-0000-0000-00009E190000}"/>
    <cellStyle name="Normal 5 3 3 2 2 8 2" xfId="13258" xr:uid="{0461D917-1EC2-4FE4-8B4F-70B7BA16CD51}"/>
    <cellStyle name="Normal 5 3 3 2 2 8 3" xfId="21695" xr:uid="{C8AAFBDB-35F9-492E-80A1-B74B4050D3F9}"/>
    <cellStyle name="Normal 5 3 3 2 2 9" xfId="9040" xr:uid="{5268FA37-22E9-48E1-9DDE-50AD30551D8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2 2 2" xfId="15818" xr:uid="{F32F7E15-5E09-499E-A3FC-456A8B363B73}"/>
    <cellStyle name="Normal 5 3 3 2 3 2 2 2 3" xfId="24255" xr:uid="{5252BCED-B6B7-4F2D-A307-ACA15E24CF5D}"/>
    <cellStyle name="Normal 5 3 3 2 3 2 2 3" xfId="11600" xr:uid="{0FFA9D9D-CD1E-43AD-8047-F9DC5CA00D16}"/>
    <cellStyle name="Normal 5 3 3 2 3 2 2 4" xfId="20038" xr:uid="{B3542C33-F178-4E68-AF69-193AC7A4F732}"/>
    <cellStyle name="Normal 5 3 3 2 3 2 3" xfId="5231" xr:uid="{00000000-0005-0000-0000-0000A3190000}"/>
    <cellStyle name="Normal 5 3 3 2 3 2 3 2" xfId="13673" xr:uid="{5EE0F004-04C9-436D-A998-B4EAEFD57481}"/>
    <cellStyle name="Normal 5 3 3 2 3 2 3 3" xfId="22110" xr:uid="{AC9C28A9-5316-414A-BB97-F3186BE51A8F}"/>
    <cellStyle name="Normal 5 3 3 2 3 2 4" xfId="9455" xr:uid="{AEDCEC30-634D-438F-8AD8-055882534499}"/>
    <cellStyle name="Normal 5 3 3 2 3 2 5" xfId="17893" xr:uid="{CEDCF4DB-D53E-4CF2-8CB0-6CF6F6662CA2}"/>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2 2 2" xfId="16231" xr:uid="{93373FCA-DA81-4202-9239-D89421977EB5}"/>
    <cellStyle name="Normal 5 3 3 2 3 3 2 2 3" xfId="24668" xr:uid="{D6D1DD09-CCB7-4D22-8582-55D665D15F76}"/>
    <cellStyle name="Normal 5 3 3 2 3 3 2 3" xfId="12013" xr:uid="{B6D363AE-DFD7-414D-AD9E-4C280FD25283}"/>
    <cellStyle name="Normal 5 3 3 2 3 3 2 4" xfId="20451" xr:uid="{B2407E49-0B37-43A4-876A-11AE970007B7}"/>
    <cellStyle name="Normal 5 3 3 2 3 3 3" xfId="5644" xr:uid="{00000000-0005-0000-0000-0000A7190000}"/>
    <cellStyle name="Normal 5 3 3 2 3 3 3 2" xfId="14086" xr:uid="{07E9DA0B-72B1-47F2-95CA-015F1429F938}"/>
    <cellStyle name="Normal 5 3 3 2 3 3 3 3" xfId="22523" xr:uid="{A1A92CBB-B39D-4684-A33E-F802D0E200BF}"/>
    <cellStyle name="Normal 5 3 3 2 3 3 4" xfId="9868" xr:uid="{097B8909-C513-458E-B714-138BC93371CF}"/>
    <cellStyle name="Normal 5 3 3 2 3 3 5" xfId="18306" xr:uid="{08696B3E-42DA-46C3-B8DB-623BCED33091}"/>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2 2 2" xfId="16644" xr:uid="{52340719-7ADB-4DB1-94B7-A67EF74582F6}"/>
    <cellStyle name="Normal 5 3 3 2 3 4 2 2 3" xfId="25081" xr:uid="{1815120D-E770-42C6-9D06-F4FB04B46968}"/>
    <cellStyle name="Normal 5 3 3 2 3 4 2 3" xfId="12426" xr:uid="{67CBC46F-A811-4CD3-8911-1C58502BA96C}"/>
    <cellStyle name="Normal 5 3 3 2 3 4 2 4" xfId="20864" xr:uid="{B67594D0-60E6-4B6D-B845-307A01F0F611}"/>
    <cellStyle name="Normal 5 3 3 2 3 4 3" xfId="6057" xr:uid="{00000000-0005-0000-0000-0000AB190000}"/>
    <cellStyle name="Normal 5 3 3 2 3 4 3 2" xfId="14499" xr:uid="{45FABEA5-C74E-4B1B-A518-07ECDC9E2553}"/>
    <cellStyle name="Normal 5 3 3 2 3 4 3 3" xfId="22936" xr:uid="{6A7F4BCD-2102-41BC-A6D3-1B8DCC6DE0D7}"/>
    <cellStyle name="Normal 5 3 3 2 3 4 4" xfId="10281" xr:uid="{57C736FB-425C-497F-857A-467CC7732B2C}"/>
    <cellStyle name="Normal 5 3 3 2 3 4 5" xfId="18719" xr:uid="{75B21A2D-30CF-46DE-A407-53CF29C3BA2A}"/>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2 2 2" xfId="17057" xr:uid="{1CC9680A-F21D-45E4-BEDC-3BE87AEE903D}"/>
    <cellStyle name="Normal 5 3 3 2 3 5 2 2 3" xfId="25494" xr:uid="{D10F5884-A289-4504-81B1-3104E679A332}"/>
    <cellStyle name="Normal 5 3 3 2 3 5 2 3" xfId="12839" xr:uid="{F412997D-BF92-40F2-B4E8-A1D9B97EE580}"/>
    <cellStyle name="Normal 5 3 3 2 3 5 2 4" xfId="21277" xr:uid="{B966D55F-1D15-4119-86FF-D9CB45F11C82}"/>
    <cellStyle name="Normal 5 3 3 2 3 5 3" xfId="6470" xr:uid="{00000000-0005-0000-0000-0000AF190000}"/>
    <cellStyle name="Normal 5 3 3 2 3 5 3 2" xfId="14912" xr:uid="{904BE242-02DC-46B1-BD31-39C648AF06A2}"/>
    <cellStyle name="Normal 5 3 3 2 3 5 3 3" xfId="23349" xr:uid="{BCBC59E4-0E1F-4EEA-A695-BBB342B2F618}"/>
    <cellStyle name="Normal 5 3 3 2 3 5 4" xfId="10694" xr:uid="{619A4BCC-BBEF-47D2-8C67-1A5916B29077}"/>
    <cellStyle name="Normal 5 3 3 2 3 5 5" xfId="19132" xr:uid="{2A32AF58-1786-4C14-8FD3-F75672BAC550}"/>
    <cellStyle name="Normal 5 3 3 2 3 6" xfId="2599" xr:uid="{00000000-0005-0000-0000-0000B0190000}"/>
    <cellStyle name="Normal 5 3 3 2 3 6 2" xfId="6883" xr:uid="{00000000-0005-0000-0000-0000B1190000}"/>
    <cellStyle name="Normal 5 3 3 2 3 6 2 2" xfId="15325" xr:uid="{4373EF01-BBF2-4E02-91B9-748B57C2AE01}"/>
    <cellStyle name="Normal 5 3 3 2 3 6 2 3" xfId="23762" xr:uid="{066480CF-4100-444A-87FE-775FA4227E68}"/>
    <cellStyle name="Normal 5 3 3 2 3 6 3" xfId="11107" xr:uid="{8EF8ACF5-4C3F-4D47-934E-C3FABD5AB894}"/>
    <cellStyle name="Normal 5 3 3 2 3 6 4" xfId="19545" xr:uid="{91E61427-246A-406A-8C26-D7928B3E20F8}"/>
    <cellStyle name="Normal 5 3 3 2 3 7" xfId="4818" xr:uid="{00000000-0005-0000-0000-0000B2190000}"/>
    <cellStyle name="Normal 5 3 3 2 3 7 2" xfId="13260" xr:uid="{DDDEA1E2-56DC-4BE1-9636-169F16359410}"/>
    <cellStyle name="Normal 5 3 3 2 3 7 3" xfId="21697" xr:uid="{63EBCC18-66A8-488F-90F0-B98663434342}"/>
    <cellStyle name="Normal 5 3 3 2 3 8" xfId="9042" xr:uid="{EDAA2DAD-E5D0-4C40-9AA2-A4EF44C4921D}"/>
    <cellStyle name="Normal 5 3 3 2 3 9" xfId="17480" xr:uid="{9CB8EBDB-34C5-4CA2-A1B9-CDE62307E30F}"/>
    <cellStyle name="Normal 5 3 3 2 4" xfId="916" xr:uid="{00000000-0005-0000-0000-0000B3190000}"/>
    <cellStyle name="Normal 5 3 3 2 4 2" xfId="3150" xr:uid="{00000000-0005-0000-0000-0000B4190000}"/>
    <cellStyle name="Normal 5 3 3 2 4 2 2" xfId="7373" xr:uid="{00000000-0005-0000-0000-0000B5190000}"/>
    <cellStyle name="Normal 5 3 3 2 4 2 2 2" xfId="15815" xr:uid="{63494FC1-49D9-4AC7-BBB8-6CDF920FD2A8}"/>
    <cellStyle name="Normal 5 3 3 2 4 2 2 3" xfId="24252" xr:uid="{12946C68-257C-4F67-879C-8C863DBD884A}"/>
    <cellStyle name="Normal 5 3 3 2 4 2 3" xfId="11597" xr:uid="{1FB94E3D-608D-4DD5-A4F4-381F5604E13C}"/>
    <cellStyle name="Normal 5 3 3 2 4 2 4" xfId="20035" xr:uid="{57897C81-326A-47C5-AD66-EF028FB0609D}"/>
    <cellStyle name="Normal 5 3 3 2 4 3" xfId="5228" xr:uid="{00000000-0005-0000-0000-0000B6190000}"/>
    <cellStyle name="Normal 5 3 3 2 4 3 2" xfId="13670" xr:uid="{BA397910-5DB3-44E0-8C6C-763D07F1E9F5}"/>
    <cellStyle name="Normal 5 3 3 2 4 3 3" xfId="22107" xr:uid="{6D8628BE-F968-4539-8078-790EAFD6D813}"/>
    <cellStyle name="Normal 5 3 3 2 4 4" xfId="9452" xr:uid="{512D905A-3972-4E1F-9B97-F0A2971DD068}"/>
    <cellStyle name="Normal 5 3 3 2 4 5" xfId="17890" xr:uid="{407571F9-38EF-4C13-B68D-ACC1BE3B07FC}"/>
    <cellStyle name="Normal 5 3 3 2 5" xfId="1333" xr:uid="{00000000-0005-0000-0000-0000B7190000}"/>
    <cellStyle name="Normal 5 3 3 2 5 2" xfId="3563" xr:uid="{00000000-0005-0000-0000-0000B8190000}"/>
    <cellStyle name="Normal 5 3 3 2 5 2 2" xfId="7786" xr:uid="{00000000-0005-0000-0000-0000B9190000}"/>
    <cellStyle name="Normal 5 3 3 2 5 2 2 2" xfId="16228" xr:uid="{5C897841-4DA1-40AA-B196-4F31DCB2E217}"/>
    <cellStyle name="Normal 5 3 3 2 5 2 2 3" xfId="24665" xr:uid="{4FFBF035-6AE2-47C3-8E77-2402C6F13B31}"/>
    <cellStyle name="Normal 5 3 3 2 5 2 3" xfId="12010" xr:uid="{4D7013DF-D790-4156-8FD3-05E838D8D9E0}"/>
    <cellStyle name="Normal 5 3 3 2 5 2 4" xfId="20448" xr:uid="{F2100435-B6F8-4406-8BEE-FFB78854288A}"/>
    <cellStyle name="Normal 5 3 3 2 5 3" xfId="5641" xr:uid="{00000000-0005-0000-0000-0000BA190000}"/>
    <cellStyle name="Normal 5 3 3 2 5 3 2" xfId="14083" xr:uid="{5EDD02B5-EE5E-4025-8F18-7EC32B58A94E}"/>
    <cellStyle name="Normal 5 3 3 2 5 3 3" xfId="22520" xr:uid="{97696A31-925B-47B2-B841-1CA27806941F}"/>
    <cellStyle name="Normal 5 3 3 2 5 4" xfId="9865" xr:uid="{2EF95547-8637-42AC-873A-A07FC732A756}"/>
    <cellStyle name="Normal 5 3 3 2 5 5" xfId="18303" xr:uid="{37487316-8FF4-444E-9259-AC45106EC0D5}"/>
    <cellStyle name="Normal 5 3 3 2 6" xfId="1746" xr:uid="{00000000-0005-0000-0000-0000BB190000}"/>
    <cellStyle name="Normal 5 3 3 2 6 2" xfId="3976" xr:uid="{00000000-0005-0000-0000-0000BC190000}"/>
    <cellStyle name="Normal 5 3 3 2 6 2 2" xfId="8199" xr:uid="{00000000-0005-0000-0000-0000BD190000}"/>
    <cellStyle name="Normal 5 3 3 2 6 2 2 2" xfId="16641" xr:uid="{C824010B-8AAC-47C5-846F-E4F92CC14DC2}"/>
    <cellStyle name="Normal 5 3 3 2 6 2 2 3" xfId="25078" xr:uid="{5D11316D-9945-4494-B749-F7C3C7B312BA}"/>
    <cellStyle name="Normal 5 3 3 2 6 2 3" xfId="12423" xr:uid="{9FD9A24E-771E-47DA-B578-2746D8F6BA2C}"/>
    <cellStyle name="Normal 5 3 3 2 6 2 4" xfId="20861" xr:uid="{A7FE5EEB-D67C-4F62-90F4-B95216771374}"/>
    <cellStyle name="Normal 5 3 3 2 6 3" xfId="6054" xr:uid="{00000000-0005-0000-0000-0000BE190000}"/>
    <cellStyle name="Normal 5 3 3 2 6 3 2" xfId="14496" xr:uid="{888FE326-071E-4025-B5B0-33B2FAA83A5C}"/>
    <cellStyle name="Normal 5 3 3 2 6 3 3" xfId="22933" xr:uid="{5F024902-86F7-4CC2-8535-801629C11240}"/>
    <cellStyle name="Normal 5 3 3 2 6 4" xfId="10278" xr:uid="{11D46B03-E06D-43C9-BE0B-752BAEE5A4D7}"/>
    <cellStyle name="Normal 5 3 3 2 6 5" xfId="18716" xr:uid="{D3D1EEFA-8ECB-442F-BE37-ABA22A1B59D4}"/>
    <cellStyle name="Normal 5 3 3 2 7" xfId="2160" xr:uid="{00000000-0005-0000-0000-0000BF190000}"/>
    <cellStyle name="Normal 5 3 3 2 7 2" xfId="4389" xr:uid="{00000000-0005-0000-0000-0000C0190000}"/>
    <cellStyle name="Normal 5 3 3 2 7 2 2" xfId="8612" xr:uid="{00000000-0005-0000-0000-0000C1190000}"/>
    <cellStyle name="Normal 5 3 3 2 7 2 2 2" xfId="17054" xr:uid="{4E7F96DD-AA58-4E50-BB84-592E13E5445C}"/>
    <cellStyle name="Normal 5 3 3 2 7 2 2 3" xfId="25491" xr:uid="{89D74AEC-4A67-416F-849F-7E8AA79ABB5F}"/>
    <cellStyle name="Normal 5 3 3 2 7 2 3" xfId="12836" xr:uid="{A9C3F69F-5A59-44E3-81AC-F2050C932B57}"/>
    <cellStyle name="Normal 5 3 3 2 7 2 4" xfId="21274" xr:uid="{5E71BBC1-2DD9-4C98-9142-7F7EA81157C6}"/>
    <cellStyle name="Normal 5 3 3 2 7 3" xfId="6467" xr:uid="{00000000-0005-0000-0000-0000C2190000}"/>
    <cellStyle name="Normal 5 3 3 2 7 3 2" xfId="14909" xr:uid="{8D0E3EC8-45DC-44C3-BA10-B79C51FBAB4A}"/>
    <cellStyle name="Normal 5 3 3 2 7 3 3" xfId="23346" xr:uid="{B0869DF9-9119-4681-87E5-85770575927F}"/>
    <cellStyle name="Normal 5 3 3 2 7 4" xfId="10691" xr:uid="{E18E06B6-BD69-4164-9948-B58F0B4D51F6}"/>
    <cellStyle name="Normal 5 3 3 2 7 5" xfId="19129" xr:uid="{A581B0E9-5DA0-43F5-96C5-765D75CDD900}"/>
    <cellStyle name="Normal 5 3 3 2 8" xfId="2596" xr:uid="{00000000-0005-0000-0000-0000C3190000}"/>
    <cellStyle name="Normal 5 3 3 2 8 2" xfId="6880" xr:uid="{00000000-0005-0000-0000-0000C4190000}"/>
    <cellStyle name="Normal 5 3 3 2 8 2 2" xfId="15322" xr:uid="{96861D2D-998E-4137-93DB-DD8DF2262AD5}"/>
    <cellStyle name="Normal 5 3 3 2 8 2 3" xfId="23759" xr:uid="{4FB111B8-FA7A-41BA-B2E2-519987A1F351}"/>
    <cellStyle name="Normal 5 3 3 2 8 3" xfId="11104" xr:uid="{68D03F43-DA52-4C4B-9627-9EAADD8B5BF5}"/>
    <cellStyle name="Normal 5 3 3 2 8 4" xfId="19542" xr:uid="{3F3F4D41-EDE5-4F1B-A903-0EB4F57A431E}"/>
    <cellStyle name="Normal 5 3 3 2 9" xfId="4815" xr:uid="{00000000-0005-0000-0000-0000C5190000}"/>
    <cellStyle name="Normal 5 3 3 2 9 2" xfId="13257" xr:uid="{B353641F-934E-44B3-84FA-007C5E4220DD}"/>
    <cellStyle name="Normal 5 3 3 2 9 3" xfId="21694" xr:uid="{64CFE9B4-0EB6-4550-8739-7020B506BDBE}"/>
    <cellStyle name="Normal 5 3 3 3" xfId="446" xr:uid="{00000000-0005-0000-0000-0000C6190000}"/>
    <cellStyle name="Normal 5 3 3 3 10" xfId="17481" xr:uid="{9F184DB9-052D-4DEF-B208-7165E58AB1B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2 2 2" xfId="15820" xr:uid="{E56923E6-7923-4E25-95C9-4044FCC07E4C}"/>
    <cellStyle name="Normal 5 3 3 3 2 2 2 2 3" xfId="24257" xr:uid="{62B9145A-7D07-472D-8EF1-C3FEC0AC2270}"/>
    <cellStyle name="Normal 5 3 3 3 2 2 2 3" xfId="11602" xr:uid="{86A2924D-88FD-46E7-BBF4-5549709558FF}"/>
    <cellStyle name="Normal 5 3 3 3 2 2 2 4" xfId="20040" xr:uid="{941EECEB-20E2-45B7-B903-E27E32AB43EB}"/>
    <cellStyle name="Normal 5 3 3 3 2 2 3" xfId="5233" xr:uid="{00000000-0005-0000-0000-0000CB190000}"/>
    <cellStyle name="Normal 5 3 3 3 2 2 3 2" xfId="13675" xr:uid="{385D1B91-66C6-40C9-AF6F-4FB5F49E9C2B}"/>
    <cellStyle name="Normal 5 3 3 3 2 2 3 3" xfId="22112" xr:uid="{79D590A9-BDE9-4EBC-AE83-6BDB3EC822F0}"/>
    <cellStyle name="Normal 5 3 3 3 2 2 4" xfId="9457" xr:uid="{30EBB4F4-3CBE-4F03-A8C6-E469F9EA310D}"/>
    <cellStyle name="Normal 5 3 3 3 2 2 5" xfId="17895" xr:uid="{52C514AC-4964-4889-89B9-85266C2891B5}"/>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2 2 2" xfId="16233" xr:uid="{B58D0759-EA59-4792-A868-2A4342977D4E}"/>
    <cellStyle name="Normal 5 3 3 3 2 3 2 2 3" xfId="24670" xr:uid="{F16D34FE-2354-410A-A461-5D9DAE768F14}"/>
    <cellStyle name="Normal 5 3 3 3 2 3 2 3" xfId="12015" xr:uid="{AC6CC96F-9F0D-4B18-88F5-BE508B9423A2}"/>
    <cellStyle name="Normal 5 3 3 3 2 3 2 4" xfId="20453" xr:uid="{74F9FEFA-51BE-4B3A-9E4C-9C4DB4285364}"/>
    <cellStyle name="Normal 5 3 3 3 2 3 3" xfId="5646" xr:uid="{00000000-0005-0000-0000-0000CF190000}"/>
    <cellStyle name="Normal 5 3 3 3 2 3 3 2" xfId="14088" xr:uid="{0E9DCA14-FBA8-4F7F-92F9-9FEC04066E7B}"/>
    <cellStyle name="Normal 5 3 3 3 2 3 3 3" xfId="22525" xr:uid="{764B481B-9354-4451-A4B6-C070CB9BA3F3}"/>
    <cellStyle name="Normal 5 3 3 3 2 3 4" xfId="9870" xr:uid="{4D600E0C-E266-4E7C-B77B-52FF3C252170}"/>
    <cellStyle name="Normal 5 3 3 3 2 3 5" xfId="18308" xr:uid="{5DFEEDBD-3F57-487A-914F-17513315C2B9}"/>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2 2 2" xfId="16646" xr:uid="{65E3975B-F5D8-4F05-AD2C-C266C10987A4}"/>
    <cellStyle name="Normal 5 3 3 3 2 4 2 2 3" xfId="25083" xr:uid="{CA7601BA-5610-4478-AEF2-8E6BB53651D8}"/>
    <cellStyle name="Normal 5 3 3 3 2 4 2 3" xfId="12428" xr:uid="{DA2057DC-EEA4-43EA-9F81-EDEEA3A3DEF7}"/>
    <cellStyle name="Normal 5 3 3 3 2 4 2 4" xfId="20866" xr:uid="{BCB01DB4-5CA1-449E-A2F2-0CEDB35C82BC}"/>
    <cellStyle name="Normal 5 3 3 3 2 4 3" xfId="6059" xr:uid="{00000000-0005-0000-0000-0000D3190000}"/>
    <cellStyle name="Normal 5 3 3 3 2 4 3 2" xfId="14501" xr:uid="{D7267CBC-0D07-47DB-8FFD-94F61FB28B79}"/>
    <cellStyle name="Normal 5 3 3 3 2 4 3 3" xfId="22938" xr:uid="{1C913B73-C0AB-4248-BC4F-1ABD0D785306}"/>
    <cellStyle name="Normal 5 3 3 3 2 4 4" xfId="10283" xr:uid="{3C444AB5-7960-4633-82D5-7204DD28EDEB}"/>
    <cellStyle name="Normal 5 3 3 3 2 4 5" xfId="18721" xr:uid="{B83F2EFB-2821-4A53-A889-8BFFE536D6B7}"/>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2 2 2" xfId="17059" xr:uid="{13C0CF12-EB0D-4015-BD27-9399AFF68060}"/>
    <cellStyle name="Normal 5 3 3 3 2 5 2 2 3" xfId="25496" xr:uid="{8013A9B1-6A70-49BB-9C87-94C43835A8D4}"/>
    <cellStyle name="Normal 5 3 3 3 2 5 2 3" xfId="12841" xr:uid="{C72C1C4F-E1CE-435E-8E5B-BB4100824208}"/>
    <cellStyle name="Normal 5 3 3 3 2 5 2 4" xfId="21279" xr:uid="{251C990F-06A2-4CB1-B122-5215507A323E}"/>
    <cellStyle name="Normal 5 3 3 3 2 5 3" xfId="6472" xr:uid="{00000000-0005-0000-0000-0000D7190000}"/>
    <cellStyle name="Normal 5 3 3 3 2 5 3 2" xfId="14914" xr:uid="{50ACC89B-2412-4FA8-B123-775987A2B1E4}"/>
    <cellStyle name="Normal 5 3 3 3 2 5 3 3" xfId="23351" xr:uid="{1D5E78B7-CAEE-4E38-8D22-C4F93AC074B8}"/>
    <cellStyle name="Normal 5 3 3 3 2 5 4" xfId="10696" xr:uid="{6F723C0B-0C03-4DD3-8EAE-D6CBAA7378D5}"/>
    <cellStyle name="Normal 5 3 3 3 2 5 5" xfId="19134" xr:uid="{AD3A4419-A1F1-42DA-9711-C7333221FF4A}"/>
    <cellStyle name="Normal 5 3 3 3 2 6" xfId="2601" xr:uid="{00000000-0005-0000-0000-0000D8190000}"/>
    <cellStyle name="Normal 5 3 3 3 2 6 2" xfId="6885" xr:uid="{00000000-0005-0000-0000-0000D9190000}"/>
    <cellStyle name="Normal 5 3 3 3 2 6 2 2" xfId="15327" xr:uid="{B1942B90-2484-4D82-B13C-E5CD7AEF808E}"/>
    <cellStyle name="Normal 5 3 3 3 2 6 2 3" xfId="23764" xr:uid="{BFD11618-B16A-4610-B562-A6AC4AE05997}"/>
    <cellStyle name="Normal 5 3 3 3 2 6 3" xfId="11109" xr:uid="{56EEF5AB-6781-483C-910E-ABF9DDA4CC13}"/>
    <cellStyle name="Normal 5 3 3 3 2 6 4" xfId="19547" xr:uid="{D66B3442-72EF-47FF-A09D-D838EFFDD164}"/>
    <cellStyle name="Normal 5 3 3 3 2 7" xfId="4820" xr:uid="{00000000-0005-0000-0000-0000DA190000}"/>
    <cellStyle name="Normal 5 3 3 3 2 7 2" xfId="13262" xr:uid="{2AC33805-58BB-4C41-A760-517BFBCF8D5D}"/>
    <cellStyle name="Normal 5 3 3 3 2 7 3" xfId="21699" xr:uid="{173038AF-1136-49C1-A442-B159E61C2A31}"/>
    <cellStyle name="Normal 5 3 3 3 2 8" xfId="9044" xr:uid="{6B720BCA-63D4-44D6-B61C-0EE7BF5DC0F9}"/>
    <cellStyle name="Normal 5 3 3 3 2 9" xfId="17482" xr:uid="{4AE87DFD-DA9A-4EED-9691-DDBF677D6FCF}"/>
    <cellStyle name="Normal 5 3 3 3 3" xfId="920" xr:uid="{00000000-0005-0000-0000-0000DB190000}"/>
    <cellStyle name="Normal 5 3 3 3 3 2" xfId="3154" xr:uid="{00000000-0005-0000-0000-0000DC190000}"/>
    <cellStyle name="Normal 5 3 3 3 3 2 2" xfId="7377" xr:uid="{00000000-0005-0000-0000-0000DD190000}"/>
    <cellStyle name="Normal 5 3 3 3 3 2 2 2" xfId="15819" xr:uid="{C0EABC5B-E64D-4020-8CFE-784E9DB52D12}"/>
    <cellStyle name="Normal 5 3 3 3 3 2 2 3" xfId="24256" xr:uid="{FF4D3258-8DE5-4460-B867-B8F4DDE0973F}"/>
    <cellStyle name="Normal 5 3 3 3 3 2 3" xfId="11601" xr:uid="{C4547521-4DC3-4674-A558-AADDF88C34E5}"/>
    <cellStyle name="Normal 5 3 3 3 3 2 4" xfId="20039" xr:uid="{B3B07567-994E-4DD3-84B3-0226595325B3}"/>
    <cellStyle name="Normal 5 3 3 3 3 3" xfId="5232" xr:uid="{00000000-0005-0000-0000-0000DE190000}"/>
    <cellStyle name="Normal 5 3 3 3 3 3 2" xfId="13674" xr:uid="{D9A38765-B9FC-40B8-A5FE-F7FEFD1D4761}"/>
    <cellStyle name="Normal 5 3 3 3 3 3 3" xfId="22111" xr:uid="{E6F19E9A-7AB5-4B1D-AACB-8C5D5F8C76E8}"/>
    <cellStyle name="Normal 5 3 3 3 3 4" xfId="9456" xr:uid="{F47AD0C1-31BA-432C-8D31-003179CC6F35}"/>
    <cellStyle name="Normal 5 3 3 3 3 5" xfId="17894" xr:uid="{3F8EA324-5BD1-44E9-847F-909018433A57}"/>
    <cellStyle name="Normal 5 3 3 3 4" xfId="1337" xr:uid="{00000000-0005-0000-0000-0000DF190000}"/>
    <cellStyle name="Normal 5 3 3 3 4 2" xfId="3567" xr:uid="{00000000-0005-0000-0000-0000E0190000}"/>
    <cellStyle name="Normal 5 3 3 3 4 2 2" xfId="7790" xr:uid="{00000000-0005-0000-0000-0000E1190000}"/>
    <cellStyle name="Normal 5 3 3 3 4 2 2 2" xfId="16232" xr:uid="{45441BE7-850A-43C4-B574-5B829403ADC7}"/>
    <cellStyle name="Normal 5 3 3 3 4 2 2 3" xfId="24669" xr:uid="{E7EFA4E9-94EA-4E5F-865E-48D4F4FFCCFF}"/>
    <cellStyle name="Normal 5 3 3 3 4 2 3" xfId="12014" xr:uid="{62FE6701-3482-445F-B278-E5E18A4F0332}"/>
    <cellStyle name="Normal 5 3 3 3 4 2 4" xfId="20452" xr:uid="{5A5C5CB2-274E-4761-BA68-E64409DEF94A}"/>
    <cellStyle name="Normal 5 3 3 3 4 3" xfId="5645" xr:uid="{00000000-0005-0000-0000-0000E2190000}"/>
    <cellStyle name="Normal 5 3 3 3 4 3 2" xfId="14087" xr:uid="{896EA546-5603-40D7-83DF-E233B4ED330D}"/>
    <cellStyle name="Normal 5 3 3 3 4 3 3" xfId="22524" xr:uid="{93EC9617-3994-41E1-A864-BB5ED6E71704}"/>
    <cellStyle name="Normal 5 3 3 3 4 4" xfId="9869" xr:uid="{09C20286-86A6-41ED-9117-6D4FE3A7C3BC}"/>
    <cellStyle name="Normal 5 3 3 3 4 5" xfId="18307" xr:uid="{0F609B11-42E2-48A4-93DB-C1B480938093}"/>
    <cellStyle name="Normal 5 3 3 3 5" xfId="1750" xr:uid="{00000000-0005-0000-0000-0000E3190000}"/>
    <cellStyle name="Normal 5 3 3 3 5 2" xfId="3980" xr:uid="{00000000-0005-0000-0000-0000E4190000}"/>
    <cellStyle name="Normal 5 3 3 3 5 2 2" xfId="8203" xr:uid="{00000000-0005-0000-0000-0000E5190000}"/>
    <cellStyle name="Normal 5 3 3 3 5 2 2 2" xfId="16645" xr:uid="{D31B54A6-0E24-4EE6-84C6-62AF22C8C2A3}"/>
    <cellStyle name="Normal 5 3 3 3 5 2 2 3" xfId="25082" xr:uid="{B9AE3292-870B-412A-9AC1-E009F3BDBA5A}"/>
    <cellStyle name="Normal 5 3 3 3 5 2 3" xfId="12427" xr:uid="{DF69D622-DF73-4E90-95D1-F93415855CEC}"/>
    <cellStyle name="Normal 5 3 3 3 5 2 4" xfId="20865" xr:uid="{8A899F21-2E0C-434E-A94B-B72E80673AC7}"/>
    <cellStyle name="Normal 5 3 3 3 5 3" xfId="6058" xr:uid="{00000000-0005-0000-0000-0000E6190000}"/>
    <cellStyle name="Normal 5 3 3 3 5 3 2" xfId="14500" xr:uid="{A7DBC612-0851-4EAF-A5F7-F7D64EEEE9F7}"/>
    <cellStyle name="Normal 5 3 3 3 5 3 3" xfId="22937" xr:uid="{07443EB1-6B17-4B63-A58E-8D1FEA82322B}"/>
    <cellStyle name="Normal 5 3 3 3 5 4" xfId="10282" xr:uid="{22EFC415-D762-4B19-B697-7596EEAAD2A5}"/>
    <cellStyle name="Normal 5 3 3 3 5 5" xfId="18720" xr:uid="{88864EAC-FD96-42EC-887E-BDF783AF5E54}"/>
    <cellStyle name="Normal 5 3 3 3 6" xfId="2164" xr:uid="{00000000-0005-0000-0000-0000E7190000}"/>
    <cellStyle name="Normal 5 3 3 3 6 2" xfId="4393" xr:uid="{00000000-0005-0000-0000-0000E8190000}"/>
    <cellStyle name="Normal 5 3 3 3 6 2 2" xfId="8616" xr:uid="{00000000-0005-0000-0000-0000E9190000}"/>
    <cellStyle name="Normal 5 3 3 3 6 2 2 2" xfId="17058" xr:uid="{8683FB82-3A83-483B-8824-00ABFC571A01}"/>
    <cellStyle name="Normal 5 3 3 3 6 2 2 3" xfId="25495" xr:uid="{3ACA9A28-66E0-4B6E-A4D9-F0A241BA9A60}"/>
    <cellStyle name="Normal 5 3 3 3 6 2 3" xfId="12840" xr:uid="{E90CEBD7-A9CF-4E8B-9922-1177E017975E}"/>
    <cellStyle name="Normal 5 3 3 3 6 2 4" xfId="21278" xr:uid="{4E433049-50E9-4106-BE8D-27C2647BBD34}"/>
    <cellStyle name="Normal 5 3 3 3 6 3" xfId="6471" xr:uid="{00000000-0005-0000-0000-0000EA190000}"/>
    <cellStyle name="Normal 5 3 3 3 6 3 2" xfId="14913" xr:uid="{C7951008-AF3C-4501-91BE-C772665CE90F}"/>
    <cellStyle name="Normal 5 3 3 3 6 3 3" xfId="23350" xr:uid="{1FA20419-892E-4F85-A6D3-47DD17D7E68C}"/>
    <cellStyle name="Normal 5 3 3 3 6 4" xfId="10695" xr:uid="{FAC4E0C0-5ED3-47C3-8C42-C457CBD12336}"/>
    <cellStyle name="Normal 5 3 3 3 6 5" xfId="19133" xr:uid="{5277F4EB-9763-4ED6-B4D9-4469958E30E0}"/>
    <cellStyle name="Normal 5 3 3 3 7" xfId="2600" xr:uid="{00000000-0005-0000-0000-0000EB190000}"/>
    <cellStyle name="Normal 5 3 3 3 7 2" xfId="6884" xr:uid="{00000000-0005-0000-0000-0000EC190000}"/>
    <cellStyle name="Normal 5 3 3 3 7 2 2" xfId="15326" xr:uid="{40E398E6-8B01-4F90-AE14-5660A9F7A484}"/>
    <cellStyle name="Normal 5 3 3 3 7 2 3" xfId="23763" xr:uid="{22699F7A-EAB7-4B8B-8088-B7649CF1B087}"/>
    <cellStyle name="Normal 5 3 3 3 7 3" xfId="11108" xr:uid="{19027D96-7E9D-430B-872B-150A4ADFF340}"/>
    <cellStyle name="Normal 5 3 3 3 7 4" xfId="19546" xr:uid="{F0B2DE07-E445-4279-8250-E5C9F005B329}"/>
    <cellStyle name="Normal 5 3 3 3 8" xfId="4819" xr:uid="{00000000-0005-0000-0000-0000ED190000}"/>
    <cellStyle name="Normal 5 3 3 3 8 2" xfId="13261" xr:uid="{5BD66D53-110F-4949-8E83-9480EDCB67C7}"/>
    <cellStyle name="Normal 5 3 3 3 8 3" xfId="21698" xr:uid="{484F0216-A389-40DA-A17E-D9B02660A8F9}"/>
    <cellStyle name="Normal 5 3 3 3 9" xfId="9043" xr:uid="{C80B9535-CF3D-45E1-95EE-70D53AC9FB68}"/>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2 2 2" xfId="15821" xr:uid="{8932A190-56D6-48AF-9EBF-E1494969CD6D}"/>
    <cellStyle name="Normal 5 3 3 4 2 2 2 3" xfId="24258" xr:uid="{23E9A89F-9A36-4DF5-ABF5-48C30AB6BE50}"/>
    <cellStyle name="Normal 5 3 3 4 2 2 3" xfId="11603" xr:uid="{173A72B1-7DCE-4CA9-BB48-909030987B2F}"/>
    <cellStyle name="Normal 5 3 3 4 2 2 4" xfId="20041" xr:uid="{EADA4552-7472-4041-BDE1-74DBAE45907B}"/>
    <cellStyle name="Normal 5 3 3 4 2 3" xfId="5234" xr:uid="{00000000-0005-0000-0000-0000F2190000}"/>
    <cellStyle name="Normal 5 3 3 4 2 3 2" xfId="13676" xr:uid="{17D3A5C4-DF68-4258-9FFA-0BFBC1C72882}"/>
    <cellStyle name="Normal 5 3 3 4 2 3 3" xfId="22113" xr:uid="{6753E03C-7686-4F74-9F8F-5F837CCF88EE}"/>
    <cellStyle name="Normal 5 3 3 4 2 4" xfId="9458" xr:uid="{ECEC525E-8E80-48B2-A50B-25463F30D4AA}"/>
    <cellStyle name="Normal 5 3 3 4 2 5" xfId="17896" xr:uid="{D56A20C1-6E68-4FD5-BA1A-19D5F6EDB216}"/>
    <cellStyle name="Normal 5 3 3 4 3" xfId="1339" xr:uid="{00000000-0005-0000-0000-0000F3190000}"/>
    <cellStyle name="Normal 5 3 3 4 3 2" xfId="3569" xr:uid="{00000000-0005-0000-0000-0000F4190000}"/>
    <cellStyle name="Normal 5 3 3 4 3 2 2" xfId="7792" xr:uid="{00000000-0005-0000-0000-0000F5190000}"/>
    <cellStyle name="Normal 5 3 3 4 3 2 2 2" xfId="16234" xr:uid="{B1FF90CE-883C-4CB4-9381-77EFD2993DC8}"/>
    <cellStyle name="Normal 5 3 3 4 3 2 2 3" xfId="24671" xr:uid="{D489D92C-6010-4158-9988-E844238FC2FB}"/>
    <cellStyle name="Normal 5 3 3 4 3 2 3" xfId="12016" xr:uid="{323D4158-18EE-4AF0-9E52-E6D462395A6A}"/>
    <cellStyle name="Normal 5 3 3 4 3 2 4" xfId="20454" xr:uid="{66E8DF50-5C93-4BED-9366-4CDFEFA6BF24}"/>
    <cellStyle name="Normal 5 3 3 4 3 3" xfId="5647" xr:uid="{00000000-0005-0000-0000-0000F6190000}"/>
    <cellStyle name="Normal 5 3 3 4 3 3 2" xfId="14089" xr:uid="{4D2D0984-0210-4FB2-B4F4-92B2638E5709}"/>
    <cellStyle name="Normal 5 3 3 4 3 3 3" xfId="22526" xr:uid="{604DA199-FF84-47D1-808E-C320A9C83597}"/>
    <cellStyle name="Normal 5 3 3 4 3 4" xfId="9871" xr:uid="{E34F2945-801F-4310-B190-820F5CC2FD70}"/>
    <cellStyle name="Normal 5 3 3 4 3 5" xfId="18309" xr:uid="{3AEED155-F00E-412C-B1F8-564F6121CC14}"/>
    <cellStyle name="Normal 5 3 3 4 4" xfId="1752" xr:uid="{00000000-0005-0000-0000-0000F7190000}"/>
    <cellStyle name="Normal 5 3 3 4 4 2" xfId="3982" xr:uid="{00000000-0005-0000-0000-0000F8190000}"/>
    <cellStyle name="Normal 5 3 3 4 4 2 2" xfId="8205" xr:uid="{00000000-0005-0000-0000-0000F9190000}"/>
    <cellStyle name="Normal 5 3 3 4 4 2 2 2" xfId="16647" xr:uid="{1F1DDC91-EB26-4491-A3A5-283FE2A00789}"/>
    <cellStyle name="Normal 5 3 3 4 4 2 2 3" xfId="25084" xr:uid="{6EA521BD-0C4A-4046-B073-4F7D2E5CD544}"/>
    <cellStyle name="Normal 5 3 3 4 4 2 3" xfId="12429" xr:uid="{C1CD9A53-317A-4C73-A5FF-6ACDAFFC689D}"/>
    <cellStyle name="Normal 5 3 3 4 4 2 4" xfId="20867" xr:uid="{517A3641-A08B-46F4-B878-D72D213F65DB}"/>
    <cellStyle name="Normal 5 3 3 4 4 3" xfId="6060" xr:uid="{00000000-0005-0000-0000-0000FA190000}"/>
    <cellStyle name="Normal 5 3 3 4 4 3 2" xfId="14502" xr:uid="{8128A85E-4638-4D78-BE16-EB776C9C2ACF}"/>
    <cellStyle name="Normal 5 3 3 4 4 3 3" xfId="22939" xr:uid="{3734E526-3CAF-4B40-99E5-3DFE5CA4028C}"/>
    <cellStyle name="Normal 5 3 3 4 4 4" xfId="10284" xr:uid="{801B4A32-D548-44A2-9324-0C6E7C49FE9C}"/>
    <cellStyle name="Normal 5 3 3 4 4 5" xfId="18722" xr:uid="{8B66E19E-B4F0-4BEA-B841-F197BA9D52CC}"/>
    <cellStyle name="Normal 5 3 3 4 5" xfId="2166" xr:uid="{00000000-0005-0000-0000-0000FB190000}"/>
    <cellStyle name="Normal 5 3 3 4 5 2" xfId="4395" xr:uid="{00000000-0005-0000-0000-0000FC190000}"/>
    <cellStyle name="Normal 5 3 3 4 5 2 2" xfId="8618" xr:uid="{00000000-0005-0000-0000-0000FD190000}"/>
    <cellStyle name="Normal 5 3 3 4 5 2 2 2" xfId="17060" xr:uid="{29667CC9-9AD9-450C-B74E-B30A0B003F57}"/>
    <cellStyle name="Normal 5 3 3 4 5 2 2 3" xfId="25497" xr:uid="{C184E19E-310C-4946-BF3A-3CF5FD915FAE}"/>
    <cellStyle name="Normal 5 3 3 4 5 2 3" xfId="12842" xr:uid="{7B256AB9-C51C-427A-B354-E196CF50CE5A}"/>
    <cellStyle name="Normal 5 3 3 4 5 2 4" xfId="21280" xr:uid="{E9209064-310B-44FC-977A-1B31D031F1D5}"/>
    <cellStyle name="Normal 5 3 3 4 5 3" xfId="6473" xr:uid="{00000000-0005-0000-0000-0000FE190000}"/>
    <cellStyle name="Normal 5 3 3 4 5 3 2" xfId="14915" xr:uid="{7E7C30A0-013F-42B7-B572-703CCBACB4D7}"/>
    <cellStyle name="Normal 5 3 3 4 5 3 3" xfId="23352" xr:uid="{41E5F43B-5B2D-4E96-8D3A-1854D9DF45DA}"/>
    <cellStyle name="Normal 5 3 3 4 5 4" xfId="10697" xr:uid="{1188A98C-26C4-4E7A-A205-9679D7810C64}"/>
    <cellStyle name="Normal 5 3 3 4 5 5" xfId="19135" xr:uid="{BD83E18B-8F37-4D9E-B2B1-CC36D9E1B185}"/>
    <cellStyle name="Normal 5 3 3 4 6" xfId="2602" xr:uid="{00000000-0005-0000-0000-0000FF190000}"/>
    <cellStyle name="Normal 5 3 3 4 6 2" xfId="6886" xr:uid="{00000000-0005-0000-0000-0000001A0000}"/>
    <cellStyle name="Normal 5 3 3 4 6 2 2" xfId="15328" xr:uid="{BA176147-C1F6-4D64-ACB5-1E1CDDB341FA}"/>
    <cellStyle name="Normal 5 3 3 4 6 2 3" xfId="23765" xr:uid="{F7EA94A5-B3D0-41B0-B96A-8DCE057883F3}"/>
    <cellStyle name="Normal 5 3 3 4 6 3" xfId="11110" xr:uid="{FBB2D422-0A64-458A-893E-79CF5821BFD8}"/>
    <cellStyle name="Normal 5 3 3 4 6 4" xfId="19548" xr:uid="{D92A077A-DD76-43F9-84A9-377CB29B0664}"/>
    <cellStyle name="Normal 5 3 3 4 7" xfId="4821" xr:uid="{00000000-0005-0000-0000-0000011A0000}"/>
    <cellStyle name="Normal 5 3 3 4 7 2" xfId="13263" xr:uid="{2044F90D-935B-485E-A12E-A7A126AD0956}"/>
    <cellStyle name="Normal 5 3 3 4 7 3" xfId="21700" xr:uid="{48238EF5-A399-4259-8977-36B743B1BC75}"/>
    <cellStyle name="Normal 5 3 3 4 8" xfId="9045" xr:uid="{2D9A879B-B9CD-4F53-B5F7-395B864528DE}"/>
    <cellStyle name="Normal 5 3 3 4 9" xfId="17483" xr:uid="{4C0FFA0A-6C20-45F0-B8BC-C392901D667A}"/>
    <cellStyle name="Normal 5 3 3 5" xfId="915" xr:uid="{00000000-0005-0000-0000-0000021A0000}"/>
    <cellStyle name="Normal 5 3 3 5 2" xfId="3149" xr:uid="{00000000-0005-0000-0000-0000031A0000}"/>
    <cellStyle name="Normal 5 3 3 5 2 2" xfId="7372" xr:uid="{00000000-0005-0000-0000-0000041A0000}"/>
    <cellStyle name="Normal 5 3 3 5 2 2 2" xfId="15814" xr:uid="{0A7CB609-9B51-4403-8E05-395251447E28}"/>
    <cellStyle name="Normal 5 3 3 5 2 2 3" xfId="24251" xr:uid="{DB9ED214-3F55-4F30-9E63-7007BFDFBE81}"/>
    <cellStyle name="Normal 5 3 3 5 2 3" xfId="11596" xr:uid="{613DCFC1-08C1-476F-8930-B2781DF629E1}"/>
    <cellStyle name="Normal 5 3 3 5 2 4" xfId="20034" xr:uid="{17F4224D-A159-43BE-B8B5-E6459D977C55}"/>
    <cellStyle name="Normal 5 3 3 5 3" xfId="5227" xr:uid="{00000000-0005-0000-0000-0000051A0000}"/>
    <cellStyle name="Normal 5 3 3 5 3 2" xfId="13669" xr:uid="{D2C575C1-8DEA-4C89-87B2-F83DEA7D1929}"/>
    <cellStyle name="Normal 5 3 3 5 3 3" xfId="22106" xr:uid="{1FDB5BF9-1EE0-4779-929D-A689A9E6557D}"/>
    <cellStyle name="Normal 5 3 3 5 4" xfId="9451" xr:uid="{FED0278F-CA5E-46FF-8920-056323B1FDBD}"/>
    <cellStyle name="Normal 5 3 3 5 5" xfId="17889" xr:uid="{BF0C7BE2-9F95-43E6-988C-8E0130B7F7FB}"/>
    <cellStyle name="Normal 5 3 3 6" xfId="1332" xr:uid="{00000000-0005-0000-0000-0000061A0000}"/>
    <cellStyle name="Normal 5 3 3 6 2" xfId="3562" xr:uid="{00000000-0005-0000-0000-0000071A0000}"/>
    <cellStyle name="Normal 5 3 3 6 2 2" xfId="7785" xr:uid="{00000000-0005-0000-0000-0000081A0000}"/>
    <cellStyle name="Normal 5 3 3 6 2 2 2" xfId="16227" xr:uid="{84FF71C1-4F51-449E-BAED-86EB6336DE33}"/>
    <cellStyle name="Normal 5 3 3 6 2 2 3" xfId="24664" xr:uid="{F1E329CD-AD3F-446F-B800-16315A3FEB9C}"/>
    <cellStyle name="Normal 5 3 3 6 2 3" xfId="12009" xr:uid="{C226F72F-A6DE-4A0F-AC8B-F6368A837F02}"/>
    <cellStyle name="Normal 5 3 3 6 2 4" xfId="20447" xr:uid="{CB77C12D-7135-4BE3-8795-381097D8E458}"/>
    <cellStyle name="Normal 5 3 3 6 3" xfId="5640" xr:uid="{00000000-0005-0000-0000-0000091A0000}"/>
    <cellStyle name="Normal 5 3 3 6 3 2" xfId="14082" xr:uid="{5260DADC-E283-4185-8CCB-5C5A4A355E6E}"/>
    <cellStyle name="Normal 5 3 3 6 3 3" xfId="22519" xr:uid="{C2F6F8C8-8F9B-45D1-AC1F-E3F9F8BFD1C7}"/>
    <cellStyle name="Normal 5 3 3 6 4" xfId="9864" xr:uid="{9EFB058E-5AB2-45F5-AE51-92E8AEF3A604}"/>
    <cellStyle name="Normal 5 3 3 6 5" xfId="18302" xr:uid="{1A1CD4A7-BCE8-4F6F-9FC0-DE8C48658153}"/>
    <cellStyle name="Normal 5 3 3 7" xfId="1745" xr:uid="{00000000-0005-0000-0000-00000A1A0000}"/>
    <cellStyle name="Normal 5 3 3 7 2" xfId="3975" xr:uid="{00000000-0005-0000-0000-00000B1A0000}"/>
    <cellStyle name="Normal 5 3 3 7 2 2" xfId="8198" xr:uid="{00000000-0005-0000-0000-00000C1A0000}"/>
    <cellStyle name="Normal 5 3 3 7 2 2 2" xfId="16640" xr:uid="{91F1220E-4692-4F46-9CAA-05ED5226D7D5}"/>
    <cellStyle name="Normal 5 3 3 7 2 2 3" xfId="25077" xr:uid="{56E2D568-4A3C-4AD3-87C6-22E0D242B1AA}"/>
    <cellStyle name="Normal 5 3 3 7 2 3" xfId="12422" xr:uid="{2867DBB4-1B15-44C9-8C02-174AFCC0934B}"/>
    <cellStyle name="Normal 5 3 3 7 2 4" xfId="20860" xr:uid="{12860769-38A2-4D56-8811-C802330B5F29}"/>
    <cellStyle name="Normal 5 3 3 7 3" xfId="6053" xr:uid="{00000000-0005-0000-0000-00000D1A0000}"/>
    <cellStyle name="Normal 5 3 3 7 3 2" xfId="14495" xr:uid="{F26D3863-0E30-4B9A-9437-C8336E898176}"/>
    <cellStyle name="Normal 5 3 3 7 3 3" xfId="22932" xr:uid="{FE0E76E1-1355-4391-B1B7-6C71B2135571}"/>
    <cellStyle name="Normal 5 3 3 7 4" xfId="10277" xr:uid="{62D6A69F-832B-4F74-BFCC-6FEA2612DB39}"/>
    <cellStyle name="Normal 5 3 3 7 5" xfId="18715" xr:uid="{99E054B0-524B-42A0-B5C5-867802BDC10D}"/>
    <cellStyle name="Normal 5 3 3 8" xfId="2159" xr:uid="{00000000-0005-0000-0000-00000E1A0000}"/>
    <cellStyle name="Normal 5 3 3 8 2" xfId="4388" xr:uid="{00000000-0005-0000-0000-00000F1A0000}"/>
    <cellStyle name="Normal 5 3 3 8 2 2" xfId="8611" xr:uid="{00000000-0005-0000-0000-0000101A0000}"/>
    <cellStyle name="Normal 5 3 3 8 2 2 2" xfId="17053" xr:uid="{133023E0-87FE-4E24-B098-D369B7447A09}"/>
    <cellStyle name="Normal 5 3 3 8 2 2 3" xfId="25490" xr:uid="{256C55EC-4D21-4B87-A565-FFCF3FE123A8}"/>
    <cellStyle name="Normal 5 3 3 8 2 3" xfId="12835" xr:uid="{B9E6E2C7-1BB0-4DED-AF8A-033025DF2CA5}"/>
    <cellStyle name="Normal 5 3 3 8 2 4" xfId="21273" xr:uid="{DB996F70-4673-489E-93A3-04440FFAC162}"/>
    <cellStyle name="Normal 5 3 3 8 3" xfId="6466" xr:uid="{00000000-0005-0000-0000-0000111A0000}"/>
    <cellStyle name="Normal 5 3 3 8 3 2" xfId="14908" xr:uid="{C84F696D-08A4-4D3F-B8C7-39B38A099019}"/>
    <cellStyle name="Normal 5 3 3 8 3 3" xfId="23345" xr:uid="{235EED96-050F-4E54-A4D9-95444B3661A2}"/>
    <cellStyle name="Normal 5 3 3 8 4" xfId="10690" xr:uid="{582F22F9-A6A1-4E9F-8FB2-DA88095A8689}"/>
    <cellStyle name="Normal 5 3 3 8 5" xfId="19128" xr:uid="{1882F734-A8CE-4F18-B758-1022677132A5}"/>
    <cellStyle name="Normal 5 3 3 9" xfId="2595" xr:uid="{00000000-0005-0000-0000-0000121A0000}"/>
    <cellStyle name="Normal 5 3 3 9 2" xfId="6879" xr:uid="{00000000-0005-0000-0000-0000131A0000}"/>
    <cellStyle name="Normal 5 3 3 9 2 2" xfId="15321" xr:uid="{6D44355B-6F1C-4653-86AC-1196EDB5DA36}"/>
    <cellStyle name="Normal 5 3 3 9 2 3" xfId="23758" xr:uid="{6613137E-4803-4BB3-8D91-DC88AB718861}"/>
    <cellStyle name="Normal 5 3 3 9 3" xfId="11103" xr:uid="{C6B7145E-62A9-44E9-91EA-1E4B31340F5A}"/>
    <cellStyle name="Normal 5 3 3 9 4" xfId="19541" xr:uid="{F1F76BAF-C329-4F2C-A8D7-82FE894A1C31}"/>
    <cellStyle name="Normal 5 3 4" xfId="449" xr:uid="{00000000-0005-0000-0000-0000141A0000}"/>
    <cellStyle name="Normal 5 3 4 10" xfId="9046" xr:uid="{EE789783-B760-459B-96D4-CD77CCBE4E04}"/>
    <cellStyle name="Normal 5 3 4 11" xfId="17484" xr:uid="{C198B3D6-1460-4CC3-9F83-CDC145110697}"/>
    <cellStyle name="Normal 5 3 4 2" xfId="450" xr:uid="{00000000-0005-0000-0000-0000151A0000}"/>
    <cellStyle name="Normal 5 3 4 2 10" xfId="17485" xr:uid="{11D89BE5-C917-40B2-9A66-7DCFF252352E}"/>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2 2 2" xfId="15824" xr:uid="{0AEFD033-1BEE-451C-BC4E-57DAA8FBAB85}"/>
    <cellStyle name="Normal 5 3 4 2 2 2 2 2 3" xfId="24261" xr:uid="{8B8A2DC5-8427-4276-97A9-1D196CEDA237}"/>
    <cellStyle name="Normal 5 3 4 2 2 2 2 3" xfId="11606" xr:uid="{A7A9EE8F-2088-49C2-8945-64B08F9205C9}"/>
    <cellStyle name="Normal 5 3 4 2 2 2 2 4" xfId="20044" xr:uid="{10776A13-3E2D-4B7C-8AE0-91F55A4D8579}"/>
    <cellStyle name="Normal 5 3 4 2 2 2 3" xfId="5237" xr:uid="{00000000-0005-0000-0000-00001A1A0000}"/>
    <cellStyle name="Normal 5 3 4 2 2 2 3 2" xfId="13679" xr:uid="{EC56860C-E3F1-4BEA-B26E-E38608D4567D}"/>
    <cellStyle name="Normal 5 3 4 2 2 2 3 3" xfId="22116" xr:uid="{804BFFD8-FED9-487E-B5E4-31FE1A53DA0C}"/>
    <cellStyle name="Normal 5 3 4 2 2 2 4" xfId="9461" xr:uid="{509E1235-3733-4686-8FBA-57D6E64B9E1E}"/>
    <cellStyle name="Normal 5 3 4 2 2 2 5" xfId="17899" xr:uid="{A75F9F37-CFB4-4D87-8DAF-714B21E3057C}"/>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2 2 2" xfId="16237" xr:uid="{813E28EC-ACF2-46C6-9544-2D54063CD184}"/>
    <cellStyle name="Normal 5 3 4 2 2 3 2 2 3" xfId="24674" xr:uid="{36291E9D-DD30-42FC-83FD-306C1C8DCAB8}"/>
    <cellStyle name="Normal 5 3 4 2 2 3 2 3" xfId="12019" xr:uid="{9360FD6C-39FB-4E06-A7EA-4CEAFB92B75E}"/>
    <cellStyle name="Normal 5 3 4 2 2 3 2 4" xfId="20457" xr:uid="{5F5A71C7-F5E0-4C9C-9DD9-C6B9E31C7ADC}"/>
    <cellStyle name="Normal 5 3 4 2 2 3 3" xfId="5650" xr:uid="{00000000-0005-0000-0000-00001E1A0000}"/>
    <cellStyle name="Normal 5 3 4 2 2 3 3 2" xfId="14092" xr:uid="{5639A300-0B84-4B57-9053-7BFED66E3A88}"/>
    <cellStyle name="Normal 5 3 4 2 2 3 3 3" xfId="22529" xr:uid="{11743587-718F-44E4-A7CA-32FABC46FB1C}"/>
    <cellStyle name="Normal 5 3 4 2 2 3 4" xfId="9874" xr:uid="{C7B6EA9C-838C-485F-BA4D-DE8B8CB50689}"/>
    <cellStyle name="Normal 5 3 4 2 2 3 5" xfId="18312" xr:uid="{780987DB-33F8-4A63-801B-B9C2A66BABC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2 2 2" xfId="16650" xr:uid="{6BA9C221-C05A-473E-8CFD-7A75748EC074}"/>
    <cellStyle name="Normal 5 3 4 2 2 4 2 2 3" xfId="25087" xr:uid="{1FBF078D-27EC-49A6-8A94-4E9DF2CD46D2}"/>
    <cellStyle name="Normal 5 3 4 2 2 4 2 3" xfId="12432" xr:uid="{1AF3E558-2531-4CD9-9F11-D462A2B63045}"/>
    <cellStyle name="Normal 5 3 4 2 2 4 2 4" xfId="20870" xr:uid="{D272DDF9-9BA3-43DD-A321-4ECF9FF7C6B2}"/>
    <cellStyle name="Normal 5 3 4 2 2 4 3" xfId="6063" xr:uid="{00000000-0005-0000-0000-0000221A0000}"/>
    <cellStyle name="Normal 5 3 4 2 2 4 3 2" xfId="14505" xr:uid="{97C8A450-0B97-4A32-B23F-FC8260FBB5C6}"/>
    <cellStyle name="Normal 5 3 4 2 2 4 3 3" xfId="22942" xr:uid="{F125A7AC-29BF-4B34-8C80-F68CDE15BE99}"/>
    <cellStyle name="Normal 5 3 4 2 2 4 4" xfId="10287" xr:uid="{F4031655-EBAE-4D0B-9FBB-8DD0EE581E1D}"/>
    <cellStyle name="Normal 5 3 4 2 2 4 5" xfId="18725" xr:uid="{9E1B486E-DEE8-4DB2-9286-CCFFC5EFBAA5}"/>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2 2 2" xfId="17063" xr:uid="{8AF29E1D-C2EE-493E-AE62-BAAF474B5D75}"/>
    <cellStyle name="Normal 5 3 4 2 2 5 2 2 3" xfId="25500" xr:uid="{2561CB92-46C8-441B-BFF1-F948C803B29D}"/>
    <cellStyle name="Normal 5 3 4 2 2 5 2 3" xfId="12845" xr:uid="{DB83269B-CEF6-4DC3-9BE7-1118EDD4A562}"/>
    <cellStyle name="Normal 5 3 4 2 2 5 2 4" xfId="21283" xr:uid="{834D7883-E2B1-4CDA-AFCD-7805B2D050F7}"/>
    <cellStyle name="Normal 5 3 4 2 2 5 3" xfId="6476" xr:uid="{00000000-0005-0000-0000-0000261A0000}"/>
    <cellStyle name="Normal 5 3 4 2 2 5 3 2" xfId="14918" xr:uid="{66990EDD-950E-4762-B350-67AE6D6747BB}"/>
    <cellStyle name="Normal 5 3 4 2 2 5 3 3" xfId="23355" xr:uid="{965BCCD8-FB18-4D60-B471-6F5652A097D9}"/>
    <cellStyle name="Normal 5 3 4 2 2 5 4" xfId="10700" xr:uid="{4B9B657D-8BA0-430A-8AAE-16213B122CFE}"/>
    <cellStyle name="Normal 5 3 4 2 2 5 5" xfId="19138" xr:uid="{911E333C-0C55-4932-A427-E8A5A59C47A5}"/>
    <cellStyle name="Normal 5 3 4 2 2 6" xfId="2605" xr:uid="{00000000-0005-0000-0000-0000271A0000}"/>
    <cellStyle name="Normal 5 3 4 2 2 6 2" xfId="6889" xr:uid="{00000000-0005-0000-0000-0000281A0000}"/>
    <cellStyle name="Normal 5 3 4 2 2 6 2 2" xfId="15331" xr:uid="{13AE1225-D8F5-4A2C-820F-CE9F61E7F5DB}"/>
    <cellStyle name="Normal 5 3 4 2 2 6 2 3" xfId="23768" xr:uid="{2C13FE7F-A93B-48E7-AFEA-B56B3A5A6FF7}"/>
    <cellStyle name="Normal 5 3 4 2 2 6 3" xfId="11113" xr:uid="{82083EBF-829E-4F8A-80AA-023BDDE5741C}"/>
    <cellStyle name="Normal 5 3 4 2 2 6 4" xfId="19551" xr:uid="{E92E23BD-D142-4179-B9DB-827C86541D5B}"/>
    <cellStyle name="Normal 5 3 4 2 2 7" xfId="4824" xr:uid="{00000000-0005-0000-0000-0000291A0000}"/>
    <cellStyle name="Normal 5 3 4 2 2 7 2" xfId="13266" xr:uid="{B15873D7-3B4F-4FEF-94C8-3C7A988284DA}"/>
    <cellStyle name="Normal 5 3 4 2 2 7 3" xfId="21703" xr:uid="{C14DDAA6-EB94-4F11-BECF-9A76E8E675EA}"/>
    <cellStyle name="Normal 5 3 4 2 2 8" xfId="9048" xr:uid="{05EFE92C-5DF5-4ACD-8A4E-5B1565673BF3}"/>
    <cellStyle name="Normal 5 3 4 2 2 9" xfId="17486" xr:uid="{1BBC126D-AC74-48C8-B851-B0670052E3EB}"/>
    <cellStyle name="Normal 5 3 4 2 3" xfId="924" xr:uid="{00000000-0005-0000-0000-00002A1A0000}"/>
    <cellStyle name="Normal 5 3 4 2 3 2" xfId="3158" xr:uid="{00000000-0005-0000-0000-00002B1A0000}"/>
    <cellStyle name="Normal 5 3 4 2 3 2 2" xfId="7381" xr:uid="{00000000-0005-0000-0000-00002C1A0000}"/>
    <cellStyle name="Normal 5 3 4 2 3 2 2 2" xfId="15823" xr:uid="{BF7B55BF-2E58-42C6-A37E-4F2E3147F084}"/>
    <cellStyle name="Normal 5 3 4 2 3 2 2 3" xfId="24260" xr:uid="{EEDA6FEE-D0C5-4243-912E-F9CB019321DD}"/>
    <cellStyle name="Normal 5 3 4 2 3 2 3" xfId="11605" xr:uid="{19A77980-7D50-45D2-BF71-FAB64E3ED92A}"/>
    <cellStyle name="Normal 5 3 4 2 3 2 4" xfId="20043" xr:uid="{62BEFBCF-6662-441C-BB2D-1CD1374037F0}"/>
    <cellStyle name="Normal 5 3 4 2 3 3" xfId="5236" xr:uid="{00000000-0005-0000-0000-00002D1A0000}"/>
    <cellStyle name="Normal 5 3 4 2 3 3 2" xfId="13678" xr:uid="{55F0C6B7-B729-46E6-929D-8A51996AE759}"/>
    <cellStyle name="Normal 5 3 4 2 3 3 3" xfId="22115" xr:uid="{0890DB67-ADCF-4905-B62D-AA2D57B213A7}"/>
    <cellStyle name="Normal 5 3 4 2 3 4" xfId="9460" xr:uid="{72B9A23E-6812-4CF3-AC5C-CFBB0C6ED36F}"/>
    <cellStyle name="Normal 5 3 4 2 3 5" xfId="17898" xr:uid="{9212A549-33CE-4108-BD83-071CD3CCB0ED}"/>
    <cellStyle name="Normal 5 3 4 2 4" xfId="1341" xr:uid="{00000000-0005-0000-0000-00002E1A0000}"/>
    <cellStyle name="Normal 5 3 4 2 4 2" xfId="3571" xr:uid="{00000000-0005-0000-0000-00002F1A0000}"/>
    <cellStyle name="Normal 5 3 4 2 4 2 2" xfId="7794" xr:uid="{00000000-0005-0000-0000-0000301A0000}"/>
    <cellStyle name="Normal 5 3 4 2 4 2 2 2" xfId="16236" xr:uid="{47D43EAE-9643-4D42-8A9C-786888C4366A}"/>
    <cellStyle name="Normal 5 3 4 2 4 2 2 3" xfId="24673" xr:uid="{92BB7AC5-71EA-4997-A73D-130C45BE6B01}"/>
    <cellStyle name="Normal 5 3 4 2 4 2 3" xfId="12018" xr:uid="{C1954A8D-D0C5-4281-8468-90A0A4453FAA}"/>
    <cellStyle name="Normal 5 3 4 2 4 2 4" xfId="20456" xr:uid="{1A5BE35F-4262-4FF5-B7C2-1C3F4B7789F0}"/>
    <cellStyle name="Normal 5 3 4 2 4 3" xfId="5649" xr:uid="{00000000-0005-0000-0000-0000311A0000}"/>
    <cellStyle name="Normal 5 3 4 2 4 3 2" xfId="14091" xr:uid="{21396249-5322-4AD0-81CA-4AA1BE47F527}"/>
    <cellStyle name="Normal 5 3 4 2 4 3 3" xfId="22528" xr:uid="{C4EEE097-327E-43F6-9A00-31EA1C8A45A9}"/>
    <cellStyle name="Normal 5 3 4 2 4 4" xfId="9873" xr:uid="{1A3FC035-F5BC-4AAC-AB74-60C2722DA32A}"/>
    <cellStyle name="Normal 5 3 4 2 4 5" xfId="18311" xr:uid="{5069F67D-243C-484B-8C98-D36CBAEC31AB}"/>
    <cellStyle name="Normal 5 3 4 2 5" xfId="1754" xr:uid="{00000000-0005-0000-0000-0000321A0000}"/>
    <cellStyle name="Normal 5 3 4 2 5 2" xfId="3984" xr:uid="{00000000-0005-0000-0000-0000331A0000}"/>
    <cellStyle name="Normal 5 3 4 2 5 2 2" xfId="8207" xr:uid="{00000000-0005-0000-0000-0000341A0000}"/>
    <cellStyle name="Normal 5 3 4 2 5 2 2 2" xfId="16649" xr:uid="{F2B48EE5-9E2D-46DE-B673-8B99E814EEAA}"/>
    <cellStyle name="Normal 5 3 4 2 5 2 2 3" xfId="25086" xr:uid="{6CAEC6C3-5367-4886-B125-CA2A7E454DA0}"/>
    <cellStyle name="Normal 5 3 4 2 5 2 3" xfId="12431" xr:uid="{ECE9FE44-F631-4234-A8DD-4D9439884530}"/>
    <cellStyle name="Normal 5 3 4 2 5 2 4" xfId="20869" xr:uid="{79BAF292-30A4-4EB9-8C08-00080042FEAF}"/>
    <cellStyle name="Normal 5 3 4 2 5 3" xfId="6062" xr:uid="{00000000-0005-0000-0000-0000351A0000}"/>
    <cellStyle name="Normal 5 3 4 2 5 3 2" xfId="14504" xr:uid="{9F42E489-FE02-4D15-969F-313D1664FE89}"/>
    <cellStyle name="Normal 5 3 4 2 5 3 3" xfId="22941" xr:uid="{DF3D3EAD-AB9F-4FDD-8FF9-246E57F3986D}"/>
    <cellStyle name="Normal 5 3 4 2 5 4" xfId="10286" xr:uid="{A1A59EF1-F10E-43DA-AF2E-67C14CEA650A}"/>
    <cellStyle name="Normal 5 3 4 2 5 5" xfId="18724" xr:uid="{3F0AB7B3-63B4-416A-8FCF-35E777456E1C}"/>
    <cellStyle name="Normal 5 3 4 2 6" xfId="2168" xr:uid="{00000000-0005-0000-0000-0000361A0000}"/>
    <cellStyle name="Normal 5 3 4 2 6 2" xfId="4397" xr:uid="{00000000-0005-0000-0000-0000371A0000}"/>
    <cellStyle name="Normal 5 3 4 2 6 2 2" xfId="8620" xr:uid="{00000000-0005-0000-0000-0000381A0000}"/>
    <cellStyle name="Normal 5 3 4 2 6 2 2 2" xfId="17062" xr:uid="{C983937F-1A30-452D-AF06-3E43F644664B}"/>
    <cellStyle name="Normal 5 3 4 2 6 2 2 3" xfId="25499" xr:uid="{5F66334E-4B1E-4529-9015-0E59853E9740}"/>
    <cellStyle name="Normal 5 3 4 2 6 2 3" xfId="12844" xr:uid="{FF6378BE-64CB-4FBB-B6BD-857887644A04}"/>
    <cellStyle name="Normal 5 3 4 2 6 2 4" xfId="21282" xr:uid="{6A5BD903-E531-4FF2-BD9A-1D4C65A25587}"/>
    <cellStyle name="Normal 5 3 4 2 6 3" xfId="6475" xr:uid="{00000000-0005-0000-0000-0000391A0000}"/>
    <cellStyle name="Normal 5 3 4 2 6 3 2" xfId="14917" xr:uid="{618C2E6D-27A9-4605-8722-79268A599260}"/>
    <cellStyle name="Normal 5 3 4 2 6 3 3" xfId="23354" xr:uid="{CF4FABA4-98D1-4EE1-A248-20983D27650A}"/>
    <cellStyle name="Normal 5 3 4 2 6 4" xfId="10699" xr:uid="{AE0EF0A0-A676-49C8-A96C-3F58A47F542F}"/>
    <cellStyle name="Normal 5 3 4 2 6 5" xfId="19137" xr:uid="{559FD355-AADC-4443-9EC4-75CC0C05D2AA}"/>
    <cellStyle name="Normal 5 3 4 2 7" xfId="2604" xr:uid="{00000000-0005-0000-0000-00003A1A0000}"/>
    <cellStyle name="Normal 5 3 4 2 7 2" xfId="6888" xr:uid="{00000000-0005-0000-0000-00003B1A0000}"/>
    <cellStyle name="Normal 5 3 4 2 7 2 2" xfId="15330" xr:uid="{AA377F75-4AC9-4ABC-97C5-55AC9D172B32}"/>
    <cellStyle name="Normal 5 3 4 2 7 2 3" xfId="23767" xr:uid="{7F9579D6-7EF0-40E6-A728-DCC2CC60BD5A}"/>
    <cellStyle name="Normal 5 3 4 2 7 3" xfId="11112" xr:uid="{429D25F2-FCD9-47EA-9813-F5E6EC8F880C}"/>
    <cellStyle name="Normal 5 3 4 2 7 4" xfId="19550" xr:uid="{810D485F-822F-410A-BCC5-AD87BB12351B}"/>
    <cellStyle name="Normal 5 3 4 2 8" xfId="4823" xr:uid="{00000000-0005-0000-0000-00003C1A0000}"/>
    <cellStyle name="Normal 5 3 4 2 8 2" xfId="13265" xr:uid="{4169CF3C-2FEF-4A41-B926-2F9AE4388315}"/>
    <cellStyle name="Normal 5 3 4 2 8 3" xfId="21702" xr:uid="{C31A50EF-D822-4516-8AB0-52DDD01928AF}"/>
    <cellStyle name="Normal 5 3 4 2 9" xfId="9047" xr:uid="{3D4137DC-51AA-421A-82A6-1C3CC2A2C933}"/>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2 2 2" xfId="15825" xr:uid="{C9E77DBA-6F81-42A7-B211-4365C5B46C33}"/>
    <cellStyle name="Normal 5 3 4 3 2 2 2 3" xfId="24262" xr:uid="{20FE29E0-6783-45C6-8088-F5F7ED2A9FD6}"/>
    <cellStyle name="Normal 5 3 4 3 2 2 3" xfId="11607" xr:uid="{7F97E6D8-3F9F-4791-B031-57C09AEA8F62}"/>
    <cellStyle name="Normal 5 3 4 3 2 2 4" xfId="20045" xr:uid="{1FD45DBB-C182-4970-9CE4-392C3753EE9E}"/>
    <cellStyle name="Normal 5 3 4 3 2 3" xfId="5238" xr:uid="{00000000-0005-0000-0000-0000411A0000}"/>
    <cellStyle name="Normal 5 3 4 3 2 3 2" xfId="13680" xr:uid="{82DE9A25-1FA6-4E4E-8BA3-A4315B99420B}"/>
    <cellStyle name="Normal 5 3 4 3 2 3 3" xfId="22117" xr:uid="{0E18942A-2A45-4C32-BAFF-762712682213}"/>
    <cellStyle name="Normal 5 3 4 3 2 4" xfId="9462" xr:uid="{32340F7F-9F53-4D8B-82E1-B5928D3B5995}"/>
    <cellStyle name="Normal 5 3 4 3 2 5" xfId="17900" xr:uid="{67FA4576-529B-4190-8236-D9B7BD234B55}"/>
    <cellStyle name="Normal 5 3 4 3 3" xfId="1343" xr:uid="{00000000-0005-0000-0000-0000421A0000}"/>
    <cellStyle name="Normal 5 3 4 3 3 2" xfId="3573" xr:uid="{00000000-0005-0000-0000-0000431A0000}"/>
    <cellStyle name="Normal 5 3 4 3 3 2 2" xfId="7796" xr:uid="{00000000-0005-0000-0000-0000441A0000}"/>
    <cellStyle name="Normal 5 3 4 3 3 2 2 2" xfId="16238" xr:uid="{5F2DBA63-2A68-4996-AE8B-187BD0802D22}"/>
    <cellStyle name="Normal 5 3 4 3 3 2 2 3" xfId="24675" xr:uid="{9B48C1F1-0494-4CE4-B2C5-5D5BE32303A6}"/>
    <cellStyle name="Normal 5 3 4 3 3 2 3" xfId="12020" xr:uid="{B47CE3BC-E4B0-4C9B-8094-73F8B30AF26D}"/>
    <cellStyle name="Normal 5 3 4 3 3 2 4" xfId="20458" xr:uid="{259FF7BD-B3AB-48B6-9787-9097E237B4C2}"/>
    <cellStyle name="Normal 5 3 4 3 3 3" xfId="5651" xr:uid="{00000000-0005-0000-0000-0000451A0000}"/>
    <cellStyle name="Normal 5 3 4 3 3 3 2" xfId="14093" xr:uid="{8949A3E5-EBCD-4930-A19E-600974D07A0C}"/>
    <cellStyle name="Normal 5 3 4 3 3 3 3" xfId="22530" xr:uid="{B3708201-556C-48C2-9E6B-7ABEAF163A2F}"/>
    <cellStyle name="Normal 5 3 4 3 3 4" xfId="9875" xr:uid="{65B044C0-8F4D-454D-A0E9-AF519A6A8314}"/>
    <cellStyle name="Normal 5 3 4 3 3 5" xfId="18313" xr:uid="{A83986B7-5381-4E31-9C1D-6FF53FDA213D}"/>
    <cellStyle name="Normal 5 3 4 3 4" xfId="1756" xr:uid="{00000000-0005-0000-0000-0000461A0000}"/>
    <cellStyle name="Normal 5 3 4 3 4 2" xfId="3986" xr:uid="{00000000-0005-0000-0000-0000471A0000}"/>
    <cellStyle name="Normal 5 3 4 3 4 2 2" xfId="8209" xr:uid="{00000000-0005-0000-0000-0000481A0000}"/>
    <cellStyle name="Normal 5 3 4 3 4 2 2 2" xfId="16651" xr:uid="{48242A19-9A12-4A79-9139-6834E458A552}"/>
    <cellStyle name="Normal 5 3 4 3 4 2 2 3" xfId="25088" xr:uid="{C2C69E85-2ECD-49B2-905A-9285194C2231}"/>
    <cellStyle name="Normal 5 3 4 3 4 2 3" xfId="12433" xr:uid="{910F5BA0-93FD-4849-9E19-131A6F48D446}"/>
    <cellStyle name="Normal 5 3 4 3 4 2 4" xfId="20871" xr:uid="{0938669B-1CC4-4709-9BED-6EAA49ED3226}"/>
    <cellStyle name="Normal 5 3 4 3 4 3" xfId="6064" xr:uid="{00000000-0005-0000-0000-0000491A0000}"/>
    <cellStyle name="Normal 5 3 4 3 4 3 2" xfId="14506" xr:uid="{44CE7EB0-6136-4D15-A308-E8049A0DB33C}"/>
    <cellStyle name="Normal 5 3 4 3 4 3 3" xfId="22943" xr:uid="{0F10E497-3A64-4901-985F-BA9CC6942C31}"/>
    <cellStyle name="Normal 5 3 4 3 4 4" xfId="10288" xr:uid="{6B2284D4-2FEA-48BE-A284-B2C9AEC31737}"/>
    <cellStyle name="Normal 5 3 4 3 4 5" xfId="18726" xr:uid="{BFDA51BC-5B01-4803-B55F-15F5E95F10B7}"/>
    <cellStyle name="Normal 5 3 4 3 5" xfId="2170" xr:uid="{00000000-0005-0000-0000-00004A1A0000}"/>
    <cellStyle name="Normal 5 3 4 3 5 2" xfId="4399" xr:uid="{00000000-0005-0000-0000-00004B1A0000}"/>
    <cellStyle name="Normal 5 3 4 3 5 2 2" xfId="8622" xr:uid="{00000000-0005-0000-0000-00004C1A0000}"/>
    <cellStyle name="Normal 5 3 4 3 5 2 2 2" xfId="17064" xr:uid="{A20EB3F0-F821-422B-A21A-8E1FD515982A}"/>
    <cellStyle name="Normal 5 3 4 3 5 2 2 3" xfId="25501" xr:uid="{58F1908D-1E2B-477E-9ABE-040D4D18EB64}"/>
    <cellStyle name="Normal 5 3 4 3 5 2 3" xfId="12846" xr:uid="{077A2079-00D1-4A49-8109-AF8646468304}"/>
    <cellStyle name="Normal 5 3 4 3 5 2 4" xfId="21284" xr:uid="{BAD74E74-56BD-489F-BB15-4BDF6D82A05A}"/>
    <cellStyle name="Normal 5 3 4 3 5 3" xfId="6477" xr:uid="{00000000-0005-0000-0000-00004D1A0000}"/>
    <cellStyle name="Normal 5 3 4 3 5 3 2" xfId="14919" xr:uid="{B5410011-AAE1-4F06-805E-51CEE779B1A4}"/>
    <cellStyle name="Normal 5 3 4 3 5 3 3" xfId="23356" xr:uid="{FCDD9A1A-F92E-4019-AE82-A9E93BD6CCD1}"/>
    <cellStyle name="Normal 5 3 4 3 5 4" xfId="10701" xr:uid="{ACB22CD9-1807-40E2-9827-5AB1C5948146}"/>
    <cellStyle name="Normal 5 3 4 3 5 5" xfId="19139" xr:uid="{875B54D6-C865-4D7D-ABF1-E9A8C3EDFF32}"/>
    <cellStyle name="Normal 5 3 4 3 6" xfId="2606" xr:uid="{00000000-0005-0000-0000-00004E1A0000}"/>
    <cellStyle name="Normal 5 3 4 3 6 2" xfId="6890" xr:uid="{00000000-0005-0000-0000-00004F1A0000}"/>
    <cellStyle name="Normal 5 3 4 3 6 2 2" xfId="15332" xr:uid="{CA219926-2AE5-4C2E-950B-14607F31A3EA}"/>
    <cellStyle name="Normal 5 3 4 3 6 2 3" xfId="23769" xr:uid="{4810D68C-7B28-4FFB-94EC-4C8D5935B1B7}"/>
    <cellStyle name="Normal 5 3 4 3 6 3" xfId="11114" xr:uid="{1417C1D2-AE51-4374-857D-4C68B65083BB}"/>
    <cellStyle name="Normal 5 3 4 3 6 4" xfId="19552" xr:uid="{40961953-9AC0-4A22-9346-FC5E22A2B61D}"/>
    <cellStyle name="Normal 5 3 4 3 7" xfId="4825" xr:uid="{00000000-0005-0000-0000-0000501A0000}"/>
    <cellStyle name="Normal 5 3 4 3 7 2" xfId="13267" xr:uid="{3EF0348D-FCC2-4B14-BEC6-7F53279575F9}"/>
    <cellStyle name="Normal 5 3 4 3 7 3" xfId="21704" xr:uid="{893DD3D0-E893-4478-87FB-A39E3F232EF6}"/>
    <cellStyle name="Normal 5 3 4 3 8" xfId="9049" xr:uid="{2970AAFB-75C6-44F9-82B5-B94AC0D72A5B}"/>
    <cellStyle name="Normal 5 3 4 3 9" xfId="17487" xr:uid="{7EDFCAAF-8D6D-43B6-B67A-B59F69908E45}"/>
    <cellStyle name="Normal 5 3 4 4" xfId="923" xr:uid="{00000000-0005-0000-0000-0000511A0000}"/>
    <cellStyle name="Normal 5 3 4 4 2" xfId="3157" xr:uid="{00000000-0005-0000-0000-0000521A0000}"/>
    <cellStyle name="Normal 5 3 4 4 2 2" xfId="7380" xr:uid="{00000000-0005-0000-0000-0000531A0000}"/>
    <cellStyle name="Normal 5 3 4 4 2 2 2" xfId="15822" xr:uid="{DE700847-8992-4130-8364-EFADAA996DFF}"/>
    <cellStyle name="Normal 5 3 4 4 2 2 3" xfId="24259" xr:uid="{E85BF25B-D736-4B76-A765-55DA79940B48}"/>
    <cellStyle name="Normal 5 3 4 4 2 3" xfId="11604" xr:uid="{5438F803-9BE2-4196-BE52-79645C8234EC}"/>
    <cellStyle name="Normal 5 3 4 4 2 4" xfId="20042" xr:uid="{6DADC084-A4BA-42BB-A6A2-DE08BE75AD50}"/>
    <cellStyle name="Normal 5 3 4 4 3" xfId="5235" xr:uid="{00000000-0005-0000-0000-0000541A0000}"/>
    <cellStyle name="Normal 5 3 4 4 3 2" xfId="13677" xr:uid="{9DF571E3-AFEB-4CDF-8F29-89F0C5743B06}"/>
    <cellStyle name="Normal 5 3 4 4 3 3" xfId="22114" xr:uid="{B2D46B53-850B-4EAE-BC32-0FE8029104FD}"/>
    <cellStyle name="Normal 5 3 4 4 4" xfId="9459" xr:uid="{B94FE495-41B4-4E7C-8153-4ABEC12731BA}"/>
    <cellStyle name="Normal 5 3 4 4 5" xfId="17897" xr:uid="{E19C3EE4-083D-41FE-AE51-95A44A5993F3}"/>
    <cellStyle name="Normal 5 3 4 5" xfId="1340" xr:uid="{00000000-0005-0000-0000-0000551A0000}"/>
    <cellStyle name="Normal 5 3 4 5 2" xfId="3570" xr:uid="{00000000-0005-0000-0000-0000561A0000}"/>
    <cellStyle name="Normal 5 3 4 5 2 2" xfId="7793" xr:uid="{00000000-0005-0000-0000-0000571A0000}"/>
    <cellStyle name="Normal 5 3 4 5 2 2 2" xfId="16235" xr:uid="{74A980B4-E9C7-4947-BE16-B8B3E89C3A46}"/>
    <cellStyle name="Normal 5 3 4 5 2 2 3" xfId="24672" xr:uid="{807F7C0B-4AEC-4AA9-92E2-A5A12E44A3CA}"/>
    <cellStyle name="Normal 5 3 4 5 2 3" xfId="12017" xr:uid="{834778C6-1A95-416A-B9BC-A20046A0498A}"/>
    <cellStyle name="Normal 5 3 4 5 2 4" xfId="20455" xr:uid="{71AC71C8-E22A-423F-8646-D78C440BEB12}"/>
    <cellStyle name="Normal 5 3 4 5 3" xfId="5648" xr:uid="{00000000-0005-0000-0000-0000581A0000}"/>
    <cellStyle name="Normal 5 3 4 5 3 2" xfId="14090" xr:uid="{52026727-E2C9-4B76-8716-015D9424EC22}"/>
    <cellStyle name="Normal 5 3 4 5 3 3" xfId="22527" xr:uid="{CC1BCDBA-CD91-46DF-987A-55C3D6136532}"/>
    <cellStyle name="Normal 5 3 4 5 4" xfId="9872" xr:uid="{6452E94B-0900-45F7-924A-3BC88DD96D5F}"/>
    <cellStyle name="Normal 5 3 4 5 5" xfId="18310" xr:uid="{F30C797A-9FC2-4F2B-B487-650D131CCD25}"/>
    <cellStyle name="Normal 5 3 4 6" xfId="1753" xr:uid="{00000000-0005-0000-0000-0000591A0000}"/>
    <cellStyle name="Normal 5 3 4 6 2" xfId="3983" xr:uid="{00000000-0005-0000-0000-00005A1A0000}"/>
    <cellStyle name="Normal 5 3 4 6 2 2" xfId="8206" xr:uid="{00000000-0005-0000-0000-00005B1A0000}"/>
    <cellStyle name="Normal 5 3 4 6 2 2 2" xfId="16648" xr:uid="{55FB16F3-D50E-4673-A71F-C3E63A9A223E}"/>
    <cellStyle name="Normal 5 3 4 6 2 2 3" xfId="25085" xr:uid="{00FA7367-1AE2-4066-BA07-CC94775FE032}"/>
    <cellStyle name="Normal 5 3 4 6 2 3" xfId="12430" xr:uid="{A620C28C-3F20-47A7-90A7-5A8C2126E6A3}"/>
    <cellStyle name="Normal 5 3 4 6 2 4" xfId="20868" xr:uid="{F95D87D8-4EFA-4617-B1E4-73D8D9AB596D}"/>
    <cellStyle name="Normal 5 3 4 6 3" xfId="6061" xr:uid="{00000000-0005-0000-0000-00005C1A0000}"/>
    <cellStyle name="Normal 5 3 4 6 3 2" xfId="14503" xr:uid="{EA085924-9866-488C-8813-A6CC0D8AAB5E}"/>
    <cellStyle name="Normal 5 3 4 6 3 3" xfId="22940" xr:uid="{5FF55EE3-EA94-4213-86EF-CD6D0302A45D}"/>
    <cellStyle name="Normal 5 3 4 6 4" xfId="10285" xr:uid="{A558EF49-A830-43BA-A316-CE931FD24236}"/>
    <cellStyle name="Normal 5 3 4 6 5" xfId="18723" xr:uid="{8BEE4083-64B3-4075-8E82-09204A926A45}"/>
    <cellStyle name="Normal 5 3 4 7" xfId="2167" xr:uid="{00000000-0005-0000-0000-00005D1A0000}"/>
    <cellStyle name="Normal 5 3 4 7 2" xfId="4396" xr:uid="{00000000-0005-0000-0000-00005E1A0000}"/>
    <cellStyle name="Normal 5 3 4 7 2 2" xfId="8619" xr:uid="{00000000-0005-0000-0000-00005F1A0000}"/>
    <cellStyle name="Normal 5 3 4 7 2 2 2" xfId="17061" xr:uid="{36778628-47DE-449E-868C-06B9B7D7645E}"/>
    <cellStyle name="Normal 5 3 4 7 2 2 3" xfId="25498" xr:uid="{301D451B-906D-411B-A7DE-224922151B99}"/>
    <cellStyle name="Normal 5 3 4 7 2 3" xfId="12843" xr:uid="{D872AD08-A734-4E7A-8BB9-091F55341F6E}"/>
    <cellStyle name="Normal 5 3 4 7 2 4" xfId="21281" xr:uid="{047E2652-17A7-4166-9C36-4028A6E3032B}"/>
    <cellStyle name="Normal 5 3 4 7 3" xfId="6474" xr:uid="{00000000-0005-0000-0000-0000601A0000}"/>
    <cellStyle name="Normal 5 3 4 7 3 2" xfId="14916" xr:uid="{2BB089FA-C38B-4B2A-BC5D-22B1184EC91B}"/>
    <cellStyle name="Normal 5 3 4 7 3 3" xfId="23353" xr:uid="{DD5FD14D-740C-46D0-AE32-E798422473E2}"/>
    <cellStyle name="Normal 5 3 4 7 4" xfId="10698" xr:uid="{0C0C8E0D-0C43-485F-950B-09A20C1DC118}"/>
    <cellStyle name="Normal 5 3 4 7 5" xfId="19136" xr:uid="{47F482A9-1EE4-4B11-B68F-53B9448A0F68}"/>
    <cellStyle name="Normal 5 3 4 8" xfId="2603" xr:uid="{00000000-0005-0000-0000-0000611A0000}"/>
    <cellStyle name="Normal 5 3 4 8 2" xfId="6887" xr:uid="{00000000-0005-0000-0000-0000621A0000}"/>
    <cellStyle name="Normal 5 3 4 8 2 2" xfId="15329" xr:uid="{40842D56-BF3F-4C9A-8494-8F804937FDAE}"/>
    <cellStyle name="Normal 5 3 4 8 2 3" xfId="23766" xr:uid="{58E8506F-3230-41C7-B8D8-40AE705C305F}"/>
    <cellStyle name="Normal 5 3 4 8 3" xfId="11111" xr:uid="{F5C7A4A8-B963-4005-A237-FCBE4B0BB2F2}"/>
    <cellStyle name="Normal 5 3 4 8 4" xfId="19549" xr:uid="{4BCEE02D-B9BA-48E4-827C-11CD9860D376}"/>
    <cellStyle name="Normal 5 3 4 9" xfId="4822" xr:uid="{00000000-0005-0000-0000-0000631A0000}"/>
    <cellStyle name="Normal 5 3 4 9 2" xfId="13264" xr:uid="{EDD94DA4-3475-495C-9FFA-1E3F5ACB5632}"/>
    <cellStyle name="Normal 5 3 4 9 3" xfId="21701" xr:uid="{3672D68F-8AEF-49F3-8718-5A8F284068EC}"/>
    <cellStyle name="Normal 5 3 5" xfId="453" xr:uid="{00000000-0005-0000-0000-0000641A0000}"/>
    <cellStyle name="Normal 5 3 5 10" xfId="17488" xr:uid="{070545E4-85C1-412E-91E7-F17E2E2A15B1}"/>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2 2 2" xfId="15827" xr:uid="{A6737ADC-7F01-40D0-B1FE-F4E239191617}"/>
    <cellStyle name="Normal 5 3 5 2 2 2 2 3" xfId="24264" xr:uid="{EC13DA58-E717-4397-ABBF-64B317691B95}"/>
    <cellStyle name="Normal 5 3 5 2 2 2 3" xfId="11609" xr:uid="{9FD5976F-9E45-4091-BBA5-2C1FACE8C5EC}"/>
    <cellStyle name="Normal 5 3 5 2 2 2 4" xfId="20047" xr:uid="{1CBA7C49-7803-4ACC-AB20-5AA285FC2609}"/>
    <cellStyle name="Normal 5 3 5 2 2 3" xfId="5240" xr:uid="{00000000-0005-0000-0000-0000691A0000}"/>
    <cellStyle name="Normal 5 3 5 2 2 3 2" xfId="13682" xr:uid="{C3883090-9FFF-455E-9216-DB12519A3E31}"/>
    <cellStyle name="Normal 5 3 5 2 2 3 3" xfId="22119" xr:uid="{F2611B4E-5C6C-4B4F-95E1-767BA86AA0BD}"/>
    <cellStyle name="Normal 5 3 5 2 2 4" xfId="9464" xr:uid="{7C9A18BA-456C-477D-95B5-8774C0698B82}"/>
    <cellStyle name="Normal 5 3 5 2 2 5" xfId="17902" xr:uid="{F28E6235-0852-4F9F-B8A1-63B97E2A805D}"/>
    <cellStyle name="Normal 5 3 5 2 3" xfId="1345" xr:uid="{00000000-0005-0000-0000-00006A1A0000}"/>
    <cellStyle name="Normal 5 3 5 2 3 2" xfId="3575" xr:uid="{00000000-0005-0000-0000-00006B1A0000}"/>
    <cellStyle name="Normal 5 3 5 2 3 2 2" xfId="7798" xr:uid="{00000000-0005-0000-0000-00006C1A0000}"/>
    <cellStyle name="Normal 5 3 5 2 3 2 2 2" xfId="16240" xr:uid="{2B251B19-1AC4-41D6-B22F-936714E08DEC}"/>
    <cellStyle name="Normal 5 3 5 2 3 2 2 3" xfId="24677" xr:uid="{DBCB2BDA-6532-42D5-8DBB-8A4F4FBFA515}"/>
    <cellStyle name="Normal 5 3 5 2 3 2 3" xfId="12022" xr:uid="{32FB5029-BC56-423B-BBEB-B763EECF45C2}"/>
    <cellStyle name="Normal 5 3 5 2 3 2 4" xfId="20460" xr:uid="{DE8329E5-FA93-4E0C-A125-EDCA406CF4FF}"/>
    <cellStyle name="Normal 5 3 5 2 3 3" xfId="5653" xr:uid="{00000000-0005-0000-0000-00006D1A0000}"/>
    <cellStyle name="Normal 5 3 5 2 3 3 2" xfId="14095" xr:uid="{6FC4517A-F470-4FC8-B201-9754E4E37EF1}"/>
    <cellStyle name="Normal 5 3 5 2 3 3 3" xfId="22532" xr:uid="{4D2F2E29-CC45-4C33-A7A8-F6EB2D3DD88B}"/>
    <cellStyle name="Normal 5 3 5 2 3 4" xfId="9877" xr:uid="{996ECAD1-0239-44B3-848D-530BBAD08866}"/>
    <cellStyle name="Normal 5 3 5 2 3 5" xfId="18315" xr:uid="{99B5AB2C-C3FE-470D-9729-FF5BE522A27E}"/>
    <cellStyle name="Normal 5 3 5 2 4" xfId="1758" xr:uid="{00000000-0005-0000-0000-00006E1A0000}"/>
    <cellStyle name="Normal 5 3 5 2 4 2" xfId="3988" xr:uid="{00000000-0005-0000-0000-00006F1A0000}"/>
    <cellStyle name="Normal 5 3 5 2 4 2 2" xfId="8211" xr:uid="{00000000-0005-0000-0000-0000701A0000}"/>
    <cellStyle name="Normal 5 3 5 2 4 2 2 2" xfId="16653" xr:uid="{A985CA60-BF88-4C07-8CA8-0F9B69D390A1}"/>
    <cellStyle name="Normal 5 3 5 2 4 2 2 3" xfId="25090" xr:uid="{E285AF6C-095D-4DCE-97DB-4C8191C01EC1}"/>
    <cellStyle name="Normal 5 3 5 2 4 2 3" xfId="12435" xr:uid="{CBAD3786-C689-4CEF-BCDD-691371F51D96}"/>
    <cellStyle name="Normal 5 3 5 2 4 2 4" xfId="20873" xr:uid="{B917F899-F1F6-473C-B457-0D26ABDECE53}"/>
    <cellStyle name="Normal 5 3 5 2 4 3" xfId="6066" xr:uid="{00000000-0005-0000-0000-0000711A0000}"/>
    <cellStyle name="Normal 5 3 5 2 4 3 2" xfId="14508" xr:uid="{E2AA26B6-2432-42BC-801E-E951F1AA7A55}"/>
    <cellStyle name="Normal 5 3 5 2 4 3 3" xfId="22945" xr:uid="{673D7831-7500-4673-A85E-DF292319652C}"/>
    <cellStyle name="Normal 5 3 5 2 4 4" xfId="10290" xr:uid="{198FD277-D2C2-4862-959D-8495DE1AAAC2}"/>
    <cellStyle name="Normal 5 3 5 2 4 5" xfId="18728" xr:uid="{CE399EAD-74C8-4FC6-AF01-49CA4743554F}"/>
    <cellStyle name="Normal 5 3 5 2 5" xfId="2172" xr:uid="{00000000-0005-0000-0000-0000721A0000}"/>
    <cellStyle name="Normal 5 3 5 2 5 2" xfId="4401" xr:uid="{00000000-0005-0000-0000-0000731A0000}"/>
    <cellStyle name="Normal 5 3 5 2 5 2 2" xfId="8624" xr:uid="{00000000-0005-0000-0000-0000741A0000}"/>
    <cellStyle name="Normal 5 3 5 2 5 2 2 2" xfId="17066" xr:uid="{81658A3F-EFD5-4502-B186-D32F88FBAB7E}"/>
    <cellStyle name="Normal 5 3 5 2 5 2 2 3" xfId="25503" xr:uid="{A2E763C7-182A-4678-8E77-A38FAB78FBA1}"/>
    <cellStyle name="Normal 5 3 5 2 5 2 3" xfId="12848" xr:uid="{4C069FDC-700C-42DC-9838-A216406922CB}"/>
    <cellStyle name="Normal 5 3 5 2 5 2 4" xfId="21286" xr:uid="{DB53454C-D84C-46F5-A521-CA14915AAED1}"/>
    <cellStyle name="Normal 5 3 5 2 5 3" xfId="6479" xr:uid="{00000000-0005-0000-0000-0000751A0000}"/>
    <cellStyle name="Normal 5 3 5 2 5 3 2" xfId="14921" xr:uid="{96E12859-8D7F-4263-BE30-67B0670040D5}"/>
    <cellStyle name="Normal 5 3 5 2 5 3 3" xfId="23358" xr:uid="{1D8A685A-3DEE-4B8C-98FE-91E8B3C72FD4}"/>
    <cellStyle name="Normal 5 3 5 2 5 4" xfId="10703" xr:uid="{C5492861-9446-458C-8BF5-D52D92E67C16}"/>
    <cellStyle name="Normal 5 3 5 2 5 5" xfId="19141" xr:uid="{0BB54B3A-1603-42C3-94F2-AF08564D6405}"/>
    <cellStyle name="Normal 5 3 5 2 6" xfId="2608" xr:uid="{00000000-0005-0000-0000-0000761A0000}"/>
    <cellStyle name="Normal 5 3 5 2 6 2" xfId="6892" xr:uid="{00000000-0005-0000-0000-0000771A0000}"/>
    <cellStyle name="Normal 5 3 5 2 6 2 2" xfId="15334" xr:uid="{6BDF5CF2-D7FC-45AD-B416-DF57CBC4E40F}"/>
    <cellStyle name="Normal 5 3 5 2 6 2 3" xfId="23771" xr:uid="{ED2510B4-DE64-4940-8EDC-81E45EE5872A}"/>
    <cellStyle name="Normal 5 3 5 2 6 3" xfId="11116" xr:uid="{6E72D870-9916-4007-A9C0-8AAD8B3F6923}"/>
    <cellStyle name="Normal 5 3 5 2 6 4" xfId="19554" xr:uid="{5C243583-595A-4E7F-8805-0AED2CBCF3E9}"/>
    <cellStyle name="Normal 5 3 5 2 7" xfId="4827" xr:uid="{00000000-0005-0000-0000-0000781A0000}"/>
    <cellStyle name="Normal 5 3 5 2 7 2" xfId="13269" xr:uid="{8E194C9D-C491-4E03-9948-B4A93095432D}"/>
    <cellStyle name="Normal 5 3 5 2 7 3" xfId="21706" xr:uid="{701FE22F-832D-4DD2-A750-BA5F79240FB4}"/>
    <cellStyle name="Normal 5 3 5 2 8" xfId="9051" xr:uid="{9FAF8089-B5B5-4A6E-9385-8C6459C55DE3}"/>
    <cellStyle name="Normal 5 3 5 2 9" xfId="17489" xr:uid="{48A8F83F-1450-4627-986D-3DE562206BDD}"/>
    <cellStyle name="Normal 5 3 5 3" xfId="927" xr:uid="{00000000-0005-0000-0000-0000791A0000}"/>
    <cellStyle name="Normal 5 3 5 3 2" xfId="3161" xr:uid="{00000000-0005-0000-0000-00007A1A0000}"/>
    <cellStyle name="Normal 5 3 5 3 2 2" xfId="7384" xr:uid="{00000000-0005-0000-0000-00007B1A0000}"/>
    <cellStyle name="Normal 5 3 5 3 2 2 2" xfId="15826" xr:uid="{E64E4318-06AC-4B71-A97B-CDF4AB24250D}"/>
    <cellStyle name="Normal 5 3 5 3 2 2 3" xfId="24263" xr:uid="{99506E47-1801-48C2-B2E6-037C2A68E196}"/>
    <cellStyle name="Normal 5 3 5 3 2 3" xfId="11608" xr:uid="{3640246D-EA79-48EF-A444-66F849177314}"/>
    <cellStyle name="Normal 5 3 5 3 2 4" xfId="20046" xr:uid="{3D659C59-598C-4BDB-9ACF-2A6F89FEFCC8}"/>
    <cellStyle name="Normal 5 3 5 3 3" xfId="5239" xr:uid="{00000000-0005-0000-0000-00007C1A0000}"/>
    <cellStyle name="Normal 5 3 5 3 3 2" xfId="13681" xr:uid="{9075C173-E11C-472F-82F6-191342C4D975}"/>
    <cellStyle name="Normal 5 3 5 3 3 3" xfId="22118" xr:uid="{0089D0BC-6D7D-42D8-AD00-DEF241FBC1C8}"/>
    <cellStyle name="Normal 5 3 5 3 4" xfId="9463" xr:uid="{7B671C77-399E-4401-B302-84D55D430F46}"/>
    <cellStyle name="Normal 5 3 5 3 5" xfId="17901" xr:uid="{53BE9AAA-2F4E-48D8-B13F-0C19F8B2C216}"/>
    <cellStyle name="Normal 5 3 5 4" xfId="1344" xr:uid="{00000000-0005-0000-0000-00007D1A0000}"/>
    <cellStyle name="Normal 5 3 5 4 2" xfId="3574" xr:uid="{00000000-0005-0000-0000-00007E1A0000}"/>
    <cellStyle name="Normal 5 3 5 4 2 2" xfId="7797" xr:uid="{00000000-0005-0000-0000-00007F1A0000}"/>
    <cellStyle name="Normal 5 3 5 4 2 2 2" xfId="16239" xr:uid="{CC4D53E1-71FD-4C8E-A5D1-2F4914086A31}"/>
    <cellStyle name="Normal 5 3 5 4 2 2 3" xfId="24676" xr:uid="{E06FA8DD-88DB-4EC6-972D-963A97BA7E86}"/>
    <cellStyle name="Normal 5 3 5 4 2 3" xfId="12021" xr:uid="{7297A88B-46F5-40C7-9C08-BBFC84FD3D39}"/>
    <cellStyle name="Normal 5 3 5 4 2 4" xfId="20459" xr:uid="{4BE62D83-E245-491B-814E-9E5035E532D3}"/>
    <cellStyle name="Normal 5 3 5 4 3" xfId="5652" xr:uid="{00000000-0005-0000-0000-0000801A0000}"/>
    <cellStyle name="Normal 5 3 5 4 3 2" xfId="14094" xr:uid="{AF16A548-5A99-44A5-A4DD-2F1134537792}"/>
    <cellStyle name="Normal 5 3 5 4 3 3" xfId="22531" xr:uid="{53F5C0C4-5205-4B4A-AFDD-58C777372F62}"/>
    <cellStyle name="Normal 5 3 5 4 4" xfId="9876" xr:uid="{35F3F12D-697E-45E1-B31C-327600BE5CDF}"/>
    <cellStyle name="Normal 5 3 5 4 5" xfId="18314" xr:uid="{3A9A1864-7A98-4A8A-A6EA-43CD8EC27E05}"/>
    <cellStyle name="Normal 5 3 5 5" xfId="1757" xr:uid="{00000000-0005-0000-0000-0000811A0000}"/>
    <cellStyle name="Normal 5 3 5 5 2" xfId="3987" xr:uid="{00000000-0005-0000-0000-0000821A0000}"/>
    <cellStyle name="Normal 5 3 5 5 2 2" xfId="8210" xr:uid="{00000000-0005-0000-0000-0000831A0000}"/>
    <cellStyle name="Normal 5 3 5 5 2 2 2" xfId="16652" xr:uid="{5262CCC5-5A58-450F-B257-2976787AB1AF}"/>
    <cellStyle name="Normal 5 3 5 5 2 2 3" xfId="25089" xr:uid="{DE9F9F8D-588E-4904-8E9C-9255918A29F9}"/>
    <cellStyle name="Normal 5 3 5 5 2 3" xfId="12434" xr:uid="{858E0DDB-A691-4D62-99CC-F5E979752EBF}"/>
    <cellStyle name="Normal 5 3 5 5 2 4" xfId="20872" xr:uid="{1D86439B-A71B-458A-940E-811F64AD8523}"/>
    <cellStyle name="Normal 5 3 5 5 3" xfId="6065" xr:uid="{00000000-0005-0000-0000-0000841A0000}"/>
    <cellStyle name="Normal 5 3 5 5 3 2" xfId="14507" xr:uid="{A8C4C57B-C2D5-477A-9F48-3547A63D2F6E}"/>
    <cellStyle name="Normal 5 3 5 5 3 3" xfId="22944" xr:uid="{2963AA0B-89F3-4675-A4BD-8C7E257A9959}"/>
    <cellStyle name="Normal 5 3 5 5 4" xfId="10289" xr:uid="{5B848151-DEB1-441F-8917-318FEC25B2B1}"/>
    <cellStyle name="Normal 5 3 5 5 5" xfId="18727" xr:uid="{2A46664E-7905-421E-A82B-11C132D83C6E}"/>
    <cellStyle name="Normal 5 3 5 6" xfId="2171" xr:uid="{00000000-0005-0000-0000-0000851A0000}"/>
    <cellStyle name="Normal 5 3 5 6 2" xfId="4400" xr:uid="{00000000-0005-0000-0000-0000861A0000}"/>
    <cellStyle name="Normal 5 3 5 6 2 2" xfId="8623" xr:uid="{00000000-0005-0000-0000-0000871A0000}"/>
    <cellStyle name="Normal 5 3 5 6 2 2 2" xfId="17065" xr:uid="{A2267966-61A5-4AC8-8A99-BB2DD2061CC8}"/>
    <cellStyle name="Normal 5 3 5 6 2 2 3" xfId="25502" xr:uid="{F49B00F4-12A1-47B6-A617-D26C437FEBCD}"/>
    <cellStyle name="Normal 5 3 5 6 2 3" xfId="12847" xr:uid="{3240CFB9-FEF2-4FB2-823E-507AF20A9ABB}"/>
    <cellStyle name="Normal 5 3 5 6 2 4" xfId="21285" xr:uid="{F3892596-027D-4BDC-873F-2F03A9EA944B}"/>
    <cellStyle name="Normal 5 3 5 6 3" xfId="6478" xr:uid="{00000000-0005-0000-0000-0000881A0000}"/>
    <cellStyle name="Normal 5 3 5 6 3 2" xfId="14920" xr:uid="{4F439CFC-FB35-4BAE-BFC8-4B3F017F0D2E}"/>
    <cellStyle name="Normal 5 3 5 6 3 3" xfId="23357" xr:uid="{8F0757C5-27E2-449C-BD4E-733D091B5CC6}"/>
    <cellStyle name="Normal 5 3 5 6 4" xfId="10702" xr:uid="{346FD70C-9FBE-49FE-86D5-8B827744CACF}"/>
    <cellStyle name="Normal 5 3 5 6 5" xfId="19140" xr:uid="{99B0F803-62E7-46BE-BC3A-8F0C3200B10E}"/>
    <cellStyle name="Normal 5 3 5 7" xfId="2607" xr:uid="{00000000-0005-0000-0000-0000891A0000}"/>
    <cellStyle name="Normal 5 3 5 7 2" xfId="6891" xr:uid="{00000000-0005-0000-0000-00008A1A0000}"/>
    <cellStyle name="Normal 5 3 5 7 2 2" xfId="15333" xr:uid="{33CA4782-DBFF-4367-B392-EFE2428CA868}"/>
    <cellStyle name="Normal 5 3 5 7 2 3" xfId="23770" xr:uid="{E8325D6C-81DB-44FA-BBCA-E9E0803A7332}"/>
    <cellStyle name="Normal 5 3 5 7 3" xfId="11115" xr:uid="{EB675096-1E3F-4DCE-837B-EA194A468E14}"/>
    <cellStyle name="Normal 5 3 5 7 4" xfId="19553" xr:uid="{7D59C599-2C02-4637-B80E-5E14EFB0538D}"/>
    <cellStyle name="Normal 5 3 5 8" xfId="4826" xr:uid="{00000000-0005-0000-0000-00008B1A0000}"/>
    <cellStyle name="Normal 5 3 5 8 2" xfId="13268" xr:uid="{470B3CE9-DBCC-4077-B171-973E2E1AD276}"/>
    <cellStyle name="Normal 5 3 5 8 3" xfId="21705" xr:uid="{CD14183B-BB20-4B93-8300-788546CEA9BE}"/>
    <cellStyle name="Normal 5 3 5 9" xfId="9050" xr:uid="{20721F75-6DA1-4BAE-BA9C-C4E2CDA719BF}"/>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2 2 2" xfId="15828" xr:uid="{E2AA2AE8-292E-44B2-ACCB-6F30454C5528}"/>
    <cellStyle name="Normal 5 3 6 2 2 2 3" xfId="24265" xr:uid="{23A8A620-3AD4-4347-885C-A7E7CC64F555}"/>
    <cellStyle name="Normal 5 3 6 2 2 3" xfId="11610" xr:uid="{53C0155C-4AC5-474E-B2EF-321C1E985F03}"/>
    <cellStyle name="Normal 5 3 6 2 2 4" xfId="20048" xr:uid="{6354DC66-7D15-4C43-A7C4-44E2DC3D81BF}"/>
    <cellStyle name="Normal 5 3 6 2 3" xfId="5241" xr:uid="{00000000-0005-0000-0000-0000901A0000}"/>
    <cellStyle name="Normal 5 3 6 2 3 2" xfId="13683" xr:uid="{3FDE7E7C-EAB4-4B1B-A825-9278236528CF}"/>
    <cellStyle name="Normal 5 3 6 2 3 3" xfId="22120" xr:uid="{50D8A653-7685-48B1-8EA8-82EEDDA0C5D5}"/>
    <cellStyle name="Normal 5 3 6 2 4" xfId="9465" xr:uid="{4F1CC176-F2C5-423A-B141-80F0DAFF2393}"/>
    <cellStyle name="Normal 5 3 6 2 5" xfId="17903" xr:uid="{F2D255F9-C915-43AF-9FC6-BE5B9B9C0756}"/>
    <cellStyle name="Normal 5 3 6 3" xfId="1346" xr:uid="{00000000-0005-0000-0000-0000911A0000}"/>
    <cellStyle name="Normal 5 3 6 3 2" xfId="3576" xr:uid="{00000000-0005-0000-0000-0000921A0000}"/>
    <cellStyle name="Normal 5 3 6 3 2 2" xfId="7799" xr:uid="{00000000-0005-0000-0000-0000931A0000}"/>
    <cellStyle name="Normal 5 3 6 3 2 2 2" xfId="16241" xr:uid="{20EFA0B3-52F1-48DB-8783-C5FF562D8D20}"/>
    <cellStyle name="Normal 5 3 6 3 2 2 3" xfId="24678" xr:uid="{4B64AC9B-4F12-421C-BDCA-370023AB7161}"/>
    <cellStyle name="Normal 5 3 6 3 2 3" xfId="12023" xr:uid="{451B4699-2180-4FEC-8B6F-4C41526DB52E}"/>
    <cellStyle name="Normal 5 3 6 3 2 4" xfId="20461" xr:uid="{3DF87F41-5949-49B2-93D5-D67204867C0F}"/>
    <cellStyle name="Normal 5 3 6 3 3" xfId="5654" xr:uid="{00000000-0005-0000-0000-0000941A0000}"/>
    <cellStyle name="Normal 5 3 6 3 3 2" xfId="14096" xr:uid="{84B24972-2AD4-4F16-82FB-1A715AFD5072}"/>
    <cellStyle name="Normal 5 3 6 3 3 3" xfId="22533" xr:uid="{0B539E1C-8049-4F0E-B117-3F2E87E8446C}"/>
    <cellStyle name="Normal 5 3 6 3 4" xfId="9878" xr:uid="{ABF404F7-6BEB-4BFA-8C2D-E0E963957044}"/>
    <cellStyle name="Normal 5 3 6 3 5" xfId="18316" xr:uid="{60C94400-174F-41B4-8097-D437994E1FDD}"/>
    <cellStyle name="Normal 5 3 6 4" xfId="1759" xr:uid="{00000000-0005-0000-0000-0000951A0000}"/>
    <cellStyle name="Normal 5 3 6 4 2" xfId="3989" xr:uid="{00000000-0005-0000-0000-0000961A0000}"/>
    <cellStyle name="Normal 5 3 6 4 2 2" xfId="8212" xr:uid="{00000000-0005-0000-0000-0000971A0000}"/>
    <cellStyle name="Normal 5 3 6 4 2 2 2" xfId="16654" xr:uid="{72C1C288-FA05-4162-932E-78A00A3B7DCD}"/>
    <cellStyle name="Normal 5 3 6 4 2 2 3" xfId="25091" xr:uid="{4581CC98-D61B-4292-804B-64EAD3FE68C5}"/>
    <cellStyle name="Normal 5 3 6 4 2 3" xfId="12436" xr:uid="{81DCB65C-F810-47D3-A04C-D347B18493B4}"/>
    <cellStyle name="Normal 5 3 6 4 2 4" xfId="20874" xr:uid="{0E20839E-EE04-40E1-A363-624B60F45478}"/>
    <cellStyle name="Normal 5 3 6 4 3" xfId="6067" xr:uid="{00000000-0005-0000-0000-0000981A0000}"/>
    <cellStyle name="Normal 5 3 6 4 3 2" xfId="14509" xr:uid="{B618C9C3-A6C4-4200-9BBC-61380EC2EFEE}"/>
    <cellStyle name="Normal 5 3 6 4 3 3" xfId="22946" xr:uid="{AE25FF7D-EAAE-484B-B2F7-323758AA9213}"/>
    <cellStyle name="Normal 5 3 6 4 4" xfId="10291" xr:uid="{88CE8A0B-C916-486B-9EE6-5F5ABDD8A952}"/>
    <cellStyle name="Normal 5 3 6 4 5" xfId="18729" xr:uid="{806FD3A5-3831-4F00-B3F9-37B5A6FB380B}"/>
    <cellStyle name="Normal 5 3 6 5" xfId="2173" xr:uid="{00000000-0005-0000-0000-0000991A0000}"/>
    <cellStyle name="Normal 5 3 6 5 2" xfId="4402" xr:uid="{00000000-0005-0000-0000-00009A1A0000}"/>
    <cellStyle name="Normal 5 3 6 5 2 2" xfId="8625" xr:uid="{00000000-0005-0000-0000-00009B1A0000}"/>
    <cellStyle name="Normal 5 3 6 5 2 2 2" xfId="17067" xr:uid="{56D059C7-E052-4300-9405-C10EF7C51FBF}"/>
    <cellStyle name="Normal 5 3 6 5 2 2 3" xfId="25504" xr:uid="{AF32FF75-4BBA-4773-9A77-0B1466467269}"/>
    <cellStyle name="Normal 5 3 6 5 2 3" xfId="12849" xr:uid="{EA7847D1-FF6F-4256-A085-EA5BCDD4766B}"/>
    <cellStyle name="Normal 5 3 6 5 2 4" xfId="21287" xr:uid="{581BE51F-785B-4A3D-BF23-741C0C729069}"/>
    <cellStyle name="Normal 5 3 6 5 3" xfId="6480" xr:uid="{00000000-0005-0000-0000-00009C1A0000}"/>
    <cellStyle name="Normal 5 3 6 5 3 2" xfId="14922" xr:uid="{1ABC4651-AA97-4650-ACE0-1A8F4FC1F754}"/>
    <cellStyle name="Normal 5 3 6 5 3 3" xfId="23359" xr:uid="{3A16D3CD-287A-4D03-AD99-3B6C1466752A}"/>
    <cellStyle name="Normal 5 3 6 5 4" xfId="10704" xr:uid="{2B2416B1-A3C0-4EE9-984E-81F5E74E1BB5}"/>
    <cellStyle name="Normal 5 3 6 5 5" xfId="19142" xr:uid="{57041923-5CC6-4E6C-ACE3-ADEE26E21178}"/>
    <cellStyle name="Normal 5 3 6 6" xfId="2609" xr:uid="{00000000-0005-0000-0000-00009D1A0000}"/>
    <cellStyle name="Normal 5 3 6 6 2" xfId="6893" xr:uid="{00000000-0005-0000-0000-00009E1A0000}"/>
    <cellStyle name="Normal 5 3 6 6 2 2" xfId="15335" xr:uid="{DEEB3450-96F5-4F74-8BDA-4AB5746634E1}"/>
    <cellStyle name="Normal 5 3 6 6 2 3" xfId="23772" xr:uid="{42ABF210-3335-4AA7-8748-DBD2D0174AF8}"/>
    <cellStyle name="Normal 5 3 6 6 3" xfId="11117" xr:uid="{64BEB9DC-7488-4143-94A7-505C975DB13C}"/>
    <cellStyle name="Normal 5 3 6 6 4" xfId="19555" xr:uid="{D1185D0D-9691-4C9B-9F85-1640A4C27E62}"/>
    <cellStyle name="Normal 5 3 6 7" xfId="4828" xr:uid="{00000000-0005-0000-0000-00009F1A0000}"/>
    <cellStyle name="Normal 5 3 6 7 2" xfId="13270" xr:uid="{BAEB1CB5-7EA2-4DA4-B78C-D6B814A1A8B2}"/>
    <cellStyle name="Normal 5 3 6 7 3" xfId="21707" xr:uid="{08B4F3BF-19D2-4F34-8658-67E47A93C69F}"/>
    <cellStyle name="Normal 5 3 6 8" xfId="9052" xr:uid="{07B4B738-0684-4433-8D1D-E9A4067E6326}"/>
    <cellStyle name="Normal 5 3 6 9" xfId="17490" xr:uid="{92B37130-32F8-45F4-A6C6-90E8CBE832F5}"/>
    <cellStyle name="Normal 5 3 7" xfId="913" xr:uid="{00000000-0005-0000-0000-0000A01A0000}"/>
    <cellStyle name="Normal 5 3 7 2" xfId="3148" xr:uid="{00000000-0005-0000-0000-0000A11A0000}"/>
    <cellStyle name="Normal 5 3 7 2 2" xfId="7371" xr:uid="{00000000-0005-0000-0000-0000A21A0000}"/>
    <cellStyle name="Normal 5 3 7 2 2 2" xfId="15813" xr:uid="{B9D385A8-6F40-46D4-B266-2C6A526C6989}"/>
    <cellStyle name="Normal 5 3 7 2 2 3" xfId="24250" xr:uid="{53BC938D-7C26-431A-ABB3-8DC397F5AAD8}"/>
    <cellStyle name="Normal 5 3 7 2 3" xfId="11595" xr:uid="{C25BB4EF-B6EF-4359-BB6A-A8BFAC590598}"/>
    <cellStyle name="Normal 5 3 7 2 4" xfId="20033" xr:uid="{8C24C9E3-EBBF-4623-AAE3-24D80CB757E2}"/>
    <cellStyle name="Normal 5 3 7 3" xfId="5226" xr:uid="{00000000-0005-0000-0000-0000A31A0000}"/>
    <cellStyle name="Normal 5 3 7 3 2" xfId="13668" xr:uid="{ABA627F2-8976-4672-A42E-63D6141B523E}"/>
    <cellStyle name="Normal 5 3 7 3 3" xfId="22105" xr:uid="{C3F9BDC8-B2D8-413F-B54B-9F70FCD7A1B1}"/>
    <cellStyle name="Normal 5 3 7 4" xfId="9450" xr:uid="{E1EA9921-AF21-4FF8-B598-BC2000CF24E9}"/>
    <cellStyle name="Normal 5 3 7 5" xfId="17888" xr:uid="{D0DE83F3-F4F8-4239-AA39-436E4DAFC0C3}"/>
    <cellStyle name="Normal 5 3 8" xfId="1331" xr:uid="{00000000-0005-0000-0000-0000A41A0000}"/>
    <cellStyle name="Normal 5 3 8 2" xfId="3561" xr:uid="{00000000-0005-0000-0000-0000A51A0000}"/>
    <cellStyle name="Normal 5 3 8 2 2" xfId="7784" xr:uid="{00000000-0005-0000-0000-0000A61A0000}"/>
    <cellStyle name="Normal 5 3 8 2 2 2" xfId="16226" xr:uid="{AA352ACA-2077-4F4B-94F4-36B11D819E27}"/>
    <cellStyle name="Normal 5 3 8 2 2 3" xfId="24663" xr:uid="{CF1E3DC3-4BE4-4A86-BADE-738812A6606F}"/>
    <cellStyle name="Normal 5 3 8 2 3" xfId="12008" xr:uid="{3A2AAB0B-86FD-4BA0-A16D-7B78C66A7B90}"/>
    <cellStyle name="Normal 5 3 8 2 4" xfId="20446" xr:uid="{4DF79E95-5F90-4898-A5A7-EA4BB08B14AF}"/>
    <cellStyle name="Normal 5 3 8 3" xfId="5639" xr:uid="{00000000-0005-0000-0000-0000A71A0000}"/>
    <cellStyle name="Normal 5 3 8 3 2" xfId="14081" xr:uid="{3EB2EFC7-C644-4F5F-A7DA-688E9F8C3FCC}"/>
    <cellStyle name="Normal 5 3 8 3 3" xfId="22518" xr:uid="{58C4D9B3-F735-4E06-8CBA-22F71850FB2F}"/>
    <cellStyle name="Normal 5 3 8 4" xfId="9863" xr:uid="{FB23CC83-0EAE-4371-8014-3158F72C873A}"/>
    <cellStyle name="Normal 5 3 8 5" xfId="18301" xr:uid="{3890E38D-23D1-479D-A700-320DA7252372}"/>
    <cellStyle name="Normal 5 3 9" xfId="1744" xr:uid="{00000000-0005-0000-0000-0000A81A0000}"/>
    <cellStyle name="Normal 5 3 9 2" xfId="3974" xr:uid="{00000000-0005-0000-0000-0000A91A0000}"/>
    <cellStyle name="Normal 5 3 9 2 2" xfId="8197" xr:uid="{00000000-0005-0000-0000-0000AA1A0000}"/>
    <cellStyle name="Normal 5 3 9 2 2 2" xfId="16639" xr:uid="{E7C71C86-4EB3-46AE-B123-9653DD845088}"/>
    <cellStyle name="Normal 5 3 9 2 2 3" xfId="25076" xr:uid="{6DF87191-18F4-4D8D-B777-6520D518C9ED}"/>
    <cellStyle name="Normal 5 3 9 2 3" xfId="12421" xr:uid="{6B4F9DAC-11EB-4491-A9BF-6D72D0857212}"/>
    <cellStyle name="Normal 5 3 9 2 4" xfId="20859" xr:uid="{361C264A-E7DE-4661-9322-0594F04EE657}"/>
    <cellStyle name="Normal 5 3 9 3" xfId="6052" xr:uid="{00000000-0005-0000-0000-0000AB1A0000}"/>
    <cellStyle name="Normal 5 3 9 3 2" xfId="14494" xr:uid="{5503FF12-A498-4CF8-A297-2B365EBCD699}"/>
    <cellStyle name="Normal 5 3 9 3 3" xfId="22931" xr:uid="{AC2314BC-8330-4EDA-AFF4-CD987579677F}"/>
    <cellStyle name="Normal 5 3 9 4" xfId="10276" xr:uid="{CA4650F6-0582-4CF7-A225-A204AD019255}"/>
    <cellStyle name="Normal 5 3 9 5" xfId="18714" xr:uid="{00D631F0-5B3F-44E5-BDD7-F84AB4E69A7B}"/>
    <cellStyle name="Normal 5 4" xfId="456" xr:uid="{00000000-0005-0000-0000-0000AC1A0000}"/>
    <cellStyle name="Normal 5 4 10" xfId="4829" xr:uid="{00000000-0005-0000-0000-0000AD1A0000}"/>
    <cellStyle name="Normal 5 4 10 2" xfId="13271" xr:uid="{A36C5076-32CE-4306-B9E3-7679229D7487}"/>
    <cellStyle name="Normal 5 4 10 3" xfId="21708" xr:uid="{17FC3699-C047-4095-9DB2-C64D9193C2D5}"/>
    <cellStyle name="Normal 5 4 11" xfId="9053" xr:uid="{95C25CF8-E141-4921-B7D1-1DD165F274A3}"/>
    <cellStyle name="Normal 5 4 12" xfId="17491" xr:uid="{01291D47-38FC-4C1F-BD05-DF375F12597D}"/>
    <cellStyle name="Normal 5 4 2" xfId="457" xr:uid="{00000000-0005-0000-0000-0000AE1A0000}"/>
    <cellStyle name="Normal 5 4 2 10" xfId="9054" xr:uid="{1657F763-4630-43CB-83CC-3ED15B368AFF}"/>
    <cellStyle name="Normal 5 4 2 11" xfId="17492" xr:uid="{CAA2F83E-43B1-4F71-BCFA-B6FA4AF19829}"/>
    <cellStyle name="Normal 5 4 2 2" xfId="458" xr:uid="{00000000-0005-0000-0000-0000AF1A0000}"/>
    <cellStyle name="Normal 5 4 2 2 10" xfId="17493" xr:uid="{A07A652A-81AF-4D2A-9A8D-3B5000DF4832}"/>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2 2 2" xfId="15832" xr:uid="{F28F33B2-D672-4756-BFD7-F31491212C78}"/>
    <cellStyle name="Normal 5 4 2 2 2 2 2 2 3" xfId="24269" xr:uid="{64E61118-5B9D-4D86-95DE-3565C7FAE932}"/>
    <cellStyle name="Normal 5 4 2 2 2 2 2 3" xfId="11614" xr:uid="{72F84A60-7D87-411E-8DA9-9395A098E0C1}"/>
    <cellStyle name="Normal 5 4 2 2 2 2 2 4" xfId="20052" xr:uid="{6AADCD51-916F-49DF-8622-A771E4A39E42}"/>
    <cellStyle name="Normal 5 4 2 2 2 2 3" xfId="5245" xr:uid="{00000000-0005-0000-0000-0000B41A0000}"/>
    <cellStyle name="Normal 5 4 2 2 2 2 3 2" xfId="13687" xr:uid="{BDEB4F24-64FA-4A54-BD2D-D06D70FA1110}"/>
    <cellStyle name="Normal 5 4 2 2 2 2 3 3" xfId="22124" xr:uid="{0DF68FB0-F467-462B-B5CC-1970B0D43525}"/>
    <cellStyle name="Normal 5 4 2 2 2 2 4" xfId="9469" xr:uid="{79BEC88D-667F-417B-AC23-F45C8879AE96}"/>
    <cellStyle name="Normal 5 4 2 2 2 2 5" xfId="17907" xr:uid="{BC38D2D3-49B1-43F7-9F24-CEC3AD200622}"/>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2 2 2" xfId="16245" xr:uid="{D75C228D-9297-4DFD-8BAB-04F82A2139C8}"/>
    <cellStyle name="Normal 5 4 2 2 2 3 2 2 3" xfId="24682" xr:uid="{FC18EF4A-8808-4856-81CD-3A52800532E9}"/>
    <cellStyle name="Normal 5 4 2 2 2 3 2 3" xfId="12027" xr:uid="{42683140-9811-4F4A-B8FF-11EE8AD27A2D}"/>
    <cellStyle name="Normal 5 4 2 2 2 3 2 4" xfId="20465" xr:uid="{12DC4B82-298A-4F81-A3FA-257AE13A7A1B}"/>
    <cellStyle name="Normal 5 4 2 2 2 3 3" xfId="5658" xr:uid="{00000000-0005-0000-0000-0000B81A0000}"/>
    <cellStyle name="Normal 5 4 2 2 2 3 3 2" xfId="14100" xr:uid="{5650F161-1E63-481A-890E-498291A63248}"/>
    <cellStyle name="Normal 5 4 2 2 2 3 3 3" xfId="22537" xr:uid="{6288D6BE-E2D0-4682-AE87-F86354429904}"/>
    <cellStyle name="Normal 5 4 2 2 2 3 4" xfId="9882" xr:uid="{8E198251-F642-486E-AA87-42EE5347D51D}"/>
    <cellStyle name="Normal 5 4 2 2 2 3 5" xfId="18320" xr:uid="{6C0DF224-799C-4FE7-BD42-F5F34BE07556}"/>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2 2 2" xfId="16658" xr:uid="{2AC0B537-71B1-458D-AD48-55F4BFF098FE}"/>
    <cellStyle name="Normal 5 4 2 2 2 4 2 2 3" xfId="25095" xr:uid="{C1A400B8-34BF-4669-9CC0-53E0A7C28C56}"/>
    <cellStyle name="Normal 5 4 2 2 2 4 2 3" xfId="12440" xr:uid="{3A654B8F-1BF0-4B68-A368-932DDB9CCD1C}"/>
    <cellStyle name="Normal 5 4 2 2 2 4 2 4" xfId="20878" xr:uid="{43E13D2D-907B-4F8C-8FB3-4AF912BE451B}"/>
    <cellStyle name="Normal 5 4 2 2 2 4 3" xfId="6071" xr:uid="{00000000-0005-0000-0000-0000BC1A0000}"/>
    <cellStyle name="Normal 5 4 2 2 2 4 3 2" xfId="14513" xr:uid="{E5B8B618-1292-443E-92C5-C630DA65E9FC}"/>
    <cellStyle name="Normal 5 4 2 2 2 4 3 3" xfId="22950" xr:uid="{5264F414-13A6-4845-BA47-456BDBDEA890}"/>
    <cellStyle name="Normal 5 4 2 2 2 4 4" xfId="10295" xr:uid="{0C352E3F-8CEA-4508-9A29-0284D2AFFD1B}"/>
    <cellStyle name="Normal 5 4 2 2 2 4 5" xfId="18733" xr:uid="{D68B15EE-90F0-48C6-BECA-DEB48FDB7431}"/>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2 2 2" xfId="17071" xr:uid="{6980C632-58BF-40A5-AD98-4DA28BF7560B}"/>
    <cellStyle name="Normal 5 4 2 2 2 5 2 2 3" xfId="25508" xr:uid="{10A7E329-E813-44BA-8E48-6F1FDF5666F0}"/>
    <cellStyle name="Normal 5 4 2 2 2 5 2 3" xfId="12853" xr:uid="{EDE054A8-BCD1-47EE-BE61-7BA92A8384C8}"/>
    <cellStyle name="Normal 5 4 2 2 2 5 2 4" xfId="21291" xr:uid="{61B5CE94-9432-415F-8872-478B2AC6263E}"/>
    <cellStyle name="Normal 5 4 2 2 2 5 3" xfId="6484" xr:uid="{00000000-0005-0000-0000-0000C01A0000}"/>
    <cellStyle name="Normal 5 4 2 2 2 5 3 2" xfId="14926" xr:uid="{E2D4932C-DB20-4EB9-B568-8C1C926D6123}"/>
    <cellStyle name="Normal 5 4 2 2 2 5 3 3" xfId="23363" xr:uid="{BEC8F4EA-5211-48AA-A0E0-51644E14392D}"/>
    <cellStyle name="Normal 5 4 2 2 2 5 4" xfId="10708" xr:uid="{E49308BC-86C4-4DB9-9985-5CF9B1D9D8DB}"/>
    <cellStyle name="Normal 5 4 2 2 2 5 5" xfId="19146" xr:uid="{B1874719-4606-48AC-A701-84A15CD5D4DC}"/>
    <cellStyle name="Normal 5 4 2 2 2 6" xfId="2613" xr:uid="{00000000-0005-0000-0000-0000C11A0000}"/>
    <cellStyle name="Normal 5 4 2 2 2 6 2" xfId="6897" xr:uid="{00000000-0005-0000-0000-0000C21A0000}"/>
    <cellStyle name="Normal 5 4 2 2 2 6 2 2" xfId="15339" xr:uid="{9386CB76-8F8A-4BC8-BFB3-095E7E95A659}"/>
    <cellStyle name="Normal 5 4 2 2 2 6 2 3" xfId="23776" xr:uid="{E93C1D0E-0D29-43C2-B801-3A5DD396BCF8}"/>
    <cellStyle name="Normal 5 4 2 2 2 6 3" xfId="11121" xr:uid="{D8AA61C3-9DE8-4829-8CBC-FA6F8B91C28A}"/>
    <cellStyle name="Normal 5 4 2 2 2 6 4" xfId="19559" xr:uid="{7CFB5A85-EC2C-49C6-8EFC-72BD91E54BAC}"/>
    <cellStyle name="Normal 5 4 2 2 2 7" xfId="4832" xr:uid="{00000000-0005-0000-0000-0000C31A0000}"/>
    <cellStyle name="Normal 5 4 2 2 2 7 2" xfId="13274" xr:uid="{C027E7C9-91FB-4DE4-9556-E8316C93CC78}"/>
    <cellStyle name="Normal 5 4 2 2 2 7 3" xfId="21711" xr:uid="{0F74D1E8-CC76-46B2-8F5B-EDDDB7EDD244}"/>
    <cellStyle name="Normal 5 4 2 2 2 8" xfId="9056" xr:uid="{137FC1F3-4D83-442D-B3FF-51E4FA2A9F3F}"/>
    <cellStyle name="Normal 5 4 2 2 2 9" xfId="17494" xr:uid="{C16D31CE-E47D-4729-8730-51F9FADFB477}"/>
    <cellStyle name="Normal 5 4 2 2 3" xfId="932" xr:uid="{00000000-0005-0000-0000-0000C41A0000}"/>
    <cellStyle name="Normal 5 4 2 2 3 2" xfId="3166" xr:uid="{00000000-0005-0000-0000-0000C51A0000}"/>
    <cellStyle name="Normal 5 4 2 2 3 2 2" xfId="7389" xr:uid="{00000000-0005-0000-0000-0000C61A0000}"/>
    <cellStyle name="Normal 5 4 2 2 3 2 2 2" xfId="15831" xr:uid="{8EDBAFEC-C5CF-415F-BD98-B9CC127895F6}"/>
    <cellStyle name="Normal 5 4 2 2 3 2 2 3" xfId="24268" xr:uid="{EEE97222-DB2E-407B-BB2B-E5AAA8FC22EB}"/>
    <cellStyle name="Normal 5 4 2 2 3 2 3" xfId="11613" xr:uid="{4428273E-3416-4AF3-9811-D797D87BE908}"/>
    <cellStyle name="Normal 5 4 2 2 3 2 4" xfId="20051" xr:uid="{5894814E-73F0-4ADA-ACF3-80916B13D177}"/>
    <cellStyle name="Normal 5 4 2 2 3 3" xfId="5244" xr:uid="{00000000-0005-0000-0000-0000C71A0000}"/>
    <cellStyle name="Normal 5 4 2 2 3 3 2" xfId="13686" xr:uid="{8DFE752E-6DB8-4176-BF02-3AECC934726D}"/>
    <cellStyle name="Normal 5 4 2 2 3 3 3" xfId="22123" xr:uid="{04A96A40-FBC9-4FEB-AC83-52E80B9A8721}"/>
    <cellStyle name="Normal 5 4 2 2 3 4" xfId="9468" xr:uid="{ACD6FAB5-1FAF-4032-BD63-558ACC4E9093}"/>
    <cellStyle name="Normal 5 4 2 2 3 5" xfId="17906" xr:uid="{E07B0C12-CAEF-4138-BC02-F3DFBA75A213}"/>
    <cellStyle name="Normal 5 4 2 2 4" xfId="1349" xr:uid="{00000000-0005-0000-0000-0000C81A0000}"/>
    <cellStyle name="Normal 5 4 2 2 4 2" xfId="3579" xr:uid="{00000000-0005-0000-0000-0000C91A0000}"/>
    <cellStyle name="Normal 5 4 2 2 4 2 2" xfId="7802" xr:uid="{00000000-0005-0000-0000-0000CA1A0000}"/>
    <cellStyle name="Normal 5 4 2 2 4 2 2 2" xfId="16244" xr:uid="{50789FDC-C51A-4A05-A682-61B12B1C6414}"/>
    <cellStyle name="Normal 5 4 2 2 4 2 2 3" xfId="24681" xr:uid="{580FC0CF-0DD0-461A-8839-512675632E8D}"/>
    <cellStyle name="Normal 5 4 2 2 4 2 3" xfId="12026" xr:uid="{E4EA47C2-B2F5-4E25-B146-E14D017AEB39}"/>
    <cellStyle name="Normal 5 4 2 2 4 2 4" xfId="20464" xr:uid="{3CB51233-780A-4FCB-9B0D-58ADA6D69B91}"/>
    <cellStyle name="Normal 5 4 2 2 4 3" xfId="5657" xr:uid="{00000000-0005-0000-0000-0000CB1A0000}"/>
    <cellStyle name="Normal 5 4 2 2 4 3 2" xfId="14099" xr:uid="{5491DE35-96F8-47CC-A0CE-FFB8C98BFBF9}"/>
    <cellStyle name="Normal 5 4 2 2 4 3 3" xfId="22536" xr:uid="{D615BBA6-5EC8-4D68-926D-BFD8DE50DE74}"/>
    <cellStyle name="Normal 5 4 2 2 4 4" xfId="9881" xr:uid="{097C5DB5-66F4-4F80-A8E6-91458C17A9B7}"/>
    <cellStyle name="Normal 5 4 2 2 4 5" xfId="18319" xr:uid="{022FF13D-986A-4991-9977-1AEDE161DFAE}"/>
    <cellStyle name="Normal 5 4 2 2 5" xfId="1762" xr:uid="{00000000-0005-0000-0000-0000CC1A0000}"/>
    <cellStyle name="Normal 5 4 2 2 5 2" xfId="3992" xr:uid="{00000000-0005-0000-0000-0000CD1A0000}"/>
    <cellStyle name="Normal 5 4 2 2 5 2 2" xfId="8215" xr:uid="{00000000-0005-0000-0000-0000CE1A0000}"/>
    <cellStyle name="Normal 5 4 2 2 5 2 2 2" xfId="16657" xr:uid="{6F62B840-0A85-4C71-99CF-92A4F3CD840F}"/>
    <cellStyle name="Normal 5 4 2 2 5 2 2 3" xfId="25094" xr:uid="{E7136FA2-9B9F-4D76-97A3-86F34999FBD7}"/>
    <cellStyle name="Normal 5 4 2 2 5 2 3" xfId="12439" xr:uid="{A866E200-9924-4E03-BD72-593126436CE0}"/>
    <cellStyle name="Normal 5 4 2 2 5 2 4" xfId="20877" xr:uid="{3C1E58AF-D2FE-4FCC-9A22-9C4DC23F3317}"/>
    <cellStyle name="Normal 5 4 2 2 5 3" xfId="6070" xr:uid="{00000000-0005-0000-0000-0000CF1A0000}"/>
    <cellStyle name="Normal 5 4 2 2 5 3 2" xfId="14512" xr:uid="{652726CC-CE3D-4FD3-8226-A0CAAD606F90}"/>
    <cellStyle name="Normal 5 4 2 2 5 3 3" xfId="22949" xr:uid="{F6154B43-B275-4C14-876B-44AAA13166B3}"/>
    <cellStyle name="Normal 5 4 2 2 5 4" xfId="10294" xr:uid="{048BF603-29A4-48C7-AAF3-14EB473D55F4}"/>
    <cellStyle name="Normal 5 4 2 2 5 5" xfId="18732" xr:uid="{4731EDB6-A279-4804-8B8A-46EE3527AF95}"/>
    <cellStyle name="Normal 5 4 2 2 6" xfId="2176" xr:uid="{00000000-0005-0000-0000-0000D01A0000}"/>
    <cellStyle name="Normal 5 4 2 2 6 2" xfId="4405" xr:uid="{00000000-0005-0000-0000-0000D11A0000}"/>
    <cellStyle name="Normal 5 4 2 2 6 2 2" xfId="8628" xr:uid="{00000000-0005-0000-0000-0000D21A0000}"/>
    <cellStyle name="Normal 5 4 2 2 6 2 2 2" xfId="17070" xr:uid="{91D83350-84DC-4BFF-947B-E6E47E6BD10F}"/>
    <cellStyle name="Normal 5 4 2 2 6 2 2 3" xfId="25507" xr:uid="{76115C3A-34EC-4BA5-AE23-07C63B2ED4FE}"/>
    <cellStyle name="Normal 5 4 2 2 6 2 3" xfId="12852" xr:uid="{0CADB9D8-A696-4653-8532-EFF3C0D8F418}"/>
    <cellStyle name="Normal 5 4 2 2 6 2 4" xfId="21290" xr:uid="{8DB66939-8F18-4002-A004-3BF16C4BF77C}"/>
    <cellStyle name="Normal 5 4 2 2 6 3" xfId="6483" xr:uid="{00000000-0005-0000-0000-0000D31A0000}"/>
    <cellStyle name="Normal 5 4 2 2 6 3 2" xfId="14925" xr:uid="{C3AC77E9-2BB6-49BF-AF53-7339E7CCB0A4}"/>
    <cellStyle name="Normal 5 4 2 2 6 3 3" xfId="23362" xr:uid="{38A33082-4C35-41F5-BC9B-0D76C687F1CE}"/>
    <cellStyle name="Normal 5 4 2 2 6 4" xfId="10707" xr:uid="{D8D053E9-C6EF-4622-B608-D4FA0F181547}"/>
    <cellStyle name="Normal 5 4 2 2 6 5" xfId="19145" xr:uid="{0D40B60E-BC06-4FC3-BF4B-A24A55BF9DDE}"/>
    <cellStyle name="Normal 5 4 2 2 7" xfId="2612" xr:uid="{00000000-0005-0000-0000-0000D41A0000}"/>
    <cellStyle name="Normal 5 4 2 2 7 2" xfId="6896" xr:uid="{00000000-0005-0000-0000-0000D51A0000}"/>
    <cellStyle name="Normal 5 4 2 2 7 2 2" xfId="15338" xr:uid="{856D1626-630B-4795-A976-5F2A4679CCCA}"/>
    <cellStyle name="Normal 5 4 2 2 7 2 3" xfId="23775" xr:uid="{F290498C-9C4A-41F8-8204-4DF55DE78FE1}"/>
    <cellStyle name="Normal 5 4 2 2 7 3" xfId="11120" xr:uid="{C6C021FF-BD5C-4D6A-89C2-891BC0A01605}"/>
    <cellStyle name="Normal 5 4 2 2 7 4" xfId="19558" xr:uid="{5E8A820F-4EFE-40F6-94B4-DB47D7E6DA1D}"/>
    <cellStyle name="Normal 5 4 2 2 8" xfId="4831" xr:uid="{00000000-0005-0000-0000-0000D61A0000}"/>
    <cellStyle name="Normal 5 4 2 2 8 2" xfId="13273" xr:uid="{35A3C0EB-AD41-4451-A48F-1DC057CB6EB4}"/>
    <cellStyle name="Normal 5 4 2 2 8 3" xfId="21710" xr:uid="{BDC66B57-B223-4990-980F-BA78BCF6334B}"/>
    <cellStyle name="Normal 5 4 2 2 9" xfId="9055" xr:uid="{ECC04F9F-A3C4-4F8A-8966-F9DA701FBA89}"/>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2 2 2" xfId="15833" xr:uid="{A0EDE0BA-ADF6-4F99-8E5A-519A851ECAA2}"/>
    <cellStyle name="Normal 5 4 2 3 2 2 2 3" xfId="24270" xr:uid="{FFD9FE00-F4D1-4F95-919D-36E7981AF230}"/>
    <cellStyle name="Normal 5 4 2 3 2 2 3" xfId="11615" xr:uid="{64D1B375-8356-4C74-8D05-6473A77EEDF9}"/>
    <cellStyle name="Normal 5 4 2 3 2 2 4" xfId="20053" xr:uid="{05F67792-558D-4321-BE99-EF9A0DC64B8D}"/>
    <cellStyle name="Normal 5 4 2 3 2 3" xfId="5246" xr:uid="{00000000-0005-0000-0000-0000DB1A0000}"/>
    <cellStyle name="Normal 5 4 2 3 2 3 2" xfId="13688" xr:uid="{5C13E8C2-792F-4694-9CB3-278169A00A5C}"/>
    <cellStyle name="Normal 5 4 2 3 2 3 3" xfId="22125" xr:uid="{048C1E09-85B6-493C-A8AF-7BB8F00EBDF9}"/>
    <cellStyle name="Normal 5 4 2 3 2 4" xfId="9470" xr:uid="{3EECC042-428F-4BCD-8708-C436700A3F4E}"/>
    <cellStyle name="Normal 5 4 2 3 2 5" xfId="17908" xr:uid="{2DB78DEE-98B1-4F23-B402-182EA133E5A2}"/>
    <cellStyle name="Normal 5 4 2 3 3" xfId="1351" xr:uid="{00000000-0005-0000-0000-0000DC1A0000}"/>
    <cellStyle name="Normal 5 4 2 3 3 2" xfId="3581" xr:uid="{00000000-0005-0000-0000-0000DD1A0000}"/>
    <cellStyle name="Normal 5 4 2 3 3 2 2" xfId="7804" xr:uid="{00000000-0005-0000-0000-0000DE1A0000}"/>
    <cellStyle name="Normal 5 4 2 3 3 2 2 2" xfId="16246" xr:uid="{981E26A5-9254-400B-B5D1-53456D8921D5}"/>
    <cellStyle name="Normal 5 4 2 3 3 2 2 3" xfId="24683" xr:uid="{C989DE4D-6B86-4ED5-94F2-F977D8C065FA}"/>
    <cellStyle name="Normal 5 4 2 3 3 2 3" xfId="12028" xr:uid="{70757745-7BA4-4821-BAA1-3B29C74B38FA}"/>
    <cellStyle name="Normal 5 4 2 3 3 2 4" xfId="20466" xr:uid="{3E6B221C-7C20-4159-B25E-1E7CB72D4E12}"/>
    <cellStyle name="Normal 5 4 2 3 3 3" xfId="5659" xr:uid="{00000000-0005-0000-0000-0000DF1A0000}"/>
    <cellStyle name="Normal 5 4 2 3 3 3 2" xfId="14101" xr:uid="{79785D43-BCAD-416F-941F-44E71C9F6EBB}"/>
    <cellStyle name="Normal 5 4 2 3 3 3 3" xfId="22538" xr:uid="{8DC3FE60-B929-4446-9420-59562FF51297}"/>
    <cellStyle name="Normal 5 4 2 3 3 4" xfId="9883" xr:uid="{FFA8F1C8-15C8-4130-87A8-7859150E6FA8}"/>
    <cellStyle name="Normal 5 4 2 3 3 5" xfId="18321" xr:uid="{011064F7-2514-4BE9-A5CB-BFE7680CB983}"/>
    <cellStyle name="Normal 5 4 2 3 4" xfId="1764" xr:uid="{00000000-0005-0000-0000-0000E01A0000}"/>
    <cellStyle name="Normal 5 4 2 3 4 2" xfId="3994" xr:uid="{00000000-0005-0000-0000-0000E11A0000}"/>
    <cellStyle name="Normal 5 4 2 3 4 2 2" xfId="8217" xr:uid="{00000000-0005-0000-0000-0000E21A0000}"/>
    <cellStyle name="Normal 5 4 2 3 4 2 2 2" xfId="16659" xr:uid="{A8F65D85-F31F-4400-84AF-9BB916FDFB87}"/>
    <cellStyle name="Normal 5 4 2 3 4 2 2 3" xfId="25096" xr:uid="{265B42D2-5C32-4D01-BEBB-A33BC0B4C407}"/>
    <cellStyle name="Normal 5 4 2 3 4 2 3" xfId="12441" xr:uid="{7E9C91FF-3C8E-4118-A8E4-93996D04B8FD}"/>
    <cellStyle name="Normal 5 4 2 3 4 2 4" xfId="20879" xr:uid="{A9031DD0-EA13-46FB-8918-587F09DD6E52}"/>
    <cellStyle name="Normal 5 4 2 3 4 3" xfId="6072" xr:uid="{00000000-0005-0000-0000-0000E31A0000}"/>
    <cellStyle name="Normal 5 4 2 3 4 3 2" xfId="14514" xr:uid="{65C33A27-7C62-4359-857B-D2F898896D67}"/>
    <cellStyle name="Normal 5 4 2 3 4 3 3" xfId="22951" xr:uid="{B052B398-889A-4105-9A8C-8645B3F15E76}"/>
    <cellStyle name="Normal 5 4 2 3 4 4" xfId="10296" xr:uid="{6A459B77-5DE4-4F7B-8835-472C6C7B8C1E}"/>
    <cellStyle name="Normal 5 4 2 3 4 5" xfId="18734" xr:uid="{F1AE7827-6E72-45D2-B130-3EFE5E0EF56B}"/>
    <cellStyle name="Normal 5 4 2 3 5" xfId="2178" xr:uid="{00000000-0005-0000-0000-0000E41A0000}"/>
    <cellStyle name="Normal 5 4 2 3 5 2" xfId="4407" xr:uid="{00000000-0005-0000-0000-0000E51A0000}"/>
    <cellStyle name="Normal 5 4 2 3 5 2 2" xfId="8630" xr:uid="{00000000-0005-0000-0000-0000E61A0000}"/>
    <cellStyle name="Normal 5 4 2 3 5 2 2 2" xfId="17072" xr:uid="{15CFF615-EF82-4057-93E2-18EBE9C3DA90}"/>
    <cellStyle name="Normal 5 4 2 3 5 2 2 3" xfId="25509" xr:uid="{60B5991D-92B9-44E5-A0A9-30D74485AC60}"/>
    <cellStyle name="Normal 5 4 2 3 5 2 3" xfId="12854" xr:uid="{B63F0B1A-8968-4503-9C19-AD5E383511D6}"/>
    <cellStyle name="Normal 5 4 2 3 5 2 4" xfId="21292" xr:uid="{B127D7C1-3B78-49D8-9AC8-4EF6B83F11E7}"/>
    <cellStyle name="Normal 5 4 2 3 5 3" xfId="6485" xr:uid="{00000000-0005-0000-0000-0000E71A0000}"/>
    <cellStyle name="Normal 5 4 2 3 5 3 2" xfId="14927" xr:uid="{3AFB617E-5CA8-43CF-AFBF-BFB579B18268}"/>
    <cellStyle name="Normal 5 4 2 3 5 3 3" xfId="23364" xr:uid="{FB9F74DA-486C-459B-BA48-EB81A0D2D79A}"/>
    <cellStyle name="Normal 5 4 2 3 5 4" xfId="10709" xr:uid="{391CBD03-8518-419B-B46D-A20953441A79}"/>
    <cellStyle name="Normal 5 4 2 3 5 5" xfId="19147" xr:uid="{201085B1-BA16-405F-9661-9F8A18CA8358}"/>
    <cellStyle name="Normal 5 4 2 3 6" xfId="2614" xr:uid="{00000000-0005-0000-0000-0000E81A0000}"/>
    <cellStyle name="Normal 5 4 2 3 6 2" xfId="6898" xr:uid="{00000000-0005-0000-0000-0000E91A0000}"/>
    <cellStyle name="Normal 5 4 2 3 6 2 2" xfId="15340" xr:uid="{84129B26-6C82-4257-BF98-A6EB029A0BB7}"/>
    <cellStyle name="Normal 5 4 2 3 6 2 3" xfId="23777" xr:uid="{F4CC5C02-8006-4396-BE97-446D262AD483}"/>
    <cellStyle name="Normal 5 4 2 3 6 3" xfId="11122" xr:uid="{CEA83F23-9446-484F-B3C2-BA3D667924F9}"/>
    <cellStyle name="Normal 5 4 2 3 6 4" xfId="19560" xr:uid="{0926CF8D-F1D6-4E76-A6D1-CBA65C2301CE}"/>
    <cellStyle name="Normal 5 4 2 3 7" xfId="4833" xr:uid="{00000000-0005-0000-0000-0000EA1A0000}"/>
    <cellStyle name="Normal 5 4 2 3 7 2" xfId="13275" xr:uid="{90B37CC2-A88F-4A45-9047-70B9CDCE2DF0}"/>
    <cellStyle name="Normal 5 4 2 3 7 3" xfId="21712" xr:uid="{1F56D224-1AEC-4232-987F-0A65891576C9}"/>
    <cellStyle name="Normal 5 4 2 3 8" xfId="9057" xr:uid="{4F5FA073-985C-4A5E-8334-9C82B6929DBB}"/>
    <cellStyle name="Normal 5 4 2 3 9" xfId="17495" xr:uid="{5D996DC5-3F4E-4429-ACC7-FA3BC662133C}"/>
    <cellStyle name="Normal 5 4 2 4" xfId="931" xr:uid="{00000000-0005-0000-0000-0000EB1A0000}"/>
    <cellStyle name="Normal 5 4 2 4 2" xfId="3165" xr:uid="{00000000-0005-0000-0000-0000EC1A0000}"/>
    <cellStyle name="Normal 5 4 2 4 2 2" xfId="7388" xr:uid="{00000000-0005-0000-0000-0000ED1A0000}"/>
    <cellStyle name="Normal 5 4 2 4 2 2 2" xfId="15830" xr:uid="{006F8454-7E22-4F64-82D0-94CCACA40969}"/>
    <cellStyle name="Normal 5 4 2 4 2 2 3" xfId="24267" xr:uid="{5A23BF8C-682C-4021-9A9B-6AD53716BDFA}"/>
    <cellStyle name="Normal 5 4 2 4 2 3" xfId="11612" xr:uid="{7D2A390D-D52C-47B7-8F83-6B0F1C2480CC}"/>
    <cellStyle name="Normal 5 4 2 4 2 4" xfId="20050" xr:uid="{BF051001-A385-4419-9BA0-6F8CFC9F66A8}"/>
    <cellStyle name="Normal 5 4 2 4 3" xfId="5243" xr:uid="{00000000-0005-0000-0000-0000EE1A0000}"/>
    <cellStyle name="Normal 5 4 2 4 3 2" xfId="13685" xr:uid="{9B065B6E-CADA-4ECA-8683-BD2AF26E657B}"/>
    <cellStyle name="Normal 5 4 2 4 3 3" xfId="22122" xr:uid="{31CF592A-C7B2-4558-870F-4969B4D3E9D6}"/>
    <cellStyle name="Normal 5 4 2 4 4" xfId="9467" xr:uid="{3AC8A338-8DED-46C2-BE57-9838A4A9EDF4}"/>
    <cellStyle name="Normal 5 4 2 4 5" xfId="17905" xr:uid="{5C725C6A-43EF-4D80-A9EA-19E688C63BFA}"/>
    <cellStyle name="Normal 5 4 2 5" xfId="1348" xr:uid="{00000000-0005-0000-0000-0000EF1A0000}"/>
    <cellStyle name="Normal 5 4 2 5 2" xfId="3578" xr:uid="{00000000-0005-0000-0000-0000F01A0000}"/>
    <cellStyle name="Normal 5 4 2 5 2 2" xfId="7801" xr:uid="{00000000-0005-0000-0000-0000F11A0000}"/>
    <cellStyle name="Normal 5 4 2 5 2 2 2" xfId="16243" xr:uid="{E79A1DA5-DC5C-4BCF-A2F4-D99C0A40CDBA}"/>
    <cellStyle name="Normal 5 4 2 5 2 2 3" xfId="24680" xr:uid="{31A8024E-5B23-4544-B745-566094453832}"/>
    <cellStyle name="Normal 5 4 2 5 2 3" xfId="12025" xr:uid="{38338DA2-7B93-43C5-A305-F81C3EDAC573}"/>
    <cellStyle name="Normal 5 4 2 5 2 4" xfId="20463" xr:uid="{A6C586FA-A301-4273-AD09-F985D2561A66}"/>
    <cellStyle name="Normal 5 4 2 5 3" xfId="5656" xr:uid="{00000000-0005-0000-0000-0000F21A0000}"/>
    <cellStyle name="Normal 5 4 2 5 3 2" xfId="14098" xr:uid="{D9148107-14D3-432E-AF8E-4C6486319FB4}"/>
    <cellStyle name="Normal 5 4 2 5 3 3" xfId="22535" xr:uid="{A0B5821B-887A-4C60-93C5-281B17AE4694}"/>
    <cellStyle name="Normal 5 4 2 5 4" xfId="9880" xr:uid="{289310A1-4064-4C80-BD01-0C79B0943215}"/>
    <cellStyle name="Normal 5 4 2 5 5" xfId="18318" xr:uid="{AF5D3135-4B82-4343-B6C5-83F3867BBF5D}"/>
    <cellStyle name="Normal 5 4 2 6" xfId="1761" xr:uid="{00000000-0005-0000-0000-0000F31A0000}"/>
    <cellStyle name="Normal 5 4 2 6 2" xfId="3991" xr:uid="{00000000-0005-0000-0000-0000F41A0000}"/>
    <cellStyle name="Normal 5 4 2 6 2 2" xfId="8214" xr:uid="{00000000-0005-0000-0000-0000F51A0000}"/>
    <cellStyle name="Normal 5 4 2 6 2 2 2" xfId="16656" xr:uid="{060AFCBF-1185-4903-8421-062CDCA3026F}"/>
    <cellStyle name="Normal 5 4 2 6 2 2 3" xfId="25093" xr:uid="{84975493-5160-4F75-AFA0-77D08D336028}"/>
    <cellStyle name="Normal 5 4 2 6 2 3" xfId="12438" xr:uid="{3BECA94B-6A6D-4007-987B-7A3F9BDE9F41}"/>
    <cellStyle name="Normal 5 4 2 6 2 4" xfId="20876" xr:uid="{C18F2D90-09C9-44BB-B375-8085DCB5EC1B}"/>
    <cellStyle name="Normal 5 4 2 6 3" xfId="6069" xr:uid="{00000000-0005-0000-0000-0000F61A0000}"/>
    <cellStyle name="Normal 5 4 2 6 3 2" xfId="14511" xr:uid="{165ACEA1-1A14-4C70-A8B8-E447B0113C8E}"/>
    <cellStyle name="Normal 5 4 2 6 3 3" xfId="22948" xr:uid="{2FA6273C-D80B-44F0-A7F0-5367E21747B0}"/>
    <cellStyle name="Normal 5 4 2 6 4" xfId="10293" xr:uid="{C2E122B5-CE83-4A5F-9BD5-615FAA9ACF06}"/>
    <cellStyle name="Normal 5 4 2 6 5" xfId="18731" xr:uid="{7FF10A2C-96F6-4B27-9511-EEE5163A0604}"/>
    <cellStyle name="Normal 5 4 2 7" xfId="2175" xr:uid="{00000000-0005-0000-0000-0000F71A0000}"/>
    <cellStyle name="Normal 5 4 2 7 2" xfId="4404" xr:uid="{00000000-0005-0000-0000-0000F81A0000}"/>
    <cellStyle name="Normal 5 4 2 7 2 2" xfId="8627" xr:uid="{00000000-0005-0000-0000-0000F91A0000}"/>
    <cellStyle name="Normal 5 4 2 7 2 2 2" xfId="17069" xr:uid="{02DE8FBD-ED13-4D1A-A3C0-E0701B60B8F2}"/>
    <cellStyle name="Normal 5 4 2 7 2 2 3" xfId="25506" xr:uid="{08245E5A-56D7-4D75-AD0A-A5218DD26371}"/>
    <cellStyle name="Normal 5 4 2 7 2 3" xfId="12851" xr:uid="{1E983C02-6196-4339-87CA-019CF9B44647}"/>
    <cellStyle name="Normal 5 4 2 7 2 4" xfId="21289" xr:uid="{3F5E05D1-0B2A-4AA5-8121-E3BFD8058DA1}"/>
    <cellStyle name="Normal 5 4 2 7 3" xfId="6482" xr:uid="{00000000-0005-0000-0000-0000FA1A0000}"/>
    <cellStyle name="Normal 5 4 2 7 3 2" xfId="14924" xr:uid="{63B1CB52-B23D-4574-B67C-34E79A176C54}"/>
    <cellStyle name="Normal 5 4 2 7 3 3" xfId="23361" xr:uid="{503B7AC7-111E-45E7-AC8C-269A0FFF3C25}"/>
    <cellStyle name="Normal 5 4 2 7 4" xfId="10706" xr:uid="{E5E12F95-008D-4A3F-A44E-5A421FA39809}"/>
    <cellStyle name="Normal 5 4 2 7 5" xfId="19144" xr:uid="{FEC50594-B95A-4CDC-97E6-9B7619E40881}"/>
    <cellStyle name="Normal 5 4 2 8" xfId="2611" xr:uid="{00000000-0005-0000-0000-0000FB1A0000}"/>
    <cellStyle name="Normal 5 4 2 8 2" xfId="6895" xr:uid="{00000000-0005-0000-0000-0000FC1A0000}"/>
    <cellStyle name="Normal 5 4 2 8 2 2" xfId="15337" xr:uid="{38A5F49A-EF15-4900-8702-DC4CDC10EC52}"/>
    <cellStyle name="Normal 5 4 2 8 2 3" xfId="23774" xr:uid="{3E9939EE-4A90-4E58-94F8-D6A3323DCBBB}"/>
    <cellStyle name="Normal 5 4 2 8 3" xfId="11119" xr:uid="{E051E4B7-004A-48BC-A2DB-78DC51910732}"/>
    <cellStyle name="Normal 5 4 2 8 4" xfId="19557" xr:uid="{BBF5D810-E58F-4DC5-87C4-FB8689CFFDAD}"/>
    <cellStyle name="Normal 5 4 2 9" xfId="4830" xr:uid="{00000000-0005-0000-0000-0000FD1A0000}"/>
    <cellStyle name="Normal 5 4 2 9 2" xfId="13272" xr:uid="{2A28C4C8-034F-49E4-896D-B92F807DA59B}"/>
    <cellStyle name="Normal 5 4 2 9 3" xfId="21709" xr:uid="{46AD99C7-C812-47FE-A460-EDB4CA9C0466}"/>
    <cellStyle name="Normal 5 4 3" xfId="461" xr:uid="{00000000-0005-0000-0000-0000FE1A0000}"/>
    <cellStyle name="Normal 5 4 3 10" xfId="17496" xr:uid="{EAC8F087-79B3-4E39-91E5-B44A6599FD3B}"/>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2 2 2" xfId="15835" xr:uid="{816B85CE-1BB7-498C-86D0-DA644066B3A5}"/>
    <cellStyle name="Normal 5 4 3 2 2 2 2 3" xfId="24272" xr:uid="{F7CC8DBA-A91A-4F43-86CC-096ABD72163C}"/>
    <cellStyle name="Normal 5 4 3 2 2 2 3" xfId="11617" xr:uid="{84F96471-C428-4FE1-B08A-7A66E9C04FF3}"/>
    <cellStyle name="Normal 5 4 3 2 2 2 4" xfId="20055" xr:uid="{5DC242BE-9A4B-4BF0-981F-510367654BAA}"/>
    <cellStyle name="Normal 5 4 3 2 2 3" xfId="5248" xr:uid="{00000000-0005-0000-0000-0000031B0000}"/>
    <cellStyle name="Normal 5 4 3 2 2 3 2" xfId="13690" xr:uid="{5604320A-2398-4F29-B453-E031F5D090F5}"/>
    <cellStyle name="Normal 5 4 3 2 2 3 3" xfId="22127" xr:uid="{D2B29327-5074-4E5B-9290-58DCCBBC9A7F}"/>
    <cellStyle name="Normal 5 4 3 2 2 4" xfId="9472" xr:uid="{88A543AD-54D2-4885-ADAB-F01FC2EC468C}"/>
    <cellStyle name="Normal 5 4 3 2 2 5" xfId="17910" xr:uid="{4DA09A3B-3556-4445-80C5-BCF59D099305}"/>
    <cellStyle name="Normal 5 4 3 2 3" xfId="1353" xr:uid="{00000000-0005-0000-0000-0000041B0000}"/>
    <cellStyle name="Normal 5 4 3 2 3 2" xfId="3583" xr:uid="{00000000-0005-0000-0000-0000051B0000}"/>
    <cellStyle name="Normal 5 4 3 2 3 2 2" xfId="7806" xr:uid="{00000000-0005-0000-0000-0000061B0000}"/>
    <cellStyle name="Normal 5 4 3 2 3 2 2 2" xfId="16248" xr:uid="{5016CD4B-DFA4-4FCB-B76F-417278B848A9}"/>
    <cellStyle name="Normal 5 4 3 2 3 2 2 3" xfId="24685" xr:uid="{B8DC16FE-9ECF-4279-BD19-05A47FC3A16C}"/>
    <cellStyle name="Normal 5 4 3 2 3 2 3" xfId="12030" xr:uid="{0844A5D3-17FC-4900-A386-BA1A0912B70F}"/>
    <cellStyle name="Normal 5 4 3 2 3 2 4" xfId="20468" xr:uid="{BF19EABE-3D88-4A34-98C2-9002141904C0}"/>
    <cellStyle name="Normal 5 4 3 2 3 3" xfId="5661" xr:uid="{00000000-0005-0000-0000-0000071B0000}"/>
    <cellStyle name="Normal 5 4 3 2 3 3 2" xfId="14103" xr:uid="{9462036A-9DDC-43A3-AEE4-B6CF3F58675B}"/>
    <cellStyle name="Normal 5 4 3 2 3 3 3" xfId="22540" xr:uid="{4BA4267A-B909-4BE8-9352-6EB96B81B102}"/>
    <cellStyle name="Normal 5 4 3 2 3 4" xfId="9885" xr:uid="{E527E207-3873-4030-BA92-96242C93DF52}"/>
    <cellStyle name="Normal 5 4 3 2 3 5" xfId="18323" xr:uid="{70D79ED0-09DC-4A80-A41B-554B017AF14F}"/>
    <cellStyle name="Normal 5 4 3 2 4" xfId="1766" xr:uid="{00000000-0005-0000-0000-0000081B0000}"/>
    <cellStyle name="Normal 5 4 3 2 4 2" xfId="3996" xr:uid="{00000000-0005-0000-0000-0000091B0000}"/>
    <cellStyle name="Normal 5 4 3 2 4 2 2" xfId="8219" xr:uid="{00000000-0005-0000-0000-00000A1B0000}"/>
    <cellStyle name="Normal 5 4 3 2 4 2 2 2" xfId="16661" xr:uid="{69B6D8FF-81BC-429D-A400-9175859D39DD}"/>
    <cellStyle name="Normal 5 4 3 2 4 2 2 3" xfId="25098" xr:uid="{36510BFD-1F6D-4204-B196-5488E3284173}"/>
    <cellStyle name="Normal 5 4 3 2 4 2 3" xfId="12443" xr:uid="{9928DF2D-B999-4334-8F44-92BCA86CF497}"/>
    <cellStyle name="Normal 5 4 3 2 4 2 4" xfId="20881" xr:uid="{E05F0A7D-ACBC-4364-826E-F8C4D3F5F44C}"/>
    <cellStyle name="Normal 5 4 3 2 4 3" xfId="6074" xr:uid="{00000000-0005-0000-0000-00000B1B0000}"/>
    <cellStyle name="Normal 5 4 3 2 4 3 2" xfId="14516" xr:uid="{8394F4F3-5155-4715-979E-8C75D7E4128D}"/>
    <cellStyle name="Normal 5 4 3 2 4 3 3" xfId="22953" xr:uid="{B33F789B-033D-4C7E-9883-82A2F587DCD4}"/>
    <cellStyle name="Normal 5 4 3 2 4 4" xfId="10298" xr:uid="{FB7B7240-1048-4784-ABF7-B18C145D2F1B}"/>
    <cellStyle name="Normal 5 4 3 2 4 5" xfId="18736" xr:uid="{57BDA971-C192-4855-A7CA-70788A208024}"/>
    <cellStyle name="Normal 5 4 3 2 5" xfId="2180" xr:uid="{00000000-0005-0000-0000-00000C1B0000}"/>
    <cellStyle name="Normal 5 4 3 2 5 2" xfId="4409" xr:uid="{00000000-0005-0000-0000-00000D1B0000}"/>
    <cellStyle name="Normal 5 4 3 2 5 2 2" xfId="8632" xr:uid="{00000000-0005-0000-0000-00000E1B0000}"/>
    <cellStyle name="Normal 5 4 3 2 5 2 2 2" xfId="17074" xr:uid="{DD307054-3C7B-4424-83E1-F347D923891D}"/>
    <cellStyle name="Normal 5 4 3 2 5 2 2 3" xfId="25511" xr:uid="{C6EA3918-577A-4A9C-959B-35DB44172904}"/>
    <cellStyle name="Normal 5 4 3 2 5 2 3" xfId="12856" xr:uid="{B180B9DB-E8D2-41C5-B3B8-B56C77B78CD2}"/>
    <cellStyle name="Normal 5 4 3 2 5 2 4" xfId="21294" xr:uid="{507CBA2B-689E-440B-ABDA-913B37C396DE}"/>
    <cellStyle name="Normal 5 4 3 2 5 3" xfId="6487" xr:uid="{00000000-0005-0000-0000-00000F1B0000}"/>
    <cellStyle name="Normal 5 4 3 2 5 3 2" xfId="14929" xr:uid="{346D40B7-6D7B-4E65-A0EF-92D2EB98FA15}"/>
    <cellStyle name="Normal 5 4 3 2 5 3 3" xfId="23366" xr:uid="{602B0EBF-0B32-4F80-8804-673D46429437}"/>
    <cellStyle name="Normal 5 4 3 2 5 4" xfId="10711" xr:uid="{CBB03B42-2640-4608-AE25-11A56F18A37A}"/>
    <cellStyle name="Normal 5 4 3 2 5 5" xfId="19149" xr:uid="{BCCF91C6-718B-4C77-A92F-7E895421B279}"/>
    <cellStyle name="Normal 5 4 3 2 6" xfId="2616" xr:uid="{00000000-0005-0000-0000-0000101B0000}"/>
    <cellStyle name="Normal 5 4 3 2 6 2" xfId="6900" xr:uid="{00000000-0005-0000-0000-0000111B0000}"/>
    <cellStyle name="Normal 5 4 3 2 6 2 2" xfId="15342" xr:uid="{BEE31784-D6FC-466A-AD36-BE8F19622DC4}"/>
    <cellStyle name="Normal 5 4 3 2 6 2 3" xfId="23779" xr:uid="{C1740F60-42DD-4B42-AA7A-7E9A293579F6}"/>
    <cellStyle name="Normal 5 4 3 2 6 3" xfId="11124" xr:uid="{333FE3E3-B665-4F8F-86D8-99C8F403F277}"/>
    <cellStyle name="Normal 5 4 3 2 6 4" xfId="19562" xr:uid="{E1945DEE-B8C4-4D9D-9842-5C028EB595D6}"/>
    <cellStyle name="Normal 5 4 3 2 7" xfId="4835" xr:uid="{00000000-0005-0000-0000-0000121B0000}"/>
    <cellStyle name="Normal 5 4 3 2 7 2" xfId="13277" xr:uid="{0DEAE392-A34C-4700-8F34-2C6A95ECFCC1}"/>
    <cellStyle name="Normal 5 4 3 2 7 3" xfId="21714" xr:uid="{9EB18D8D-81CD-4F13-BA02-83591976346E}"/>
    <cellStyle name="Normal 5 4 3 2 8" xfId="9059" xr:uid="{DCDC1853-BEBC-4E56-87D5-A0A73EAED9EE}"/>
    <cellStyle name="Normal 5 4 3 2 9" xfId="17497" xr:uid="{661A0C04-1DC5-4C33-ABAC-D720FE7D1424}"/>
    <cellStyle name="Normal 5 4 3 3" xfId="935" xr:uid="{00000000-0005-0000-0000-0000131B0000}"/>
    <cellStyle name="Normal 5 4 3 3 2" xfId="3169" xr:uid="{00000000-0005-0000-0000-0000141B0000}"/>
    <cellStyle name="Normal 5 4 3 3 2 2" xfId="7392" xr:uid="{00000000-0005-0000-0000-0000151B0000}"/>
    <cellStyle name="Normal 5 4 3 3 2 2 2" xfId="15834" xr:uid="{092FE889-3CD9-4612-B48E-69421DD9D04D}"/>
    <cellStyle name="Normal 5 4 3 3 2 2 3" xfId="24271" xr:uid="{8F0F34C1-3A6A-4194-9880-392360FADC28}"/>
    <cellStyle name="Normal 5 4 3 3 2 3" xfId="11616" xr:uid="{D83F8689-1374-4138-BD4F-1F85C6D34408}"/>
    <cellStyle name="Normal 5 4 3 3 2 4" xfId="20054" xr:uid="{23AF7801-E4BB-40B1-B158-8EB54DDFF02E}"/>
    <cellStyle name="Normal 5 4 3 3 3" xfId="5247" xr:uid="{00000000-0005-0000-0000-0000161B0000}"/>
    <cellStyle name="Normal 5 4 3 3 3 2" xfId="13689" xr:uid="{884B7786-01FD-425D-A07E-39F1EC0CFB20}"/>
    <cellStyle name="Normal 5 4 3 3 3 3" xfId="22126" xr:uid="{8E1F8EAE-671A-47DE-B26B-537342062663}"/>
    <cellStyle name="Normal 5 4 3 3 4" xfId="9471" xr:uid="{F9F9A1C9-8077-416F-A0AF-90EAE696BDC1}"/>
    <cellStyle name="Normal 5 4 3 3 5" xfId="17909" xr:uid="{7D8C35B2-E01C-40C9-8E1D-3947BA6CC763}"/>
    <cellStyle name="Normal 5 4 3 4" xfId="1352" xr:uid="{00000000-0005-0000-0000-0000171B0000}"/>
    <cellStyle name="Normal 5 4 3 4 2" xfId="3582" xr:uid="{00000000-0005-0000-0000-0000181B0000}"/>
    <cellStyle name="Normal 5 4 3 4 2 2" xfId="7805" xr:uid="{00000000-0005-0000-0000-0000191B0000}"/>
    <cellStyle name="Normal 5 4 3 4 2 2 2" xfId="16247" xr:uid="{0E331EFC-0766-492B-9EE8-CFE44D90407E}"/>
    <cellStyle name="Normal 5 4 3 4 2 2 3" xfId="24684" xr:uid="{26025A77-8AA2-4909-9D08-8E8BE95C2B0A}"/>
    <cellStyle name="Normal 5 4 3 4 2 3" xfId="12029" xr:uid="{F760F881-3480-4155-8EE2-0233B70C23C1}"/>
    <cellStyle name="Normal 5 4 3 4 2 4" xfId="20467" xr:uid="{45360A35-D9DA-46A2-A55C-971A1A81A55D}"/>
    <cellStyle name="Normal 5 4 3 4 3" xfId="5660" xr:uid="{00000000-0005-0000-0000-00001A1B0000}"/>
    <cellStyle name="Normal 5 4 3 4 3 2" xfId="14102" xr:uid="{7A7216BC-0FC9-41FB-A458-E7300ABEE7B5}"/>
    <cellStyle name="Normal 5 4 3 4 3 3" xfId="22539" xr:uid="{AE00EA14-E8E5-4D19-93D8-07606C01055B}"/>
    <cellStyle name="Normal 5 4 3 4 4" xfId="9884" xr:uid="{3D6EA469-8CD4-4408-A2A4-7A0A79C958DE}"/>
    <cellStyle name="Normal 5 4 3 4 5" xfId="18322" xr:uid="{D72F9E09-449C-4EBE-B4F4-917A1C742B01}"/>
    <cellStyle name="Normal 5 4 3 5" xfId="1765" xr:uid="{00000000-0005-0000-0000-00001B1B0000}"/>
    <cellStyle name="Normal 5 4 3 5 2" xfId="3995" xr:uid="{00000000-0005-0000-0000-00001C1B0000}"/>
    <cellStyle name="Normal 5 4 3 5 2 2" xfId="8218" xr:uid="{00000000-0005-0000-0000-00001D1B0000}"/>
    <cellStyle name="Normal 5 4 3 5 2 2 2" xfId="16660" xr:uid="{70EA4DFE-7F4B-45C3-B658-860E1ED868FB}"/>
    <cellStyle name="Normal 5 4 3 5 2 2 3" xfId="25097" xr:uid="{1F0A31F0-0D45-4E25-8508-BF9BE56C2269}"/>
    <cellStyle name="Normal 5 4 3 5 2 3" xfId="12442" xr:uid="{45054712-80C1-41E9-8562-FA3601B194B6}"/>
    <cellStyle name="Normal 5 4 3 5 2 4" xfId="20880" xr:uid="{7DC6E62B-779B-4542-A6E9-ACC02A3C6E17}"/>
    <cellStyle name="Normal 5 4 3 5 3" xfId="6073" xr:uid="{00000000-0005-0000-0000-00001E1B0000}"/>
    <cellStyle name="Normal 5 4 3 5 3 2" xfId="14515" xr:uid="{E5B675C3-8BC8-4343-8A0E-D0EDF531CBEC}"/>
    <cellStyle name="Normal 5 4 3 5 3 3" xfId="22952" xr:uid="{BD8AAE77-0386-4F35-9A05-2A8910C51AAD}"/>
    <cellStyle name="Normal 5 4 3 5 4" xfId="10297" xr:uid="{155F21CF-1E41-4E8C-9B91-A4CEF367F5C9}"/>
    <cellStyle name="Normal 5 4 3 5 5" xfId="18735" xr:uid="{71E69E0B-055A-4F02-8D12-AB6B7EB14DD6}"/>
    <cellStyle name="Normal 5 4 3 6" xfId="2179" xr:uid="{00000000-0005-0000-0000-00001F1B0000}"/>
    <cellStyle name="Normal 5 4 3 6 2" xfId="4408" xr:uid="{00000000-0005-0000-0000-0000201B0000}"/>
    <cellStyle name="Normal 5 4 3 6 2 2" xfId="8631" xr:uid="{00000000-0005-0000-0000-0000211B0000}"/>
    <cellStyle name="Normal 5 4 3 6 2 2 2" xfId="17073" xr:uid="{3DAE0AC1-C2E7-4563-9472-A8AD6ACEE6B7}"/>
    <cellStyle name="Normal 5 4 3 6 2 2 3" xfId="25510" xr:uid="{4C5D9D24-0855-4FD0-8581-C62AFE9B40C2}"/>
    <cellStyle name="Normal 5 4 3 6 2 3" xfId="12855" xr:uid="{74F722EC-8AEC-43E1-9CD7-7BA72FF57C4A}"/>
    <cellStyle name="Normal 5 4 3 6 2 4" xfId="21293" xr:uid="{4609A1F9-963C-4A37-A6A5-1CD32C8FDCB1}"/>
    <cellStyle name="Normal 5 4 3 6 3" xfId="6486" xr:uid="{00000000-0005-0000-0000-0000221B0000}"/>
    <cellStyle name="Normal 5 4 3 6 3 2" xfId="14928" xr:uid="{798A1645-8A77-49DE-92F1-514C549DB020}"/>
    <cellStyle name="Normal 5 4 3 6 3 3" xfId="23365" xr:uid="{51B39399-CF87-4188-92AD-98672E18DA24}"/>
    <cellStyle name="Normal 5 4 3 6 4" xfId="10710" xr:uid="{FFBB6BA3-2A86-45F3-B5DB-5C96F831DB1B}"/>
    <cellStyle name="Normal 5 4 3 6 5" xfId="19148" xr:uid="{11DE103E-41A7-415E-9BC3-505242DE5F5B}"/>
    <cellStyle name="Normal 5 4 3 7" xfId="2615" xr:uid="{00000000-0005-0000-0000-0000231B0000}"/>
    <cellStyle name="Normal 5 4 3 7 2" xfId="6899" xr:uid="{00000000-0005-0000-0000-0000241B0000}"/>
    <cellStyle name="Normal 5 4 3 7 2 2" xfId="15341" xr:uid="{E757D816-FEAC-40CC-8E5E-8C732CDA3458}"/>
    <cellStyle name="Normal 5 4 3 7 2 3" xfId="23778" xr:uid="{0E55206A-F4A6-4549-87EE-B7D70962B8A3}"/>
    <cellStyle name="Normal 5 4 3 7 3" xfId="11123" xr:uid="{9C279973-764A-4965-BA85-E47F787DAF2D}"/>
    <cellStyle name="Normal 5 4 3 7 4" xfId="19561" xr:uid="{BFCB641C-EAE6-4900-9E79-651B1763C23D}"/>
    <cellStyle name="Normal 5 4 3 8" xfId="4834" xr:uid="{00000000-0005-0000-0000-0000251B0000}"/>
    <cellStyle name="Normal 5 4 3 8 2" xfId="13276" xr:uid="{0D564099-B1CF-4BD0-A174-286A897B4E58}"/>
    <cellStyle name="Normal 5 4 3 8 3" xfId="21713" xr:uid="{A936B6CA-46C7-43F9-8EB4-FB5BA483C7C6}"/>
    <cellStyle name="Normal 5 4 3 9" xfId="9058" xr:uid="{ACE6EA27-3F9E-4CC1-B2BC-4D10CD1A8A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2 2 2" xfId="15836" xr:uid="{6D699230-E6B7-4DC0-8C82-85918971CFCA}"/>
    <cellStyle name="Normal 5 4 4 2 2 2 3" xfId="24273" xr:uid="{DBBBFB52-1854-4859-98CA-476A2E4B7FF0}"/>
    <cellStyle name="Normal 5 4 4 2 2 3" xfId="11618" xr:uid="{7DA13D36-7557-4C27-9314-AE2FDBADEE82}"/>
    <cellStyle name="Normal 5 4 4 2 2 4" xfId="20056" xr:uid="{BA4843E3-6F04-4E55-9EF6-D1B63129B4C8}"/>
    <cellStyle name="Normal 5 4 4 2 3" xfId="5249" xr:uid="{00000000-0005-0000-0000-00002A1B0000}"/>
    <cellStyle name="Normal 5 4 4 2 3 2" xfId="13691" xr:uid="{50953223-1F47-4CA3-913E-BA9D7A378E31}"/>
    <cellStyle name="Normal 5 4 4 2 3 3" xfId="22128" xr:uid="{48C2585C-4706-4339-9FDA-0F27ED9C92DB}"/>
    <cellStyle name="Normal 5 4 4 2 4" xfId="9473" xr:uid="{98742DF2-1928-427A-9AA5-439F0402FB04}"/>
    <cellStyle name="Normal 5 4 4 2 5" xfId="17911" xr:uid="{033B1196-0B04-4937-A3D8-2183AF363845}"/>
    <cellStyle name="Normal 5 4 4 3" xfId="1354" xr:uid="{00000000-0005-0000-0000-00002B1B0000}"/>
    <cellStyle name="Normal 5 4 4 3 2" xfId="3584" xr:uid="{00000000-0005-0000-0000-00002C1B0000}"/>
    <cellStyle name="Normal 5 4 4 3 2 2" xfId="7807" xr:uid="{00000000-0005-0000-0000-00002D1B0000}"/>
    <cellStyle name="Normal 5 4 4 3 2 2 2" xfId="16249" xr:uid="{8BBCBF53-F46A-4656-8137-F40AEB3E881A}"/>
    <cellStyle name="Normal 5 4 4 3 2 2 3" xfId="24686" xr:uid="{710195F2-152B-485B-8D9D-57EE9831F43C}"/>
    <cellStyle name="Normal 5 4 4 3 2 3" xfId="12031" xr:uid="{138430E5-7530-47AB-AA9C-FB57E48C01F3}"/>
    <cellStyle name="Normal 5 4 4 3 2 4" xfId="20469" xr:uid="{CBA21461-391E-4C10-AE48-915D7B52CAB1}"/>
    <cellStyle name="Normal 5 4 4 3 3" xfId="5662" xr:uid="{00000000-0005-0000-0000-00002E1B0000}"/>
    <cellStyle name="Normal 5 4 4 3 3 2" xfId="14104" xr:uid="{D6FF949C-D3F9-47DB-8C8F-19EE05921B88}"/>
    <cellStyle name="Normal 5 4 4 3 3 3" xfId="22541" xr:uid="{4CD1C0A5-95C7-4033-81D9-F88CE74F09C4}"/>
    <cellStyle name="Normal 5 4 4 3 4" xfId="9886" xr:uid="{B66F39C3-09A4-4C98-8913-3D03FD2FACB7}"/>
    <cellStyle name="Normal 5 4 4 3 5" xfId="18324" xr:uid="{E8B9026A-FB91-43AA-A075-4E1E59E71940}"/>
    <cellStyle name="Normal 5 4 4 4" xfId="1767" xr:uid="{00000000-0005-0000-0000-00002F1B0000}"/>
    <cellStyle name="Normal 5 4 4 4 2" xfId="3997" xr:uid="{00000000-0005-0000-0000-0000301B0000}"/>
    <cellStyle name="Normal 5 4 4 4 2 2" xfId="8220" xr:uid="{00000000-0005-0000-0000-0000311B0000}"/>
    <cellStyle name="Normal 5 4 4 4 2 2 2" xfId="16662" xr:uid="{7115BE38-E6F5-45DF-81EC-AC89C2B4E654}"/>
    <cellStyle name="Normal 5 4 4 4 2 2 3" xfId="25099" xr:uid="{02DC83F9-E5D9-4521-9E7C-E19195A1FD37}"/>
    <cellStyle name="Normal 5 4 4 4 2 3" xfId="12444" xr:uid="{8A25219B-2F84-4256-B207-6BA925AC2BA9}"/>
    <cellStyle name="Normal 5 4 4 4 2 4" xfId="20882" xr:uid="{062315AD-8FF7-4E66-AC1F-C5E99B1756C3}"/>
    <cellStyle name="Normal 5 4 4 4 3" xfId="6075" xr:uid="{00000000-0005-0000-0000-0000321B0000}"/>
    <cellStyle name="Normal 5 4 4 4 3 2" xfId="14517" xr:uid="{49FA03FC-0C09-420B-8C70-C6DC8C82021A}"/>
    <cellStyle name="Normal 5 4 4 4 3 3" xfId="22954" xr:uid="{0D4737A3-98FA-4091-910F-B7EBD56AC1C1}"/>
    <cellStyle name="Normal 5 4 4 4 4" xfId="10299" xr:uid="{E9823D40-ACA3-42BD-BA65-D02C84D8251E}"/>
    <cellStyle name="Normal 5 4 4 4 5" xfId="18737" xr:uid="{8B27CE17-72A0-4265-94E3-3F4142E7D7B6}"/>
    <cellStyle name="Normal 5 4 4 5" xfId="2181" xr:uid="{00000000-0005-0000-0000-0000331B0000}"/>
    <cellStyle name="Normal 5 4 4 5 2" xfId="4410" xr:uid="{00000000-0005-0000-0000-0000341B0000}"/>
    <cellStyle name="Normal 5 4 4 5 2 2" xfId="8633" xr:uid="{00000000-0005-0000-0000-0000351B0000}"/>
    <cellStyle name="Normal 5 4 4 5 2 2 2" xfId="17075" xr:uid="{538D067A-7974-4BE5-AD55-EFB097780C51}"/>
    <cellStyle name="Normal 5 4 4 5 2 2 3" xfId="25512" xr:uid="{6DAC85C0-FA6D-43D7-8E23-7D31C4F6BBD0}"/>
    <cellStyle name="Normal 5 4 4 5 2 3" xfId="12857" xr:uid="{997A32C3-F0CF-46F3-B0AF-0A75E9DA6974}"/>
    <cellStyle name="Normal 5 4 4 5 2 4" xfId="21295" xr:uid="{2E0121C3-1E52-48A9-9CB5-2EC410F920D6}"/>
    <cellStyle name="Normal 5 4 4 5 3" xfId="6488" xr:uid="{00000000-0005-0000-0000-0000361B0000}"/>
    <cellStyle name="Normal 5 4 4 5 3 2" xfId="14930" xr:uid="{3CEC3CEA-71B6-4E94-A0DA-3C9D30C70057}"/>
    <cellStyle name="Normal 5 4 4 5 3 3" xfId="23367" xr:uid="{FB555CA6-1DBA-4A3C-A30E-9FBCB35879F6}"/>
    <cellStyle name="Normal 5 4 4 5 4" xfId="10712" xr:uid="{19902855-F49B-4292-AFF7-53AC257BA245}"/>
    <cellStyle name="Normal 5 4 4 5 5" xfId="19150" xr:uid="{36037567-E7BC-4D85-A924-9C0E64C2B2B9}"/>
    <cellStyle name="Normal 5 4 4 6" xfId="2617" xr:uid="{00000000-0005-0000-0000-0000371B0000}"/>
    <cellStyle name="Normal 5 4 4 6 2" xfId="6901" xr:uid="{00000000-0005-0000-0000-0000381B0000}"/>
    <cellStyle name="Normal 5 4 4 6 2 2" xfId="15343" xr:uid="{7B530700-D1C7-4762-A4EB-B0BDDA7928D5}"/>
    <cellStyle name="Normal 5 4 4 6 2 3" xfId="23780" xr:uid="{15559D12-1BA7-4C9A-8AC0-DDB817A0FCE3}"/>
    <cellStyle name="Normal 5 4 4 6 3" xfId="11125" xr:uid="{71B55B7D-D7CA-4DDA-916C-725B5F5BF40E}"/>
    <cellStyle name="Normal 5 4 4 6 4" xfId="19563" xr:uid="{7D24B23B-9C5F-44B6-A3E7-F504202DECC9}"/>
    <cellStyle name="Normal 5 4 4 7" xfId="4836" xr:uid="{00000000-0005-0000-0000-0000391B0000}"/>
    <cellStyle name="Normal 5 4 4 7 2" xfId="13278" xr:uid="{68A9CD2E-B3C3-4E0C-AEDB-7C232F5076EB}"/>
    <cellStyle name="Normal 5 4 4 7 3" xfId="21715" xr:uid="{D910D43A-D3F7-4D3F-9588-020DD01919BC}"/>
    <cellStyle name="Normal 5 4 4 8" xfId="9060" xr:uid="{8E8E6E6A-5751-4E9D-954F-078A3DD9FF39}"/>
    <cellStyle name="Normal 5 4 4 9" xfId="17498" xr:uid="{A3A7F63B-BE06-4A7D-B792-8E87EDC779E2}"/>
    <cellStyle name="Normal 5 4 5" xfId="930" xr:uid="{00000000-0005-0000-0000-00003A1B0000}"/>
    <cellStyle name="Normal 5 4 5 2" xfId="3164" xr:uid="{00000000-0005-0000-0000-00003B1B0000}"/>
    <cellStyle name="Normal 5 4 5 2 2" xfId="7387" xr:uid="{00000000-0005-0000-0000-00003C1B0000}"/>
    <cellStyle name="Normal 5 4 5 2 2 2" xfId="15829" xr:uid="{1A8A62FF-E165-4308-8CED-F8E218BD88EE}"/>
    <cellStyle name="Normal 5 4 5 2 2 3" xfId="24266" xr:uid="{AE99B3FA-AEA2-4A29-A771-6F47D1155269}"/>
    <cellStyle name="Normal 5 4 5 2 3" xfId="11611" xr:uid="{76D06EBF-751E-48B5-95FB-5BE0D6F2BAB1}"/>
    <cellStyle name="Normal 5 4 5 2 4" xfId="20049" xr:uid="{5116AE2F-F231-4FF7-BAAC-30381072F921}"/>
    <cellStyle name="Normal 5 4 5 3" xfId="5242" xr:uid="{00000000-0005-0000-0000-00003D1B0000}"/>
    <cellStyle name="Normal 5 4 5 3 2" xfId="13684" xr:uid="{7FFD281A-C7A9-4244-9E7B-E18872625B82}"/>
    <cellStyle name="Normal 5 4 5 3 3" xfId="22121" xr:uid="{D0AB8D25-935F-42CD-A57F-7193D98B910B}"/>
    <cellStyle name="Normal 5 4 5 4" xfId="9466" xr:uid="{A384846C-4A5A-4A48-ABA3-7020738F19DB}"/>
    <cellStyle name="Normal 5 4 5 5" xfId="17904" xr:uid="{F149EEC1-9FD1-4143-9E54-B7653222E8D7}"/>
    <cellStyle name="Normal 5 4 6" xfId="1347" xr:uid="{00000000-0005-0000-0000-00003E1B0000}"/>
    <cellStyle name="Normal 5 4 6 2" xfId="3577" xr:uid="{00000000-0005-0000-0000-00003F1B0000}"/>
    <cellStyle name="Normal 5 4 6 2 2" xfId="7800" xr:uid="{00000000-0005-0000-0000-0000401B0000}"/>
    <cellStyle name="Normal 5 4 6 2 2 2" xfId="16242" xr:uid="{67DF9E9E-BED5-4071-B7FA-AE89656B4247}"/>
    <cellStyle name="Normal 5 4 6 2 2 3" xfId="24679" xr:uid="{E5AEF50C-4D89-4803-A374-1040EDCDB08E}"/>
    <cellStyle name="Normal 5 4 6 2 3" xfId="12024" xr:uid="{47659553-39BD-432A-A0FB-AC5A744FE54E}"/>
    <cellStyle name="Normal 5 4 6 2 4" xfId="20462" xr:uid="{9422710E-6EAB-460A-8846-97042B95FA35}"/>
    <cellStyle name="Normal 5 4 6 3" xfId="5655" xr:uid="{00000000-0005-0000-0000-0000411B0000}"/>
    <cellStyle name="Normal 5 4 6 3 2" xfId="14097" xr:uid="{07AA2D93-3A0D-4A44-814D-6E88ACD6D7E1}"/>
    <cellStyle name="Normal 5 4 6 3 3" xfId="22534" xr:uid="{1B0B397D-521B-44F9-8AEE-47F61D7658F4}"/>
    <cellStyle name="Normal 5 4 6 4" xfId="9879" xr:uid="{2852CF9E-E422-431E-B0E9-E0BF47AC9D02}"/>
    <cellStyle name="Normal 5 4 6 5" xfId="18317" xr:uid="{C41F7DDE-A30C-4BB9-8422-23ACD5189D4E}"/>
    <cellStyle name="Normal 5 4 7" xfId="1760" xr:uid="{00000000-0005-0000-0000-0000421B0000}"/>
    <cellStyle name="Normal 5 4 7 2" xfId="3990" xr:uid="{00000000-0005-0000-0000-0000431B0000}"/>
    <cellStyle name="Normal 5 4 7 2 2" xfId="8213" xr:uid="{00000000-0005-0000-0000-0000441B0000}"/>
    <cellStyle name="Normal 5 4 7 2 2 2" xfId="16655" xr:uid="{6BC02757-654E-41A0-B300-1C3A8C22584A}"/>
    <cellStyle name="Normal 5 4 7 2 2 3" xfId="25092" xr:uid="{4ED0B002-5FCA-4EC7-AB28-C365536A49CD}"/>
    <cellStyle name="Normal 5 4 7 2 3" xfId="12437" xr:uid="{37B67CC6-F696-4EEA-96F9-E071F1C97F2F}"/>
    <cellStyle name="Normal 5 4 7 2 4" xfId="20875" xr:uid="{3E6ECD75-51EA-4E6D-9440-FE2E34496C9C}"/>
    <cellStyle name="Normal 5 4 7 3" xfId="6068" xr:uid="{00000000-0005-0000-0000-0000451B0000}"/>
    <cellStyle name="Normal 5 4 7 3 2" xfId="14510" xr:uid="{6241FCE1-5F00-42FA-8CB8-ABD00001C2CF}"/>
    <cellStyle name="Normal 5 4 7 3 3" xfId="22947" xr:uid="{B04C41C0-1AD0-48D4-8074-741408C6E26C}"/>
    <cellStyle name="Normal 5 4 7 4" xfId="10292" xr:uid="{21D51B13-5202-42B2-9C0F-DA3F4F0B46A2}"/>
    <cellStyle name="Normal 5 4 7 5" xfId="18730" xr:uid="{3FD3AC2C-BEA0-42B0-BADF-DB9434120EF7}"/>
    <cellStyle name="Normal 5 4 8" xfId="2174" xr:uid="{00000000-0005-0000-0000-0000461B0000}"/>
    <cellStyle name="Normal 5 4 8 2" xfId="4403" xr:uid="{00000000-0005-0000-0000-0000471B0000}"/>
    <cellStyle name="Normal 5 4 8 2 2" xfId="8626" xr:uid="{00000000-0005-0000-0000-0000481B0000}"/>
    <cellStyle name="Normal 5 4 8 2 2 2" xfId="17068" xr:uid="{DDC31E25-79ED-4B92-B15F-95F3C61143A8}"/>
    <cellStyle name="Normal 5 4 8 2 2 3" xfId="25505" xr:uid="{C82898CB-3982-4065-99C2-EC039E84265C}"/>
    <cellStyle name="Normal 5 4 8 2 3" xfId="12850" xr:uid="{757BF921-FCE0-4DA9-A290-E6EBA6D75328}"/>
    <cellStyle name="Normal 5 4 8 2 4" xfId="21288" xr:uid="{B05E726B-03F7-456B-9293-F59F50D543C8}"/>
    <cellStyle name="Normal 5 4 8 3" xfId="6481" xr:uid="{00000000-0005-0000-0000-0000491B0000}"/>
    <cellStyle name="Normal 5 4 8 3 2" xfId="14923" xr:uid="{35FB1A17-348E-4AA4-88F8-04F13065D118}"/>
    <cellStyle name="Normal 5 4 8 3 3" xfId="23360" xr:uid="{FEDED281-3FDF-43B3-A420-656B1FF978C4}"/>
    <cellStyle name="Normal 5 4 8 4" xfId="10705" xr:uid="{2CB5BE5E-AC1A-404A-AD92-64EA7E41AEC1}"/>
    <cellStyle name="Normal 5 4 8 5" xfId="19143" xr:uid="{3F1CC76E-24DE-4C9F-A752-5A27C92E81D5}"/>
    <cellStyle name="Normal 5 4 9" xfId="2610" xr:uid="{00000000-0005-0000-0000-00004A1B0000}"/>
    <cellStyle name="Normal 5 4 9 2" xfId="6894" xr:uid="{00000000-0005-0000-0000-00004B1B0000}"/>
    <cellStyle name="Normal 5 4 9 2 2" xfId="15336" xr:uid="{1AFE1CC8-F0D4-444C-89EF-4A91E5B5856B}"/>
    <cellStyle name="Normal 5 4 9 2 3" xfId="23773" xr:uid="{7A25AA90-A31A-4FB2-BE13-AA8DC399058F}"/>
    <cellStyle name="Normal 5 4 9 3" xfId="11118" xr:uid="{03F372A5-28ED-4AEA-9415-EB6F60C92E9D}"/>
    <cellStyle name="Normal 5 4 9 4" xfId="19556" xr:uid="{C482C9DA-DDB3-44B5-958A-CE204669D822}"/>
    <cellStyle name="Normal 5 5" xfId="464" xr:uid="{00000000-0005-0000-0000-00004C1B0000}"/>
    <cellStyle name="Normal 5 5 10" xfId="9061" xr:uid="{11FDC49D-AD1F-46D1-84C7-7C04571B75CC}"/>
    <cellStyle name="Normal 5 5 11" xfId="17499" xr:uid="{71B24626-815F-4437-B477-AFC315A3F4F3}"/>
    <cellStyle name="Normal 5 5 2" xfId="465" xr:uid="{00000000-0005-0000-0000-00004D1B0000}"/>
    <cellStyle name="Normal 5 5 2 10" xfId="17500" xr:uid="{4AF9C37C-F71C-4A82-ACC9-836EE6893B87}"/>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2 2 2" xfId="15839" xr:uid="{E8EB57D5-C057-4E77-8AAE-5733AB4CE3E6}"/>
    <cellStyle name="Normal 5 5 2 2 2 2 2 3" xfId="24276" xr:uid="{A6306B9E-4D3A-4554-8852-CC42B3101B00}"/>
    <cellStyle name="Normal 5 5 2 2 2 2 3" xfId="11621" xr:uid="{99DF2BC1-2940-4167-BF0C-AF5CD6A81DDD}"/>
    <cellStyle name="Normal 5 5 2 2 2 2 4" xfId="20059" xr:uid="{0E3E6C62-671E-403F-BD60-F32F5E22CD7D}"/>
    <cellStyle name="Normal 5 5 2 2 2 3" xfId="5252" xr:uid="{00000000-0005-0000-0000-0000521B0000}"/>
    <cellStyle name="Normal 5 5 2 2 2 3 2" xfId="13694" xr:uid="{92A4DDD5-3AB8-476D-A2ED-58754D52EFCA}"/>
    <cellStyle name="Normal 5 5 2 2 2 3 3" xfId="22131" xr:uid="{5FC95769-3C07-4424-B96C-5360E77993C5}"/>
    <cellStyle name="Normal 5 5 2 2 2 4" xfId="9476" xr:uid="{81CD36FC-2C68-4097-86B5-E7CDFD87436A}"/>
    <cellStyle name="Normal 5 5 2 2 2 5" xfId="17914" xr:uid="{5B293AE0-23DC-4346-95F6-DCA7D7750FB3}"/>
    <cellStyle name="Normal 5 5 2 2 3" xfId="1357" xr:uid="{00000000-0005-0000-0000-0000531B0000}"/>
    <cellStyle name="Normal 5 5 2 2 3 2" xfId="3587" xr:uid="{00000000-0005-0000-0000-0000541B0000}"/>
    <cellStyle name="Normal 5 5 2 2 3 2 2" xfId="7810" xr:uid="{00000000-0005-0000-0000-0000551B0000}"/>
    <cellStyle name="Normal 5 5 2 2 3 2 2 2" xfId="16252" xr:uid="{682422EA-5621-4B58-84DA-335CEDDFD16F}"/>
    <cellStyle name="Normal 5 5 2 2 3 2 2 3" xfId="24689" xr:uid="{B7E173E5-A84D-4404-B4F1-B2D9DEB6465F}"/>
    <cellStyle name="Normal 5 5 2 2 3 2 3" xfId="12034" xr:uid="{77C432F4-E7D2-4B4D-A500-FA756AD6F790}"/>
    <cellStyle name="Normal 5 5 2 2 3 2 4" xfId="20472" xr:uid="{C0587B98-BC27-4DCB-B0C7-B87F4893A8E5}"/>
    <cellStyle name="Normal 5 5 2 2 3 3" xfId="5665" xr:uid="{00000000-0005-0000-0000-0000561B0000}"/>
    <cellStyle name="Normal 5 5 2 2 3 3 2" xfId="14107" xr:uid="{0C200360-13CE-4C37-A2A7-C80C58F13472}"/>
    <cellStyle name="Normal 5 5 2 2 3 3 3" xfId="22544" xr:uid="{97905579-2034-403A-947B-A3ADC656640D}"/>
    <cellStyle name="Normal 5 5 2 2 3 4" xfId="9889" xr:uid="{B888B8E1-158A-4DB5-96F5-03F29DE11432}"/>
    <cellStyle name="Normal 5 5 2 2 3 5" xfId="18327" xr:uid="{7EDD2A9C-0F0F-4731-B188-1DF8B3B4CE3F}"/>
    <cellStyle name="Normal 5 5 2 2 4" xfId="1770" xr:uid="{00000000-0005-0000-0000-0000571B0000}"/>
    <cellStyle name="Normal 5 5 2 2 4 2" xfId="4000" xr:uid="{00000000-0005-0000-0000-0000581B0000}"/>
    <cellStyle name="Normal 5 5 2 2 4 2 2" xfId="8223" xr:uid="{00000000-0005-0000-0000-0000591B0000}"/>
    <cellStyle name="Normal 5 5 2 2 4 2 2 2" xfId="16665" xr:uid="{EF8B98FA-9BFF-41EA-86DA-043FE9B7A61A}"/>
    <cellStyle name="Normal 5 5 2 2 4 2 2 3" xfId="25102" xr:uid="{57D8BE4C-23AB-4125-8636-EF3B9FA908DB}"/>
    <cellStyle name="Normal 5 5 2 2 4 2 3" xfId="12447" xr:uid="{EEC471B9-022E-40FA-9AF0-DDD19D40B8C3}"/>
    <cellStyle name="Normal 5 5 2 2 4 2 4" xfId="20885" xr:uid="{DE9CF9FD-E08C-4357-853C-08BE23059917}"/>
    <cellStyle name="Normal 5 5 2 2 4 3" xfId="6078" xr:uid="{00000000-0005-0000-0000-00005A1B0000}"/>
    <cellStyle name="Normal 5 5 2 2 4 3 2" xfId="14520" xr:uid="{A068CBFA-78D6-4D3A-83D6-C1B09310ABBD}"/>
    <cellStyle name="Normal 5 5 2 2 4 3 3" xfId="22957" xr:uid="{133713E1-ADAD-44E4-87BF-BE129206600E}"/>
    <cellStyle name="Normal 5 5 2 2 4 4" xfId="10302" xr:uid="{5E339A94-32DC-413B-B104-0FFE66F1B5BA}"/>
    <cellStyle name="Normal 5 5 2 2 4 5" xfId="18740" xr:uid="{357E83E3-0F8B-4ECB-B778-C5097EE7825A}"/>
    <cellStyle name="Normal 5 5 2 2 5" xfId="2184" xr:uid="{00000000-0005-0000-0000-00005B1B0000}"/>
    <cellStyle name="Normal 5 5 2 2 5 2" xfId="4413" xr:uid="{00000000-0005-0000-0000-00005C1B0000}"/>
    <cellStyle name="Normal 5 5 2 2 5 2 2" xfId="8636" xr:uid="{00000000-0005-0000-0000-00005D1B0000}"/>
    <cellStyle name="Normal 5 5 2 2 5 2 2 2" xfId="17078" xr:uid="{D4B6F17E-543B-47B0-B24C-688046DB5CDD}"/>
    <cellStyle name="Normal 5 5 2 2 5 2 2 3" xfId="25515" xr:uid="{CDC17564-BC7B-4E32-AD90-7C7391B5A7C1}"/>
    <cellStyle name="Normal 5 5 2 2 5 2 3" xfId="12860" xr:uid="{F02BCE39-5528-441A-867D-11C7E97A3FC3}"/>
    <cellStyle name="Normal 5 5 2 2 5 2 4" xfId="21298" xr:uid="{002388A0-0252-4AEC-ABC3-B37A54853FA8}"/>
    <cellStyle name="Normal 5 5 2 2 5 3" xfId="6491" xr:uid="{00000000-0005-0000-0000-00005E1B0000}"/>
    <cellStyle name="Normal 5 5 2 2 5 3 2" xfId="14933" xr:uid="{F39E0C70-B869-4AFC-A5E2-B3B6C4D17F6A}"/>
    <cellStyle name="Normal 5 5 2 2 5 3 3" xfId="23370" xr:uid="{FC4555E6-2B5A-4543-87DE-D1122B7A6971}"/>
    <cellStyle name="Normal 5 5 2 2 5 4" xfId="10715" xr:uid="{BCAA814D-F0A5-466A-B7A7-8BE98D5C5EC8}"/>
    <cellStyle name="Normal 5 5 2 2 5 5" xfId="19153" xr:uid="{1ABBBA2C-F237-44F4-8B39-C26B52B690F1}"/>
    <cellStyle name="Normal 5 5 2 2 6" xfId="2620" xr:uid="{00000000-0005-0000-0000-00005F1B0000}"/>
    <cellStyle name="Normal 5 5 2 2 6 2" xfId="6904" xr:uid="{00000000-0005-0000-0000-0000601B0000}"/>
    <cellStyle name="Normal 5 5 2 2 6 2 2" xfId="15346" xr:uid="{AF31CF88-3ECD-4503-A2D2-CAAFB115FFD9}"/>
    <cellStyle name="Normal 5 5 2 2 6 2 3" xfId="23783" xr:uid="{9C96704B-44BF-4BC7-8EA8-2025CB631D96}"/>
    <cellStyle name="Normal 5 5 2 2 6 3" xfId="11128" xr:uid="{7CE9FA78-B27E-4F40-8F87-FCD9EE939F35}"/>
    <cellStyle name="Normal 5 5 2 2 6 4" xfId="19566" xr:uid="{4841F4F8-1F15-4186-8DFB-C3C4D36872E0}"/>
    <cellStyle name="Normal 5 5 2 2 7" xfId="4839" xr:uid="{00000000-0005-0000-0000-0000611B0000}"/>
    <cellStyle name="Normal 5 5 2 2 7 2" xfId="13281" xr:uid="{A6069F36-AFDC-4D44-979D-4A5BF6F4A88E}"/>
    <cellStyle name="Normal 5 5 2 2 7 3" xfId="21718" xr:uid="{DAEF0068-05C2-4EB2-981D-123C93A0A20D}"/>
    <cellStyle name="Normal 5 5 2 2 8" xfId="9063" xr:uid="{B2BEAF65-A46A-42C8-9B6B-8C6A8CBEB44B}"/>
    <cellStyle name="Normal 5 5 2 2 9" xfId="17501" xr:uid="{1A28A16E-CCEA-4082-8882-7FAFD1436489}"/>
    <cellStyle name="Normal 5 5 2 3" xfId="939" xr:uid="{00000000-0005-0000-0000-0000621B0000}"/>
    <cellStyle name="Normal 5 5 2 3 2" xfId="3173" xr:uid="{00000000-0005-0000-0000-0000631B0000}"/>
    <cellStyle name="Normal 5 5 2 3 2 2" xfId="7396" xr:uid="{00000000-0005-0000-0000-0000641B0000}"/>
    <cellStyle name="Normal 5 5 2 3 2 2 2" xfId="15838" xr:uid="{B67B235B-E0C5-49C1-8F86-0F7296E3B0FE}"/>
    <cellStyle name="Normal 5 5 2 3 2 2 3" xfId="24275" xr:uid="{52F24B8A-C5B5-4CA4-ADF5-B2E4320C712F}"/>
    <cellStyle name="Normal 5 5 2 3 2 3" xfId="11620" xr:uid="{89FCCDB7-B1FD-4D42-81C4-29F22A831DCF}"/>
    <cellStyle name="Normal 5 5 2 3 2 4" xfId="20058" xr:uid="{CEF9C4FE-EFA6-40D3-8D25-1705F52E44F0}"/>
    <cellStyle name="Normal 5 5 2 3 3" xfId="5251" xr:uid="{00000000-0005-0000-0000-0000651B0000}"/>
    <cellStyle name="Normal 5 5 2 3 3 2" xfId="13693" xr:uid="{030C49DD-B520-4045-82C3-BDCFCB730B21}"/>
    <cellStyle name="Normal 5 5 2 3 3 3" xfId="22130" xr:uid="{14DBB886-6D04-4FA5-B580-B528B41152B8}"/>
    <cellStyle name="Normal 5 5 2 3 4" xfId="9475" xr:uid="{5CFDD359-2F2A-45E3-9A5E-FF3B4107918A}"/>
    <cellStyle name="Normal 5 5 2 3 5" xfId="17913" xr:uid="{FBD48324-E006-4C4A-9E15-147C62E14C8D}"/>
    <cellStyle name="Normal 5 5 2 4" xfId="1356" xr:uid="{00000000-0005-0000-0000-0000661B0000}"/>
    <cellStyle name="Normal 5 5 2 4 2" xfId="3586" xr:uid="{00000000-0005-0000-0000-0000671B0000}"/>
    <cellStyle name="Normal 5 5 2 4 2 2" xfId="7809" xr:uid="{00000000-0005-0000-0000-0000681B0000}"/>
    <cellStyle name="Normal 5 5 2 4 2 2 2" xfId="16251" xr:uid="{3C158D2E-6086-439E-844F-37C6C70895D4}"/>
    <cellStyle name="Normal 5 5 2 4 2 2 3" xfId="24688" xr:uid="{8D621B81-2581-479C-A795-1BEB41B07D06}"/>
    <cellStyle name="Normal 5 5 2 4 2 3" xfId="12033" xr:uid="{541B59AF-3CDE-47BC-9883-847575B5F478}"/>
    <cellStyle name="Normal 5 5 2 4 2 4" xfId="20471" xr:uid="{AF5F7361-7A35-438F-A880-84F78535CC9E}"/>
    <cellStyle name="Normal 5 5 2 4 3" xfId="5664" xr:uid="{00000000-0005-0000-0000-0000691B0000}"/>
    <cellStyle name="Normal 5 5 2 4 3 2" xfId="14106" xr:uid="{F51452DB-30AC-4E57-8407-333B9F4B7F64}"/>
    <cellStyle name="Normal 5 5 2 4 3 3" xfId="22543" xr:uid="{DBF12AE2-AB1B-4B8D-93D8-190500F06E1F}"/>
    <cellStyle name="Normal 5 5 2 4 4" xfId="9888" xr:uid="{BA83CA4B-B281-4C4C-BE06-15FAAD9291D1}"/>
    <cellStyle name="Normal 5 5 2 4 5" xfId="18326" xr:uid="{AE069268-957D-4227-B3E5-2837774B3859}"/>
    <cellStyle name="Normal 5 5 2 5" xfId="1769" xr:uid="{00000000-0005-0000-0000-00006A1B0000}"/>
    <cellStyle name="Normal 5 5 2 5 2" xfId="3999" xr:uid="{00000000-0005-0000-0000-00006B1B0000}"/>
    <cellStyle name="Normal 5 5 2 5 2 2" xfId="8222" xr:uid="{00000000-0005-0000-0000-00006C1B0000}"/>
    <cellStyle name="Normal 5 5 2 5 2 2 2" xfId="16664" xr:uid="{20F7A71E-200F-48C7-846F-CDEF1F225A85}"/>
    <cellStyle name="Normal 5 5 2 5 2 2 3" xfId="25101" xr:uid="{42402CC5-BD24-4714-94A4-D98C4D9E39B2}"/>
    <cellStyle name="Normal 5 5 2 5 2 3" xfId="12446" xr:uid="{AD9C566E-BB46-4FF7-913F-CF4327EE1E7C}"/>
    <cellStyle name="Normal 5 5 2 5 2 4" xfId="20884" xr:uid="{B805EF5C-ED72-4B19-9D83-EE5DE67AC0B4}"/>
    <cellStyle name="Normal 5 5 2 5 3" xfId="6077" xr:uid="{00000000-0005-0000-0000-00006D1B0000}"/>
    <cellStyle name="Normal 5 5 2 5 3 2" xfId="14519" xr:uid="{C3908317-C8BF-4509-AC35-1BE33DF9B132}"/>
    <cellStyle name="Normal 5 5 2 5 3 3" xfId="22956" xr:uid="{43A6EE7C-CB93-48F3-8736-9AF7671CFE54}"/>
    <cellStyle name="Normal 5 5 2 5 4" xfId="10301" xr:uid="{4A23B719-BF85-47F1-9F5F-164167F83725}"/>
    <cellStyle name="Normal 5 5 2 5 5" xfId="18739" xr:uid="{9E0BDCDE-E3FC-43CF-9396-B36D2129FD96}"/>
    <cellStyle name="Normal 5 5 2 6" xfId="2183" xr:uid="{00000000-0005-0000-0000-00006E1B0000}"/>
    <cellStyle name="Normal 5 5 2 6 2" xfId="4412" xr:uid="{00000000-0005-0000-0000-00006F1B0000}"/>
    <cellStyle name="Normal 5 5 2 6 2 2" xfId="8635" xr:uid="{00000000-0005-0000-0000-0000701B0000}"/>
    <cellStyle name="Normal 5 5 2 6 2 2 2" xfId="17077" xr:uid="{4109A4D5-E0DC-444E-B9BF-20EEDF589FD6}"/>
    <cellStyle name="Normal 5 5 2 6 2 2 3" xfId="25514" xr:uid="{1B9315BF-11C1-4FFA-8744-C7435D1A8BBD}"/>
    <cellStyle name="Normal 5 5 2 6 2 3" xfId="12859" xr:uid="{2DF4A356-99D1-4087-9BE8-04C26BC88629}"/>
    <cellStyle name="Normal 5 5 2 6 2 4" xfId="21297" xr:uid="{0BD854BF-1196-4E24-8C62-02643D2A5C09}"/>
    <cellStyle name="Normal 5 5 2 6 3" xfId="6490" xr:uid="{00000000-0005-0000-0000-0000711B0000}"/>
    <cellStyle name="Normal 5 5 2 6 3 2" xfId="14932" xr:uid="{429DA2CF-570A-4F48-8BB1-DE995B03E1DA}"/>
    <cellStyle name="Normal 5 5 2 6 3 3" xfId="23369" xr:uid="{F3C65164-4E00-4529-B9E3-4DA370BABE67}"/>
    <cellStyle name="Normal 5 5 2 6 4" xfId="10714" xr:uid="{67B32E6C-8E1F-47EF-B649-C0C01E3ADBBB}"/>
    <cellStyle name="Normal 5 5 2 6 5" xfId="19152" xr:uid="{5883C7A3-60FF-48DE-915B-C2E38852EB38}"/>
    <cellStyle name="Normal 5 5 2 7" xfId="2619" xr:uid="{00000000-0005-0000-0000-0000721B0000}"/>
    <cellStyle name="Normal 5 5 2 7 2" xfId="6903" xr:uid="{00000000-0005-0000-0000-0000731B0000}"/>
    <cellStyle name="Normal 5 5 2 7 2 2" xfId="15345" xr:uid="{51B5D22D-A699-4464-97E3-C545026B772B}"/>
    <cellStyle name="Normal 5 5 2 7 2 3" xfId="23782" xr:uid="{CDED2BA0-BEA3-4AA1-94B0-C1A3A0DB1EE2}"/>
    <cellStyle name="Normal 5 5 2 7 3" xfId="11127" xr:uid="{A2680EC3-53C4-4A3D-849D-921ED7CF748F}"/>
    <cellStyle name="Normal 5 5 2 7 4" xfId="19565" xr:uid="{65D1B3B3-3F4C-4A5F-A53D-CA3BED0A72F4}"/>
    <cellStyle name="Normal 5 5 2 8" xfId="4838" xr:uid="{00000000-0005-0000-0000-0000741B0000}"/>
    <cellStyle name="Normal 5 5 2 8 2" xfId="13280" xr:uid="{59FA1FFF-53AA-4BBB-9178-2735BEE810C5}"/>
    <cellStyle name="Normal 5 5 2 8 3" xfId="21717" xr:uid="{D25763F2-FAA8-46C3-9335-ECE87FEDC055}"/>
    <cellStyle name="Normal 5 5 2 9" xfId="9062" xr:uid="{00D6DB8D-C70A-4706-8094-7CFC24638E18}"/>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2 2 2" xfId="15840" xr:uid="{E37342AF-99B0-4B21-88D8-83FD55A92AD8}"/>
    <cellStyle name="Normal 5 5 3 2 2 2 3" xfId="24277" xr:uid="{5EA23061-87FC-4D23-A361-6BBC158761D7}"/>
    <cellStyle name="Normal 5 5 3 2 2 3" xfId="11622" xr:uid="{02105C8A-4403-46EC-9CDD-17AFD751D246}"/>
    <cellStyle name="Normal 5 5 3 2 2 4" xfId="20060" xr:uid="{68CAD82B-7B51-4E07-A394-4BEC0CD5B27B}"/>
    <cellStyle name="Normal 5 5 3 2 3" xfId="5253" xr:uid="{00000000-0005-0000-0000-0000791B0000}"/>
    <cellStyle name="Normal 5 5 3 2 3 2" xfId="13695" xr:uid="{CBA0A696-86B5-49AC-ADF7-2751FECF8D68}"/>
    <cellStyle name="Normal 5 5 3 2 3 3" xfId="22132" xr:uid="{8B33FBA8-0EDA-40A4-9620-C685B3FE9423}"/>
    <cellStyle name="Normal 5 5 3 2 4" xfId="9477" xr:uid="{AC0F0B17-C325-4FD5-939B-BC0E061433C1}"/>
    <cellStyle name="Normal 5 5 3 2 5" xfId="17915" xr:uid="{DA9AEB6C-2460-4808-AF0E-E0A03EC0C51C}"/>
    <cellStyle name="Normal 5 5 3 3" xfId="1358" xr:uid="{00000000-0005-0000-0000-00007A1B0000}"/>
    <cellStyle name="Normal 5 5 3 3 2" xfId="3588" xr:uid="{00000000-0005-0000-0000-00007B1B0000}"/>
    <cellStyle name="Normal 5 5 3 3 2 2" xfId="7811" xr:uid="{00000000-0005-0000-0000-00007C1B0000}"/>
    <cellStyle name="Normal 5 5 3 3 2 2 2" xfId="16253" xr:uid="{1EFA8585-4BCA-4FAC-BA13-2B3EEC6C590B}"/>
    <cellStyle name="Normal 5 5 3 3 2 2 3" xfId="24690" xr:uid="{BC821ECF-70B0-4EE1-A9E2-9D6DDDD23809}"/>
    <cellStyle name="Normal 5 5 3 3 2 3" xfId="12035" xr:uid="{B9859F84-FD05-45D0-95A9-0E489A62C5CD}"/>
    <cellStyle name="Normal 5 5 3 3 2 4" xfId="20473" xr:uid="{6F4131C3-A84D-43B2-A470-194EA5D92F73}"/>
    <cellStyle name="Normal 5 5 3 3 3" xfId="5666" xr:uid="{00000000-0005-0000-0000-00007D1B0000}"/>
    <cellStyle name="Normal 5 5 3 3 3 2" xfId="14108" xr:uid="{252CC9B4-DA3F-4F83-B363-2FC6A20D85BD}"/>
    <cellStyle name="Normal 5 5 3 3 3 3" xfId="22545" xr:uid="{D09DEA2A-DB0D-4258-81D0-C4968AEB9F63}"/>
    <cellStyle name="Normal 5 5 3 3 4" xfId="9890" xr:uid="{D38C0513-43EA-4A99-8003-95051FD03835}"/>
    <cellStyle name="Normal 5 5 3 3 5" xfId="18328" xr:uid="{BF1641FD-DDCF-4E7B-8DEE-4CAB821CDD39}"/>
    <cellStyle name="Normal 5 5 3 4" xfId="1771" xr:uid="{00000000-0005-0000-0000-00007E1B0000}"/>
    <cellStyle name="Normal 5 5 3 4 2" xfId="4001" xr:uid="{00000000-0005-0000-0000-00007F1B0000}"/>
    <cellStyle name="Normal 5 5 3 4 2 2" xfId="8224" xr:uid="{00000000-0005-0000-0000-0000801B0000}"/>
    <cellStyle name="Normal 5 5 3 4 2 2 2" xfId="16666" xr:uid="{D9F3450F-6C88-467A-9EAC-DDBFF42D0AE5}"/>
    <cellStyle name="Normal 5 5 3 4 2 2 3" xfId="25103" xr:uid="{8B03EA77-AD03-4F3B-8BFE-8B2A5F41539D}"/>
    <cellStyle name="Normal 5 5 3 4 2 3" xfId="12448" xr:uid="{07D957D1-93DC-4A35-A69F-A7E137A835A0}"/>
    <cellStyle name="Normal 5 5 3 4 2 4" xfId="20886" xr:uid="{BC1A0520-FDCF-4A0D-9AC8-5F5A7C379C9A}"/>
    <cellStyle name="Normal 5 5 3 4 3" xfId="6079" xr:uid="{00000000-0005-0000-0000-0000811B0000}"/>
    <cellStyle name="Normal 5 5 3 4 3 2" xfId="14521" xr:uid="{202ABA6A-5798-4D97-8B61-E4A1AE6A1177}"/>
    <cellStyle name="Normal 5 5 3 4 3 3" xfId="22958" xr:uid="{BE0B3241-BC18-45AB-8375-5FF6891DFB6F}"/>
    <cellStyle name="Normal 5 5 3 4 4" xfId="10303" xr:uid="{5DBB8FEC-989F-4107-89BB-FB20013E9FE3}"/>
    <cellStyle name="Normal 5 5 3 4 5" xfId="18741" xr:uid="{4F92F6AB-3E0D-422D-9D4F-808612F43A54}"/>
    <cellStyle name="Normal 5 5 3 5" xfId="2185" xr:uid="{00000000-0005-0000-0000-0000821B0000}"/>
    <cellStyle name="Normal 5 5 3 5 2" xfId="4414" xr:uid="{00000000-0005-0000-0000-0000831B0000}"/>
    <cellStyle name="Normal 5 5 3 5 2 2" xfId="8637" xr:uid="{00000000-0005-0000-0000-0000841B0000}"/>
    <cellStyle name="Normal 5 5 3 5 2 2 2" xfId="17079" xr:uid="{0DC947C2-CBC7-43D8-98E5-2E23C6979ECD}"/>
    <cellStyle name="Normal 5 5 3 5 2 2 3" xfId="25516" xr:uid="{38134E27-C5E6-43E5-BD0C-320BEC4ABA5B}"/>
    <cellStyle name="Normal 5 5 3 5 2 3" xfId="12861" xr:uid="{A2C9D7A9-16BA-4FFA-8E9C-53EE09C82A44}"/>
    <cellStyle name="Normal 5 5 3 5 2 4" xfId="21299" xr:uid="{2E2F42F4-3C22-4B1D-B593-062CA3CA9641}"/>
    <cellStyle name="Normal 5 5 3 5 3" xfId="6492" xr:uid="{00000000-0005-0000-0000-0000851B0000}"/>
    <cellStyle name="Normal 5 5 3 5 3 2" xfId="14934" xr:uid="{119E6EA4-3B9B-45E6-BD84-34B748C4BC15}"/>
    <cellStyle name="Normal 5 5 3 5 3 3" xfId="23371" xr:uid="{CD6818B5-989B-487C-9646-4C814C903EC8}"/>
    <cellStyle name="Normal 5 5 3 5 4" xfId="10716" xr:uid="{685DC347-018A-4F4B-8F94-D79F45E2CF7C}"/>
    <cellStyle name="Normal 5 5 3 5 5" xfId="19154" xr:uid="{0697F4D9-FEC4-42BA-9F7F-6103AC9563E0}"/>
    <cellStyle name="Normal 5 5 3 6" xfId="2621" xr:uid="{00000000-0005-0000-0000-0000861B0000}"/>
    <cellStyle name="Normal 5 5 3 6 2" xfId="6905" xr:uid="{00000000-0005-0000-0000-0000871B0000}"/>
    <cellStyle name="Normal 5 5 3 6 2 2" xfId="15347" xr:uid="{0A82652A-EC44-40C1-B03A-00852B9DB437}"/>
    <cellStyle name="Normal 5 5 3 6 2 3" xfId="23784" xr:uid="{B6FB02FD-72E8-4826-9451-0326D1FD46C5}"/>
    <cellStyle name="Normal 5 5 3 6 3" xfId="11129" xr:uid="{532270E1-9463-4A3A-9EE5-6BD74C7C3D90}"/>
    <cellStyle name="Normal 5 5 3 6 4" xfId="19567" xr:uid="{6C670919-BA72-43F7-814F-E6D28416F40C}"/>
    <cellStyle name="Normal 5 5 3 7" xfId="4840" xr:uid="{00000000-0005-0000-0000-0000881B0000}"/>
    <cellStyle name="Normal 5 5 3 7 2" xfId="13282" xr:uid="{0DCCE088-CA3B-497A-AA59-2A996E3D10D8}"/>
    <cellStyle name="Normal 5 5 3 7 3" xfId="21719" xr:uid="{52C2CDB3-1641-4E30-9016-54FC15184BC8}"/>
    <cellStyle name="Normal 5 5 3 8" xfId="9064" xr:uid="{E49D4A19-2FFE-4A28-B20F-829330090B90}"/>
    <cellStyle name="Normal 5 5 3 9" xfId="17502" xr:uid="{B813D5A2-387E-4187-8316-337A5117587D}"/>
    <cellStyle name="Normal 5 5 4" xfId="938" xr:uid="{00000000-0005-0000-0000-0000891B0000}"/>
    <cellStyle name="Normal 5 5 4 2" xfId="3172" xr:uid="{00000000-0005-0000-0000-00008A1B0000}"/>
    <cellStyle name="Normal 5 5 4 2 2" xfId="7395" xr:uid="{00000000-0005-0000-0000-00008B1B0000}"/>
    <cellStyle name="Normal 5 5 4 2 2 2" xfId="15837" xr:uid="{25EB31F1-CF82-4275-8944-FA63B3534BEF}"/>
    <cellStyle name="Normal 5 5 4 2 2 3" xfId="24274" xr:uid="{C613C124-D635-4657-92E2-65143CFC7380}"/>
    <cellStyle name="Normal 5 5 4 2 3" xfId="11619" xr:uid="{075651B6-AEC7-4417-B1BE-1EB68ED03C0D}"/>
    <cellStyle name="Normal 5 5 4 2 4" xfId="20057" xr:uid="{DF1939C8-2D95-45DF-A586-C309504FFA6A}"/>
    <cellStyle name="Normal 5 5 4 3" xfId="5250" xr:uid="{00000000-0005-0000-0000-00008C1B0000}"/>
    <cellStyle name="Normal 5 5 4 3 2" xfId="13692" xr:uid="{56890BB3-D198-42A2-B559-F235C6D245CC}"/>
    <cellStyle name="Normal 5 5 4 3 3" xfId="22129" xr:uid="{3992CE93-6659-4F62-9928-190D4A224A1B}"/>
    <cellStyle name="Normal 5 5 4 4" xfId="9474" xr:uid="{21B7471A-9041-4971-A6A2-6B77581E3BCA}"/>
    <cellStyle name="Normal 5 5 4 5" xfId="17912" xr:uid="{4047285C-AB05-45C8-A5C4-35492B368925}"/>
    <cellStyle name="Normal 5 5 5" xfId="1355" xr:uid="{00000000-0005-0000-0000-00008D1B0000}"/>
    <cellStyle name="Normal 5 5 5 2" xfId="3585" xr:uid="{00000000-0005-0000-0000-00008E1B0000}"/>
    <cellStyle name="Normal 5 5 5 2 2" xfId="7808" xr:uid="{00000000-0005-0000-0000-00008F1B0000}"/>
    <cellStyle name="Normal 5 5 5 2 2 2" xfId="16250" xr:uid="{2B7A2099-B771-4567-A9CB-1A981233256D}"/>
    <cellStyle name="Normal 5 5 5 2 2 3" xfId="24687" xr:uid="{ECAB8E92-61C1-40CB-9ECF-097E17C55D31}"/>
    <cellStyle name="Normal 5 5 5 2 3" xfId="12032" xr:uid="{7232B639-4A80-4CA5-AFF9-4B397EDBF2A3}"/>
    <cellStyle name="Normal 5 5 5 2 4" xfId="20470" xr:uid="{761C91AE-88E0-4268-AD75-868313A62402}"/>
    <cellStyle name="Normal 5 5 5 3" xfId="5663" xr:uid="{00000000-0005-0000-0000-0000901B0000}"/>
    <cellStyle name="Normal 5 5 5 3 2" xfId="14105" xr:uid="{A424B636-03C6-4851-8153-373F946B4E93}"/>
    <cellStyle name="Normal 5 5 5 3 3" xfId="22542" xr:uid="{B36B84EB-27AB-423C-9FB2-48B8D588F775}"/>
    <cellStyle name="Normal 5 5 5 4" xfId="9887" xr:uid="{150A51DD-5BA1-4B61-B279-B23346B93370}"/>
    <cellStyle name="Normal 5 5 5 5" xfId="18325" xr:uid="{D94F03BC-4FF2-4756-AEC0-FDDA0A273F6C}"/>
    <cellStyle name="Normal 5 5 6" xfId="1768" xr:uid="{00000000-0005-0000-0000-0000911B0000}"/>
    <cellStyle name="Normal 5 5 6 2" xfId="3998" xr:uid="{00000000-0005-0000-0000-0000921B0000}"/>
    <cellStyle name="Normal 5 5 6 2 2" xfId="8221" xr:uid="{00000000-0005-0000-0000-0000931B0000}"/>
    <cellStyle name="Normal 5 5 6 2 2 2" xfId="16663" xr:uid="{E0D075F3-6E64-4CEB-9882-CE8F469F8283}"/>
    <cellStyle name="Normal 5 5 6 2 2 3" xfId="25100" xr:uid="{E3C39D43-5B49-4AF2-A81E-F9536C6000FB}"/>
    <cellStyle name="Normal 5 5 6 2 3" xfId="12445" xr:uid="{F28599B4-6B34-4B89-949C-F4776A7DD6E6}"/>
    <cellStyle name="Normal 5 5 6 2 4" xfId="20883" xr:uid="{70350C22-1F1B-4041-8F1B-AC4D6F775E93}"/>
    <cellStyle name="Normal 5 5 6 3" xfId="6076" xr:uid="{00000000-0005-0000-0000-0000941B0000}"/>
    <cellStyle name="Normal 5 5 6 3 2" xfId="14518" xr:uid="{0CA93003-8208-4BD4-9816-DE21B7923436}"/>
    <cellStyle name="Normal 5 5 6 3 3" xfId="22955" xr:uid="{70E58825-4CDB-42E4-AB83-EC0B07C11691}"/>
    <cellStyle name="Normal 5 5 6 4" xfId="10300" xr:uid="{9B708F14-D4F0-474A-9B7A-53098B135A31}"/>
    <cellStyle name="Normal 5 5 6 5" xfId="18738" xr:uid="{340714C7-E8BF-4481-B23E-A0C06E2F8181}"/>
    <cellStyle name="Normal 5 5 7" xfId="2182" xr:uid="{00000000-0005-0000-0000-0000951B0000}"/>
    <cellStyle name="Normal 5 5 7 2" xfId="4411" xr:uid="{00000000-0005-0000-0000-0000961B0000}"/>
    <cellStyle name="Normal 5 5 7 2 2" xfId="8634" xr:uid="{00000000-0005-0000-0000-0000971B0000}"/>
    <cellStyle name="Normal 5 5 7 2 2 2" xfId="17076" xr:uid="{B57DB1FA-4B72-4EE5-A4C6-5CFCD349710E}"/>
    <cellStyle name="Normal 5 5 7 2 2 3" xfId="25513" xr:uid="{13EA1880-0D13-449A-B4D2-890D28F90241}"/>
    <cellStyle name="Normal 5 5 7 2 3" xfId="12858" xr:uid="{C103A945-8926-49E7-95B7-57B4C4806E0A}"/>
    <cellStyle name="Normal 5 5 7 2 4" xfId="21296" xr:uid="{7AA773E0-597C-4F8B-AA90-D28386B933AB}"/>
    <cellStyle name="Normal 5 5 7 3" xfId="6489" xr:uid="{00000000-0005-0000-0000-0000981B0000}"/>
    <cellStyle name="Normal 5 5 7 3 2" xfId="14931" xr:uid="{F460384D-F3F5-4872-B4AA-48FD9F72D626}"/>
    <cellStyle name="Normal 5 5 7 3 3" xfId="23368" xr:uid="{585A7882-9778-4FCE-8F78-3E7E487CB77F}"/>
    <cellStyle name="Normal 5 5 7 4" xfId="10713" xr:uid="{3A85CE58-C79D-4416-A068-CF623F9CC134}"/>
    <cellStyle name="Normal 5 5 7 5" xfId="19151" xr:uid="{E418DF6F-7B64-4C6A-8E55-1FD5D18838A7}"/>
    <cellStyle name="Normal 5 5 8" xfId="2618" xr:uid="{00000000-0005-0000-0000-0000991B0000}"/>
    <cellStyle name="Normal 5 5 8 2" xfId="6902" xr:uid="{00000000-0005-0000-0000-00009A1B0000}"/>
    <cellStyle name="Normal 5 5 8 2 2" xfId="15344" xr:uid="{F53E1A87-E09E-4FA9-8855-816D8A9011AA}"/>
    <cellStyle name="Normal 5 5 8 2 3" xfId="23781" xr:uid="{1E2037FB-C96C-4B2F-A879-C611FE3D564D}"/>
    <cellStyle name="Normal 5 5 8 3" xfId="11126" xr:uid="{FDC94265-B639-4638-BFE3-EC194A315EF9}"/>
    <cellStyle name="Normal 5 5 8 4" xfId="19564" xr:uid="{86DD442E-A268-49E6-BBD6-7A881D8C3B7F}"/>
    <cellStyle name="Normal 5 5 9" xfId="4837" xr:uid="{00000000-0005-0000-0000-00009B1B0000}"/>
    <cellStyle name="Normal 5 5 9 2" xfId="13279" xr:uid="{2BF7AD44-FE22-473D-934A-33F514C358FA}"/>
    <cellStyle name="Normal 5 5 9 3" xfId="21716" xr:uid="{9502DDFA-ACB8-405C-BCBB-AF920008F8FB}"/>
    <cellStyle name="Normal 5 6" xfId="468" xr:uid="{00000000-0005-0000-0000-00009C1B0000}"/>
    <cellStyle name="Normal 5 6 10" xfId="17503" xr:uid="{CC1AD411-072A-47B8-86BE-E569E68530CE}"/>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2 2 2" xfId="15842" xr:uid="{25ABFF03-A455-4A9C-A887-BF52FD348DF7}"/>
    <cellStyle name="Normal 5 6 2 2 2 2 3" xfId="24279" xr:uid="{DD267EE3-BFB9-46CE-9603-5EB3357F115F}"/>
    <cellStyle name="Normal 5 6 2 2 2 3" xfId="11624" xr:uid="{99D5CA8B-03E0-497F-A481-501222327C7B}"/>
    <cellStyle name="Normal 5 6 2 2 2 4" xfId="20062" xr:uid="{278DFB30-7FD5-4BE8-AFB8-846832B3C441}"/>
    <cellStyle name="Normal 5 6 2 2 3" xfId="5255" xr:uid="{00000000-0005-0000-0000-0000A11B0000}"/>
    <cellStyle name="Normal 5 6 2 2 3 2" xfId="13697" xr:uid="{889891FD-F26C-464C-9783-5B0FD5F7D271}"/>
    <cellStyle name="Normal 5 6 2 2 3 3" xfId="22134" xr:uid="{6499CA00-CCE0-4490-8637-92B4F7422AB4}"/>
    <cellStyle name="Normal 5 6 2 2 4" xfId="9479" xr:uid="{0FA86343-15B5-4E8C-9647-EACEB821E8D8}"/>
    <cellStyle name="Normal 5 6 2 2 5" xfId="17917" xr:uid="{6A305ADB-D6EC-44BC-ACF8-63093FDF4414}"/>
    <cellStyle name="Normal 5 6 2 3" xfId="1360" xr:uid="{00000000-0005-0000-0000-0000A21B0000}"/>
    <cellStyle name="Normal 5 6 2 3 2" xfId="3590" xr:uid="{00000000-0005-0000-0000-0000A31B0000}"/>
    <cellStyle name="Normal 5 6 2 3 2 2" xfId="7813" xr:uid="{00000000-0005-0000-0000-0000A41B0000}"/>
    <cellStyle name="Normal 5 6 2 3 2 2 2" xfId="16255" xr:uid="{AE419CB0-A564-4014-9EA8-EA5AB50FDFB6}"/>
    <cellStyle name="Normal 5 6 2 3 2 2 3" xfId="24692" xr:uid="{08BEEC70-50FE-460F-B6DD-AA65E5DBCF3C}"/>
    <cellStyle name="Normal 5 6 2 3 2 3" xfId="12037" xr:uid="{FF8C42DF-E482-4C22-B2B7-07DD34E5CC80}"/>
    <cellStyle name="Normal 5 6 2 3 2 4" xfId="20475" xr:uid="{1BC41E8B-6A78-4D2D-AB2B-59147C89D86B}"/>
    <cellStyle name="Normal 5 6 2 3 3" xfId="5668" xr:uid="{00000000-0005-0000-0000-0000A51B0000}"/>
    <cellStyle name="Normal 5 6 2 3 3 2" xfId="14110" xr:uid="{E866E3DB-14F9-4E48-B283-E8FF88EC880D}"/>
    <cellStyle name="Normal 5 6 2 3 3 3" xfId="22547" xr:uid="{A99109FF-756E-43CA-B110-C29F1E904AFD}"/>
    <cellStyle name="Normal 5 6 2 3 4" xfId="9892" xr:uid="{2C0FFE0D-C5A8-448F-9296-3A9D676D53CD}"/>
    <cellStyle name="Normal 5 6 2 3 5" xfId="18330" xr:uid="{907328DE-113D-4BE3-BF2C-61D440EC3D86}"/>
    <cellStyle name="Normal 5 6 2 4" xfId="1773" xr:uid="{00000000-0005-0000-0000-0000A61B0000}"/>
    <cellStyle name="Normal 5 6 2 4 2" xfId="4003" xr:uid="{00000000-0005-0000-0000-0000A71B0000}"/>
    <cellStyle name="Normal 5 6 2 4 2 2" xfId="8226" xr:uid="{00000000-0005-0000-0000-0000A81B0000}"/>
    <cellStyle name="Normal 5 6 2 4 2 2 2" xfId="16668" xr:uid="{0343FFCB-21A5-41C5-96F5-ACABE77D6B1A}"/>
    <cellStyle name="Normal 5 6 2 4 2 2 3" xfId="25105" xr:uid="{5624A533-72E7-48DC-8993-143D75603B01}"/>
    <cellStyle name="Normal 5 6 2 4 2 3" xfId="12450" xr:uid="{8BB598D7-3B53-4931-8E3C-EC916FED04E3}"/>
    <cellStyle name="Normal 5 6 2 4 2 4" xfId="20888" xr:uid="{B6DAF066-1EB1-4B83-ABC2-E2A0A0E031ED}"/>
    <cellStyle name="Normal 5 6 2 4 3" xfId="6081" xr:uid="{00000000-0005-0000-0000-0000A91B0000}"/>
    <cellStyle name="Normal 5 6 2 4 3 2" xfId="14523" xr:uid="{E9450E7B-D8BB-45AB-894F-A14B52B95A50}"/>
    <cellStyle name="Normal 5 6 2 4 3 3" xfId="22960" xr:uid="{8FDECF99-BC2E-4792-8CDD-AA224BCC15F8}"/>
    <cellStyle name="Normal 5 6 2 4 4" xfId="10305" xr:uid="{7300D31A-6AB7-40B3-B6EC-768227BD9D66}"/>
    <cellStyle name="Normal 5 6 2 4 5" xfId="18743" xr:uid="{E5365698-EC37-42AC-A095-4E64BE5235C3}"/>
    <cellStyle name="Normal 5 6 2 5" xfId="2187" xr:uid="{00000000-0005-0000-0000-0000AA1B0000}"/>
    <cellStyle name="Normal 5 6 2 5 2" xfId="4416" xr:uid="{00000000-0005-0000-0000-0000AB1B0000}"/>
    <cellStyle name="Normal 5 6 2 5 2 2" xfId="8639" xr:uid="{00000000-0005-0000-0000-0000AC1B0000}"/>
    <cellStyle name="Normal 5 6 2 5 2 2 2" xfId="17081" xr:uid="{61D1DFD0-79A9-4BF5-AFE7-C41D29E0724E}"/>
    <cellStyle name="Normal 5 6 2 5 2 2 3" xfId="25518" xr:uid="{153491FB-004C-408B-A323-2C452EAEC392}"/>
    <cellStyle name="Normal 5 6 2 5 2 3" xfId="12863" xr:uid="{6012D863-2DB0-43EB-88EC-ED12CA00F1D6}"/>
    <cellStyle name="Normal 5 6 2 5 2 4" xfId="21301" xr:uid="{A6450456-170C-4271-AC25-8198CE54756D}"/>
    <cellStyle name="Normal 5 6 2 5 3" xfId="6494" xr:uid="{00000000-0005-0000-0000-0000AD1B0000}"/>
    <cellStyle name="Normal 5 6 2 5 3 2" xfId="14936" xr:uid="{3C663DEF-FEC6-4352-9DCE-243DDDCD692B}"/>
    <cellStyle name="Normal 5 6 2 5 3 3" xfId="23373" xr:uid="{C2E7E337-7688-4E2C-A688-2BE31B0DFCB5}"/>
    <cellStyle name="Normal 5 6 2 5 4" xfId="10718" xr:uid="{337BD602-B678-4E8C-8A46-8296282C134A}"/>
    <cellStyle name="Normal 5 6 2 5 5" xfId="19156" xr:uid="{9D890401-498E-43AC-8CAC-D770F9EAD466}"/>
    <cellStyle name="Normal 5 6 2 6" xfId="2623" xr:uid="{00000000-0005-0000-0000-0000AE1B0000}"/>
    <cellStyle name="Normal 5 6 2 6 2" xfId="6907" xr:uid="{00000000-0005-0000-0000-0000AF1B0000}"/>
    <cellStyle name="Normal 5 6 2 6 2 2" xfId="15349" xr:uid="{37F0601C-F7AA-4F59-9FA9-1F127C32B690}"/>
    <cellStyle name="Normal 5 6 2 6 2 3" xfId="23786" xr:uid="{331CABD5-2D36-45FA-99E0-F97C28049491}"/>
    <cellStyle name="Normal 5 6 2 6 3" xfId="11131" xr:uid="{208D2C8A-1EEF-43E3-8797-B8267145955D}"/>
    <cellStyle name="Normal 5 6 2 6 4" xfId="19569" xr:uid="{78378B93-1402-44FB-90AE-A07AD313C123}"/>
    <cellStyle name="Normal 5 6 2 7" xfId="4842" xr:uid="{00000000-0005-0000-0000-0000B01B0000}"/>
    <cellStyle name="Normal 5 6 2 7 2" xfId="13284" xr:uid="{83532766-0E0D-4984-87B4-2B7DD15AC850}"/>
    <cellStyle name="Normal 5 6 2 7 3" xfId="21721" xr:uid="{9F22A23C-6702-4935-A742-B6EFC5BC0EF5}"/>
    <cellStyle name="Normal 5 6 2 8" xfId="9066" xr:uid="{A4B66BF7-0466-45AC-A549-44133776DA0A}"/>
    <cellStyle name="Normal 5 6 2 9" xfId="17504" xr:uid="{BE2689C7-7282-4AD5-ADF4-A327F527032A}"/>
    <cellStyle name="Normal 5 6 3" xfId="942" xr:uid="{00000000-0005-0000-0000-0000B11B0000}"/>
    <cellStyle name="Normal 5 6 3 2" xfId="3176" xr:uid="{00000000-0005-0000-0000-0000B21B0000}"/>
    <cellStyle name="Normal 5 6 3 2 2" xfId="7399" xr:uid="{00000000-0005-0000-0000-0000B31B0000}"/>
    <cellStyle name="Normal 5 6 3 2 2 2" xfId="15841" xr:uid="{4A008E5E-1BF5-4553-9278-AE2799D3C039}"/>
    <cellStyle name="Normal 5 6 3 2 2 3" xfId="24278" xr:uid="{5EC7898E-E497-4740-B5B8-D97B43F4B3DC}"/>
    <cellStyle name="Normal 5 6 3 2 3" xfId="11623" xr:uid="{EC356F6E-9065-41B2-A59A-B9743E622543}"/>
    <cellStyle name="Normal 5 6 3 2 4" xfId="20061" xr:uid="{BAE32471-3BB7-495C-AD52-8D89F332D634}"/>
    <cellStyle name="Normal 5 6 3 3" xfId="5254" xr:uid="{00000000-0005-0000-0000-0000B41B0000}"/>
    <cellStyle name="Normal 5 6 3 3 2" xfId="13696" xr:uid="{A3C2F2BA-BFB1-406D-AEB4-5C062CB6386A}"/>
    <cellStyle name="Normal 5 6 3 3 3" xfId="22133" xr:uid="{079396AF-420B-4608-94B1-83934A95C263}"/>
    <cellStyle name="Normal 5 6 3 4" xfId="9478" xr:uid="{DF5413B1-DCB2-41F7-A49A-056A6019D1CA}"/>
    <cellStyle name="Normal 5 6 3 5" xfId="17916" xr:uid="{3B83CACF-C024-42BB-B432-A0F657BB6A9C}"/>
    <cellStyle name="Normal 5 6 4" xfId="1359" xr:uid="{00000000-0005-0000-0000-0000B51B0000}"/>
    <cellStyle name="Normal 5 6 4 2" xfId="3589" xr:uid="{00000000-0005-0000-0000-0000B61B0000}"/>
    <cellStyle name="Normal 5 6 4 2 2" xfId="7812" xr:uid="{00000000-0005-0000-0000-0000B71B0000}"/>
    <cellStyle name="Normal 5 6 4 2 2 2" xfId="16254" xr:uid="{51877C19-A5A8-41B6-A254-F2AFE4DA02AD}"/>
    <cellStyle name="Normal 5 6 4 2 2 3" xfId="24691" xr:uid="{ADA072B5-A9CF-4F12-9528-97DE45E1351F}"/>
    <cellStyle name="Normal 5 6 4 2 3" xfId="12036" xr:uid="{E0C4D8F5-9301-4E99-AB2C-792E13AEF07B}"/>
    <cellStyle name="Normal 5 6 4 2 4" xfId="20474" xr:uid="{A2DE693A-3EE2-4995-A853-190DE9C82777}"/>
    <cellStyle name="Normal 5 6 4 3" xfId="5667" xr:uid="{00000000-0005-0000-0000-0000B81B0000}"/>
    <cellStyle name="Normal 5 6 4 3 2" xfId="14109" xr:uid="{C8263CE1-E42B-430B-A504-E37A7733E9D4}"/>
    <cellStyle name="Normal 5 6 4 3 3" xfId="22546" xr:uid="{16CA350C-E719-4B3B-AC0C-4D35DFF79FE2}"/>
    <cellStyle name="Normal 5 6 4 4" xfId="9891" xr:uid="{A406A59D-7E91-4F2A-B9B9-801FE592D7EF}"/>
    <cellStyle name="Normal 5 6 4 5" xfId="18329" xr:uid="{F0B691ED-54CC-4C4F-8473-C04E59832179}"/>
    <cellStyle name="Normal 5 6 5" xfId="1772" xr:uid="{00000000-0005-0000-0000-0000B91B0000}"/>
    <cellStyle name="Normal 5 6 5 2" xfId="4002" xr:uid="{00000000-0005-0000-0000-0000BA1B0000}"/>
    <cellStyle name="Normal 5 6 5 2 2" xfId="8225" xr:uid="{00000000-0005-0000-0000-0000BB1B0000}"/>
    <cellStyle name="Normal 5 6 5 2 2 2" xfId="16667" xr:uid="{30A838A7-396D-4883-8B2F-975537B8C440}"/>
    <cellStyle name="Normal 5 6 5 2 2 3" xfId="25104" xr:uid="{8EF7C859-4071-40CA-BF18-10509FCF988D}"/>
    <cellStyle name="Normal 5 6 5 2 3" xfId="12449" xr:uid="{29E2D5B9-BFC6-41DC-B205-8BEF30FD8607}"/>
    <cellStyle name="Normal 5 6 5 2 4" xfId="20887" xr:uid="{7E59ABBB-78FF-4362-A0F1-15625A7A8FF4}"/>
    <cellStyle name="Normal 5 6 5 3" xfId="6080" xr:uid="{00000000-0005-0000-0000-0000BC1B0000}"/>
    <cellStyle name="Normal 5 6 5 3 2" xfId="14522" xr:uid="{335E3AD9-8B1E-468A-BA1A-1A6C621993FD}"/>
    <cellStyle name="Normal 5 6 5 3 3" xfId="22959" xr:uid="{CCEC5BDC-24BB-4286-9C5D-565F7CF3C252}"/>
    <cellStyle name="Normal 5 6 5 4" xfId="10304" xr:uid="{65AA2997-0AC5-46B9-B627-6D2742CACB00}"/>
    <cellStyle name="Normal 5 6 5 5" xfId="18742" xr:uid="{296B1F34-3C29-475F-917D-2EB99383938F}"/>
    <cellStyle name="Normal 5 6 6" xfId="2186" xr:uid="{00000000-0005-0000-0000-0000BD1B0000}"/>
    <cellStyle name="Normal 5 6 6 2" xfId="4415" xr:uid="{00000000-0005-0000-0000-0000BE1B0000}"/>
    <cellStyle name="Normal 5 6 6 2 2" xfId="8638" xr:uid="{00000000-0005-0000-0000-0000BF1B0000}"/>
    <cellStyle name="Normal 5 6 6 2 2 2" xfId="17080" xr:uid="{E00F4A12-75F5-4ADA-BB47-50F64BC09CA8}"/>
    <cellStyle name="Normal 5 6 6 2 2 3" xfId="25517" xr:uid="{0A4FF939-3A73-47D9-B3F1-4FC97AE3F5B7}"/>
    <cellStyle name="Normal 5 6 6 2 3" xfId="12862" xr:uid="{7B64CD8F-A755-44D6-BC9E-72040976CD75}"/>
    <cellStyle name="Normal 5 6 6 2 4" xfId="21300" xr:uid="{738C7DBA-AF92-4007-9B3D-58FD606B9474}"/>
    <cellStyle name="Normal 5 6 6 3" xfId="6493" xr:uid="{00000000-0005-0000-0000-0000C01B0000}"/>
    <cellStyle name="Normal 5 6 6 3 2" xfId="14935" xr:uid="{D4BD7152-8577-4C6C-B839-8B761260B7F4}"/>
    <cellStyle name="Normal 5 6 6 3 3" xfId="23372" xr:uid="{F53294E2-E3F1-445F-8F5D-B0F9A77606DA}"/>
    <cellStyle name="Normal 5 6 6 4" xfId="10717" xr:uid="{2B02428A-142B-4FBB-8CEA-B718A0404296}"/>
    <cellStyle name="Normal 5 6 6 5" xfId="19155" xr:uid="{8FE45B08-81D4-4240-8B16-4056F47D60B1}"/>
    <cellStyle name="Normal 5 6 7" xfId="2622" xr:uid="{00000000-0005-0000-0000-0000C11B0000}"/>
    <cellStyle name="Normal 5 6 7 2" xfId="6906" xr:uid="{00000000-0005-0000-0000-0000C21B0000}"/>
    <cellStyle name="Normal 5 6 7 2 2" xfId="15348" xr:uid="{DF9DD854-0663-474C-8789-0A5316C0B7F5}"/>
    <cellStyle name="Normal 5 6 7 2 3" xfId="23785" xr:uid="{67097424-D8CE-4A56-9E95-A35DAB652BDD}"/>
    <cellStyle name="Normal 5 6 7 3" xfId="11130" xr:uid="{6F286799-18FE-4704-8685-8C5F49CB1408}"/>
    <cellStyle name="Normal 5 6 7 4" xfId="19568" xr:uid="{4F5B1237-734C-4563-BADA-B7D9BFB5F61E}"/>
    <cellStyle name="Normal 5 6 8" xfId="4841" xr:uid="{00000000-0005-0000-0000-0000C31B0000}"/>
    <cellStyle name="Normal 5 6 8 2" xfId="13283" xr:uid="{E0E94B78-2F74-481B-A4E4-4A040FD358B0}"/>
    <cellStyle name="Normal 5 6 8 3" xfId="21720" xr:uid="{27F48636-F7C4-40AB-849E-94030C3ADD9A}"/>
    <cellStyle name="Normal 5 6 9" xfId="9065" xr:uid="{EC12AA15-C8A2-4939-8BD4-F59DAE84A453}"/>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2 2 2" xfId="15843" xr:uid="{A7A62F43-E23D-4BBE-B6FA-2C23D0A4EBF8}"/>
    <cellStyle name="Normal 5 7 2 2 2 3" xfId="24280" xr:uid="{75C56F97-A4E2-4F43-93A9-89464590EC1C}"/>
    <cellStyle name="Normal 5 7 2 2 3" xfId="11625" xr:uid="{EC73726F-0BD7-43B4-9474-599BF7C53D7A}"/>
    <cellStyle name="Normal 5 7 2 2 4" xfId="20063" xr:uid="{7E80441C-E573-4E63-B430-1FDF8530E176}"/>
    <cellStyle name="Normal 5 7 2 3" xfId="5256" xr:uid="{00000000-0005-0000-0000-0000C81B0000}"/>
    <cellStyle name="Normal 5 7 2 3 2" xfId="13698" xr:uid="{D7899D65-9EAC-4602-BCA7-10E4F97389D3}"/>
    <cellStyle name="Normal 5 7 2 3 3" xfId="22135" xr:uid="{791511AD-20D1-4BEF-8DCA-A45651F8F1C9}"/>
    <cellStyle name="Normal 5 7 2 4" xfId="9480" xr:uid="{5564184F-25C9-4810-B63F-99E9AECBB956}"/>
    <cellStyle name="Normal 5 7 2 5" xfId="17918" xr:uid="{389178D5-75BB-4A64-9ACD-5867EF5458BD}"/>
    <cellStyle name="Normal 5 7 3" xfId="1361" xr:uid="{00000000-0005-0000-0000-0000C91B0000}"/>
    <cellStyle name="Normal 5 7 3 2" xfId="3591" xr:uid="{00000000-0005-0000-0000-0000CA1B0000}"/>
    <cellStyle name="Normal 5 7 3 2 2" xfId="7814" xr:uid="{00000000-0005-0000-0000-0000CB1B0000}"/>
    <cellStyle name="Normal 5 7 3 2 2 2" xfId="16256" xr:uid="{A5063FC7-4227-47BD-A9ED-1D32967DA93C}"/>
    <cellStyle name="Normal 5 7 3 2 2 3" xfId="24693" xr:uid="{C9ECA1FB-4FD7-4B5C-99F3-376C5DE772F2}"/>
    <cellStyle name="Normal 5 7 3 2 3" xfId="12038" xr:uid="{8C34B288-049B-4640-BE78-3BF9E253B9B4}"/>
    <cellStyle name="Normal 5 7 3 2 4" xfId="20476" xr:uid="{9CDA32A0-F0E2-45BD-9762-657C445F08C1}"/>
    <cellStyle name="Normal 5 7 3 3" xfId="5669" xr:uid="{00000000-0005-0000-0000-0000CC1B0000}"/>
    <cellStyle name="Normal 5 7 3 3 2" xfId="14111" xr:uid="{A50409E5-57C9-4CEC-958D-7AA076E37E45}"/>
    <cellStyle name="Normal 5 7 3 3 3" xfId="22548" xr:uid="{65145D9C-DDC5-4721-BCE3-B5D37E784998}"/>
    <cellStyle name="Normal 5 7 3 4" xfId="9893" xr:uid="{AB8D7887-09B2-4C13-8E6F-B6BAA9C874A1}"/>
    <cellStyle name="Normal 5 7 3 5" xfId="18331" xr:uid="{1F2A5EE2-0DE8-44F7-BEBD-F12D7B4C0BBF}"/>
    <cellStyle name="Normal 5 7 4" xfId="1774" xr:uid="{00000000-0005-0000-0000-0000CD1B0000}"/>
    <cellStyle name="Normal 5 7 4 2" xfId="4004" xr:uid="{00000000-0005-0000-0000-0000CE1B0000}"/>
    <cellStyle name="Normal 5 7 4 2 2" xfId="8227" xr:uid="{00000000-0005-0000-0000-0000CF1B0000}"/>
    <cellStyle name="Normal 5 7 4 2 2 2" xfId="16669" xr:uid="{110BDB92-D269-45F6-94F8-B9BAD2675CAE}"/>
    <cellStyle name="Normal 5 7 4 2 2 3" xfId="25106" xr:uid="{D91EF927-34A0-400E-98FE-C829F7C546D7}"/>
    <cellStyle name="Normal 5 7 4 2 3" xfId="12451" xr:uid="{B793E26D-7329-4F7D-A8C0-8DAF0F3B97DC}"/>
    <cellStyle name="Normal 5 7 4 2 4" xfId="20889" xr:uid="{16A19CCA-77A0-47F6-9B1F-0B81AE0BE14A}"/>
    <cellStyle name="Normal 5 7 4 3" xfId="6082" xr:uid="{00000000-0005-0000-0000-0000D01B0000}"/>
    <cellStyle name="Normal 5 7 4 3 2" xfId="14524" xr:uid="{376A600D-DD21-492C-85AD-5ADD467177CB}"/>
    <cellStyle name="Normal 5 7 4 3 3" xfId="22961" xr:uid="{FAFD780D-673A-4160-AD2C-FC9B8A5A45EE}"/>
    <cellStyle name="Normal 5 7 4 4" xfId="10306" xr:uid="{D0606DC8-A832-41F7-84A2-272FEBB2D8EE}"/>
    <cellStyle name="Normal 5 7 4 5" xfId="18744" xr:uid="{5624CD84-BF0E-4E84-BCFF-E949E6102E83}"/>
    <cellStyle name="Normal 5 7 5" xfId="2188" xr:uid="{00000000-0005-0000-0000-0000D11B0000}"/>
    <cellStyle name="Normal 5 7 5 2" xfId="4417" xr:uid="{00000000-0005-0000-0000-0000D21B0000}"/>
    <cellStyle name="Normal 5 7 5 2 2" xfId="8640" xr:uid="{00000000-0005-0000-0000-0000D31B0000}"/>
    <cellStyle name="Normal 5 7 5 2 2 2" xfId="17082" xr:uid="{8CC36FB1-510B-4198-90EE-5E386340A2CA}"/>
    <cellStyle name="Normal 5 7 5 2 2 3" xfId="25519" xr:uid="{B03B3614-9388-4471-B888-45C00E800BD5}"/>
    <cellStyle name="Normal 5 7 5 2 3" xfId="12864" xr:uid="{199E912F-995D-4495-A014-597DBA92B843}"/>
    <cellStyle name="Normal 5 7 5 2 4" xfId="21302" xr:uid="{783CC4D4-657F-4FCE-A6C1-BA0B60EDBBDB}"/>
    <cellStyle name="Normal 5 7 5 3" xfId="6495" xr:uid="{00000000-0005-0000-0000-0000D41B0000}"/>
    <cellStyle name="Normal 5 7 5 3 2" xfId="14937" xr:uid="{F4C22E05-C738-4DC3-9EBF-A7F6DE5CF513}"/>
    <cellStyle name="Normal 5 7 5 3 3" xfId="23374" xr:uid="{C41797B7-DE38-4C00-A918-03A3FC2282AD}"/>
    <cellStyle name="Normal 5 7 5 4" xfId="10719" xr:uid="{D2035326-2417-4202-BA0B-9EDDA6DED4C6}"/>
    <cellStyle name="Normal 5 7 5 5" xfId="19157" xr:uid="{C51F9737-888A-43F8-93AA-6865039CCDBC}"/>
    <cellStyle name="Normal 5 7 6" xfId="2624" xr:uid="{00000000-0005-0000-0000-0000D51B0000}"/>
    <cellStyle name="Normal 5 7 6 2" xfId="6908" xr:uid="{00000000-0005-0000-0000-0000D61B0000}"/>
    <cellStyle name="Normal 5 7 6 2 2" xfId="15350" xr:uid="{3EFED818-BF21-4A03-B04B-FEC3E87AB37D}"/>
    <cellStyle name="Normal 5 7 6 2 3" xfId="23787" xr:uid="{7F63898F-6FEF-4784-ADB5-233EC6F0F7CB}"/>
    <cellStyle name="Normal 5 7 6 3" xfId="11132" xr:uid="{4096AC29-4B61-4103-8BA5-CEF37AF71B6F}"/>
    <cellStyle name="Normal 5 7 6 4" xfId="19570" xr:uid="{9C458B29-B1BA-407B-8D3D-8E34C8366224}"/>
    <cellStyle name="Normal 5 7 7" xfId="4843" xr:uid="{00000000-0005-0000-0000-0000D71B0000}"/>
    <cellStyle name="Normal 5 7 7 2" xfId="13285" xr:uid="{47F588BE-6D9E-4048-BA64-E675ED704FA9}"/>
    <cellStyle name="Normal 5 7 7 3" xfId="21722" xr:uid="{676405A1-7816-4635-B002-8A63CD1F3871}"/>
    <cellStyle name="Normal 5 7 8" xfId="9067" xr:uid="{A3F01A3C-D680-40B7-8D00-A81F4A736B01}"/>
    <cellStyle name="Normal 5 7 9" xfId="17505" xr:uid="{12D47A61-838A-48DE-8405-FE9D38FA4AC5}"/>
    <cellStyle name="Normal 5 8" xfId="880" xr:uid="{00000000-0005-0000-0000-0000D81B0000}"/>
    <cellStyle name="Normal 5 8 2" xfId="3115" xr:uid="{00000000-0005-0000-0000-0000D91B0000}"/>
    <cellStyle name="Normal 5 8 2 2" xfId="7338" xr:uid="{00000000-0005-0000-0000-0000DA1B0000}"/>
    <cellStyle name="Normal 5 8 2 2 2" xfId="15780" xr:uid="{9A06A4E9-B2EA-4673-9782-0A975BF81382}"/>
    <cellStyle name="Normal 5 8 2 2 3" xfId="24217" xr:uid="{6A030070-8098-41FD-A50F-F0A0D5305F3C}"/>
    <cellStyle name="Normal 5 8 2 3" xfId="11562" xr:uid="{427C14F2-501A-4AE5-8BF3-8155798E939F}"/>
    <cellStyle name="Normal 5 8 2 4" xfId="20000" xr:uid="{FB27C4B8-1F4B-4C85-B6FE-23AAE03577E8}"/>
    <cellStyle name="Normal 5 8 3" xfId="5193" xr:uid="{00000000-0005-0000-0000-0000DB1B0000}"/>
    <cellStyle name="Normal 5 8 3 2" xfId="13635" xr:uid="{54161091-236D-4901-BA91-CF1A947205FD}"/>
    <cellStyle name="Normal 5 8 3 3" xfId="22072" xr:uid="{8E73997D-8568-4B21-8ED0-25BBF332D422}"/>
    <cellStyle name="Normal 5 8 4" xfId="9417" xr:uid="{F2763652-33F5-4C45-97C1-4DFAF563ED19}"/>
    <cellStyle name="Normal 5 8 5" xfId="17855" xr:uid="{B9AD42FC-878C-4C32-AF43-F162A4B4DEC4}"/>
    <cellStyle name="Normal 5 9" xfId="1298" xr:uid="{00000000-0005-0000-0000-0000DC1B0000}"/>
    <cellStyle name="Normal 5 9 2" xfId="3528" xr:uid="{00000000-0005-0000-0000-0000DD1B0000}"/>
    <cellStyle name="Normal 5 9 2 2" xfId="7751" xr:uid="{00000000-0005-0000-0000-0000DE1B0000}"/>
    <cellStyle name="Normal 5 9 2 2 2" xfId="16193" xr:uid="{0AC16F20-CFCD-4596-B410-E936143506D6}"/>
    <cellStyle name="Normal 5 9 2 2 3" xfId="24630" xr:uid="{746E7939-64E5-4860-A137-886363674791}"/>
    <cellStyle name="Normal 5 9 2 3" xfId="11975" xr:uid="{5EF887FC-159E-45B5-96A0-3E8A6AABC4D2}"/>
    <cellStyle name="Normal 5 9 2 4" xfId="20413" xr:uid="{32C8A18F-E302-4E6D-9FD7-38705246069A}"/>
    <cellStyle name="Normal 5 9 3" xfId="5606" xr:uid="{00000000-0005-0000-0000-0000DF1B0000}"/>
    <cellStyle name="Normal 5 9 3 2" xfId="14048" xr:uid="{ADC28711-09F5-47ED-9A0D-7D7DD50ACD9D}"/>
    <cellStyle name="Normal 5 9 3 3" xfId="22485" xr:uid="{7DCA8945-CE65-45A6-A73D-AA4C848CF780}"/>
    <cellStyle name="Normal 5 9 4" xfId="9830" xr:uid="{C42EDF8B-8C01-4C1E-A77F-E7FD84DBB1C6}"/>
    <cellStyle name="Normal 5 9 5" xfId="18268" xr:uid="{E17DBFBE-E637-4D86-B49E-003EAB8EE9FE}"/>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2 2 2" xfId="17083" xr:uid="{F324F9A2-5930-4B93-90F4-3733ECEC56FF}"/>
    <cellStyle name="Normal 8 10 2 2 3" xfId="25520" xr:uid="{1D2459BD-DB65-4A4F-9FE3-4E32907DC4D4}"/>
    <cellStyle name="Normal 8 10 2 3" xfId="12865" xr:uid="{85361E6C-2597-4ABE-A987-2A390703C196}"/>
    <cellStyle name="Normal 8 10 2 4" xfId="21303" xr:uid="{064E2CD1-0923-427B-BEFF-84E6C3AA903D}"/>
    <cellStyle name="Normal 8 10 3" xfId="6496" xr:uid="{00000000-0005-0000-0000-0000EB1B0000}"/>
    <cellStyle name="Normal 8 10 3 2" xfId="14938" xr:uid="{1DEB3028-90DD-448C-A5B4-5A5ADF68D355}"/>
    <cellStyle name="Normal 8 10 3 3" xfId="23375" xr:uid="{E466929F-E4C9-4C8C-A10A-6B97F8A0CFC1}"/>
    <cellStyle name="Normal 8 10 4" xfId="10720" xr:uid="{9EE9CC98-B8AA-47C7-A374-6AC0D8D8645E}"/>
    <cellStyle name="Normal 8 10 5" xfId="19158" xr:uid="{F72DF340-67DA-40DB-8F0A-1A73A6EFB7C5}"/>
    <cellStyle name="Normal 8 11" xfId="2625" xr:uid="{00000000-0005-0000-0000-0000EC1B0000}"/>
    <cellStyle name="Normal 8 11 2" xfId="6909" xr:uid="{00000000-0005-0000-0000-0000ED1B0000}"/>
    <cellStyle name="Normal 8 11 2 2" xfId="15351" xr:uid="{ED61E7E0-0ADF-422F-A796-412AC4C391B0}"/>
    <cellStyle name="Normal 8 11 2 3" xfId="23788" xr:uid="{D7682A5A-2C23-4F9A-B973-76C45AD2FDC9}"/>
    <cellStyle name="Normal 8 11 3" xfId="11133" xr:uid="{79EC543D-C2BA-4535-BED9-143CB531E122}"/>
    <cellStyle name="Normal 8 11 4" xfId="19571" xr:uid="{6BB4A752-AF4C-475C-AD73-C2C4AA870475}"/>
    <cellStyle name="Normal 8 12" xfId="4844" xr:uid="{00000000-0005-0000-0000-0000EE1B0000}"/>
    <cellStyle name="Normal 8 12 2" xfId="13286" xr:uid="{145F90E4-2860-44F8-BD44-387CA95640FA}"/>
    <cellStyle name="Normal 8 12 3" xfId="21723" xr:uid="{2B10F6B9-9CFA-450B-9474-6C2191FA0487}"/>
    <cellStyle name="Normal 8 13" xfId="9068" xr:uid="{43B8F7E5-0E5B-40D0-928E-566A31E1EF84}"/>
    <cellStyle name="Normal 8 14" xfId="17506" xr:uid="{B707C20B-F504-4EBB-B350-108E0963623B}"/>
    <cellStyle name="Normal 8 2" xfId="479" xr:uid="{00000000-0005-0000-0000-0000EF1B0000}"/>
    <cellStyle name="Normal 8 2 10" xfId="2626" xr:uid="{00000000-0005-0000-0000-0000F01B0000}"/>
    <cellStyle name="Normal 8 2 10 2" xfId="6910" xr:uid="{00000000-0005-0000-0000-0000F11B0000}"/>
    <cellStyle name="Normal 8 2 10 2 2" xfId="15352" xr:uid="{98C4EB4F-403F-44B6-B026-1C320BA00536}"/>
    <cellStyle name="Normal 8 2 10 2 3" xfId="23789" xr:uid="{C36657C2-C22E-4E68-AEA9-4DBAE0969DBB}"/>
    <cellStyle name="Normal 8 2 10 3" xfId="11134" xr:uid="{15C25DA2-2A75-4D5E-8427-8B8A8DC3D479}"/>
    <cellStyle name="Normal 8 2 10 4" xfId="19572" xr:uid="{5CE1C577-39F3-425B-8D97-6D9ED3698174}"/>
    <cellStyle name="Normal 8 2 11" xfId="4845" xr:uid="{00000000-0005-0000-0000-0000F21B0000}"/>
    <cellStyle name="Normal 8 2 11 2" xfId="13287" xr:uid="{0FE5A9FD-60D2-4A3C-8B2C-49FB2AB2D2EE}"/>
    <cellStyle name="Normal 8 2 11 3" xfId="21724" xr:uid="{942E0E95-946D-4507-8947-66DAFE4CD498}"/>
    <cellStyle name="Normal 8 2 12" xfId="9069" xr:uid="{E1DDBEE5-1528-4661-9FCC-30408406B1A1}"/>
    <cellStyle name="Normal 8 2 13" xfId="17507" xr:uid="{554AB1B5-DD69-4505-B8AA-64519A018E9A}"/>
    <cellStyle name="Normal 8 2 2" xfId="480" xr:uid="{00000000-0005-0000-0000-0000F31B0000}"/>
    <cellStyle name="Normal 8 2 2 10" xfId="4846" xr:uid="{00000000-0005-0000-0000-0000F41B0000}"/>
    <cellStyle name="Normal 8 2 2 10 2" xfId="13288" xr:uid="{2D428C89-7A8F-4EF4-B990-AF34C6EB5AA4}"/>
    <cellStyle name="Normal 8 2 2 10 3" xfId="21725" xr:uid="{FF1D7419-119C-43CF-8835-85A48440C31A}"/>
    <cellStyle name="Normal 8 2 2 11" xfId="9070" xr:uid="{806E1D1E-872A-4829-84C7-73454E00F570}"/>
    <cellStyle name="Normal 8 2 2 12" xfId="17508" xr:uid="{FDA54D33-D0C6-4F83-AFA9-199781788364}"/>
    <cellStyle name="Normal 8 2 2 2" xfId="481" xr:uid="{00000000-0005-0000-0000-0000F51B0000}"/>
    <cellStyle name="Normal 8 2 2 2 10" xfId="9071" xr:uid="{FECB7839-0560-4573-AA50-20BDD36CDD34}"/>
    <cellStyle name="Normal 8 2 2 2 11" xfId="17509" xr:uid="{66635925-B730-4FB1-846D-DB0DCA9B5F94}"/>
    <cellStyle name="Normal 8 2 2 2 2" xfId="482" xr:uid="{00000000-0005-0000-0000-0000F61B0000}"/>
    <cellStyle name="Normal 8 2 2 2 2 10" xfId="17510" xr:uid="{D53358BD-D53A-4AFD-86D6-3F85188B4EE3}"/>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2 2 2" xfId="15849" xr:uid="{1C26FF02-2A41-41CB-9E7A-C0445B6AD028}"/>
    <cellStyle name="Normal 8 2 2 2 2 2 2 2 2 3" xfId="24286" xr:uid="{B935015D-B273-4EC8-92B3-7E55C57F3A41}"/>
    <cellStyle name="Normal 8 2 2 2 2 2 2 2 3" xfId="11631" xr:uid="{5AFB282D-A42C-4958-AB6F-9305AA997677}"/>
    <cellStyle name="Normal 8 2 2 2 2 2 2 2 4" xfId="20069" xr:uid="{14F82046-DCF0-4CF0-BE9A-6F55A0F1F238}"/>
    <cellStyle name="Normal 8 2 2 2 2 2 2 3" xfId="5262" xr:uid="{00000000-0005-0000-0000-0000FB1B0000}"/>
    <cellStyle name="Normal 8 2 2 2 2 2 2 3 2" xfId="13704" xr:uid="{28AFB315-41D0-4E07-9F28-AEFC5D0BD83F}"/>
    <cellStyle name="Normal 8 2 2 2 2 2 2 3 3" xfId="22141" xr:uid="{44013AF4-34CB-4D0E-9F29-A25268D287ED}"/>
    <cellStyle name="Normal 8 2 2 2 2 2 2 4" xfId="9486" xr:uid="{86C27C21-1026-4EA7-BDEC-7504AF23B16F}"/>
    <cellStyle name="Normal 8 2 2 2 2 2 2 5" xfId="17924" xr:uid="{B9A3E130-8E16-4C49-B6C7-1912B1F143C8}"/>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2 2 2" xfId="16262" xr:uid="{51652AF9-D45A-43C1-8F35-04350DBBC537}"/>
    <cellStyle name="Normal 8 2 2 2 2 2 3 2 2 3" xfId="24699" xr:uid="{80103C7F-7F1D-417E-8D03-3C06DE5A0CBA}"/>
    <cellStyle name="Normal 8 2 2 2 2 2 3 2 3" xfId="12044" xr:uid="{57C649BE-D114-4416-B22E-CA06D8E06F23}"/>
    <cellStyle name="Normal 8 2 2 2 2 2 3 2 4" xfId="20482" xr:uid="{CF3D5CAE-9418-4406-AA13-645940F50119}"/>
    <cellStyle name="Normal 8 2 2 2 2 2 3 3" xfId="5675" xr:uid="{00000000-0005-0000-0000-0000FF1B0000}"/>
    <cellStyle name="Normal 8 2 2 2 2 2 3 3 2" xfId="14117" xr:uid="{2817A6DE-D194-424E-9211-909EFF886CCF}"/>
    <cellStyle name="Normal 8 2 2 2 2 2 3 3 3" xfId="22554" xr:uid="{D41659E7-1490-47A1-AC31-A40FE49B3FCD}"/>
    <cellStyle name="Normal 8 2 2 2 2 2 3 4" xfId="9899" xr:uid="{ED6EE461-ADDE-4E68-9579-A25AF0C13B4A}"/>
    <cellStyle name="Normal 8 2 2 2 2 2 3 5" xfId="18337" xr:uid="{FD94FF31-2948-4496-BF2A-EE5B1F92F612}"/>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2 2 2" xfId="16675" xr:uid="{037D1384-9549-4AE3-A620-9FED901A06C3}"/>
    <cellStyle name="Normal 8 2 2 2 2 2 4 2 2 3" xfId="25112" xr:uid="{E854A3FD-5AB0-43FC-8977-743C8BB3B7DA}"/>
    <cellStyle name="Normal 8 2 2 2 2 2 4 2 3" xfId="12457" xr:uid="{DBB1B17D-283C-4B14-9E91-F752BA07BD88}"/>
    <cellStyle name="Normal 8 2 2 2 2 2 4 2 4" xfId="20895" xr:uid="{312CB303-007E-4D2F-AC97-2EFE9B04E339}"/>
    <cellStyle name="Normal 8 2 2 2 2 2 4 3" xfId="6088" xr:uid="{00000000-0005-0000-0000-0000031C0000}"/>
    <cellStyle name="Normal 8 2 2 2 2 2 4 3 2" xfId="14530" xr:uid="{1DDF4404-BA9B-45EE-891C-CF394AC94DA1}"/>
    <cellStyle name="Normal 8 2 2 2 2 2 4 3 3" xfId="22967" xr:uid="{28CED13C-BAF8-4D8F-BB0A-512A06D15B5D}"/>
    <cellStyle name="Normal 8 2 2 2 2 2 4 4" xfId="10312" xr:uid="{724EAE1D-4710-450E-B65F-26A50BC861F9}"/>
    <cellStyle name="Normal 8 2 2 2 2 2 4 5" xfId="18750" xr:uid="{D6CA05DF-13F6-400C-A8B2-FDB613F52E03}"/>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2 2 2" xfId="17088" xr:uid="{E0939B4E-7838-480E-8D5E-28977F4D7C7E}"/>
    <cellStyle name="Normal 8 2 2 2 2 2 5 2 2 3" xfId="25525" xr:uid="{B0FB1D1A-589B-4B06-9A61-034B23F53147}"/>
    <cellStyle name="Normal 8 2 2 2 2 2 5 2 3" xfId="12870" xr:uid="{DD5FCB56-077D-414F-A709-313A2AC6025F}"/>
    <cellStyle name="Normal 8 2 2 2 2 2 5 2 4" xfId="21308" xr:uid="{84831482-CD8E-4245-B905-4E96E3FBA0E8}"/>
    <cellStyle name="Normal 8 2 2 2 2 2 5 3" xfId="6501" xr:uid="{00000000-0005-0000-0000-0000071C0000}"/>
    <cellStyle name="Normal 8 2 2 2 2 2 5 3 2" xfId="14943" xr:uid="{2AF4836E-AA26-45A1-8420-D8B8FB31A979}"/>
    <cellStyle name="Normal 8 2 2 2 2 2 5 3 3" xfId="23380" xr:uid="{5D2A7B76-53F8-4343-814D-6DCE25C11CA6}"/>
    <cellStyle name="Normal 8 2 2 2 2 2 5 4" xfId="10725" xr:uid="{EDCDA9C1-2848-4A44-A115-B094B0153E5D}"/>
    <cellStyle name="Normal 8 2 2 2 2 2 5 5" xfId="19163" xr:uid="{6474B990-E786-48CD-8F52-865FCDA518EE}"/>
    <cellStyle name="Normal 8 2 2 2 2 2 6" xfId="2630" xr:uid="{00000000-0005-0000-0000-0000081C0000}"/>
    <cellStyle name="Normal 8 2 2 2 2 2 6 2" xfId="6914" xr:uid="{00000000-0005-0000-0000-0000091C0000}"/>
    <cellStyle name="Normal 8 2 2 2 2 2 6 2 2" xfId="15356" xr:uid="{23937F44-855B-45CB-9FF6-CB5E8CFD887F}"/>
    <cellStyle name="Normal 8 2 2 2 2 2 6 2 3" xfId="23793" xr:uid="{3F7EBD3B-AEC6-440D-AFD7-2C345831D516}"/>
    <cellStyle name="Normal 8 2 2 2 2 2 6 3" xfId="11138" xr:uid="{56637C08-C21B-40C3-8794-D1F32DDF2DE5}"/>
    <cellStyle name="Normal 8 2 2 2 2 2 6 4" xfId="19576" xr:uid="{21451F5C-51A9-4D21-9FB9-546C52AF52E0}"/>
    <cellStyle name="Normal 8 2 2 2 2 2 7" xfId="4849" xr:uid="{00000000-0005-0000-0000-00000A1C0000}"/>
    <cellStyle name="Normal 8 2 2 2 2 2 7 2" xfId="13291" xr:uid="{3D251D4B-3DDE-4FBD-87FF-39FEF977868D}"/>
    <cellStyle name="Normal 8 2 2 2 2 2 7 3" xfId="21728" xr:uid="{022314AA-E9DD-47C2-98FF-2AC9C9078B6B}"/>
    <cellStyle name="Normal 8 2 2 2 2 2 8" xfId="9073" xr:uid="{1DD157C2-9F3C-474A-86B0-8A8175A674EE}"/>
    <cellStyle name="Normal 8 2 2 2 2 2 9" xfId="17511" xr:uid="{739D2AE9-3DF2-4AB2-B5F1-2CBCCF99DD96}"/>
    <cellStyle name="Normal 8 2 2 2 2 3" xfId="949" xr:uid="{00000000-0005-0000-0000-00000B1C0000}"/>
    <cellStyle name="Normal 8 2 2 2 2 3 2" xfId="3183" xr:uid="{00000000-0005-0000-0000-00000C1C0000}"/>
    <cellStyle name="Normal 8 2 2 2 2 3 2 2" xfId="7406" xr:uid="{00000000-0005-0000-0000-00000D1C0000}"/>
    <cellStyle name="Normal 8 2 2 2 2 3 2 2 2" xfId="15848" xr:uid="{8B73D620-6E85-4117-9EC5-B384B1CD3462}"/>
    <cellStyle name="Normal 8 2 2 2 2 3 2 2 3" xfId="24285" xr:uid="{7B97D2CA-E303-4548-BB9A-F08656BAF8A8}"/>
    <cellStyle name="Normal 8 2 2 2 2 3 2 3" xfId="11630" xr:uid="{1330BF6C-F7F0-4323-9537-13D86081ABBE}"/>
    <cellStyle name="Normal 8 2 2 2 2 3 2 4" xfId="20068" xr:uid="{CEF16044-54C3-4986-B2C4-D1D6CCA88C1D}"/>
    <cellStyle name="Normal 8 2 2 2 2 3 3" xfId="5261" xr:uid="{00000000-0005-0000-0000-00000E1C0000}"/>
    <cellStyle name="Normal 8 2 2 2 2 3 3 2" xfId="13703" xr:uid="{E2D1E0C1-7A55-49BB-8B0D-3897031A12C9}"/>
    <cellStyle name="Normal 8 2 2 2 2 3 3 3" xfId="22140" xr:uid="{6B662399-57A2-4FDB-9526-15EAF7F126D7}"/>
    <cellStyle name="Normal 8 2 2 2 2 3 4" xfId="9485" xr:uid="{DFC6F6BE-20F5-4FBB-8C74-8124FDB62AE6}"/>
    <cellStyle name="Normal 8 2 2 2 2 3 5" xfId="17923" xr:uid="{AFFCE829-E51D-427C-9D03-CA5850B039DF}"/>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2 2 2" xfId="16261" xr:uid="{27F57D9F-47C2-409F-98A9-1A24F4D4FABD}"/>
    <cellStyle name="Normal 8 2 2 2 2 4 2 2 3" xfId="24698" xr:uid="{AB5AB0F8-939D-4414-885F-40494905CFA9}"/>
    <cellStyle name="Normal 8 2 2 2 2 4 2 3" xfId="12043" xr:uid="{95A34A04-EEAE-4318-AA95-9966F27CDA5B}"/>
    <cellStyle name="Normal 8 2 2 2 2 4 2 4" xfId="20481" xr:uid="{CD38157C-D80B-4A08-8A65-B0EC5B89BAB8}"/>
    <cellStyle name="Normal 8 2 2 2 2 4 3" xfId="5674" xr:uid="{00000000-0005-0000-0000-0000121C0000}"/>
    <cellStyle name="Normal 8 2 2 2 2 4 3 2" xfId="14116" xr:uid="{71B4E607-D0B2-463A-AB10-D343539B5263}"/>
    <cellStyle name="Normal 8 2 2 2 2 4 3 3" xfId="22553" xr:uid="{96F6995C-D0E0-4E86-8517-07B16D8822FF}"/>
    <cellStyle name="Normal 8 2 2 2 2 4 4" xfId="9898" xr:uid="{5F6130ED-8854-43AD-9ABC-25D7940BB9FE}"/>
    <cellStyle name="Normal 8 2 2 2 2 4 5" xfId="18336" xr:uid="{81298B96-F94A-4C97-9521-4DB9EF66F61E}"/>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2 2 2" xfId="16674" xr:uid="{4BD66B93-5354-469F-A8BF-B31B6C8F104A}"/>
    <cellStyle name="Normal 8 2 2 2 2 5 2 2 3" xfId="25111" xr:uid="{C95B0FD7-0840-48E5-9BFB-E004D38CD054}"/>
    <cellStyle name="Normal 8 2 2 2 2 5 2 3" xfId="12456" xr:uid="{836A0269-5678-4B75-9F4A-E38D47CFF79D}"/>
    <cellStyle name="Normal 8 2 2 2 2 5 2 4" xfId="20894" xr:uid="{A82C6953-C8A0-41B2-9EB2-E7983836D68B}"/>
    <cellStyle name="Normal 8 2 2 2 2 5 3" xfId="6087" xr:uid="{00000000-0005-0000-0000-0000161C0000}"/>
    <cellStyle name="Normal 8 2 2 2 2 5 3 2" xfId="14529" xr:uid="{FECAF853-94C0-48F7-80A4-15D13D6BE83E}"/>
    <cellStyle name="Normal 8 2 2 2 2 5 3 3" xfId="22966" xr:uid="{42F6CD5D-B192-434F-B084-58C9E6DE8BAB}"/>
    <cellStyle name="Normal 8 2 2 2 2 5 4" xfId="10311" xr:uid="{E631A9FB-1D5C-4030-9653-44BEFC5B7B96}"/>
    <cellStyle name="Normal 8 2 2 2 2 5 5" xfId="18749" xr:uid="{6196AF26-CE35-4012-B3FC-67983BCCAA11}"/>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2 2 2" xfId="17087" xr:uid="{1FA1679E-77C8-49AE-A6C9-151E8D14E8C2}"/>
    <cellStyle name="Normal 8 2 2 2 2 6 2 2 3" xfId="25524" xr:uid="{6FCF1410-E14B-42F5-A45D-1486A5FECFFB}"/>
    <cellStyle name="Normal 8 2 2 2 2 6 2 3" xfId="12869" xr:uid="{721F2A12-A734-44C7-9FCA-DD11F819039E}"/>
    <cellStyle name="Normal 8 2 2 2 2 6 2 4" xfId="21307" xr:uid="{6597F8DA-3F99-403E-A3CD-1BE79DCE2F09}"/>
    <cellStyle name="Normal 8 2 2 2 2 6 3" xfId="6500" xr:uid="{00000000-0005-0000-0000-00001A1C0000}"/>
    <cellStyle name="Normal 8 2 2 2 2 6 3 2" xfId="14942" xr:uid="{FBE8439B-46E3-444C-854B-5AED72CAAE7F}"/>
    <cellStyle name="Normal 8 2 2 2 2 6 3 3" xfId="23379" xr:uid="{8CC09480-A9F5-4CEB-BABD-13520CBD7ED9}"/>
    <cellStyle name="Normal 8 2 2 2 2 6 4" xfId="10724" xr:uid="{DBC1958F-A44B-4174-BEB3-7E523F1135FA}"/>
    <cellStyle name="Normal 8 2 2 2 2 6 5" xfId="19162" xr:uid="{A25AADBB-F043-46DA-BA09-792232AB8D94}"/>
    <cellStyle name="Normal 8 2 2 2 2 7" xfId="2629" xr:uid="{00000000-0005-0000-0000-00001B1C0000}"/>
    <cellStyle name="Normal 8 2 2 2 2 7 2" xfId="6913" xr:uid="{00000000-0005-0000-0000-00001C1C0000}"/>
    <cellStyle name="Normal 8 2 2 2 2 7 2 2" xfId="15355" xr:uid="{2245C57D-BD88-457B-B7A3-DDCE0EB4898B}"/>
    <cellStyle name="Normal 8 2 2 2 2 7 2 3" xfId="23792" xr:uid="{56F8C5FD-FAAD-4785-A6EC-DD68C82C4656}"/>
    <cellStyle name="Normal 8 2 2 2 2 7 3" xfId="11137" xr:uid="{D4F44747-174B-41F5-B21E-DCF363846051}"/>
    <cellStyle name="Normal 8 2 2 2 2 7 4" xfId="19575" xr:uid="{CABE7528-FD4E-4171-B45D-74E4916DBBEC}"/>
    <cellStyle name="Normal 8 2 2 2 2 8" xfId="4848" xr:uid="{00000000-0005-0000-0000-00001D1C0000}"/>
    <cellStyle name="Normal 8 2 2 2 2 8 2" xfId="13290" xr:uid="{1125D31C-DFDF-4774-8614-D372501AC093}"/>
    <cellStyle name="Normal 8 2 2 2 2 8 3" xfId="21727" xr:uid="{5A3C18EF-6615-469C-85AA-18A69F23F9A3}"/>
    <cellStyle name="Normal 8 2 2 2 2 9" xfId="9072" xr:uid="{D0301C07-56A6-46F9-80E3-50A235B5BE8C}"/>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2 2 2" xfId="15850" xr:uid="{99E9DA8F-DB75-4881-A6E4-3AAD76FC08A8}"/>
    <cellStyle name="Normal 8 2 2 2 3 2 2 2 3" xfId="24287" xr:uid="{107E4A76-2AFA-4F92-8407-EA1C00F3CCF3}"/>
    <cellStyle name="Normal 8 2 2 2 3 2 2 3" xfId="11632" xr:uid="{A9EBE2CF-1366-47E1-8944-D6DD8105762A}"/>
    <cellStyle name="Normal 8 2 2 2 3 2 2 4" xfId="20070" xr:uid="{6E64126E-9D57-4BBA-8611-C4B5D74DB5C7}"/>
    <cellStyle name="Normal 8 2 2 2 3 2 3" xfId="5263" xr:uid="{00000000-0005-0000-0000-0000221C0000}"/>
    <cellStyle name="Normal 8 2 2 2 3 2 3 2" xfId="13705" xr:uid="{E25D86F2-57F6-46FF-9781-6018F2D4D6DE}"/>
    <cellStyle name="Normal 8 2 2 2 3 2 3 3" xfId="22142" xr:uid="{B79710FF-066F-4E25-BD03-96E118F9E03D}"/>
    <cellStyle name="Normal 8 2 2 2 3 2 4" xfId="9487" xr:uid="{C9AC3D33-5184-4F7B-8D06-7FB7797A8C95}"/>
    <cellStyle name="Normal 8 2 2 2 3 2 5" xfId="17925" xr:uid="{B1E3EBF4-204A-4A0F-BEF3-5FA9B4CCEBCA}"/>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2 2 2" xfId="16263" xr:uid="{F8EB7188-4D41-4B16-BBC8-2853C03A10A3}"/>
    <cellStyle name="Normal 8 2 2 2 3 3 2 2 3" xfId="24700" xr:uid="{5B9EFA7B-200D-474E-A7AC-37F7C3F3EAEE}"/>
    <cellStyle name="Normal 8 2 2 2 3 3 2 3" xfId="12045" xr:uid="{4750DA43-BBAE-47D1-8D26-3EB037D6125E}"/>
    <cellStyle name="Normal 8 2 2 2 3 3 2 4" xfId="20483" xr:uid="{422E0F66-FE1A-4290-B315-C8C5B7A93977}"/>
    <cellStyle name="Normal 8 2 2 2 3 3 3" xfId="5676" xr:uid="{00000000-0005-0000-0000-0000261C0000}"/>
    <cellStyle name="Normal 8 2 2 2 3 3 3 2" xfId="14118" xr:uid="{64CD37D9-63BC-4D74-B6F0-D0E2FDA4F39C}"/>
    <cellStyle name="Normal 8 2 2 2 3 3 3 3" xfId="22555" xr:uid="{C3B6543B-55DF-47F4-A3D6-D248B46E72C7}"/>
    <cellStyle name="Normal 8 2 2 2 3 3 4" xfId="9900" xr:uid="{01FFB17D-784C-430C-8DA1-4BE570693830}"/>
    <cellStyle name="Normal 8 2 2 2 3 3 5" xfId="18338" xr:uid="{5FD425D1-49A4-458F-AA35-5F69D7D8EEB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2 2 2" xfId="16676" xr:uid="{E26AEC7E-E0B6-42E7-BC63-86BCDFBC25D3}"/>
    <cellStyle name="Normal 8 2 2 2 3 4 2 2 3" xfId="25113" xr:uid="{71E8C555-C014-4B90-8241-B0925F99968C}"/>
    <cellStyle name="Normal 8 2 2 2 3 4 2 3" xfId="12458" xr:uid="{9255CDBA-E297-4D9F-88DA-98B316DACE28}"/>
    <cellStyle name="Normal 8 2 2 2 3 4 2 4" xfId="20896" xr:uid="{401FF024-6E40-465B-ADFE-9205401E3CA0}"/>
    <cellStyle name="Normal 8 2 2 2 3 4 3" xfId="6089" xr:uid="{00000000-0005-0000-0000-00002A1C0000}"/>
    <cellStyle name="Normal 8 2 2 2 3 4 3 2" xfId="14531" xr:uid="{99007995-223F-4C23-9F85-0824AB6FDDFF}"/>
    <cellStyle name="Normal 8 2 2 2 3 4 3 3" xfId="22968" xr:uid="{AB9B06AD-A829-4FFA-9FDB-E44BB7DD0EC7}"/>
    <cellStyle name="Normal 8 2 2 2 3 4 4" xfId="10313" xr:uid="{E69CE6ED-02EB-42BD-90C2-F7EF8B7A3C48}"/>
    <cellStyle name="Normal 8 2 2 2 3 4 5" xfId="18751" xr:uid="{137F1556-1627-4FEC-BCA0-270095181AC4}"/>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2 2 2" xfId="17089" xr:uid="{0B1793E5-B3AA-4AD0-84B2-C2DA6A342754}"/>
    <cellStyle name="Normal 8 2 2 2 3 5 2 2 3" xfId="25526" xr:uid="{19E378C4-FA20-4D5D-99C3-7FD5E4A7C6ED}"/>
    <cellStyle name="Normal 8 2 2 2 3 5 2 3" xfId="12871" xr:uid="{54DF3D92-9B59-4701-8ABB-10FEF73538BF}"/>
    <cellStyle name="Normal 8 2 2 2 3 5 2 4" xfId="21309" xr:uid="{EA57ECB6-3A34-4890-8F2C-4212E3CD2875}"/>
    <cellStyle name="Normal 8 2 2 2 3 5 3" xfId="6502" xr:uid="{00000000-0005-0000-0000-00002E1C0000}"/>
    <cellStyle name="Normal 8 2 2 2 3 5 3 2" xfId="14944" xr:uid="{B795E684-DCEE-4EF1-B81B-2803C40CD9F0}"/>
    <cellStyle name="Normal 8 2 2 2 3 5 3 3" xfId="23381" xr:uid="{9128905C-710E-4C54-A002-363D204A9F8B}"/>
    <cellStyle name="Normal 8 2 2 2 3 5 4" xfId="10726" xr:uid="{C9DB1BEB-90CF-4626-AED8-4DD007C8D096}"/>
    <cellStyle name="Normal 8 2 2 2 3 5 5" xfId="19164" xr:uid="{75E9BDE9-2228-4D9A-91DC-8E9904D59AC9}"/>
    <cellStyle name="Normal 8 2 2 2 3 6" xfId="2631" xr:uid="{00000000-0005-0000-0000-00002F1C0000}"/>
    <cellStyle name="Normal 8 2 2 2 3 6 2" xfId="6915" xr:uid="{00000000-0005-0000-0000-0000301C0000}"/>
    <cellStyle name="Normal 8 2 2 2 3 6 2 2" xfId="15357" xr:uid="{AFC346FE-7E26-4E79-9169-1EEF2EBF82C9}"/>
    <cellStyle name="Normal 8 2 2 2 3 6 2 3" xfId="23794" xr:uid="{0C5501F4-2FFB-4450-9451-FF1FFCB5761F}"/>
    <cellStyle name="Normal 8 2 2 2 3 6 3" xfId="11139" xr:uid="{3D6B5327-BA88-47FE-AC3E-683236380AFD}"/>
    <cellStyle name="Normal 8 2 2 2 3 6 4" xfId="19577" xr:uid="{B3DF710A-93C2-4F95-A6EE-002B5AFFBCE4}"/>
    <cellStyle name="Normal 8 2 2 2 3 7" xfId="4850" xr:uid="{00000000-0005-0000-0000-0000311C0000}"/>
    <cellStyle name="Normal 8 2 2 2 3 7 2" xfId="13292" xr:uid="{E90567BA-8AC6-4683-A1C2-4ED37D19598F}"/>
    <cellStyle name="Normal 8 2 2 2 3 7 3" xfId="21729" xr:uid="{BDE6D1AF-5E6C-46AC-8CD1-DEB249266768}"/>
    <cellStyle name="Normal 8 2 2 2 3 8" xfId="9074" xr:uid="{38532B52-DC3E-469B-A16D-E22F64453899}"/>
    <cellStyle name="Normal 8 2 2 2 3 9" xfId="17512" xr:uid="{3C839A57-A300-407D-8018-B0E729C5880A}"/>
    <cellStyle name="Normal 8 2 2 2 4" xfId="948" xr:uid="{00000000-0005-0000-0000-0000321C0000}"/>
    <cellStyle name="Normal 8 2 2 2 4 2" xfId="3182" xr:uid="{00000000-0005-0000-0000-0000331C0000}"/>
    <cellStyle name="Normal 8 2 2 2 4 2 2" xfId="7405" xr:uid="{00000000-0005-0000-0000-0000341C0000}"/>
    <cellStyle name="Normal 8 2 2 2 4 2 2 2" xfId="15847" xr:uid="{766ADC48-A423-4AB3-8DD1-3BEC46F1F603}"/>
    <cellStyle name="Normal 8 2 2 2 4 2 2 3" xfId="24284" xr:uid="{F1A7ABAF-24CA-4B3E-8E53-3ABCBADEB4E7}"/>
    <cellStyle name="Normal 8 2 2 2 4 2 3" xfId="11629" xr:uid="{9140F546-59F0-4036-BAA7-38C9E47BE687}"/>
    <cellStyle name="Normal 8 2 2 2 4 2 4" xfId="20067" xr:uid="{EBC3A496-BB20-46A9-8BE3-A83D5F8B160D}"/>
    <cellStyle name="Normal 8 2 2 2 4 3" xfId="5260" xr:uid="{00000000-0005-0000-0000-0000351C0000}"/>
    <cellStyle name="Normal 8 2 2 2 4 3 2" xfId="13702" xr:uid="{272FD936-9C9F-472E-8369-64EB6BC16362}"/>
    <cellStyle name="Normal 8 2 2 2 4 3 3" xfId="22139" xr:uid="{DFD183B6-6FBF-469F-B84F-4E023A3A19D2}"/>
    <cellStyle name="Normal 8 2 2 2 4 4" xfId="9484" xr:uid="{5EC8532F-4AC2-438F-8AA8-2EA2D3D6B515}"/>
    <cellStyle name="Normal 8 2 2 2 4 5" xfId="17922" xr:uid="{FE624339-913D-42CE-A400-5C5F15ADEB87}"/>
    <cellStyle name="Normal 8 2 2 2 5" xfId="1365" xr:uid="{00000000-0005-0000-0000-0000361C0000}"/>
    <cellStyle name="Normal 8 2 2 2 5 2" xfId="3595" xr:uid="{00000000-0005-0000-0000-0000371C0000}"/>
    <cellStyle name="Normal 8 2 2 2 5 2 2" xfId="7818" xr:uid="{00000000-0005-0000-0000-0000381C0000}"/>
    <cellStyle name="Normal 8 2 2 2 5 2 2 2" xfId="16260" xr:uid="{2402252E-2309-4BBA-B1BC-1DC3D5E47C3D}"/>
    <cellStyle name="Normal 8 2 2 2 5 2 2 3" xfId="24697" xr:uid="{406FDAE0-A6A0-4406-A609-C0004E3B3992}"/>
    <cellStyle name="Normal 8 2 2 2 5 2 3" xfId="12042" xr:uid="{84F20175-B329-4117-A2F6-02454F702782}"/>
    <cellStyle name="Normal 8 2 2 2 5 2 4" xfId="20480" xr:uid="{521C97AD-99BC-4D4E-BE95-D638959D3AC1}"/>
    <cellStyle name="Normal 8 2 2 2 5 3" xfId="5673" xr:uid="{00000000-0005-0000-0000-0000391C0000}"/>
    <cellStyle name="Normal 8 2 2 2 5 3 2" xfId="14115" xr:uid="{F348E9D3-60FA-456B-9ABF-84B47C22592E}"/>
    <cellStyle name="Normal 8 2 2 2 5 3 3" xfId="22552" xr:uid="{457428DD-D897-42EB-82B4-A16895567B6A}"/>
    <cellStyle name="Normal 8 2 2 2 5 4" xfId="9897" xr:uid="{345C9CB0-CF0E-42A2-9243-EDE3622CD544}"/>
    <cellStyle name="Normal 8 2 2 2 5 5" xfId="18335" xr:uid="{ACBF4D50-118B-4EE7-AFB1-8CC4DE347168}"/>
    <cellStyle name="Normal 8 2 2 2 6" xfId="1778" xr:uid="{00000000-0005-0000-0000-00003A1C0000}"/>
    <cellStyle name="Normal 8 2 2 2 6 2" xfId="4008" xr:uid="{00000000-0005-0000-0000-00003B1C0000}"/>
    <cellStyle name="Normal 8 2 2 2 6 2 2" xfId="8231" xr:uid="{00000000-0005-0000-0000-00003C1C0000}"/>
    <cellStyle name="Normal 8 2 2 2 6 2 2 2" xfId="16673" xr:uid="{FEF02D27-A903-4968-8AF6-7FEA0B9A6735}"/>
    <cellStyle name="Normal 8 2 2 2 6 2 2 3" xfId="25110" xr:uid="{61622FBC-011C-4F44-A101-3AD4CAE9C00F}"/>
    <cellStyle name="Normal 8 2 2 2 6 2 3" xfId="12455" xr:uid="{B570C98D-366C-4CD3-BA5C-1C0310EC9C50}"/>
    <cellStyle name="Normal 8 2 2 2 6 2 4" xfId="20893" xr:uid="{61F9CB08-FBDC-4437-9D05-B136DD339188}"/>
    <cellStyle name="Normal 8 2 2 2 6 3" xfId="6086" xr:uid="{00000000-0005-0000-0000-00003D1C0000}"/>
    <cellStyle name="Normal 8 2 2 2 6 3 2" xfId="14528" xr:uid="{58BB6FA3-76B2-4DAA-BA93-8E4362D9D808}"/>
    <cellStyle name="Normal 8 2 2 2 6 3 3" xfId="22965" xr:uid="{95155BFB-FBB0-4C93-BF0E-0ED8507245D3}"/>
    <cellStyle name="Normal 8 2 2 2 6 4" xfId="10310" xr:uid="{FD2F79CA-C138-403C-8EC3-C0FE3FECFE5A}"/>
    <cellStyle name="Normal 8 2 2 2 6 5" xfId="18748" xr:uid="{0FB7B118-DF14-414F-825B-BF2A4882E6B5}"/>
    <cellStyle name="Normal 8 2 2 2 7" xfId="2192" xr:uid="{00000000-0005-0000-0000-00003E1C0000}"/>
    <cellStyle name="Normal 8 2 2 2 7 2" xfId="4421" xr:uid="{00000000-0005-0000-0000-00003F1C0000}"/>
    <cellStyle name="Normal 8 2 2 2 7 2 2" xfId="8644" xr:uid="{00000000-0005-0000-0000-0000401C0000}"/>
    <cellStyle name="Normal 8 2 2 2 7 2 2 2" xfId="17086" xr:uid="{5CDAB3D0-0B07-4FC0-9615-7A6AA4623730}"/>
    <cellStyle name="Normal 8 2 2 2 7 2 2 3" xfId="25523" xr:uid="{D33E3805-3166-42C4-B31E-F94807594FE9}"/>
    <cellStyle name="Normal 8 2 2 2 7 2 3" xfId="12868" xr:uid="{E43B0497-B050-4899-9B6B-18757A3A165E}"/>
    <cellStyle name="Normal 8 2 2 2 7 2 4" xfId="21306" xr:uid="{E35C685B-655F-4C0B-8AFE-3DCEC478926F}"/>
    <cellStyle name="Normal 8 2 2 2 7 3" xfId="6499" xr:uid="{00000000-0005-0000-0000-0000411C0000}"/>
    <cellStyle name="Normal 8 2 2 2 7 3 2" xfId="14941" xr:uid="{366B141A-44AB-435C-BE5B-DC1579A667B3}"/>
    <cellStyle name="Normal 8 2 2 2 7 3 3" xfId="23378" xr:uid="{0072F6D7-C16D-4C87-9F98-E747DB03C4C1}"/>
    <cellStyle name="Normal 8 2 2 2 7 4" xfId="10723" xr:uid="{2CBBA013-7276-42B4-8867-A7E96B214305}"/>
    <cellStyle name="Normal 8 2 2 2 7 5" xfId="19161" xr:uid="{17C34CE7-C2B4-4AB0-903D-0888CEDFAA86}"/>
    <cellStyle name="Normal 8 2 2 2 8" xfId="2628" xr:uid="{00000000-0005-0000-0000-0000421C0000}"/>
    <cellStyle name="Normal 8 2 2 2 8 2" xfId="6912" xr:uid="{00000000-0005-0000-0000-0000431C0000}"/>
    <cellStyle name="Normal 8 2 2 2 8 2 2" xfId="15354" xr:uid="{27AA3147-928C-423C-93E7-A96CD9D20F58}"/>
    <cellStyle name="Normal 8 2 2 2 8 2 3" xfId="23791" xr:uid="{5FDC22E8-464A-4F20-B776-7CE807B0B692}"/>
    <cellStyle name="Normal 8 2 2 2 8 3" xfId="11136" xr:uid="{13E0A1D3-0A6D-4E8E-AEA7-BCA3CB47D2F1}"/>
    <cellStyle name="Normal 8 2 2 2 8 4" xfId="19574" xr:uid="{407EB44A-F0E2-4DB8-B076-446461FE3746}"/>
    <cellStyle name="Normal 8 2 2 2 9" xfId="4847" xr:uid="{00000000-0005-0000-0000-0000441C0000}"/>
    <cellStyle name="Normal 8 2 2 2 9 2" xfId="13289" xr:uid="{71995AD8-2579-49C9-98A1-5BA3BD8787FC}"/>
    <cellStyle name="Normal 8 2 2 2 9 3" xfId="21726" xr:uid="{45D67612-20FC-4E15-AFF7-28F475A865C1}"/>
    <cellStyle name="Normal 8 2 2 3" xfId="485" xr:uid="{00000000-0005-0000-0000-0000451C0000}"/>
    <cellStyle name="Normal 8 2 2 3 10" xfId="17513" xr:uid="{2695ED2F-E8E1-4274-9053-7A00E6A2AA18}"/>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2 2 2" xfId="15852" xr:uid="{B5648B75-048E-443A-AC5E-161E493AFE85}"/>
    <cellStyle name="Normal 8 2 2 3 2 2 2 2 3" xfId="24289" xr:uid="{0ED6ABAC-DFFE-4260-8C70-C057E2EF294A}"/>
    <cellStyle name="Normal 8 2 2 3 2 2 2 3" xfId="11634" xr:uid="{5F69BD6E-98CB-41D7-83A1-26E348D1E886}"/>
    <cellStyle name="Normal 8 2 2 3 2 2 2 4" xfId="20072" xr:uid="{23C6F9D4-C865-4FEB-A31D-008A7194C79D}"/>
    <cellStyle name="Normal 8 2 2 3 2 2 3" xfId="5265" xr:uid="{00000000-0005-0000-0000-00004A1C0000}"/>
    <cellStyle name="Normal 8 2 2 3 2 2 3 2" xfId="13707" xr:uid="{3433A6F0-B60A-4AC7-8E19-DB99949CFCD9}"/>
    <cellStyle name="Normal 8 2 2 3 2 2 3 3" xfId="22144" xr:uid="{4EC3EE99-355A-48B0-B7B2-EAB394747C3B}"/>
    <cellStyle name="Normal 8 2 2 3 2 2 4" xfId="9489" xr:uid="{A7A762E8-272B-4D22-B0DF-D55D89680DDE}"/>
    <cellStyle name="Normal 8 2 2 3 2 2 5" xfId="17927" xr:uid="{6B3C667B-BE3F-4FE6-8F62-3D074F3430DB}"/>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2 2 2" xfId="16265" xr:uid="{01424A70-3638-40EB-B9EC-15788B46D9CB}"/>
    <cellStyle name="Normal 8 2 2 3 2 3 2 2 3" xfId="24702" xr:uid="{4B8B9267-0BE3-4332-837B-852EB5FEB620}"/>
    <cellStyle name="Normal 8 2 2 3 2 3 2 3" xfId="12047" xr:uid="{17C78FD1-113B-45C8-9492-F36FE6CF1B04}"/>
    <cellStyle name="Normal 8 2 2 3 2 3 2 4" xfId="20485" xr:uid="{D7A68960-10D0-4B04-B62D-D29FDD848E0D}"/>
    <cellStyle name="Normal 8 2 2 3 2 3 3" xfId="5678" xr:uid="{00000000-0005-0000-0000-00004E1C0000}"/>
    <cellStyle name="Normal 8 2 2 3 2 3 3 2" xfId="14120" xr:uid="{5C3C93F7-B27F-4F6E-A28F-50768991747D}"/>
    <cellStyle name="Normal 8 2 2 3 2 3 3 3" xfId="22557" xr:uid="{ECA2EECC-C7EE-49E1-9DB2-1DD66FB7CAB4}"/>
    <cellStyle name="Normal 8 2 2 3 2 3 4" xfId="9902" xr:uid="{6B0E7FB5-EC44-4D9F-BD37-8207AD0E01FF}"/>
    <cellStyle name="Normal 8 2 2 3 2 3 5" xfId="18340" xr:uid="{6C06A078-D8B0-455B-AB78-9B54C8D1E449}"/>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2 2 2" xfId="16678" xr:uid="{888AF20C-F873-4626-B736-81EF625C349A}"/>
    <cellStyle name="Normal 8 2 2 3 2 4 2 2 3" xfId="25115" xr:uid="{D1B305D2-E68C-4A07-81AE-A5971EE6DF47}"/>
    <cellStyle name="Normal 8 2 2 3 2 4 2 3" xfId="12460" xr:uid="{1B4F27D7-3B4C-4CF3-A05E-0A0642F3B158}"/>
    <cellStyle name="Normal 8 2 2 3 2 4 2 4" xfId="20898" xr:uid="{E5C21C72-E9AB-4A97-91D0-41E75448C721}"/>
    <cellStyle name="Normal 8 2 2 3 2 4 3" xfId="6091" xr:uid="{00000000-0005-0000-0000-0000521C0000}"/>
    <cellStyle name="Normal 8 2 2 3 2 4 3 2" xfId="14533" xr:uid="{4072EC3E-6025-485A-9CAB-022A56088103}"/>
    <cellStyle name="Normal 8 2 2 3 2 4 3 3" xfId="22970" xr:uid="{9B95D500-8D99-45E0-9C30-37E3217C6D78}"/>
    <cellStyle name="Normal 8 2 2 3 2 4 4" xfId="10315" xr:uid="{F7453803-B020-4AEF-970F-9ADC05D1E79F}"/>
    <cellStyle name="Normal 8 2 2 3 2 4 5" xfId="18753" xr:uid="{91F84F8C-7FF9-41C0-A2BA-41129602B669}"/>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2 2 2" xfId="17091" xr:uid="{4B49EF58-FBA5-46BE-8337-E539760CC343}"/>
    <cellStyle name="Normal 8 2 2 3 2 5 2 2 3" xfId="25528" xr:uid="{36A96F7B-5F5E-47C9-B567-1A8A6EC29255}"/>
    <cellStyle name="Normal 8 2 2 3 2 5 2 3" xfId="12873" xr:uid="{10847201-B1C0-41CD-ADEA-6FF0EB61410D}"/>
    <cellStyle name="Normal 8 2 2 3 2 5 2 4" xfId="21311" xr:uid="{BDBFEE4A-A336-4AD9-9908-809A71C42C03}"/>
    <cellStyle name="Normal 8 2 2 3 2 5 3" xfId="6504" xr:uid="{00000000-0005-0000-0000-0000561C0000}"/>
    <cellStyle name="Normal 8 2 2 3 2 5 3 2" xfId="14946" xr:uid="{E88F31F9-92CA-4267-BC7C-848CC8F13BA5}"/>
    <cellStyle name="Normal 8 2 2 3 2 5 3 3" xfId="23383" xr:uid="{2FE09F17-719B-443C-8D8E-01DE737F7BD6}"/>
    <cellStyle name="Normal 8 2 2 3 2 5 4" xfId="10728" xr:uid="{481AAA95-0580-4661-8ED9-F8CF19A2DADE}"/>
    <cellStyle name="Normal 8 2 2 3 2 5 5" xfId="19166" xr:uid="{59BF9818-F80C-40A3-B71F-569E5E4A02AB}"/>
    <cellStyle name="Normal 8 2 2 3 2 6" xfId="2633" xr:uid="{00000000-0005-0000-0000-0000571C0000}"/>
    <cellStyle name="Normal 8 2 2 3 2 6 2" xfId="6917" xr:uid="{00000000-0005-0000-0000-0000581C0000}"/>
    <cellStyle name="Normal 8 2 2 3 2 6 2 2" xfId="15359" xr:uid="{95AD9D54-B018-4792-962F-9C873A28BA4D}"/>
    <cellStyle name="Normal 8 2 2 3 2 6 2 3" xfId="23796" xr:uid="{8B4C5FEE-9E20-4986-AA5C-AE287B375A40}"/>
    <cellStyle name="Normal 8 2 2 3 2 6 3" xfId="11141" xr:uid="{CF71358A-9973-455A-8691-11E05D543C3B}"/>
    <cellStyle name="Normal 8 2 2 3 2 6 4" xfId="19579" xr:uid="{D7E7C125-0E76-4301-8BA2-062EF527E121}"/>
    <cellStyle name="Normal 8 2 2 3 2 7" xfId="4852" xr:uid="{00000000-0005-0000-0000-0000591C0000}"/>
    <cellStyle name="Normal 8 2 2 3 2 7 2" xfId="13294" xr:uid="{6E5B16F7-65E1-4D04-9519-9E6F55D37D1F}"/>
    <cellStyle name="Normal 8 2 2 3 2 7 3" xfId="21731" xr:uid="{8E955537-E5DE-42FF-A9DF-A73210FFAB87}"/>
    <cellStyle name="Normal 8 2 2 3 2 8" xfId="9076" xr:uid="{115543D1-17A0-4737-B3A9-444ACF707EE1}"/>
    <cellStyle name="Normal 8 2 2 3 2 9" xfId="17514" xr:uid="{60CF62B8-AE79-416E-A419-339F01A92235}"/>
    <cellStyle name="Normal 8 2 2 3 3" xfId="952" xr:uid="{00000000-0005-0000-0000-00005A1C0000}"/>
    <cellStyle name="Normal 8 2 2 3 3 2" xfId="3186" xr:uid="{00000000-0005-0000-0000-00005B1C0000}"/>
    <cellStyle name="Normal 8 2 2 3 3 2 2" xfId="7409" xr:uid="{00000000-0005-0000-0000-00005C1C0000}"/>
    <cellStyle name="Normal 8 2 2 3 3 2 2 2" xfId="15851" xr:uid="{2A60F396-2441-4124-B120-DA1EC4B6B5A5}"/>
    <cellStyle name="Normal 8 2 2 3 3 2 2 3" xfId="24288" xr:uid="{451331D6-A6F8-4BC1-A318-9ED78C057FDD}"/>
    <cellStyle name="Normal 8 2 2 3 3 2 3" xfId="11633" xr:uid="{8512DEB7-834E-441E-8BD8-F668C3750973}"/>
    <cellStyle name="Normal 8 2 2 3 3 2 4" xfId="20071" xr:uid="{1DD705BC-F3A1-4A60-878F-4C5E33080FF8}"/>
    <cellStyle name="Normal 8 2 2 3 3 3" xfId="5264" xr:uid="{00000000-0005-0000-0000-00005D1C0000}"/>
    <cellStyle name="Normal 8 2 2 3 3 3 2" xfId="13706" xr:uid="{D1C55111-E545-4AD8-ADFC-698FC6D5C5B1}"/>
    <cellStyle name="Normal 8 2 2 3 3 3 3" xfId="22143" xr:uid="{40BB0CDF-C1D8-44D9-89AB-3B10C356BB81}"/>
    <cellStyle name="Normal 8 2 2 3 3 4" xfId="9488" xr:uid="{CA1A2BF8-2CD8-4E01-974D-7375FA5FE9AA}"/>
    <cellStyle name="Normal 8 2 2 3 3 5" xfId="17926" xr:uid="{590FF37B-7193-4682-BC91-62F6216BF75C}"/>
    <cellStyle name="Normal 8 2 2 3 4" xfId="1369" xr:uid="{00000000-0005-0000-0000-00005E1C0000}"/>
    <cellStyle name="Normal 8 2 2 3 4 2" xfId="3599" xr:uid="{00000000-0005-0000-0000-00005F1C0000}"/>
    <cellStyle name="Normal 8 2 2 3 4 2 2" xfId="7822" xr:uid="{00000000-0005-0000-0000-0000601C0000}"/>
    <cellStyle name="Normal 8 2 2 3 4 2 2 2" xfId="16264" xr:uid="{5FD7D8C3-08F9-412F-8A05-081C95B92F8E}"/>
    <cellStyle name="Normal 8 2 2 3 4 2 2 3" xfId="24701" xr:uid="{5440E570-4550-44CF-8EC4-16C1BAFF396B}"/>
    <cellStyle name="Normal 8 2 2 3 4 2 3" xfId="12046" xr:uid="{B062BC32-D1B0-4EE8-A95D-ABC01DBFDAE5}"/>
    <cellStyle name="Normal 8 2 2 3 4 2 4" xfId="20484" xr:uid="{E087A4E0-F21A-4E57-9771-0459E475B2B1}"/>
    <cellStyle name="Normal 8 2 2 3 4 3" xfId="5677" xr:uid="{00000000-0005-0000-0000-0000611C0000}"/>
    <cellStyle name="Normal 8 2 2 3 4 3 2" xfId="14119" xr:uid="{503BBA28-57D8-4789-BCF1-921576067181}"/>
    <cellStyle name="Normal 8 2 2 3 4 3 3" xfId="22556" xr:uid="{9FC5AA3D-1650-458F-B0BB-E1C7F9830F88}"/>
    <cellStyle name="Normal 8 2 2 3 4 4" xfId="9901" xr:uid="{9E406075-890C-4642-BD8E-32ECECA88B82}"/>
    <cellStyle name="Normal 8 2 2 3 4 5" xfId="18339" xr:uid="{5A3312CC-8402-4623-889E-B1430C6BC87F}"/>
    <cellStyle name="Normal 8 2 2 3 5" xfId="1782" xr:uid="{00000000-0005-0000-0000-0000621C0000}"/>
    <cellStyle name="Normal 8 2 2 3 5 2" xfId="4012" xr:uid="{00000000-0005-0000-0000-0000631C0000}"/>
    <cellStyle name="Normal 8 2 2 3 5 2 2" xfId="8235" xr:uid="{00000000-0005-0000-0000-0000641C0000}"/>
    <cellStyle name="Normal 8 2 2 3 5 2 2 2" xfId="16677" xr:uid="{DC809188-25C9-4C6C-90ED-332C1EEC89A2}"/>
    <cellStyle name="Normal 8 2 2 3 5 2 2 3" xfId="25114" xr:uid="{3D7D9B53-6A49-4A48-B1D8-34EB8BCB1BAF}"/>
    <cellStyle name="Normal 8 2 2 3 5 2 3" xfId="12459" xr:uid="{E32884E6-9AAF-4545-B877-0595A361662E}"/>
    <cellStyle name="Normal 8 2 2 3 5 2 4" xfId="20897" xr:uid="{468C1E26-F80D-4E6A-A138-894112D518A9}"/>
    <cellStyle name="Normal 8 2 2 3 5 3" xfId="6090" xr:uid="{00000000-0005-0000-0000-0000651C0000}"/>
    <cellStyle name="Normal 8 2 2 3 5 3 2" xfId="14532" xr:uid="{0B04D02D-56A6-477F-AA20-C0747328AC2C}"/>
    <cellStyle name="Normal 8 2 2 3 5 3 3" xfId="22969" xr:uid="{6FDAD7CB-33E4-4C2C-B250-4266350D8354}"/>
    <cellStyle name="Normal 8 2 2 3 5 4" xfId="10314" xr:uid="{F32B41BE-436D-4247-AF3E-1DB475AA9FD9}"/>
    <cellStyle name="Normal 8 2 2 3 5 5" xfId="18752" xr:uid="{18E095A6-9055-4213-A7C4-20D3A04BC30D}"/>
    <cellStyle name="Normal 8 2 2 3 6" xfId="2196" xr:uid="{00000000-0005-0000-0000-0000661C0000}"/>
    <cellStyle name="Normal 8 2 2 3 6 2" xfId="4425" xr:uid="{00000000-0005-0000-0000-0000671C0000}"/>
    <cellStyle name="Normal 8 2 2 3 6 2 2" xfId="8648" xr:uid="{00000000-0005-0000-0000-0000681C0000}"/>
    <cellStyle name="Normal 8 2 2 3 6 2 2 2" xfId="17090" xr:uid="{398AB74D-5A6A-42CC-97F3-1AAE6DA038EB}"/>
    <cellStyle name="Normal 8 2 2 3 6 2 2 3" xfId="25527" xr:uid="{734A521E-05F2-43C8-958E-D1ABF51A472B}"/>
    <cellStyle name="Normal 8 2 2 3 6 2 3" xfId="12872" xr:uid="{62BCF2D6-1D50-4E3A-B16C-C83A37B006ED}"/>
    <cellStyle name="Normal 8 2 2 3 6 2 4" xfId="21310" xr:uid="{917E4FA1-9F6D-4B5E-A449-7E787A92833D}"/>
    <cellStyle name="Normal 8 2 2 3 6 3" xfId="6503" xr:uid="{00000000-0005-0000-0000-0000691C0000}"/>
    <cellStyle name="Normal 8 2 2 3 6 3 2" xfId="14945" xr:uid="{DB63BEC3-1119-4FDA-BA39-ECC844E0C999}"/>
    <cellStyle name="Normal 8 2 2 3 6 3 3" xfId="23382" xr:uid="{73B2952B-F174-4906-A5B8-684269B44946}"/>
    <cellStyle name="Normal 8 2 2 3 6 4" xfId="10727" xr:uid="{067FD05D-AC0A-4E73-BAC8-1428A76AFBA4}"/>
    <cellStyle name="Normal 8 2 2 3 6 5" xfId="19165" xr:uid="{6665D35D-D6CA-4EB2-B3F5-D28501F187D4}"/>
    <cellStyle name="Normal 8 2 2 3 7" xfId="2632" xr:uid="{00000000-0005-0000-0000-00006A1C0000}"/>
    <cellStyle name="Normal 8 2 2 3 7 2" xfId="6916" xr:uid="{00000000-0005-0000-0000-00006B1C0000}"/>
    <cellStyle name="Normal 8 2 2 3 7 2 2" xfId="15358" xr:uid="{8D46AA54-2A17-4892-BCEB-4E67512F3B8E}"/>
    <cellStyle name="Normal 8 2 2 3 7 2 3" xfId="23795" xr:uid="{7F40E475-4699-4B31-AC85-BC6DFC9E5DF9}"/>
    <cellStyle name="Normal 8 2 2 3 7 3" xfId="11140" xr:uid="{DCDC085B-C0F5-4D11-8F1B-AC72AD547050}"/>
    <cellStyle name="Normal 8 2 2 3 7 4" xfId="19578" xr:uid="{72B55E20-1C1A-425F-8B53-4058C30D42DD}"/>
    <cellStyle name="Normal 8 2 2 3 8" xfId="4851" xr:uid="{00000000-0005-0000-0000-00006C1C0000}"/>
    <cellStyle name="Normal 8 2 2 3 8 2" xfId="13293" xr:uid="{EF63F81E-61AD-4F35-842A-DD2D236FDAF1}"/>
    <cellStyle name="Normal 8 2 2 3 8 3" xfId="21730" xr:uid="{1AB4CC84-AEA0-4FDC-B715-63FB18F5C426}"/>
    <cellStyle name="Normal 8 2 2 3 9" xfId="9075" xr:uid="{B2A7AFA0-38B5-4711-87FE-2EBFA3DA9B5E}"/>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2 2 2" xfId="15853" xr:uid="{B9846977-145B-4FD9-8A08-08FCDF4CA508}"/>
    <cellStyle name="Normal 8 2 2 4 2 2 2 3" xfId="24290" xr:uid="{95D51E75-E703-4062-9B4C-2DC006F0EBFC}"/>
    <cellStyle name="Normal 8 2 2 4 2 2 3" xfId="11635" xr:uid="{B008AA19-6F6C-4904-9F7A-3DD5606A9F67}"/>
    <cellStyle name="Normal 8 2 2 4 2 2 4" xfId="20073" xr:uid="{DF303C6E-D4E5-4782-9E5B-BD499F92331B}"/>
    <cellStyle name="Normal 8 2 2 4 2 3" xfId="5266" xr:uid="{00000000-0005-0000-0000-0000711C0000}"/>
    <cellStyle name="Normal 8 2 2 4 2 3 2" xfId="13708" xr:uid="{4E633850-D4CA-4AAD-8AA1-BBE75375BED8}"/>
    <cellStyle name="Normal 8 2 2 4 2 3 3" xfId="22145" xr:uid="{5C47BA2C-D3CF-4EBD-ABB7-EE460CB97014}"/>
    <cellStyle name="Normal 8 2 2 4 2 4" xfId="9490" xr:uid="{767EAA37-AA6F-4F6A-944D-B16AB291FEA6}"/>
    <cellStyle name="Normal 8 2 2 4 2 5" xfId="17928" xr:uid="{DAFBA7D2-5BE5-4FDB-9BD4-014A166D18EA}"/>
    <cellStyle name="Normal 8 2 2 4 3" xfId="1371" xr:uid="{00000000-0005-0000-0000-0000721C0000}"/>
    <cellStyle name="Normal 8 2 2 4 3 2" xfId="3601" xr:uid="{00000000-0005-0000-0000-0000731C0000}"/>
    <cellStyle name="Normal 8 2 2 4 3 2 2" xfId="7824" xr:uid="{00000000-0005-0000-0000-0000741C0000}"/>
    <cellStyle name="Normal 8 2 2 4 3 2 2 2" xfId="16266" xr:uid="{509F1FA0-F6DA-4A09-9730-327182047E09}"/>
    <cellStyle name="Normal 8 2 2 4 3 2 2 3" xfId="24703" xr:uid="{424C83C5-98D8-4B81-B3B8-8AE6FC3BB7CB}"/>
    <cellStyle name="Normal 8 2 2 4 3 2 3" xfId="12048" xr:uid="{36649CF6-5CA1-4837-9D3D-7A867A1EC623}"/>
    <cellStyle name="Normal 8 2 2 4 3 2 4" xfId="20486" xr:uid="{EA4C2BD6-9353-4365-B7EE-FF22DA50B146}"/>
    <cellStyle name="Normal 8 2 2 4 3 3" xfId="5679" xr:uid="{00000000-0005-0000-0000-0000751C0000}"/>
    <cellStyle name="Normal 8 2 2 4 3 3 2" xfId="14121" xr:uid="{3EC8888F-898D-40F2-A330-C59DCCCF6D2D}"/>
    <cellStyle name="Normal 8 2 2 4 3 3 3" xfId="22558" xr:uid="{C9FF395F-039B-4F40-AED9-3184597BF9F4}"/>
    <cellStyle name="Normal 8 2 2 4 3 4" xfId="9903" xr:uid="{423BE242-4FD6-4940-9FBB-A98994A0901B}"/>
    <cellStyle name="Normal 8 2 2 4 3 5" xfId="18341" xr:uid="{7055376F-7AD0-4E0C-AFC9-837631A91B5B}"/>
    <cellStyle name="Normal 8 2 2 4 4" xfId="1784" xr:uid="{00000000-0005-0000-0000-0000761C0000}"/>
    <cellStyle name="Normal 8 2 2 4 4 2" xfId="4014" xr:uid="{00000000-0005-0000-0000-0000771C0000}"/>
    <cellStyle name="Normal 8 2 2 4 4 2 2" xfId="8237" xr:uid="{00000000-0005-0000-0000-0000781C0000}"/>
    <cellStyle name="Normal 8 2 2 4 4 2 2 2" xfId="16679" xr:uid="{58DA6093-70DC-4B11-8C87-1AA8961648F9}"/>
    <cellStyle name="Normal 8 2 2 4 4 2 2 3" xfId="25116" xr:uid="{BFF473E6-F3EB-4B85-881E-E540594CF06F}"/>
    <cellStyle name="Normal 8 2 2 4 4 2 3" xfId="12461" xr:uid="{0FAEA012-7AF2-4235-894B-991E79DE2394}"/>
    <cellStyle name="Normal 8 2 2 4 4 2 4" xfId="20899" xr:uid="{63AAE1A4-7029-43C0-8698-D1E1BCBC74E7}"/>
    <cellStyle name="Normal 8 2 2 4 4 3" xfId="6092" xr:uid="{00000000-0005-0000-0000-0000791C0000}"/>
    <cellStyle name="Normal 8 2 2 4 4 3 2" xfId="14534" xr:uid="{07F831DC-4D75-409A-BEE6-B2125920BCAE}"/>
    <cellStyle name="Normal 8 2 2 4 4 3 3" xfId="22971" xr:uid="{C057F738-9ACA-438B-97D8-3C06CCCCCF80}"/>
    <cellStyle name="Normal 8 2 2 4 4 4" xfId="10316" xr:uid="{18D789E5-E768-414E-AA5B-C3F8F851C5EB}"/>
    <cellStyle name="Normal 8 2 2 4 4 5" xfId="18754" xr:uid="{F63AF457-5A9B-4D55-B1F6-D8A6CFF85E84}"/>
    <cellStyle name="Normal 8 2 2 4 5" xfId="2198" xr:uid="{00000000-0005-0000-0000-00007A1C0000}"/>
    <cellStyle name="Normal 8 2 2 4 5 2" xfId="4427" xr:uid="{00000000-0005-0000-0000-00007B1C0000}"/>
    <cellStyle name="Normal 8 2 2 4 5 2 2" xfId="8650" xr:uid="{00000000-0005-0000-0000-00007C1C0000}"/>
    <cellStyle name="Normal 8 2 2 4 5 2 2 2" xfId="17092" xr:uid="{222798D4-AB6D-4072-847C-6228D624AF31}"/>
    <cellStyle name="Normal 8 2 2 4 5 2 2 3" xfId="25529" xr:uid="{2261F7F9-9538-4968-9503-5DE2AD455830}"/>
    <cellStyle name="Normal 8 2 2 4 5 2 3" xfId="12874" xr:uid="{082A066B-8EB3-4186-8B67-89E80BECD133}"/>
    <cellStyle name="Normal 8 2 2 4 5 2 4" xfId="21312" xr:uid="{E04F4825-4C92-4579-93D4-021338B196FC}"/>
    <cellStyle name="Normal 8 2 2 4 5 3" xfId="6505" xr:uid="{00000000-0005-0000-0000-00007D1C0000}"/>
    <cellStyle name="Normal 8 2 2 4 5 3 2" xfId="14947" xr:uid="{6D86F2E1-69B2-426D-B3CB-BE4EC0C467FE}"/>
    <cellStyle name="Normal 8 2 2 4 5 3 3" xfId="23384" xr:uid="{A76E8322-1A04-4466-931F-E15E7547DBD7}"/>
    <cellStyle name="Normal 8 2 2 4 5 4" xfId="10729" xr:uid="{D7463303-3E51-49CB-8DC4-2C068A2B1BDB}"/>
    <cellStyle name="Normal 8 2 2 4 5 5" xfId="19167" xr:uid="{CD713760-E9F9-4D27-AD56-50F1F0F22981}"/>
    <cellStyle name="Normal 8 2 2 4 6" xfId="2634" xr:uid="{00000000-0005-0000-0000-00007E1C0000}"/>
    <cellStyle name="Normal 8 2 2 4 6 2" xfId="6918" xr:uid="{00000000-0005-0000-0000-00007F1C0000}"/>
    <cellStyle name="Normal 8 2 2 4 6 2 2" xfId="15360" xr:uid="{C818241E-FA4F-4FB6-BD5A-DE9D77F7B63A}"/>
    <cellStyle name="Normal 8 2 2 4 6 2 3" xfId="23797" xr:uid="{0EA540CD-DB40-4B90-B54F-1AC69BED6EB9}"/>
    <cellStyle name="Normal 8 2 2 4 6 3" xfId="11142" xr:uid="{969C4966-EA05-4568-B294-E849FFCFAA7F}"/>
    <cellStyle name="Normal 8 2 2 4 6 4" xfId="19580" xr:uid="{7B12C1E3-B2E0-4D34-ABA5-A954CD86DBF9}"/>
    <cellStyle name="Normal 8 2 2 4 7" xfId="4853" xr:uid="{00000000-0005-0000-0000-0000801C0000}"/>
    <cellStyle name="Normal 8 2 2 4 7 2" xfId="13295" xr:uid="{EEA53E88-B399-41FD-A01F-B246C03FAC9C}"/>
    <cellStyle name="Normal 8 2 2 4 7 3" xfId="21732" xr:uid="{344E2090-57AF-42D8-9A22-1DDA178FD461}"/>
    <cellStyle name="Normal 8 2 2 4 8" xfId="9077" xr:uid="{759E3DF0-6312-469E-96AE-7FC14FED6AC1}"/>
    <cellStyle name="Normal 8 2 2 4 9" xfId="17515" xr:uid="{CFA3F587-234A-47C1-BBD7-5CDF47F1B56B}"/>
    <cellStyle name="Normal 8 2 2 5" xfId="947" xr:uid="{00000000-0005-0000-0000-0000811C0000}"/>
    <cellStyle name="Normal 8 2 2 5 2" xfId="3181" xr:uid="{00000000-0005-0000-0000-0000821C0000}"/>
    <cellStyle name="Normal 8 2 2 5 2 2" xfId="7404" xr:uid="{00000000-0005-0000-0000-0000831C0000}"/>
    <cellStyle name="Normal 8 2 2 5 2 2 2" xfId="15846" xr:uid="{9C04FE75-1A1F-4390-BE06-9784A9FC3269}"/>
    <cellStyle name="Normal 8 2 2 5 2 2 3" xfId="24283" xr:uid="{6E2008A8-D12D-4CFD-BB9B-554ADABD7E59}"/>
    <cellStyle name="Normal 8 2 2 5 2 3" xfId="11628" xr:uid="{53AEB6EF-B7EF-4F47-83D5-05E35A9B060B}"/>
    <cellStyle name="Normal 8 2 2 5 2 4" xfId="20066" xr:uid="{3A3F4AD1-35B7-4280-B097-E2B4FF9CB202}"/>
    <cellStyle name="Normal 8 2 2 5 3" xfId="5259" xr:uid="{00000000-0005-0000-0000-0000841C0000}"/>
    <cellStyle name="Normal 8 2 2 5 3 2" xfId="13701" xr:uid="{A9FC3EC6-C555-413E-840D-F99AD94C5149}"/>
    <cellStyle name="Normal 8 2 2 5 3 3" xfId="22138" xr:uid="{B1285409-110D-4759-9F1D-B00CE7652427}"/>
    <cellStyle name="Normal 8 2 2 5 4" xfId="9483" xr:uid="{4E5BCF72-C7BB-4F3E-A139-1BAA564C3BE4}"/>
    <cellStyle name="Normal 8 2 2 5 5" xfId="17921" xr:uid="{9347D65E-F198-4830-8E20-3FF44AE106D0}"/>
    <cellStyle name="Normal 8 2 2 6" xfId="1364" xr:uid="{00000000-0005-0000-0000-0000851C0000}"/>
    <cellStyle name="Normal 8 2 2 6 2" xfId="3594" xr:uid="{00000000-0005-0000-0000-0000861C0000}"/>
    <cellStyle name="Normal 8 2 2 6 2 2" xfId="7817" xr:uid="{00000000-0005-0000-0000-0000871C0000}"/>
    <cellStyle name="Normal 8 2 2 6 2 2 2" xfId="16259" xr:uid="{9C82FAA2-C348-43F5-A843-3D6FCAEF2E19}"/>
    <cellStyle name="Normal 8 2 2 6 2 2 3" xfId="24696" xr:uid="{6FE6CA18-13ED-4CA2-A709-ED67308C020E}"/>
    <cellStyle name="Normal 8 2 2 6 2 3" xfId="12041" xr:uid="{3F030AAE-1B91-448C-80A7-C1C790433DE3}"/>
    <cellStyle name="Normal 8 2 2 6 2 4" xfId="20479" xr:uid="{CD3BA4E0-EDCF-4DF8-BA72-B557BC8D0677}"/>
    <cellStyle name="Normal 8 2 2 6 3" xfId="5672" xr:uid="{00000000-0005-0000-0000-0000881C0000}"/>
    <cellStyle name="Normal 8 2 2 6 3 2" xfId="14114" xr:uid="{B0E41E0C-B7FF-4B6F-82DE-3A9BC7133DED}"/>
    <cellStyle name="Normal 8 2 2 6 3 3" xfId="22551" xr:uid="{F99CBFF3-C857-4A85-B6E3-6363EF094A00}"/>
    <cellStyle name="Normal 8 2 2 6 4" xfId="9896" xr:uid="{A37576EB-4CA6-4522-8D35-F63ED6AD0A68}"/>
    <cellStyle name="Normal 8 2 2 6 5" xfId="18334" xr:uid="{CE10989A-0FDB-4E9E-B13C-904E41990B3C}"/>
    <cellStyle name="Normal 8 2 2 7" xfId="1777" xr:uid="{00000000-0005-0000-0000-0000891C0000}"/>
    <cellStyle name="Normal 8 2 2 7 2" xfId="4007" xr:uid="{00000000-0005-0000-0000-00008A1C0000}"/>
    <cellStyle name="Normal 8 2 2 7 2 2" xfId="8230" xr:uid="{00000000-0005-0000-0000-00008B1C0000}"/>
    <cellStyle name="Normal 8 2 2 7 2 2 2" xfId="16672" xr:uid="{6274B6BB-8E20-463F-843C-52C7C4660CE3}"/>
    <cellStyle name="Normal 8 2 2 7 2 2 3" xfId="25109" xr:uid="{D653F9F4-682A-43DE-93F6-DBB71F38B248}"/>
    <cellStyle name="Normal 8 2 2 7 2 3" xfId="12454" xr:uid="{D009173E-4972-4E6E-B365-699B14255643}"/>
    <cellStyle name="Normal 8 2 2 7 2 4" xfId="20892" xr:uid="{B817A16D-9B30-4402-9A25-6A685C6D6C1B}"/>
    <cellStyle name="Normal 8 2 2 7 3" xfId="6085" xr:uid="{00000000-0005-0000-0000-00008C1C0000}"/>
    <cellStyle name="Normal 8 2 2 7 3 2" xfId="14527" xr:uid="{47A48309-7C9E-4014-8EDA-CAABF0D9B723}"/>
    <cellStyle name="Normal 8 2 2 7 3 3" xfId="22964" xr:uid="{AD698E07-0025-47C5-99CB-98B9C8A7ADC5}"/>
    <cellStyle name="Normal 8 2 2 7 4" xfId="10309" xr:uid="{EB9AA07E-DEFE-42B9-A46E-005EDF49C801}"/>
    <cellStyle name="Normal 8 2 2 7 5" xfId="18747" xr:uid="{CC7FE7EA-E9E8-43EF-967B-D4F83C8E73A0}"/>
    <cellStyle name="Normal 8 2 2 8" xfId="2191" xr:uid="{00000000-0005-0000-0000-00008D1C0000}"/>
    <cellStyle name="Normal 8 2 2 8 2" xfId="4420" xr:uid="{00000000-0005-0000-0000-00008E1C0000}"/>
    <cellStyle name="Normal 8 2 2 8 2 2" xfId="8643" xr:uid="{00000000-0005-0000-0000-00008F1C0000}"/>
    <cellStyle name="Normal 8 2 2 8 2 2 2" xfId="17085" xr:uid="{7FAD499E-17E4-43AA-8A13-6C22A668F929}"/>
    <cellStyle name="Normal 8 2 2 8 2 2 3" xfId="25522" xr:uid="{E14E57CD-AA6B-46B7-ABD4-4036BC7918FC}"/>
    <cellStyle name="Normal 8 2 2 8 2 3" xfId="12867" xr:uid="{B6B94D8F-91B1-4621-91CA-E02A56694FF4}"/>
    <cellStyle name="Normal 8 2 2 8 2 4" xfId="21305" xr:uid="{76301895-3850-44BD-B493-FEF61CED8454}"/>
    <cellStyle name="Normal 8 2 2 8 3" xfId="6498" xr:uid="{00000000-0005-0000-0000-0000901C0000}"/>
    <cellStyle name="Normal 8 2 2 8 3 2" xfId="14940" xr:uid="{4BF05523-68A9-4733-B294-652A9B40E109}"/>
    <cellStyle name="Normal 8 2 2 8 3 3" xfId="23377" xr:uid="{05E149B6-1B7E-4D4D-8B29-E919F72CB555}"/>
    <cellStyle name="Normal 8 2 2 8 4" xfId="10722" xr:uid="{20D3AFFA-D53F-4DB7-A1CD-20A5A1616D98}"/>
    <cellStyle name="Normal 8 2 2 8 5" xfId="19160" xr:uid="{C99FA5B7-9288-4D4B-A53F-0530940922E9}"/>
    <cellStyle name="Normal 8 2 2 9" xfId="2627" xr:uid="{00000000-0005-0000-0000-0000911C0000}"/>
    <cellStyle name="Normal 8 2 2 9 2" xfId="6911" xr:uid="{00000000-0005-0000-0000-0000921C0000}"/>
    <cellStyle name="Normal 8 2 2 9 2 2" xfId="15353" xr:uid="{1677C5AC-F7A3-44E7-9C26-C5C723F3FBE8}"/>
    <cellStyle name="Normal 8 2 2 9 2 3" xfId="23790" xr:uid="{804753D2-9FD3-4398-A78E-E712DA5F93F1}"/>
    <cellStyle name="Normal 8 2 2 9 3" xfId="11135" xr:uid="{1BDB64C7-86ED-4136-88B6-DC081A72390E}"/>
    <cellStyle name="Normal 8 2 2 9 4" xfId="19573" xr:uid="{9187471F-108C-4E82-A6A9-208D00F3DD27}"/>
    <cellStyle name="Normal 8 2 3" xfId="488" xr:uid="{00000000-0005-0000-0000-0000931C0000}"/>
    <cellStyle name="Normal 8 2 3 10" xfId="9078" xr:uid="{81E4AE9E-2F9F-477F-8207-7534DC0E4323}"/>
    <cellStyle name="Normal 8 2 3 11" xfId="17516" xr:uid="{AC0F7587-344C-4889-BF4C-D10DECBD9F84}"/>
    <cellStyle name="Normal 8 2 3 2" xfId="489" xr:uid="{00000000-0005-0000-0000-0000941C0000}"/>
    <cellStyle name="Normal 8 2 3 2 10" xfId="17517" xr:uid="{E29A4890-2D5D-4B18-86A3-8B88610605CC}"/>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2 2 2" xfId="15856" xr:uid="{1812DB5C-2D43-4243-AB80-6878B31A109B}"/>
    <cellStyle name="Normal 8 2 3 2 2 2 2 2 3" xfId="24293" xr:uid="{7FBF4C81-2714-4437-8270-49B90418EF36}"/>
    <cellStyle name="Normal 8 2 3 2 2 2 2 3" xfId="11638" xr:uid="{AD54FAB6-55B4-4DB9-8059-1E07E147C2D9}"/>
    <cellStyle name="Normal 8 2 3 2 2 2 2 4" xfId="20076" xr:uid="{B04B0CE8-7237-4B3F-8C8B-B68BD7F400E6}"/>
    <cellStyle name="Normal 8 2 3 2 2 2 3" xfId="5269" xr:uid="{00000000-0005-0000-0000-0000991C0000}"/>
    <cellStyle name="Normal 8 2 3 2 2 2 3 2" xfId="13711" xr:uid="{83C0D8D1-BF45-4DB9-809C-862D0696E7CE}"/>
    <cellStyle name="Normal 8 2 3 2 2 2 3 3" xfId="22148" xr:uid="{D364575B-6888-49A1-8F2A-CAA087BCBFCC}"/>
    <cellStyle name="Normal 8 2 3 2 2 2 4" xfId="9493" xr:uid="{4FE5B17D-9B7E-4C7C-A8BE-2CF8653F6355}"/>
    <cellStyle name="Normal 8 2 3 2 2 2 5" xfId="17931" xr:uid="{8FACE394-ADF5-476F-9C29-BF35E541EB9C}"/>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2 2 2" xfId="16269" xr:uid="{D690741E-C22A-4C4D-8E2B-5D43D57D9DFA}"/>
    <cellStyle name="Normal 8 2 3 2 2 3 2 2 3" xfId="24706" xr:uid="{F9DD1F41-C28E-4AF5-B4B8-8778E29BC7FB}"/>
    <cellStyle name="Normal 8 2 3 2 2 3 2 3" xfId="12051" xr:uid="{8E2BF038-E659-4087-A39E-DB0176D942EB}"/>
    <cellStyle name="Normal 8 2 3 2 2 3 2 4" xfId="20489" xr:uid="{EF8E58F5-7328-4848-95A3-CF4A7ADE12DB}"/>
    <cellStyle name="Normal 8 2 3 2 2 3 3" xfId="5682" xr:uid="{00000000-0005-0000-0000-00009D1C0000}"/>
    <cellStyle name="Normal 8 2 3 2 2 3 3 2" xfId="14124" xr:uid="{D454F9EC-4508-4320-93B3-44F62272697F}"/>
    <cellStyle name="Normal 8 2 3 2 2 3 3 3" xfId="22561" xr:uid="{FA0E6406-A861-48E6-9724-BD68891DADC1}"/>
    <cellStyle name="Normal 8 2 3 2 2 3 4" xfId="9906" xr:uid="{3190BB21-9FDB-4E87-87FC-7F24E1467D10}"/>
    <cellStyle name="Normal 8 2 3 2 2 3 5" xfId="18344" xr:uid="{89ACAE9F-E20E-46C9-9069-6C20B7FB5395}"/>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2 2 2" xfId="16682" xr:uid="{C199D9C8-CAEA-4EF0-ABC1-0C688424A28B}"/>
    <cellStyle name="Normal 8 2 3 2 2 4 2 2 3" xfId="25119" xr:uid="{8D82B5BF-5484-401B-A363-DF286A3FEA7D}"/>
    <cellStyle name="Normal 8 2 3 2 2 4 2 3" xfId="12464" xr:uid="{D2C81997-E7D0-4114-A3CC-DC3C3D21245D}"/>
    <cellStyle name="Normal 8 2 3 2 2 4 2 4" xfId="20902" xr:uid="{1A8996DD-7E11-4ABB-B1AD-6DD93DB02191}"/>
    <cellStyle name="Normal 8 2 3 2 2 4 3" xfId="6095" xr:uid="{00000000-0005-0000-0000-0000A11C0000}"/>
    <cellStyle name="Normal 8 2 3 2 2 4 3 2" xfId="14537" xr:uid="{D58993A5-640E-4FD0-92D4-8CEC6D779FAC}"/>
    <cellStyle name="Normal 8 2 3 2 2 4 3 3" xfId="22974" xr:uid="{E0616858-3794-4205-BCE5-615CFC7DC1DC}"/>
    <cellStyle name="Normal 8 2 3 2 2 4 4" xfId="10319" xr:uid="{4A014BA9-A0F0-400D-9D5E-7E08B5343F50}"/>
    <cellStyle name="Normal 8 2 3 2 2 4 5" xfId="18757" xr:uid="{F9E9C369-697F-4C8B-B823-E1F2DA224F9A}"/>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2 2 2" xfId="17095" xr:uid="{270F2B1C-6C51-438D-8810-C7E6EAD33C64}"/>
    <cellStyle name="Normal 8 2 3 2 2 5 2 2 3" xfId="25532" xr:uid="{36F14649-592D-4152-BF54-095C18AACE70}"/>
    <cellStyle name="Normal 8 2 3 2 2 5 2 3" xfId="12877" xr:uid="{E8C82D71-72C2-425B-AB86-E9FEB29E4B67}"/>
    <cellStyle name="Normal 8 2 3 2 2 5 2 4" xfId="21315" xr:uid="{A29E9100-ACF8-4033-AFB3-D0E662E1BD7F}"/>
    <cellStyle name="Normal 8 2 3 2 2 5 3" xfId="6508" xr:uid="{00000000-0005-0000-0000-0000A51C0000}"/>
    <cellStyle name="Normal 8 2 3 2 2 5 3 2" xfId="14950" xr:uid="{7309012B-1E91-4271-8ECD-17553CC7CD17}"/>
    <cellStyle name="Normal 8 2 3 2 2 5 3 3" xfId="23387" xr:uid="{FF0988DC-B0AE-46B7-9FC6-CF911450E896}"/>
    <cellStyle name="Normal 8 2 3 2 2 5 4" xfId="10732" xr:uid="{F5EF325B-0E6E-4C49-8AFC-CDE58E992A4E}"/>
    <cellStyle name="Normal 8 2 3 2 2 5 5" xfId="19170" xr:uid="{F8923B5A-27C8-45BB-94A3-4D6AB31FEE50}"/>
    <cellStyle name="Normal 8 2 3 2 2 6" xfId="2637" xr:uid="{00000000-0005-0000-0000-0000A61C0000}"/>
    <cellStyle name="Normal 8 2 3 2 2 6 2" xfId="6921" xr:uid="{00000000-0005-0000-0000-0000A71C0000}"/>
    <cellStyle name="Normal 8 2 3 2 2 6 2 2" xfId="15363" xr:uid="{1EAEB9B4-270C-4363-B092-ADF438EE25AC}"/>
    <cellStyle name="Normal 8 2 3 2 2 6 2 3" xfId="23800" xr:uid="{0F28A183-EBC7-43B5-80E1-814500AB4422}"/>
    <cellStyle name="Normal 8 2 3 2 2 6 3" xfId="11145" xr:uid="{36E48297-23DE-4A43-99EA-E6FDBDAD62D0}"/>
    <cellStyle name="Normal 8 2 3 2 2 6 4" xfId="19583" xr:uid="{89A0E147-6762-49B9-8A21-8764846C6D0A}"/>
    <cellStyle name="Normal 8 2 3 2 2 7" xfId="4856" xr:uid="{00000000-0005-0000-0000-0000A81C0000}"/>
    <cellStyle name="Normal 8 2 3 2 2 7 2" xfId="13298" xr:uid="{4EA0F423-B6D3-4D67-92E4-0BA6C5CDBE91}"/>
    <cellStyle name="Normal 8 2 3 2 2 7 3" xfId="21735" xr:uid="{6E8059BF-DADA-4671-B265-6531EB1EF7A1}"/>
    <cellStyle name="Normal 8 2 3 2 2 8" xfId="9080" xr:uid="{7553CFC8-2D96-451D-9029-60FBCD615A84}"/>
    <cellStyle name="Normal 8 2 3 2 2 9" xfId="17518" xr:uid="{E6B68B9A-9F5B-43CA-9FDD-C8461A2EEDB5}"/>
    <cellStyle name="Normal 8 2 3 2 3" xfId="956" xr:uid="{00000000-0005-0000-0000-0000A91C0000}"/>
    <cellStyle name="Normal 8 2 3 2 3 2" xfId="3190" xr:uid="{00000000-0005-0000-0000-0000AA1C0000}"/>
    <cellStyle name="Normal 8 2 3 2 3 2 2" xfId="7413" xr:uid="{00000000-0005-0000-0000-0000AB1C0000}"/>
    <cellStyle name="Normal 8 2 3 2 3 2 2 2" xfId="15855" xr:uid="{CC9BA6C2-2B6C-422E-8F78-899A6500EB97}"/>
    <cellStyle name="Normal 8 2 3 2 3 2 2 3" xfId="24292" xr:uid="{47CEB56F-EEFA-4C29-8364-DA74819F82B8}"/>
    <cellStyle name="Normal 8 2 3 2 3 2 3" xfId="11637" xr:uid="{F085DFA9-E81C-4E9D-8C97-6416A279B5FA}"/>
    <cellStyle name="Normal 8 2 3 2 3 2 4" xfId="20075" xr:uid="{7DEF8A66-FBDE-495E-8A72-192828113E62}"/>
    <cellStyle name="Normal 8 2 3 2 3 3" xfId="5268" xr:uid="{00000000-0005-0000-0000-0000AC1C0000}"/>
    <cellStyle name="Normal 8 2 3 2 3 3 2" xfId="13710" xr:uid="{E7F7ADA8-BA81-46DE-A79E-CEA74E9CC01E}"/>
    <cellStyle name="Normal 8 2 3 2 3 3 3" xfId="22147" xr:uid="{3EF85542-4444-49DE-9EDA-5E68F2745023}"/>
    <cellStyle name="Normal 8 2 3 2 3 4" xfId="9492" xr:uid="{A50B3F57-0150-4D57-AD84-8DD82CC19A47}"/>
    <cellStyle name="Normal 8 2 3 2 3 5" xfId="17930" xr:uid="{D38B469E-F3D0-47F7-9D37-E0B60A017285}"/>
    <cellStyle name="Normal 8 2 3 2 4" xfId="1373" xr:uid="{00000000-0005-0000-0000-0000AD1C0000}"/>
    <cellStyle name="Normal 8 2 3 2 4 2" xfId="3603" xr:uid="{00000000-0005-0000-0000-0000AE1C0000}"/>
    <cellStyle name="Normal 8 2 3 2 4 2 2" xfId="7826" xr:uid="{00000000-0005-0000-0000-0000AF1C0000}"/>
    <cellStyle name="Normal 8 2 3 2 4 2 2 2" xfId="16268" xr:uid="{B6486AE1-EEA7-45D6-94ED-AF4A18C865BC}"/>
    <cellStyle name="Normal 8 2 3 2 4 2 2 3" xfId="24705" xr:uid="{EBD63439-3FC7-4055-BBC6-BF4DFD29E0F4}"/>
    <cellStyle name="Normal 8 2 3 2 4 2 3" xfId="12050" xr:uid="{549884B0-2BC6-4DAC-A5E3-94D3DFFAD407}"/>
    <cellStyle name="Normal 8 2 3 2 4 2 4" xfId="20488" xr:uid="{53E32B70-632A-42A4-8935-A6CD27E938E2}"/>
    <cellStyle name="Normal 8 2 3 2 4 3" xfId="5681" xr:uid="{00000000-0005-0000-0000-0000B01C0000}"/>
    <cellStyle name="Normal 8 2 3 2 4 3 2" xfId="14123" xr:uid="{83083359-AE0D-4DA3-8477-C7A9273AA96C}"/>
    <cellStyle name="Normal 8 2 3 2 4 3 3" xfId="22560" xr:uid="{AC7019C7-95B8-44CC-970B-07AE9BEECBA5}"/>
    <cellStyle name="Normal 8 2 3 2 4 4" xfId="9905" xr:uid="{05F3D267-BA90-4BFD-8C97-ADA092858042}"/>
    <cellStyle name="Normal 8 2 3 2 4 5" xfId="18343" xr:uid="{5CAD3A70-8EB5-43B9-AAF6-CCBEE8E9AA07}"/>
    <cellStyle name="Normal 8 2 3 2 5" xfId="1786" xr:uid="{00000000-0005-0000-0000-0000B11C0000}"/>
    <cellStyle name="Normal 8 2 3 2 5 2" xfId="4016" xr:uid="{00000000-0005-0000-0000-0000B21C0000}"/>
    <cellStyle name="Normal 8 2 3 2 5 2 2" xfId="8239" xr:uid="{00000000-0005-0000-0000-0000B31C0000}"/>
    <cellStyle name="Normal 8 2 3 2 5 2 2 2" xfId="16681" xr:uid="{9CB8BCFD-A4D1-4954-BA65-17B6CCE31C83}"/>
    <cellStyle name="Normal 8 2 3 2 5 2 2 3" xfId="25118" xr:uid="{5DD5BA41-E71F-4F24-B5E3-223B1338C952}"/>
    <cellStyle name="Normal 8 2 3 2 5 2 3" xfId="12463" xr:uid="{E0514B95-19C8-4371-B397-8408D80D04B3}"/>
    <cellStyle name="Normal 8 2 3 2 5 2 4" xfId="20901" xr:uid="{AE6FE647-9BB4-47A8-B2EB-FEF55FB228C7}"/>
    <cellStyle name="Normal 8 2 3 2 5 3" xfId="6094" xr:uid="{00000000-0005-0000-0000-0000B41C0000}"/>
    <cellStyle name="Normal 8 2 3 2 5 3 2" xfId="14536" xr:uid="{AF31FD77-9FB9-46B5-85C2-78119D2E541E}"/>
    <cellStyle name="Normal 8 2 3 2 5 3 3" xfId="22973" xr:uid="{61495CCB-9D96-44A6-B51B-43B96864A1C9}"/>
    <cellStyle name="Normal 8 2 3 2 5 4" xfId="10318" xr:uid="{8A425ADA-F327-4C39-B6BF-8C921F864942}"/>
    <cellStyle name="Normal 8 2 3 2 5 5" xfId="18756" xr:uid="{6F8A3A89-218A-4C83-88CD-C65B911954BC}"/>
    <cellStyle name="Normal 8 2 3 2 6" xfId="2200" xr:uid="{00000000-0005-0000-0000-0000B51C0000}"/>
    <cellStyle name="Normal 8 2 3 2 6 2" xfId="4429" xr:uid="{00000000-0005-0000-0000-0000B61C0000}"/>
    <cellStyle name="Normal 8 2 3 2 6 2 2" xfId="8652" xr:uid="{00000000-0005-0000-0000-0000B71C0000}"/>
    <cellStyle name="Normal 8 2 3 2 6 2 2 2" xfId="17094" xr:uid="{B2FBD2B2-5427-4838-9845-DA821A0A5C4F}"/>
    <cellStyle name="Normal 8 2 3 2 6 2 2 3" xfId="25531" xr:uid="{0B0EE979-5257-49C3-AB6D-E74AEB697867}"/>
    <cellStyle name="Normal 8 2 3 2 6 2 3" xfId="12876" xr:uid="{1C1A691A-5330-4EA9-8E59-92CEBBD958B7}"/>
    <cellStyle name="Normal 8 2 3 2 6 2 4" xfId="21314" xr:uid="{3FAE8F9B-AA39-4758-A80C-AB67777D2A7B}"/>
    <cellStyle name="Normal 8 2 3 2 6 3" xfId="6507" xr:uid="{00000000-0005-0000-0000-0000B81C0000}"/>
    <cellStyle name="Normal 8 2 3 2 6 3 2" xfId="14949" xr:uid="{4DD1B548-BE2E-4C9A-84BF-1A7EFA7DB57F}"/>
    <cellStyle name="Normal 8 2 3 2 6 3 3" xfId="23386" xr:uid="{5A72426C-C666-4D1C-B2A3-41450A9D355B}"/>
    <cellStyle name="Normal 8 2 3 2 6 4" xfId="10731" xr:uid="{E92DF4E6-33D1-4BCA-AC4B-747BF1835FF1}"/>
    <cellStyle name="Normal 8 2 3 2 6 5" xfId="19169" xr:uid="{83F0BF79-3F98-4813-AB83-384DADFDA9DF}"/>
    <cellStyle name="Normal 8 2 3 2 7" xfId="2636" xr:uid="{00000000-0005-0000-0000-0000B91C0000}"/>
    <cellStyle name="Normal 8 2 3 2 7 2" xfId="6920" xr:uid="{00000000-0005-0000-0000-0000BA1C0000}"/>
    <cellStyle name="Normal 8 2 3 2 7 2 2" xfId="15362" xr:uid="{C98BD263-698B-40E8-B307-8E7023C7E1AC}"/>
    <cellStyle name="Normal 8 2 3 2 7 2 3" xfId="23799" xr:uid="{900CDB93-46AA-4430-A1B0-032F87A83155}"/>
    <cellStyle name="Normal 8 2 3 2 7 3" xfId="11144" xr:uid="{2D85963E-A1CF-4F5E-90D0-0F25EFC27B1A}"/>
    <cellStyle name="Normal 8 2 3 2 7 4" xfId="19582" xr:uid="{8ACA0913-0E54-4D79-9604-9E7AAE3D6D60}"/>
    <cellStyle name="Normal 8 2 3 2 8" xfId="4855" xr:uid="{00000000-0005-0000-0000-0000BB1C0000}"/>
    <cellStyle name="Normal 8 2 3 2 8 2" xfId="13297" xr:uid="{EC8991C5-84F6-48BD-88D9-6E64F4072D4A}"/>
    <cellStyle name="Normal 8 2 3 2 8 3" xfId="21734" xr:uid="{09AFD76C-5106-485E-AD0D-D8AE6B0B0356}"/>
    <cellStyle name="Normal 8 2 3 2 9" xfId="9079" xr:uid="{491500DB-0963-49D9-9EA7-6069437FD654}"/>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2 2 2" xfId="15857" xr:uid="{8AD6BB5D-E379-4B0C-BC2A-CDA01E74204C}"/>
    <cellStyle name="Normal 8 2 3 3 2 2 2 3" xfId="24294" xr:uid="{8A0698D0-6C50-49C9-81BA-1C333B635649}"/>
    <cellStyle name="Normal 8 2 3 3 2 2 3" xfId="11639" xr:uid="{E631EA95-D3F9-4AEC-864B-5BB136BC8244}"/>
    <cellStyle name="Normal 8 2 3 3 2 2 4" xfId="20077" xr:uid="{76D8130E-782D-4A1B-A653-E960965D2179}"/>
    <cellStyle name="Normal 8 2 3 3 2 3" xfId="5270" xr:uid="{00000000-0005-0000-0000-0000C01C0000}"/>
    <cellStyle name="Normal 8 2 3 3 2 3 2" xfId="13712" xr:uid="{EF6D66AC-3CF0-4750-8258-B21CB46D1C5C}"/>
    <cellStyle name="Normal 8 2 3 3 2 3 3" xfId="22149" xr:uid="{932A165F-7720-4B46-B74C-BFE3787EF193}"/>
    <cellStyle name="Normal 8 2 3 3 2 4" xfId="9494" xr:uid="{4B8A62AA-53A9-4C1B-A99E-44690E3A38EE}"/>
    <cellStyle name="Normal 8 2 3 3 2 5" xfId="17932" xr:uid="{C2C48246-1F36-4617-B9BB-3BF4D4AA951B}"/>
    <cellStyle name="Normal 8 2 3 3 3" xfId="1375" xr:uid="{00000000-0005-0000-0000-0000C11C0000}"/>
    <cellStyle name="Normal 8 2 3 3 3 2" xfId="3605" xr:uid="{00000000-0005-0000-0000-0000C21C0000}"/>
    <cellStyle name="Normal 8 2 3 3 3 2 2" xfId="7828" xr:uid="{00000000-0005-0000-0000-0000C31C0000}"/>
    <cellStyle name="Normal 8 2 3 3 3 2 2 2" xfId="16270" xr:uid="{472DC2AA-DC45-4067-BC39-73860F675928}"/>
    <cellStyle name="Normal 8 2 3 3 3 2 2 3" xfId="24707" xr:uid="{8E1F011F-E787-48A8-9076-755802EE73AE}"/>
    <cellStyle name="Normal 8 2 3 3 3 2 3" xfId="12052" xr:uid="{925FE13B-D0F1-4DF4-805E-291FE55A9478}"/>
    <cellStyle name="Normal 8 2 3 3 3 2 4" xfId="20490" xr:uid="{7133B15D-4B0E-4D09-97CB-C7DB940DFC95}"/>
    <cellStyle name="Normal 8 2 3 3 3 3" xfId="5683" xr:uid="{00000000-0005-0000-0000-0000C41C0000}"/>
    <cellStyle name="Normal 8 2 3 3 3 3 2" xfId="14125" xr:uid="{ACDC473F-0432-4BDF-9B59-D88033E5F492}"/>
    <cellStyle name="Normal 8 2 3 3 3 3 3" xfId="22562" xr:uid="{E3412C65-8804-4D86-B432-2F655F06EB3E}"/>
    <cellStyle name="Normal 8 2 3 3 3 4" xfId="9907" xr:uid="{A66E1855-8E84-44E0-9215-A6EA5962F16A}"/>
    <cellStyle name="Normal 8 2 3 3 3 5" xfId="18345" xr:uid="{311A36F4-CE84-4A1A-B46B-D4999709CF73}"/>
    <cellStyle name="Normal 8 2 3 3 4" xfId="1788" xr:uid="{00000000-0005-0000-0000-0000C51C0000}"/>
    <cellStyle name="Normal 8 2 3 3 4 2" xfId="4018" xr:uid="{00000000-0005-0000-0000-0000C61C0000}"/>
    <cellStyle name="Normal 8 2 3 3 4 2 2" xfId="8241" xr:uid="{00000000-0005-0000-0000-0000C71C0000}"/>
    <cellStyle name="Normal 8 2 3 3 4 2 2 2" xfId="16683" xr:uid="{F9166ACA-1971-462E-B90B-1A408E5059DD}"/>
    <cellStyle name="Normal 8 2 3 3 4 2 2 3" xfId="25120" xr:uid="{12B5B05E-04E9-4E50-BADD-1AF49AAE58A0}"/>
    <cellStyle name="Normal 8 2 3 3 4 2 3" xfId="12465" xr:uid="{8E346368-41A4-4055-B24D-12000771681F}"/>
    <cellStyle name="Normal 8 2 3 3 4 2 4" xfId="20903" xr:uid="{BB56CEA1-BA33-4464-80EA-5FEB65BB9DE6}"/>
    <cellStyle name="Normal 8 2 3 3 4 3" xfId="6096" xr:uid="{00000000-0005-0000-0000-0000C81C0000}"/>
    <cellStyle name="Normal 8 2 3 3 4 3 2" xfId="14538" xr:uid="{418C62D0-C866-4B69-9070-0664C730C1DE}"/>
    <cellStyle name="Normal 8 2 3 3 4 3 3" xfId="22975" xr:uid="{F34722AB-7544-4D7E-B5DB-5AC35B8E1CBF}"/>
    <cellStyle name="Normal 8 2 3 3 4 4" xfId="10320" xr:uid="{BE310BF1-45CC-4E9D-818B-E8DD18BAED1E}"/>
    <cellStyle name="Normal 8 2 3 3 4 5" xfId="18758" xr:uid="{75596AA5-3AB8-48F4-9637-81A3C58A8CB7}"/>
    <cellStyle name="Normal 8 2 3 3 5" xfId="2202" xr:uid="{00000000-0005-0000-0000-0000C91C0000}"/>
    <cellStyle name="Normal 8 2 3 3 5 2" xfId="4431" xr:uid="{00000000-0005-0000-0000-0000CA1C0000}"/>
    <cellStyle name="Normal 8 2 3 3 5 2 2" xfId="8654" xr:uid="{00000000-0005-0000-0000-0000CB1C0000}"/>
    <cellStyle name="Normal 8 2 3 3 5 2 2 2" xfId="17096" xr:uid="{90D49C47-5549-4893-83AB-C3E9F5A7FBD5}"/>
    <cellStyle name="Normal 8 2 3 3 5 2 2 3" xfId="25533" xr:uid="{844C23D7-B3AE-45F2-B34B-8ACDF29934D0}"/>
    <cellStyle name="Normal 8 2 3 3 5 2 3" xfId="12878" xr:uid="{BEDC22CB-8D8D-4025-AD2F-021F8314BF75}"/>
    <cellStyle name="Normal 8 2 3 3 5 2 4" xfId="21316" xr:uid="{85CE2A7A-6E67-4799-BBBC-87C823CB1ACC}"/>
    <cellStyle name="Normal 8 2 3 3 5 3" xfId="6509" xr:uid="{00000000-0005-0000-0000-0000CC1C0000}"/>
    <cellStyle name="Normal 8 2 3 3 5 3 2" xfId="14951" xr:uid="{D098DE91-1120-4C0C-8820-35210BDA12BB}"/>
    <cellStyle name="Normal 8 2 3 3 5 3 3" xfId="23388" xr:uid="{3C353621-C581-4E26-921F-57F8599EF6DB}"/>
    <cellStyle name="Normal 8 2 3 3 5 4" xfId="10733" xr:uid="{576ECAEE-C7AA-4BF4-A7FC-64BDFD25A971}"/>
    <cellStyle name="Normal 8 2 3 3 5 5" xfId="19171" xr:uid="{AC26943D-9853-485C-88CD-6C40867088B4}"/>
    <cellStyle name="Normal 8 2 3 3 6" xfId="2638" xr:uid="{00000000-0005-0000-0000-0000CD1C0000}"/>
    <cellStyle name="Normal 8 2 3 3 6 2" xfId="6922" xr:uid="{00000000-0005-0000-0000-0000CE1C0000}"/>
    <cellStyle name="Normal 8 2 3 3 6 2 2" xfId="15364" xr:uid="{D192D37D-6D9E-4B3B-B679-EBE9EEDFA544}"/>
    <cellStyle name="Normal 8 2 3 3 6 2 3" xfId="23801" xr:uid="{E79C62D3-4826-45A2-BABB-CF608831418E}"/>
    <cellStyle name="Normal 8 2 3 3 6 3" xfId="11146" xr:uid="{377075D9-3CDA-4AD1-9C55-90002A22BB74}"/>
    <cellStyle name="Normal 8 2 3 3 6 4" xfId="19584" xr:uid="{57D6FE62-8670-456B-9645-71D72A691738}"/>
    <cellStyle name="Normal 8 2 3 3 7" xfId="4857" xr:uid="{00000000-0005-0000-0000-0000CF1C0000}"/>
    <cellStyle name="Normal 8 2 3 3 7 2" xfId="13299" xr:uid="{9FBE45D3-F0FF-48DA-AC50-5975CF737760}"/>
    <cellStyle name="Normal 8 2 3 3 7 3" xfId="21736" xr:uid="{9032BF89-348C-425C-90B8-F4EAA7C312B4}"/>
    <cellStyle name="Normal 8 2 3 3 8" xfId="9081" xr:uid="{7F1E0ED3-B64E-4C98-A1A7-89D3A228F4FF}"/>
    <cellStyle name="Normal 8 2 3 3 9" xfId="17519" xr:uid="{1C37DEE2-F5FB-425D-9756-CDD81778D732}"/>
    <cellStyle name="Normal 8 2 3 4" xfId="955" xr:uid="{00000000-0005-0000-0000-0000D01C0000}"/>
    <cellStyle name="Normal 8 2 3 4 2" xfId="3189" xr:uid="{00000000-0005-0000-0000-0000D11C0000}"/>
    <cellStyle name="Normal 8 2 3 4 2 2" xfId="7412" xr:uid="{00000000-0005-0000-0000-0000D21C0000}"/>
    <cellStyle name="Normal 8 2 3 4 2 2 2" xfId="15854" xr:uid="{F3E5A79F-1DBD-4C43-88EA-934C7C3F5E75}"/>
    <cellStyle name="Normal 8 2 3 4 2 2 3" xfId="24291" xr:uid="{AE685404-959B-4DAB-BE11-BBE54A0CBC94}"/>
    <cellStyle name="Normal 8 2 3 4 2 3" xfId="11636" xr:uid="{4F99B6EE-9503-4DAD-B814-FD31393B3312}"/>
    <cellStyle name="Normal 8 2 3 4 2 4" xfId="20074" xr:uid="{67743B00-1AB2-400B-BE0F-E17AB8913AAC}"/>
    <cellStyle name="Normal 8 2 3 4 3" xfId="5267" xr:uid="{00000000-0005-0000-0000-0000D31C0000}"/>
    <cellStyle name="Normal 8 2 3 4 3 2" xfId="13709" xr:uid="{BD35F780-8C12-4289-ADB6-60CBD982B59E}"/>
    <cellStyle name="Normal 8 2 3 4 3 3" xfId="22146" xr:uid="{BDD7B0ED-0AFF-4091-B5DA-91C2AAD750A5}"/>
    <cellStyle name="Normal 8 2 3 4 4" xfId="9491" xr:uid="{F9E683BD-7AEC-41B4-AE6A-021344D6420E}"/>
    <cellStyle name="Normal 8 2 3 4 5" xfId="17929" xr:uid="{EA8BA270-F91C-4D14-92BE-456F0E33251A}"/>
    <cellStyle name="Normal 8 2 3 5" xfId="1372" xr:uid="{00000000-0005-0000-0000-0000D41C0000}"/>
    <cellStyle name="Normal 8 2 3 5 2" xfId="3602" xr:uid="{00000000-0005-0000-0000-0000D51C0000}"/>
    <cellStyle name="Normal 8 2 3 5 2 2" xfId="7825" xr:uid="{00000000-0005-0000-0000-0000D61C0000}"/>
    <cellStyle name="Normal 8 2 3 5 2 2 2" xfId="16267" xr:uid="{871F085C-D730-4562-820F-D7557864BC11}"/>
    <cellStyle name="Normal 8 2 3 5 2 2 3" xfId="24704" xr:uid="{D5401189-F266-440F-8349-79471C225CA2}"/>
    <cellStyle name="Normal 8 2 3 5 2 3" xfId="12049" xr:uid="{5A575214-0043-477A-ACBE-9AA620923BDC}"/>
    <cellStyle name="Normal 8 2 3 5 2 4" xfId="20487" xr:uid="{5099AF19-1D64-420C-8434-B45462CEFA49}"/>
    <cellStyle name="Normal 8 2 3 5 3" xfId="5680" xr:uid="{00000000-0005-0000-0000-0000D71C0000}"/>
    <cellStyle name="Normal 8 2 3 5 3 2" xfId="14122" xr:uid="{2F4DD456-54D7-4AB2-B475-785612F420F9}"/>
    <cellStyle name="Normal 8 2 3 5 3 3" xfId="22559" xr:uid="{F8302D20-DE1A-475B-99E9-BF948DA4D8AA}"/>
    <cellStyle name="Normal 8 2 3 5 4" xfId="9904" xr:uid="{C59085F8-6919-4167-9FA7-C56F1781BD1B}"/>
    <cellStyle name="Normal 8 2 3 5 5" xfId="18342" xr:uid="{7733C9AF-90E9-4D44-BC58-9106940B8CED}"/>
    <cellStyle name="Normal 8 2 3 6" xfId="1785" xr:uid="{00000000-0005-0000-0000-0000D81C0000}"/>
    <cellStyle name="Normal 8 2 3 6 2" xfId="4015" xr:uid="{00000000-0005-0000-0000-0000D91C0000}"/>
    <cellStyle name="Normal 8 2 3 6 2 2" xfId="8238" xr:uid="{00000000-0005-0000-0000-0000DA1C0000}"/>
    <cellStyle name="Normal 8 2 3 6 2 2 2" xfId="16680" xr:uid="{C501F69C-2013-4004-8BE8-854E4D9C9A2B}"/>
    <cellStyle name="Normal 8 2 3 6 2 2 3" xfId="25117" xr:uid="{26EFA23A-0989-436C-B497-8861760EFE0A}"/>
    <cellStyle name="Normal 8 2 3 6 2 3" xfId="12462" xr:uid="{F2918320-1049-4BD2-959D-A9BDEAE44B72}"/>
    <cellStyle name="Normal 8 2 3 6 2 4" xfId="20900" xr:uid="{9F1DA524-9537-4132-9ECF-1C26396CA749}"/>
    <cellStyle name="Normal 8 2 3 6 3" xfId="6093" xr:uid="{00000000-0005-0000-0000-0000DB1C0000}"/>
    <cellStyle name="Normal 8 2 3 6 3 2" xfId="14535" xr:uid="{5EA2C2E1-5917-438D-98AF-B31D81FDDDB9}"/>
    <cellStyle name="Normal 8 2 3 6 3 3" xfId="22972" xr:uid="{3168BAB3-802D-4C9F-9F1F-FF208F1BC52E}"/>
    <cellStyle name="Normal 8 2 3 6 4" xfId="10317" xr:uid="{657E58EF-20D5-488C-9370-58750217556C}"/>
    <cellStyle name="Normal 8 2 3 6 5" xfId="18755" xr:uid="{01DE99B8-BB5B-4389-8F1A-9D5009C2CD5D}"/>
    <cellStyle name="Normal 8 2 3 7" xfId="2199" xr:uid="{00000000-0005-0000-0000-0000DC1C0000}"/>
    <cellStyle name="Normal 8 2 3 7 2" xfId="4428" xr:uid="{00000000-0005-0000-0000-0000DD1C0000}"/>
    <cellStyle name="Normal 8 2 3 7 2 2" xfId="8651" xr:uid="{00000000-0005-0000-0000-0000DE1C0000}"/>
    <cellStyle name="Normal 8 2 3 7 2 2 2" xfId="17093" xr:uid="{7881DCD9-BF1E-4879-AC85-2A0FDF9C7704}"/>
    <cellStyle name="Normal 8 2 3 7 2 2 3" xfId="25530" xr:uid="{C7081C74-E72B-427A-8F35-636B899CA00B}"/>
    <cellStyle name="Normal 8 2 3 7 2 3" xfId="12875" xr:uid="{1DBE88E7-7ACF-4647-80F0-BA096E9157D6}"/>
    <cellStyle name="Normal 8 2 3 7 2 4" xfId="21313" xr:uid="{7B81169E-6670-4CDA-A946-1E401CEDD9A5}"/>
    <cellStyle name="Normal 8 2 3 7 3" xfId="6506" xr:uid="{00000000-0005-0000-0000-0000DF1C0000}"/>
    <cellStyle name="Normal 8 2 3 7 3 2" xfId="14948" xr:uid="{8244FFA8-2FC7-429B-960B-F22EF1139A51}"/>
    <cellStyle name="Normal 8 2 3 7 3 3" xfId="23385" xr:uid="{728874AA-C266-49FE-BA92-3BFE156AD764}"/>
    <cellStyle name="Normal 8 2 3 7 4" xfId="10730" xr:uid="{92764757-8472-490D-9448-9D7AC57E7ABF}"/>
    <cellStyle name="Normal 8 2 3 7 5" xfId="19168" xr:uid="{F053F232-74D6-466E-951D-FE77AF0B44A5}"/>
    <cellStyle name="Normal 8 2 3 8" xfId="2635" xr:uid="{00000000-0005-0000-0000-0000E01C0000}"/>
    <cellStyle name="Normal 8 2 3 8 2" xfId="6919" xr:uid="{00000000-0005-0000-0000-0000E11C0000}"/>
    <cellStyle name="Normal 8 2 3 8 2 2" xfId="15361" xr:uid="{FF8594CB-0986-4DBE-9A87-1921D7C51A00}"/>
    <cellStyle name="Normal 8 2 3 8 2 3" xfId="23798" xr:uid="{B6DFF2F3-D433-4266-85D8-F40CB7239494}"/>
    <cellStyle name="Normal 8 2 3 8 3" xfId="11143" xr:uid="{83A734A4-94D4-4546-8D0C-B58A4ED01619}"/>
    <cellStyle name="Normal 8 2 3 8 4" xfId="19581" xr:uid="{6312773D-C8F1-4C88-82F1-640271BF732E}"/>
    <cellStyle name="Normal 8 2 3 9" xfId="4854" xr:uid="{00000000-0005-0000-0000-0000E21C0000}"/>
    <cellStyle name="Normal 8 2 3 9 2" xfId="13296" xr:uid="{3EC70421-F5DD-48FE-A923-192CF745D96A}"/>
    <cellStyle name="Normal 8 2 3 9 3" xfId="21733" xr:uid="{962B6384-EFC8-4D67-8C10-C4C255265DDC}"/>
    <cellStyle name="Normal 8 2 4" xfId="492" xr:uid="{00000000-0005-0000-0000-0000E31C0000}"/>
    <cellStyle name="Normal 8 2 4 10" xfId="17520" xr:uid="{09B22AE5-B123-4479-A787-36DEBA5E8AB4}"/>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2 2 2" xfId="15859" xr:uid="{B528365A-F78D-400A-B3B7-72C64BEBF288}"/>
    <cellStyle name="Normal 8 2 4 2 2 2 2 3" xfId="24296" xr:uid="{9C6EDA82-65FF-401F-8126-62C8F826C7B6}"/>
    <cellStyle name="Normal 8 2 4 2 2 2 3" xfId="11641" xr:uid="{38A5BDB3-038F-43D5-95B5-971418216BA4}"/>
    <cellStyle name="Normal 8 2 4 2 2 2 4" xfId="20079" xr:uid="{E932F6DB-D653-44FA-9B3B-328A766C8C0B}"/>
    <cellStyle name="Normal 8 2 4 2 2 3" xfId="5272" xr:uid="{00000000-0005-0000-0000-0000E81C0000}"/>
    <cellStyle name="Normal 8 2 4 2 2 3 2" xfId="13714" xr:uid="{21373A49-E140-43D5-87E3-FAF3C47E0E96}"/>
    <cellStyle name="Normal 8 2 4 2 2 3 3" xfId="22151" xr:uid="{97869FC1-B9BA-4093-B470-6E490C175DA7}"/>
    <cellStyle name="Normal 8 2 4 2 2 4" xfId="9496" xr:uid="{B4E76004-0AC6-40BB-9BE6-D7AFEEC47487}"/>
    <cellStyle name="Normal 8 2 4 2 2 5" xfId="17934" xr:uid="{2DCFD7F3-7C07-4D16-9BD2-A7E060A00F47}"/>
    <cellStyle name="Normal 8 2 4 2 3" xfId="1377" xr:uid="{00000000-0005-0000-0000-0000E91C0000}"/>
    <cellStyle name="Normal 8 2 4 2 3 2" xfId="3607" xr:uid="{00000000-0005-0000-0000-0000EA1C0000}"/>
    <cellStyle name="Normal 8 2 4 2 3 2 2" xfId="7830" xr:uid="{00000000-0005-0000-0000-0000EB1C0000}"/>
    <cellStyle name="Normal 8 2 4 2 3 2 2 2" xfId="16272" xr:uid="{EC748A48-19F5-4FBF-9C01-B2482092D919}"/>
    <cellStyle name="Normal 8 2 4 2 3 2 2 3" xfId="24709" xr:uid="{2DC56B51-7D0E-4F4A-9F14-6BF18FDDD3C4}"/>
    <cellStyle name="Normal 8 2 4 2 3 2 3" xfId="12054" xr:uid="{3D9431EB-5E45-4634-B8BA-0FE3A84DC4C5}"/>
    <cellStyle name="Normal 8 2 4 2 3 2 4" xfId="20492" xr:uid="{E768ADE2-2344-4723-AE49-A9C373A0AF8E}"/>
    <cellStyle name="Normal 8 2 4 2 3 3" xfId="5685" xr:uid="{00000000-0005-0000-0000-0000EC1C0000}"/>
    <cellStyle name="Normal 8 2 4 2 3 3 2" xfId="14127" xr:uid="{DBC0DB11-6C46-4F6B-963B-F7ABA26D1429}"/>
    <cellStyle name="Normal 8 2 4 2 3 3 3" xfId="22564" xr:uid="{DFA704C6-A926-46DC-99DE-A5E12A665878}"/>
    <cellStyle name="Normal 8 2 4 2 3 4" xfId="9909" xr:uid="{2E184804-AAC7-4FFF-BFD2-4200271E0DFF}"/>
    <cellStyle name="Normal 8 2 4 2 3 5" xfId="18347" xr:uid="{EDB58780-EAE6-41EC-8880-E06B5CF2EA28}"/>
    <cellStyle name="Normal 8 2 4 2 4" xfId="1790" xr:uid="{00000000-0005-0000-0000-0000ED1C0000}"/>
    <cellStyle name="Normal 8 2 4 2 4 2" xfId="4020" xr:uid="{00000000-0005-0000-0000-0000EE1C0000}"/>
    <cellStyle name="Normal 8 2 4 2 4 2 2" xfId="8243" xr:uid="{00000000-0005-0000-0000-0000EF1C0000}"/>
    <cellStyle name="Normal 8 2 4 2 4 2 2 2" xfId="16685" xr:uid="{C4321D9E-808D-487E-AE4B-EAF8F6330FF9}"/>
    <cellStyle name="Normal 8 2 4 2 4 2 2 3" xfId="25122" xr:uid="{02DCA165-D65B-441D-9572-FD2D7BC9BB84}"/>
    <cellStyle name="Normal 8 2 4 2 4 2 3" xfId="12467" xr:uid="{2DC0EE8F-4308-4732-9BD5-F6601B02ED18}"/>
    <cellStyle name="Normal 8 2 4 2 4 2 4" xfId="20905" xr:uid="{BDF2F0D9-5346-450A-B827-C6C293860790}"/>
    <cellStyle name="Normal 8 2 4 2 4 3" xfId="6098" xr:uid="{00000000-0005-0000-0000-0000F01C0000}"/>
    <cellStyle name="Normal 8 2 4 2 4 3 2" xfId="14540" xr:uid="{8B126716-6F02-4D33-B663-F9E772D69028}"/>
    <cellStyle name="Normal 8 2 4 2 4 3 3" xfId="22977" xr:uid="{07BA98BA-95CA-4DBF-9830-6ACDA8E7E242}"/>
    <cellStyle name="Normal 8 2 4 2 4 4" xfId="10322" xr:uid="{36470D2C-3F14-4A76-808B-C465EDF20DD1}"/>
    <cellStyle name="Normal 8 2 4 2 4 5" xfId="18760" xr:uid="{C621916C-9B04-4CB8-AB6E-3BF5B4C1785B}"/>
    <cellStyle name="Normal 8 2 4 2 5" xfId="2204" xr:uid="{00000000-0005-0000-0000-0000F11C0000}"/>
    <cellStyle name="Normal 8 2 4 2 5 2" xfId="4433" xr:uid="{00000000-0005-0000-0000-0000F21C0000}"/>
    <cellStyle name="Normal 8 2 4 2 5 2 2" xfId="8656" xr:uid="{00000000-0005-0000-0000-0000F31C0000}"/>
    <cellStyle name="Normal 8 2 4 2 5 2 2 2" xfId="17098" xr:uid="{93857309-839A-458D-B1EB-07906B573935}"/>
    <cellStyle name="Normal 8 2 4 2 5 2 2 3" xfId="25535" xr:uid="{40E9E38B-83FD-4A5D-A0CB-EB05BC7AE64F}"/>
    <cellStyle name="Normal 8 2 4 2 5 2 3" xfId="12880" xr:uid="{56A384EA-93B0-4FE4-B6EF-82712F8D5446}"/>
    <cellStyle name="Normal 8 2 4 2 5 2 4" xfId="21318" xr:uid="{403B6590-330D-473E-8591-35BEE83214F5}"/>
    <cellStyle name="Normal 8 2 4 2 5 3" xfId="6511" xr:uid="{00000000-0005-0000-0000-0000F41C0000}"/>
    <cellStyle name="Normal 8 2 4 2 5 3 2" xfId="14953" xr:uid="{31CF9534-7061-4042-A4F3-DDC4F7EA5723}"/>
    <cellStyle name="Normal 8 2 4 2 5 3 3" xfId="23390" xr:uid="{ECE351AF-49D1-4A26-B4D9-90874136D4B6}"/>
    <cellStyle name="Normal 8 2 4 2 5 4" xfId="10735" xr:uid="{2EB293E3-756E-495A-93E0-EAB7D2218133}"/>
    <cellStyle name="Normal 8 2 4 2 5 5" xfId="19173" xr:uid="{440584AA-3D79-43D7-A3B9-AE0C35C69945}"/>
    <cellStyle name="Normal 8 2 4 2 6" xfId="2640" xr:uid="{00000000-0005-0000-0000-0000F51C0000}"/>
    <cellStyle name="Normal 8 2 4 2 6 2" xfId="6924" xr:uid="{00000000-0005-0000-0000-0000F61C0000}"/>
    <cellStyle name="Normal 8 2 4 2 6 2 2" xfId="15366" xr:uid="{7F87B599-B133-4FE5-8552-C4E81E5F0146}"/>
    <cellStyle name="Normal 8 2 4 2 6 2 3" xfId="23803" xr:uid="{F306A567-4609-460E-9F39-1DACFB009AF0}"/>
    <cellStyle name="Normal 8 2 4 2 6 3" xfId="11148" xr:uid="{6CE3552A-DB1D-4124-89AF-C5C6706EB9B2}"/>
    <cellStyle name="Normal 8 2 4 2 6 4" xfId="19586" xr:uid="{71364161-C5CB-4467-849D-7DDACFAC2E6E}"/>
    <cellStyle name="Normal 8 2 4 2 7" xfId="4859" xr:uid="{00000000-0005-0000-0000-0000F71C0000}"/>
    <cellStyle name="Normal 8 2 4 2 7 2" xfId="13301" xr:uid="{821B2C6A-47D4-46E4-A513-C93F6C4A46B0}"/>
    <cellStyle name="Normal 8 2 4 2 7 3" xfId="21738" xr:uid="{DB849925-23B0-4571-B3B3-D1EC0746615C}"/>
    <cellStyle name="Normal 8 2 4 2 8" xfId="9083" xr:uid="{3819A0AF-7548-44D0-A89B-2EC0CE7FF83B}"/>
    <cellStyle name="Normal 8 2 4 2 9" xfId="17521" xr:uid="{828509AB-C231-4B5D-AA7D-3C300C71028C}"/>
    <cellStyle name="Normal 8 2 4 3" xfId="959" xr:uid="{00000000-0005-0000-0000-0000F81C0000}"/>
    <cellStyle name="Normal 8 2 4 3 2" xfId="3193" xr:uid="{00000000-0005-0000-0000-0000F91C0000}"/>
    <cellStyle name="Normal 8 2 4 3 2 2" xfId="7416" xr:uid="{00000000-0005-0000-0000-0000FA1C0000}"/>
    <cellStyle name="Normal 8 2 4 3 2 2 2" xfId="15858" xr:uid="{013FB8B4-9043-4863-97FD-B2176485FB63}"/>
    <cellStyle name="Normal 8 2 4 3 2 2 3" xfId="24295" xr:uid="{844CA0F0-4AE3-4974-ACAF-07475FD65277}"/>
    <cellStyle name="Normal 8 2 4 3 2 3" xfId="11640" xr:uid="{7479BE0C-A113-4C80-A304-7473F6F15C73}"/>
    <cellStyle name="Normal 8 2 4 3 2 4" xfId="20078" xr:uid="{15C8E46F-9DF5-4DEE-8343-3883A2D93B45}"/>
    <cellStyle name="Normal 8 2 4 3 3" xfId="5271" xr:uid="{00000000-0005-0000-0000-0000FB1C0000}"/>
    <cellStyle name="Normal 8 2 4 3 3 2" xfId="13713" xr:uid="{2A78387E-C190-4A64-A9AE-D5986C9B9DCE}"/>
    <cellStyle name="Normal 8 2 4 3 3 3" xfId="22150" xr:uid="{72E136A9-7B6B-4B9E-B515-AAF3EFD8D8BA}"/>
    <cellStyle name="Normal 8 2 4 3 4" xfId="9495" xr:uid="{2C08B34D-D783-4352-AC66-673E8CAC8916}"/>
    <cellStyle name="Normal 8 2 4 3 5" xfId="17933" xr:uid="{9C756489-D2B3-4123-855D-6B0B563E1EE7}"/>
    <cellStyle name="Normal 8 2 4 4" xfId="1376" xr:uid="{00000000-0005-0000-0000-0000FC1C0000}"/>
    <cellStyle name="Normal 8 2 4 4 2" xfId="3606" xr:uid="{00000000-0005-0000-0000-0000FD1C0000}"/>
    <cellStyle name="Normal 8 2 4 4 2 2" xfId="7829" xr:uid="{00000000-0005-0000-0000-0000FE1C0000}"/>
    <cellStyle name="Normal 8 2 4 4 2 2 2" xfId="16271" xr:uid="{26D11E28-15BE-4021-9534-964FCE222C0D}"/>
    <cellStyle name="Normal 8 2 4 4 2 2 3" xfId="24708" xr:uid="{662A5FD9-C245-4706-B301-FA39699A86B4}"/>
    <cellStyle name="Normal 8 2 4 4 2 3" xfId="12053" xr:uid="{89CE3F2A-E8C4-48B9-A5D0-8DE10B3AA31F}"/>
    <cellStyle name="Normal 8 2 4 4 2 4" xfId="20491" xr:uid="{40E3E9D2-68B5-4BE4-9A89-13B5D84E2633}"/>
    <cellStyle name="Normal 8 2 4 4 3" xfId="5684" xr:uid="{00000000-0005-0000-0000-0000FF1C0000}"/>
    <cellStyle name="Normal 8 2 4 4 3 2" xfId="14126" xr:uid="{97259809-7CF3-4452-ADF4-8DCE1AF07654}"/>
    <cellStyle name="Normal 8 2 4 4 3 3" xfId="22563" xr:uid="{03AE85C0-924E-4A5B-BA43-ADBDFB050E29}"/>
    <cellStyle name="Normal 8 2 4 4 4" xfId="9908" xr:uid="{3D4AD77E-59C0-4050-9C5C-F1884BC5CE3C}"/>
    <cellStyle name="Normal 8 2 4 4 5" xfId="18346" xr:uid="{D0536A11-1703-440F-8268-6EA9A7C520D3}"/>
    <cellStyle name="Normal 8 2 4 5" xfId="1789" xr:uid="{00000000-0005-0000-0000-0000001D0000}"/>
    <cellStyle name="Normal 8 2 4 5 2" xfId="4019" xr:uid="{00000000-0005-0000-0000-0000011D0000}"/>
    <cellStyle name="Normal 8 2 4 5 2 2" xfId="8242" xr:uid="{00000000-0005-0000-0000-0000021D0000}"/>
    <cellStyle name="Normal 8 2 4 5 2 2 2" xfId="16684" xr:uid="{94244E5E-49C2-43D2-9607-D8E7539E607B}"/>
    <cellStyle name="Normal 8 2 4 5 2 2 3" xfId="25121" xr:uid="{1E230972-4D97-4AC7-91D4-9AD12056227E}"/>
    <cellStyle name="Normal 8 2 4 5 2 3" xfId="12466" xr:uid="{8530571B-082C-4087-B0F7-E8DD1DC9E098}"/>
    <cellStyle name="Normal 8 2 4 5 2 4" xfId="20904" xr:uid="{368243B0-ABA0-4FE5-8BD6-77C9675251F8}"/>
    <cellStyle name="Normal 8 2 4 5 3" xfId="6097" xr:uid="{00000000-0005-0000-0000-0000031D0000}"/>
    <cellStyle name="Normal 8 2 4 5 3 2" xfId="14539" xr:uid="{6A1090C3-7A5E-456A-8B2B-950737F9087E}"/>
    <cellStyle name="Normal 8 2 4 5 3 3" xfId="22976" xr:uid="{ADA37E30-405E-4E7E-84C2-EE66268222F7}"/>
    <cellStyle name="Normal 8 2 4 5 4" xfId="10321" xr:uid="{87D3C2F3-8518-4FA9-8023-C8224E54A1B2}"/>
    <cellStyle name="Normal 8 2 4 5 5" xfId="18759" xr:uid="{0400682F-D86E-4361-B248-523C685E231D}"/>
    <cellStyle name="Normal 8 2 4 6" xfId="2203" xr:uid="{00000000-0005-0000-0000-0000041D0000}"/>
    <cellStyle name="Normal 8 2 4 6 2" xfId="4432" xr:uid="{00000000-0005-0000-0000-0000051D0000}"/>
    <cellStyle name="Normal 8 2 4 6 2 2" xfId="8655" xr:uid="{00000000-0005-0000-0000-0000061D0000}"/>
    <cellStyle name="Normal 8 2 4 6 2 2 2" xfId="17097" xr:uid="{673BF8F3-36FA-4EED-B2F9-145EA1CEF40B}"/>
    <cellStyle name="Normal 8 2 4 6 2 2 3" xfId="25534" xr:uid="{8F9C11E2-5B33-426A-B009-C54AC748B36D}"/>
    <cellStyle name="Normal 8 2 4 6 2 3" xfId="12879" xr:uid="{45DDFBB9-0FEB-49F1-A11C-8C552B660ADD}"/>
    <cellStyle name="Normal 8 2 4 6 2 4" xfId="21317" xr:uid="{7982A543-B575-45A2-93AE-7586554824DB}"/>
    <cellStyle name="Normal 8 2 4 6 3" xfId="6510" xr:uid="{00000000-0005-0000-0000-0000071D0000}"/>
    <cellStyle name="Normal 8 2 4 6 3 2" xfId="14952" xr:uid="{5AE44CEB-AFE9-4FB9-83E9-71FBC4B4AD1C}"/>
    <cellStyle name="Normal 8 2 4 6 3 3" xfId="23389" xr:uid="{C39841F6-0758-4F63-9092-2044786149B3}"/>
    <cellStyle name="Normal 8 2 4 6 4" xfId="10734" xr:uid="{5401C375-E6BC-4286-8E88-CD9EDCBFF10B}"/>
    <cellStyle name="Normal 8 2 4 6 5" xfId="19172" xr:uid="{224861E3-A26F-4CAF-AA06-A102141F82B1}"/>
    <cellStyle name="Normal 8 2 4 7" xfId="2639" xr:uid="{00000000-0005-0000-0000-0000081D0000}"/>
    <cellStyle name="Normal 8 2 4 7 2" xfId="6923" xr:uid="{00000000-0005-0000-0000-0000091D0000}"/>
    <cellStyle name="Normal 8 2 4 7 2 2" xfId="15365" xr:uid="{38B25185-CB10-4D3E-96AB-0314A929A81A}"/>
    <cellStyle name="Normal 8 2 4 7 2 3" xfId="23802" xr:uid="{46EC08D7-C307-496D-B88F-F1484FE6DD20}"/>
    <cellStyle name="Normal 8 2 4 7 3" xfId="11147" xr:uid="{8B85AF2F-052F-4490-8126-A2542B484E58}"/>
    <cellStyle name="Normal 8 2 4 7 4" xfId="19585" xr:uid="{68814B28-DC11-4080-84D0-F650E42C622C}"/>
    <cellStyle name="Normal 8 2 4 8" xfId="4858" xr:uid="{00000000-0005-0000-0000-00000A1D0000}"/>
    <cellStyle name="Normal 8 2 4 8 2" xfId="13300" xr:uid="{0C17FAFD-DE11-44F3-83F8-75110598D99E}"/>
    <cellStyle name="Normal 8 2 4 8 3" xfId="21737" xr:uid="{FED5CE48-A58A-4516-9D84-31654B6396F5}"/>
    <cellStyle name="Normal 8 2 4 9" xfId="9082" xr:uid="{4BDABD38-A905-43D2-9D57-911E1A9340D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2 2 2" xfId="15860" xr:uid="{D3168F9D-0A14-443C-A2C4-A794A01FE546}"/>
    <cellStyle name="Normal 8 2 5 2 2 2 3" xfId="24297" xr:uid="{B6A83D94-F24C-4426-B372-27BB277AB9D5}"/>
    <cellStyle name="Normal 8 2 5 2 2 3" xfId="11642" xr:uid="{7077110B-F868-4E80-B448-345E6904527B}"/>
    <cellStyle name="Normal 8 2 5 2 2 4" xfId="20080" xr:uid="{DD30CE4E-B9E7-4951-8086-88D8FB749A90}"/>
    <cellStyle name="Normal 8 2 5 2 3" xfId="5273" xr:uid="{00000000-0005-0000-0000-00000F1D0000}"/>
    <cellStyle name="Normal 8 2 5 2 3 2" xfId="13715" xr:uid="{2E685D8D-7900-495D-AB8F-92FA7C8F25E1}"/>
    <cellStyle name="Normal 8 2 5 2 3 3" xfId="22152" xr:uid="{10893BB4-1492-4907-A685-34C4A44C818B}"/>
    <cellStyle name="Normal 8 2 5 2 4" xfId="9497" xr:uid="{CB095C97-9952-4BB6-9645-A7B5F0561557}"/>
    <cellStyle name="Normal 8 2 5 2 5" xfId="17935" xr:uid="{AFBF3978-F709-49E8-A9F2-EBD1A70CC582}"/>
    <cellStyle name="Normal 8 2 5 3" xfId="1378" xr:uid="{00000000-0005-0000-0000-0000101D0000}"/>
    <cellStyle name="Normal 8 2 5 3 2" xfId="3608" xr:uid="{00000000-0005-0000-0000-0000111D0000}"/>
    <cellStyle name="Normal 8 2 5 3 2 2" xfId="7831" xr:uid="{00000000-0005-0000-0000-0000121D0000}"/>
    <cellStyle name="Normal 8 2 5 3 2 2 2" xfId="16273" xr:uid="{1582CE97-97BB-4A8B-BCCF-21F34FDDF42E}"/>
    <cellStyle name="Normal 8 2 5 3 2 2 3" xfId="24710" xr:uid="{ECF54F1B-6EA9-4D45-9E5F-707EE97567B7}"/>
    <cellStyle name="Normal 8 2 5 3 2 3" xfId="12055" xr:uid="{86CFA37E-B8DD-46E6-ACAD-AA7B2A1DD7BA}"/>
    <cellStyle name="Normal 8 2 5 3 2 4" xfId="20493" xr:uid="{D1CD9B2F-E113-4FBE-BF09-D42F1821DF47}"/>
    <cellStyle name="Normal 8 2 5 3 3" xfId="5686" xr:uid="{00000000-0005-0000-0000-0000131D0000}"/>
    <cellStyle name="Normal 8 2 5 3 3 2" xfId="14128" xr:uid="{E6812E6E-6FEF-408C-9F9D-5069B762C537}"/>
    <cellStyle name="Normal 8 2 5 3 3 3" xfId="22565" xr:uid="{B5545BE0-404C-4522-B8F0-FB3C22426F08}"/>
    <cellStyle name="Normal 8 2 5 3 4" xfId="9910" xr:uid="{C669F239-D53A-42F2-BE24-B248D7CAD0E8}"/>
    <cellStyle name="Normal 8 2 5 3 5" xfId="18348" xr:uid="{94AA8F78-57BD-4635-B310-C19081336385}"/>
    <cellStyle name="Normal 8 2 5 4" xfId="1791" xr:uid="{00000000-0005-0000-0000-0000141D0000}"/>
    <cellStyle name="Normal 8 2 5 4 2" xfId="4021" xr:uid="{00000000-0005-0000-0000-0000151D0000}"/>
    <cellStyle name="Normal 8 2 5 4 2 2" xfId="8244" xr:uid="{00000000-0005-0000-0000-0000161D0000}"/>
    <cellStyle name="Normal 8 2 5 4 2 2 2" xfId="16686" xr:uid="{F1BC9890-F4D4-4C54-AB10-33C4FBE55BB2}"/>
    <cellStyle name="Normal 8 2 5 4 2 2 3" xfId="25123" xr:uid="{CE01E15C-4B66-4B1E-BDDA-61E7C4DC4122}"/>
    <cellStyle name="Normal 8 2 5 4 2 3" xfId="12468" xr:uid="{433E35F1-988D-4688-98CE-4CD22A782FC9}"/>
    <cellStyle name="Normal 8 2 5 4 2 4" xfId="20906" xr:uid="{0A59DD84-D622-4131-8F87-5F9901B1DC06}"/>
    <cellStyle name="Normal 8 2 5 4 3" xfId="6099" xr:uid="{00000000-0005-0000-0000-0000171D0000}"/>
    <cellStyle name="Normal 8 2 5 4 3 2" xfId="14541" xr:uid="{1A3EF084-F498-4EA3-BAF5-A60462DCBC33}"/>
    <cellStyle name="Normal 8 2 5 4 3 3" xfId="22978" xr:uid="{BF37B307-558A-4A69-A22F-0BC5A37EBAB7}"/>
    <cellStyle name="Normal 8 2 5 4 4" xfId="10323" xr:uid="{4CC01DDE-DE10-4C6F-A383-344C89EAC6F6}"/>
    <cellStyle name="Normal 8 2 5 4 5" xfId="18761" xr:uid="{5C28D478-5112-4DD6-A3CC-174587829072}"/>
    <cellStyle name="Normal 8 2 5 5" xfId="2205" xr:uid="{00000000-0005-0000-0000-0000181D0000}"/>
    <cellStyle name="Normal 8 2 5 5 2" xfId="4434" xr:uid="{00000000-0005-0000-0000-0000191D0000}"/>
    <cellStyle name="Normal 8 2 5 5 2 2" xfId="8657" xr:uid="{00000000-0005-0000-0000-00001A1D0000}"/>
    <cellStyle name="Normal 8 2 5 5 2 2 2" xfId="17099" xr:uid="{FE33B26E-F427-4A57-B638-7D6528080EA1}"/>
    <cellStyle name="Normal 8 2 5 5 2 2 3" xfId="25536" xr:uid="{A57ABE6F-0047-4BD1-9724-821EEB3AE03F}"/>
    <cellStyle name="Normal 8 2 5 5 2 3" xfId="12881" xr:uid="{064314BF-9CFF-4D9C-B781-7EACE6C613C7}"/>
    <cellStyle name="Normal 8 2 5 5 2 4" xfId="21319" xr:uid="{5EA1783C-CE38-4EFE-90C9-DAFC66081CAE}"/>
    <cellStyle name="Normal 8 2 5 5 3" xfId="6512" xr:uid="{00000000-0005-0000-0000-00001B1D0000}"/>
    <cellStyle name="Normal 8 2 5 5 3 2" xfId="14954" xr:uid="{60508C99-1015-480A-8AD3-C6F08957DC3B}"/>
    <cellStyle name="Normal 8 2 5 5 3 3" xfId="23391" xr:uid="{1FF072E7-678E-4D62-9406-C0A6A37AB040}"/>
    <cellStyle name="Normal 8 2 5 5 4" xfId="10736" xr:uid="{96031C99-3236-41F5-97A3-B3C062167E19}"/>
    <cellStyle name="Normal 8 2 5 5 5" xfId="19174" xr:uid="{B65FCC40-3545-4826-9692-1EAC1ABDD5B3}"/>
    <cellStyle name="Normal 8 2 5 6" xfId="2641" xr:uid="{00000000-0005-0000-0000-00001C1D0000}"/>
    <cellStyle name="Normal 8 2 5 6 2" xfId="6925" xr:uid="{00000000-0005-0000-0000-00001D1D0000}"/>
    <cellStyle name="Normal 8 2 5 6 2 2" xfId="15367" xr:uid="{940EC1AB-D72E-4C4C-BDD7-E7412C7204D1}"/>
    <cellStyle name="Normal 8 2 5 6 2 3" xfId="23804" xr:uid="{396D82FA-64ED-4A18-A6E2-7589F7CA13A4}"/>
    <cellStyle name="Normal 8 2 5 6 3" xfId="11149" xr:uid="{B056E591-3AD8-4369-9581-8DF4153D8844}"/>
    <cellStyle name="Normal 8 2 5 6 4" xfId="19587" xr:uid="{9B137DF1-6B51-4200-8BD4-E52AD00A2CAE}"/>
    <cellStyle name="Normal 8 2 5 7" xfId="4860" xr:uid="{00000000-0005-0000-0000-00001E1D0000}"/>
    <cellStyle name="Normal 8 2 5 7 2" xfId="13302" xr:uid="{E0508C96-B662-4814-9B86-0D8C79A1F1CD}"/>
    <cellStyle name="Normal 8 2 5 7 3" xfId="21739" xr:uid="{A164FEAA-0547-4538-BC2F-CD755801C269}"/>
    <cellStyle name="Normal 8 2 5 8" xfId="9084" xr:uid="{39DC577D-82DE-4313-892F-B4A554F578A5}"/>
    <cellStyle name="Normal 8 2 5 9" xfId="17522" xr:uid="{6208A058-B3AD-485D-8B9E-DCD475E4CF7C}"/>
    <cellStyle name="Normal 8 2 6" xfId="946" xr:uid="{00000000-0005-0000-0000-00001F1D0000}"/>
    <cellStyle name="Normal 8 2 6 2" xfId="3180" xr:uid="{00000000-0005-0000-0000-0000201D0000}"/>
    <cellStyle name="Normal 8 2 6 2 2" xfId="7403" xr:uid="{00000000-0005-0000-0000-0000211D0000}"/>
    <cellStyle name="Normal 8 2 6 2 2 2" xfId="15845" xr:uid="{F80CC6AC-623E-4F8F-B61A-97D29888C4D0}"/>
    <cellStyle name="Normal 8 2 6 2 2 3" xfId="24282" xr:uid="{BA7A87B6-8205-4909-95D9-CAD6762D20AF}"/>
    <cellStyle name="Normal 8 2 6 2 3" xfId="11627" xr:uid="{974CBE6F-D19B-409E-B0DE-13B09429AC65}"/>
    <cellStyle name="Normal 8 2 6 2 4" xfId="20065" xr:uid="{23C5BA85-F1F3-4C50-A897-7AD352416464}"/>
    <cellStyle name="Normal 8 2 6 3" xfId="5258" xr:uid="{00000000-0005-0000-0000-0000221D0000}"/>
    <cellStyle name="Normal 8 2 6 3 2" xfId="13700" xr:uid="{FC2AC4BE-F3CD-4C02-83D3-7CD7C725780A}"/>
    <cellStyle name="Normal 8 2 6 3 3" xfId="22137" xr:uid="{7937E964-35D9-4CFD-942A-530BDB53BDDC}"/>
    <cellStyle name="Normal 8 2 6 4" xfId="9482" xr:uid="{39CCB1A3-FD57-4949-B9D6-C217A70C786D}"/>
    <cellStyle name="Normal 8 2 6 5" xfId="17920" xr:uid="{505FF2D7-89C9-4554-8FB8-329A79DF3669}"/>
    <cellStyle name="Normal 8 2 7" xfId="1363" xr:uid="{00000000-0005-0000-0000-0000231D0000}"/>
    <cellStyle name="Normal 8 2 7 2" xfId="3593" xr:uid="{00000000-0005-0000-0000-0000241D0000}"/>
    <cellStyle name="Normal 8 2 7 2 2" xfId="7816" xr:uid="{00000000-0005-0000-0000-0000251D0000}"/>
    <cellStyle name="Normal 8 2 7 2 2 2" xfId="16258" xr:uid="{A3A412DD-FACE-407B-9CD5-59D65B32F41B}"/>
    <cellStyle name="Normal 8 2 7 2 2 3" xfId="24695" xr:uid="{10A18F1B-7A69-4C22-94F0-551536350B2A}"/>
    <cellStyle name="Normal 8 2 7 2 3" xfId="12040" xr:uid="{97E63DD5-030D-45F7-B3BD-762BD3998E16}"/>
    <cellStyle name="Normal 8 2 7 2 4" xfId="20478" xr:uid="{B8875B24-4FE0-47B4-A4FF-CBA2BE671067}"/>
    <cellStyle name="Normal 8 2 7 3" xfId="5671" xr:uid="{00000000-0005-0000-0000-0000261D0000}"/>
    <cellStyle name="Normal 8 2 7 3 2" xfId="14113" xr:uid="{77E2557F-FEEE-4787-9E3A-AC5C9922AE4F}"/>
    <cellStyle name="Normal 8 2 7 3 3" xfId="22550" xr:uid="{4E61DF0C-30B3-4EBF-BA96-2E4990A2F985}"/>
    <cellStyle name="Normal 8 2 7 4" xfId="9895" xr:uid="{1D1F08E6-82CB-41EC-AB59-15423771B235}"/>
    <cellStyle name="Normal 8 2 7 5" xfId="18333" xr:uid="{397279A9-1634-48F4-9EA9-76A8C0D23064}"/>
    <cellStyle name="Normal 8 2 8" xfId="1776" xr:uid="{00000000-0005-0000-0000-0000271D0000}"/>
    <cellStyle name="Normal 8 2 8 2" xfId="4006" xr:uid="{00000000-0005-0000-0000-0000281D0000}"/>
    <cellStyle name="Normal 8 2 8 2 2" xfId="8229" xr:uid="{00000000-0005-0000-0000-0000291D0000}"/>
    <cellStyle name="Normal 8 2 8 2 2 2" xfId="16671" xr:uid="{1787B37A-D0FE-47F3-9D71-087CB95B8043}"/>
    <cellStyle name="Normal 8 2 8 2 2 3" xfId="25108" xr:uid="{7A600AAC-DD40-4A58-8BF4-F51A03FC9AA7}"/>
    <cellStyle name="Normal 8 2 8 2 3" xfId="12453" xr:uid="{9F28249F-EADE-4EAE-A80F-6A8DBADA591D}"/>
    <cellStyle name="Normal 8 2 8 2 4" xfId="20891" xr:uid="{89E42C87-4148-442B-A254-D4C2A1835171}"/>
    <cellStyle name="Normal 8 2 8 3" xfId="6084" xr:uid="{00000000-0005-0000-0000-00002A1D0000}"/>
    <cellStyle name="Normal 8 2 8 3 2" xfId="14526" xr:uid="{8D1F5487-0CB7-4664-8474-84F0378E6545}"/>
    <cellStyle name="Normal 8 2 8 3 3" xfId="22963" xr:uid="{CCB5023D-9F24-4760-B267-23E6A0483894}"/>
    <cellStyle name="Normal 8 2 8 4" xfId="10308" xr:uid="{0BC8BB97-4D54-4D51-9F94-0179177A768A}"/>
    <cellStyle name="Normal 8 2 8 5" xfId="18746" xr:uid="{D54FCD56-16BF-45FD-84E7-A86821134E74}"/>
    <cellStyle name="Normal 8 2 9" xfId="2190" xr:uid="{00000000-0005-0000-0000-00002B1D0000}"/>
    <cellStyle name="Normal 8 2 9 2" xfId="4419" xr:uid="{00000000-0005-0000-0000-00002C1D0000}"/>
    <cellStyle name="Normal 8 2 9 2 2" xfId="8642" xr:uid="{00000000-0005-0000-0000-00002D1D0000}"/>
    <cellStyle name="Normal 8 2 9 2 2 2" xfId="17084" xr:uid="{F9F449F5-8895-49C3-97D8-EA7D05D96CFC}"/>
    <cellStyle name="Normal 8 2 9 2 2 3" xfId="25521" xr:uid="{68696A04-D35D-4786-9B37-D923EDC39280}"/>
    <cellStyle name="Normal 8 2 9 2 3" xfId="12866" xr:uid="{1717821E-A301-4E4A-948A-D0E48D92DF96}"/>
    <cellStyle name="Normal 8 2 9 2 4" xfId="21304" xr:uid="{56334562-9A7C-432B-9706-0324AB7DAFAE}"/>
    <cellStyle name="Normal 8 2 9 3" xfId="6497" xr:uid="{00000000-0005-0000-0000-00002E1D0000}"/>
    <cellStyle name="Normal 8 2 9 3 2" xfId="14939" xr:uid="{AD57AEA8-A6D8-4D83-8EAB-5F144A3876F5}"/>
    <cellStyle name="Normal 8 2 9 3 3" xfId="23376" xr:uid="{2A480CD8-C9C4-4D76-856E-5C1FBCDACC57}"/>
    <cellStyle name="Normal 8 2 9 4" xfId="10721" xr:uid="{C7BFA947-9272-491B-BD94-3500928D1D45}"/>
    <cellStyle name="Normal 8 2 9 5" xfId="19159" xr:uid="{0FD8F1EF-6AE1-4F8A-8EC7-33D240B7F8A4}"/>
    <cellStyle name="Normal 8 3" xfId="495" xr:uid="{00000000-0005-0000-0000-00002F1D0000}"/>
    <cellStyle name="Normal 8 3 10" xfId="4861" xr:uid="{00000000-0005-0000-0000-0000301D0000}"/>
    <cellStyle name="Normal 8 3 10 2" xfId="13303" xr:uid="{EA214791-F717-4151-928A-30C151688160}"/>
    <cellStyle name="Normal 8 3 10 3" xfId="21740" xr:uid="{2124C859-2C8C-4F16-BF20-C52553C2242B}"/>
    <cellStyle name="Normal 8 3 11" xfId="9085" xr:uid="{B5EC6E04-9D5E-4EA2-A960-DCE971D0E12E}"/>
    <cellStyle name="Normal 8 3 12" xfId="17523" xr:uid="{9C756754-B36D-45A3-958E-000752639E2C}"/>
    <cellStyle name="Normal 8 3 2" xfId="496" xr:uid="{00000000-0005-0000-0000-0000311D0000}"/>
    <cellStyle name="Normal 8 3 2 10" xfId="9086" xr:uid="{AE77A6F9-0B2B-4693-83DC-CAFB90061EFC}"/>
    <cellStyle name="Normal 8 3 2 11" xfId="17524" xr:uid="{42AF482C-3EBB-4502-B1EB-77CCB263EED5}"/>
    <cellStyle name="Normal 8 3 2 2" xfId="497" xr:uid="{00000000-0005-0000-0000-0000321D0000}"/>
    <cellStyle name="Normal 8 3 2 2 10" xfId="17525" xr:uid="{24E16BE0-8918-4117-A07C-D636672414D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2 2 2" xfId="15864" xr:uid="{C2A740EF-7D90-4909-A383-B656254BC95D}"/>
    <cellStyle name="Normal 8 3 2 2 2 2 2 2 3" xfId="24301" xr:uid="{187823AE-B4E3-4EBE-809A-0E0DC2375EDB}"/>
    <cellStyle name="Normal 8 3 2 2 2 2 2 3" xfId="11646" xr:uid="{5A8FA503-A22A-4442-8A93-E3F59DDBC6A3}"/>
    <cellStyle name="Normal 8 3 2 2 2 2 2 4" xfId="20084" xr:uid="{9CC0DF55-29CE-4BA5-88CB-8AFF4D13A341}"/>
    <cellStyle name="Normal 8 3 2 2 2 2 3" xfId="5277" xr:uid="{00000000-0005-0000-0000-0000371D0000}"/>
    <cellStyle name="Normal 8 3 2 2 2 2 3 2" xfId="13719" xr:uid="{31DA7DA4-35DA-4E6C-9824-4830E6DD329B}"/>
    <cellStyle name="Normal 8 3 2 2 2 2 3 3" xfId="22156" xr:uid="{71F6F096-C6D5-48A7-9F8A-FD959BBE1DA0}"/>
    <cellStyle name="Normal 8 3 2 2 2 2 4" xfId="9501" xr:uid="{FDCA9433-0E3C-43E3-A585-59255A423555}"/>
    <cellStyle name="Normal 8 3 2 2 2 2 5" xfId="17939" xr:uid="{8E9638D4-2A6F-42BE-8A1F-E1FD6A8665A7}"/>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2 2 2" xfId="16277" xr:uid="{E549D916-AE33-4285-B804-B3E339E59A4B}"/>
    <cellStyle name="Normal 8 3 2 2 2 3 2 2 3" xfId="24714" xr:uid="{C494D008-C0B9-46EF-BF8B-A0E62CAD9FCC}"/>
    <cellStyle name="Normal 8 3 2 2 2 3 2 3" xfId="12059" xr:uid="{A3B149A4-10D9-43CA-AAF3-FA2125A61384}"/>
    <cellStyle name="Normal 8 3 2 2 2 3 2 4" xfId="20497" xr:uid="{51D54852-240D-4A2C-B5AC-F014DA159994}"/>
    <cellStyle name="Normal 8 3 2 2 2 3 3" xfId="5690" xr:uid="{00000000-0005-0000-0000-00003B1D0000}"/>
    <cellStyle name="Normal 8 3 2 2 2 3 3 2" xfId="14132" xr:uid="{6C2C3C15-954C-4EAD-B520-EDF2F54AE6FA}"/>
    <cellStyle name="Normal 8 3 2 2 2 3 3 3" xfId="22569" xr:uid="{3E45C0B2-CFA9-40A9-A601-CA61BDD69200}"/>
    <cellStyle name="Normal 8 3 2 2 2 3 4" xfId="9914" xr:uid="{AB83B47A-2BEA-447A-A5E1-777CF65D5CD2}"/>
    <cellStyle name="Normal 8 3 2 2 2 3 5" xfId="18352" xr:uid="{427BF006-3761-4319-8CE0-D099E169ACAD}"/>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2 2 2" xfId="16690" xr:uid="{BD377F85-FA1C-4B42-BFDD-DD51F820B63D}"/>
    <cellStyle name="Normal 8 3 2 2 2 4 2 2 3" xfId="25127" xr:uid="{BAC93777-C9FD-4C25-B841-345C893752B1}"/>
    <cellStyle name="Normal 8 3 2 2 2 4 2 3" xfId="12472" xr:uid="{05D9C27F-EBA3-4100-AE49-155F7FCAB228}"/>
    <cellStyle name="Normal 8 3 2 2 2 4 2 4" xfId="20910" xr:uid="{EE9F6F2C-24C4-485F-B103-4529F9078E28}"/>
    <cellStyle name="Normal 8 3 2 2 2 4 3" xfId="6103" xr:uid="{00000000-0005-0000-0000-00003F1D0000}"/>
    <cellStyle name="Normal 8 3 2 2 2 4 3 2" xfId="14545" xr:uid="{202C1634-1BC2-4B3D-9EDD-9DC87118E4EF}"/>
    <cellStyle name="Normal 8 3 2 2 2 4 3 3" xfId="22982" xr:uid="{68A27033-8801-471B-A608-A8DAAC843ECE}"/>
    <cellStyle name="Normal 8 3 2 2 2 4 4" xfId="10327" xr:uid="{78D55BB3-8E9D-4A18-A8E0-F6AA19B3131D}"/>
    <cellStyle name="Normal 8 3 2 2 2 4 5" xfId="18765" xr:uid="{9D53FCF0-F99A-49F0-A172-CAA95495345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2 2 2" xfId="17103" xr:uid="{59940269-C9EE-4AE4-BF56-4CE11EB19F86}"/>
    <cellStyle name="Normal 8 3 2 2 2 5 2 2 3" xfId="25540" xr:uid="{FCC02D86-4CE2-4B69-A37E-4D95575A7260}"/>
    <cellStyle name="Normal 8 3 2 2 2 5 2 3" xfId="12885" xr:uid="{C3C83090-E614-45B8-A50B-308105225730}"/>
    <cellStyle name="Normal 8 3 2 2 2 5 2 4" xfId="21323" xr:uid="{F45449AC-B067-49C1-8E4C-28C0981C7FBB}"/>
    <cellStyle name="Normal 8 3 2 2 2 5 3" xfId="6516" xr:uid="{00000000-0005-0000-0000-0000431D0000}"/>
    <cellStyle name="Normal 8 3 2 2 2 5 3 2" xfId="14958" xr:uid="{581C4E49-8C03-4091-BC09-42AC5CCD2083}"/>
    <cellStyle name="Normal 8 3 2 2 2 5 3 3" xfId="23395" xr:uid="{9EB04ED1-E874-4B43-B8A8-F50471781045}"/>
    <cellStyle name="Normal 8 3 2 2 2 5 4" xfId="10740" xr:uid="{BED2B6BA-AB06-4E42-B818-53BF6D17A574}"/>
    <cellStyle name="Normal 8 3 2 2 2 5 5" xfId="19178" xr:uid="{B728EB79-F797-4486-BC58-C296C39E780D}"/>
    <cellStyle name="Normal 8 3 2 2 2 6" xfId="2645" xr:uid="{00000000-0005-0000-0000-0000441D0000}"/>
    <cellStyle name="Normal 8 3 2 2 2 6 2" xfId="6929" xr:uid="{00000000-0005-0000-0000-0000451D0000}"/>
    <cellStyle name="Normal 8 3 2 2 2 6 2 2" xfId="15371" xr:uid="{BE7A9B9D-F6EB-4081-92E7-54646218A908}"/>
    <cellStyle name="Normal 8 3 2 2 2 6 2 3" xfId="23808" xr:uid="{30AD115E-8F0B-4B8E-B80B-22F31A9CB0DC}"/>
    <cellStyle name="Normal 8 3 2 2 2 6 3" xfId="11153" xr:uid="{61188F48-5D36-4AE2-9ED9-5B652C93020E}"/>
    <cellStyle name="Normal 8 3 2 2 2 6 4" xfId="19591" xr:uid="{135ED41C-B458-4EF3-9700-5326BA576DD9}"/>
    <cellStyle name="Normal 8 3 2 2 2 7" xfId="4864" xr:uid="{00000000-0005-0000-0000-0000461D0000}"/>
    <cellStyle name="Normal 8 3 2 2 2 7 2" xfId="13306" xr:uid="{4C9782A7-18F1-49B3-9574-DD596F09C247}"/>
    <cellStyle name="Normal 8 3 2 2 2 7 3" xfId="21743" xr:uid="{03C5C6B4-E4AE-42FA-A288-DCB6A79F53F6}"/>
    <cellStyle name="Normal 8 3 2 2 2 8" xfId="9088" xr:uid="{C6368155-424A-4E91-891F-8050DB194195}"/>
    <cellStyle name="Normal 8 3 2 2 2 9" xfId="17526" xr:uid="{C30845ED-4A83-45AA-9BD6-32AFC502C1AC}"/>
    <cellStyle name="Normal 8 3 2 2 3" xfId="964" xr:uid="{00000000-0005-0000-0000-0000471D0000}"/>
    <cellStyle name="Normal 8 3 2 2 3 2" xfId="3198" xr:uid="{00000000-0005-0000-0000-0000481D0000}"/>
    <cellStyle name="Normal 8 3 2 2 3 2 2" xfId="7421" xr:uid="{00000000-0005-0000-0000-0000491D0000}"/>
    <cellStyle name="Normal 8 3 2 2 3 2 2 2" xfId="15863" xr:uid="{331D91AC-500D-483F-BE54-A1062D818855}"/>
    <cellStyle name="Normal 8 3 2 2 3 2 2 3" xfId="24300" xr:uid="{B2ED02F6-E064-413B-8E3A-6430CEDE835B}"/>
    <cellStyle name="Normal 8 3 2 2 3 2 3" xfId="11645" xr:uid="{894451E4-BC31-4F88-936C-54F9A139D916}"/>
    <cellStyle name="Normal 8 3 2 2 3 2 4" xfId="20083" xr:uid="{BBEA5DC7-97B6-48A0-9344-D0ED0B709956}"/>
    <cellStyle name="Normal 8 3 2 2 3 3" xfId="5276" xr:uid="{00000000-0005-0000-0000-00004A1D0000}"/>
    <cellStyle name="Normal 8 3 2 2 3 3 2" xfId="13718" xr:uid="{E64F6324-4028-4209-8833-403928E98D65}"/>
    <cellStyle name="Normal 8 3 2 2 3 3 3" xfId="22155" xr:uid="{EC8C8A53-53D9-4EA1-8D9F-1AE6EB240172}"/>
    <cellStyle name="Normal 8 3 2 2 3 4" xfId="9500" xr:uid="{4D81F673-F94C-4E78-970B-4B2FD94B1AB8}"/>
    <cellStyle name="Normal 8 3 2 2 3 5" xfId="17938" xr:uid="{11C8F9E6-BC6B-45B9-AB2A-A232FF434568}"/>
    <cellStyle name="Normal 8 3 2 2 4" xfId="1381" xr:uid="{00000000-0005-0000-0000-00004B1D0000}"/>
    <cellStyle name="Normal 8 3 2 2 4 2" xfId="3611" xr:uid="{00000000-0005-0000-0000-00004C1D0000}"/>
    <cellStyle name="Normal 8 3 2 2 4 2 2" xfId="7834" xr:uid="{00000000-0005-0000-0000-00004D1D0000}"/>
    <cellStyle name="Normal 8 3 2 2 4 2 2 2" xfId="16276" xr:uid="{04451855-7493-420C-9348-F97BE0289BC8}"/>
    <cellStyle name="Normal 8 3 2 2 4 2 2 3" xfId="24713" xr:uid="{790011CE-11D4-485F-97D8-243D0067BEB5}"/>
    <cellStyle name="Normal 8 3 2 2 4 2 3" xfId="12058" xr:uid="{1AAB7239-2691-4888-8DD3-3F4B8C59DF04}"/>
    <cellStyle name="Normal 8 3 2 2 4 2 4" xfId="20496" xr:uid="{EF94ADC5-984A-4161-AFDC-B29C0BEF84C1}"/>
    <cellStyle name="Normal 8 3 2 2 4 3" xfId="5689" xr:uid="{00000000-0005-0000-0000-00004E1D0000}"/>
    <cellStyle name="Normal 8 3 2 2 4 3 2" xfId="14131" xr:uid="{554E8AE5-1653-4111-8E02-7889DEC81F77}"/>
    <cellStyle name="Normal 8 3 2 2 4 3 3" xfId="22568" xr:uid="{B2248C7D-BD12-427E-9AE6-6D03836ED606}"/>
    <cellStyle name="Normal 8 3 2 2 4 4" xfId="9913" xr:uid="{17034390-9371-472B-A728-E458B45F6054}"/>
    <cellStyle name="Normal 8 3 2 2 4 5" xfId="18351" xr:uid="{5F25DC78-08F0-4A54-9F75-CA6BB605EB57}"/>
    <cellStyle name="Normal 8 3 2 2 5" xfId="1794" xr:uid="{00000000-0005-0000-0000-00004F1D0000}"/>
    <cellStyle name="Normal 8 3 2 2 5 2" xfId="4024" xr:uid="{00000000-0005-0000-0000-0000501D0000}"/>
    <cellStyle name="Normal 8 3 2 2 5 2 2" xfId="8247" xr:uid="{00000000-0005-0000-0000-0000511D0000}"/>
    <cellStyle name="Normal 8 3 2 2 5 2 2 2" xfId="16689" xr:uid="{48BF2DDC-3C44-4A68-BB06-DDDFCA04DFAD}"/>
    <cellStyle name="Normal 8 3 2 2 5 2 2 3" xfId="25126" xr:uid="{5824F772-337C-45B8-9CFD-82C184112E32}"/>
    <cellStyle name="Normal 8 3 2 2 5 2 3" xfId="12471" xr:uid="{D2A5E597-E06E-42B3-8B67-1EDD200750A7}"/>
    <cellStyle name="Normal 8 3 2 2 5 2 4" xfId="20909" xr:uid="{3C06E799-8BD4-42C5-AF1D-BA1154C49A74}"/>
    <cellStyle name="Normal 8 3 2 2 5 3" xfId="6102" xr:uid="{00000000-0005-0000-0000-0000521D0000}"/>
    <cellStyle name="Normal 8 3 2 2 5 3 2" xfId="14544" xr:uid="{DF69FA8F-E522-49AE-A162-9C5F6BB96239}"/>
    <cellStyle name="Normal 8 3 2 2 5 3 3" xfId="22981" xr:uid="{12C5FAEE-A6AC-4F31-9EAD-0DFE2D8B0E28}"/>
    <cellStyle name="Normal 8 3 2 2 5 4" xfId="10326" xr:uid="{118B2938-004C-4A09-A1CD-C8661054B22B}"/>
    <cellStyle name="Normal 8 3 2 2 5 5" xfId="18764" xr:uid="{03AE9737-740F-4F1A-8F19-A1973BDB88F2}"/>
    <cellStyle name="Normal 8 3 2 2 6" xfId="2208" xr:uid="{00000000-0005-0000-0000-0000531D0000}"/>
    <cellStyle name="Normal 8 3 2 2 6 2" xfId="4437" xr:uid="{00000000-0005-0000-0000-0000541D0000}"/>
    <cellStyle name="Normal 8 3 2 2 6 2 2" xfId="8660" xr:uid="{00000000-0005-0000-0000-0000551D0000}"/>
    <cellStyle name="Normal 8 3 2 2 6 2 2 2" xfId="17102" xr:uid="{B6EF6D46-A40A-4DD9-888A-A4DAE02BDB7D}"/>
    <cellStyle name="Normal 8 3 2 2 6 2 2 3" xfId="25539" xr:uid="{8636170A-5049-4DF1-9D8F-8F6831AC4478}"/>
    <cellStyle name="Normal 8 3 2 2 6 2 3" xfId="12884" xr:uid="{C5765C77-4A60-4E42-B24B-B4AB1F7E8F4F}"/>
    <cellStyle name="Normal 8 3 2 2 6 2 4" xfId="21322" xr:uid="{70140C22-22F3-405B-829E-44A1ACFA80D3}"/>
    <cellStyle name="Normal 8 3 2 2 6 3" xfId="6515" xr:uid="{00000000-0005-0000-0000-0000561D0000}"/>
    <cellStyle name="Normal 8 3 2 2 6 3 2" xfId="14957" xr:uid="{A788D517-D485-4CCC-93AD-50D6AC1A7088}"/>
    <cellStyle name="Normal 8 3 2 2 6 3 3" xfId="23394" xr:uid="{7969E53B-A7B5-48E1-974F-04C68D569FB9}"/>
    <cellStyle name="Normal 8 3 2 2 6 4" xfId="10739" xr:uid="{4EC3A264-A931-415A-AB51-9006041362B4}"/>
    <cellStyle name="Normal 8 3 2 2 6 5" xfId="19177" xr:uid="{84A736F0-E40F-4DE5-BAA4-4553B61A6607}"/>
    <cellStyle name="Normal 8 3 2 2 7" xfId="2644" xr:uid="{00000000-0005-0000-0000-0000571D0000}"/>
    <cellStyle name="Normal 8 3 2 2 7 2" xfId="6928" xr:uid="{00000000-0005-0000-0000-0000581D0000}"/>
    <cellStyle name="Normal 8 3 2 2 7 2 2" xfId="15370" xr:uid="{FA128C6B-A86E-4E9E-BDBA-9AC8CE0D0C17}"/>
    <cellStyle name="Normal 8 3 2 2 7 2 3" xfId="23807" xr:uid="{797C2A2E-7B8D-4964-8155-9B71DC6B5276}"/>
    <cellStyle name="Normal 8 3 2 2 7 3" xfId="11152" xr:uid="{231A4F5B-98EC-43D9-9C31-EC2478173B2F}"/>
    <cellStyle name="Normal 8 3 2 2 7 4" xfId="19590" xr:uid="{8596B508-283D-43F1-A80D-A1AA88C6B98E}"/>
    <cellStyle name="Normal 8 3 2 2 8" xfId="4863" xr:uid="{00000000-0005-0000-0000-0000591D0000}"/>
    <cellStyle name="Normal 8 3 2 2 8 2" xfId="13305" xr:uid="{7F6B95DC-0DEE-4942-A671-BC5766030163}"/>
    <cellStyle name="Normal 8 3 2 2 8 3" xfId="21742" xr:uid="{68EFEA3C-43C4-416A-BCB8-8027B73505C9}"/>
    <cellStyle name="Normal 8 3 2 2 9" xfId="9087" xr:uid="{ACE007E5-7B37-4885-8B1B-E78D54B62FDF}"/>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2 2 2" xfId="15865" xr:uid="{3DF25FAD-1043-491B-A333-81F1707D08D2}"/>
    <cellStyle name="Normal 8 3 2 3 2 2 2 3" xfId="24302" xr:uid="{6A5490CC-0211-4A21-A8C7-ACC86E1F400E}"/>
    <cellStyle name="Normal 8 3 2 3 2 2 3" xfId="11647" xr:uid="{EDBA3ABA-A4AB-4D36-8609-B8C21E8FB01C}"/>
    <cellStyle name="Normal 8 3 2 3 2 2 4" xfId="20085" xr:uid="{90D0E327-9153-4504-A8CB-BA9F4F63A3E3}"/>
    <cellStyle name="Normal 8 3 2 3 2 3" xfId="5278" xr:uid="{00000000-0005-0000-0000-00005E1D0000}"/>
    <cellStyle name="Normal 8 3 2 3 2 3 2" xfId="13720" xr:uid="{896F6FC3-ADA7-49E7-9454-408A65DFC858}"/>
    <cellStyle name="Normal 8 3 2 3 2 3 3" xfId="22157" xr:uid="{CDA6AF8A-8CFD-4DB2-AE63-EF57CA67FF63}"/>
    <cellStyle name="Normal 8 3 2 3 2 4" xfId="9502" xr:uid="{5766DE8D-1FED-48C2-8D19-910E5F69A381}"/>
    <cellStyle name="Normal 8 3 2 3 2 5" xfId="17940" xr:uid="{FCDBB0EE-E0C7-46A5-81ED-D266AC08540E}"/>
    <cellStyle name="Normal 8 3 2 3 3" xfId="1383" xr:uid="{00000000-0005-0000-0000-00005F1D0000}"/>
    <cellStyle name="Normal 8 3 2 3 3 2" xfId="3613" xr:uid="{00000000-0005-0000-0000-0000601D0000}"/>
    <cellStyle name="Normal 8 3 2 3 3 2 2" xfId="7836" xr:uid="{00000000-0005-0000-0000-0000611D0000}"/>
    <cellStyle name="Normal 8 3 2 3 3 2 2 2" xfId="16278" xr:uid="{78CD19A5-DF7E-419E-8E9B-4DFE917B2438}"/>
    <cellStyle name="Normal 8 3 2 3 3 2 2 3" xfId="24715" xr:uid="{B2E73247-2714-4D5A-999B-C93C68E662C1}"/>
    <cellStyle name="Normal 8 3 2 3 3 2 3" xfId="12060" xr:uid="{49A41A88-219B-4AC6-967C-7E44ACC2705C}"/>
    <cellStyle name="Normal 8 3 2 3 3 2 4" xfId="20498" xr:uid="{F38185A3-86B0-4BD5-B410-A9C57F7D8E2D}"/>
    <cellStyle name="Normal 8 3 2 3 3 3" xfId="5691" xr:uid="{00000000-0005-0000-0000-0000621D0000}"/>
    <cellStyle name="Normal 8 3 2 3 3 3 2" xfId="14133" xr:uid="{855B372B-3AF8-4235-8DA7-C852B149ED19}"/>
    <cellStyle name="Normal 8 3 2 3 3 3 3" xfId="22570" xr:uid="{C790A257-D80D-4D79-8C61-65AB91511FAF}"/>
    <cellStyle name="Normal 8 3 2 3 3 4" xfId="9915" xr:uid="{78021152-1124-4C87-B6E5-5F2E429ED24C}"/>
    <cellStyle name="Normal 8 3 2 3 3 5" xfId="18353" xr:uid="{4535D4AC-D296-41BB-B018-4EA8107C963F}"/>
    <cellStyle name="Normal 8 3 2 3 4" xfId="1796" xr:uid="{00000000-0005-0000-0000-0000631D0000}"/>
    <cellStyle name="Normal 8 3 2 3 4 2" xfId="4026" xr:uid="{00000000-0005-0000-0000-0000641D0000}"/>
    <cellStyle name="Normal 8 3 2 3 4 2 2" xfId="8249" xr:uid="{00000000-0005-0000-0000-0000651D0000}"/>
    <cellStyle name="Normal 8 3 2 3 4 2 2 2" xfId="16691" xr:uid="{691C07C6-5A40-40A7-AA27-1D7679C85F5E}"/>
    <cellStyle name="Normal 8 3 2 3 4 2 2 3" xfId="25128" xr:uid="{C4198CED-07DE-40D9-A77C-7CDE60DFA900}"/>
    <cellStyle name="Normal 8 3 2 3 4 2 3" xfId="12473" xr:uid="{96802D21-3421-47E5-A6D2-69A27B34C549}"/>
    <cellStyle name="Normal 8 3 2 3 4 2 4" xfId="20911" xr:uid="{CAB3E4F9-0C6D-4A2A-BF49-24119779C82D}"/>
    <cellStyle name="Normal 8 3 2 3 4 3" xfId="6104" xr:uid="{00000000-0005-0000-0000-0000661D0000}"/>
    <cellStyle name="Normal 8 3 2 3 4 3 2" xfId="14546" xr:uid="{7779111F-FBE7-4F16-A60C-03F1FCD4C9C9}"/>
    <cellStyle name="Normal 8 3 2 3 4 3 3" xfId="22983" xr:uid="{5EA640C3-8874-452F-9DC0-415C8E4AF520}"/>
    <cellStyle name="Normal 8 3 2 3 4 4" xfId="10328" xr:uid="{4AF9BAFB-A3CD-437C-86D3-8C3C584F55E8}"/>
    <cellStyle name="Normal 8 3 2 3 4 5" xfId="18766" xr:uid="{FCFBD6FB-FBA9-4EB0-84DE-A33DEEAA2209}"/>
    <cellStyle name="Normal 8 3 2 3 5" xfId="2210" xr:uid="{00000000-0005-0000-0000-0000671D0000}"/>
    <cellStyle name="Normal 8 3 2 3 5 2" xfId="4439" xr:uid="{00000000-0005-0000-0000-0000681D0000}"/>
    <cellStyle name="Normal 8 3 2 3 5 2 2" xfId="8662" xr:uid="{00000000-0005-0000-0000-0000691D0000}"/>
    <cellStyle name="Normal 8 3 2 3 5 2 2 2" xfId="17104" xr:uid="{7E6FD633-4647-4AE6-B337-40D8EC745E51}"/>
    <cellStyle name="Normal 8 3 2 3 5 2 2 3" xfId="25541" xr:uid="{E3CF1801-1B12-4DD5-AA17-99ACFA3694DF}"/>
    <cellStyle name="Normal 8 3 2 3 5 2 3" xfId="12886" xr:uid="{0066BC66-69FB-4B87-9B5C-CF783A3F92C9}"/>
    <cellStyle name="Normal 8 3 2 3 5 2 4" xfId="21324" xr:uid="{D55D8491-AF4E-4838-BB39-3456E2764964}"/>
    <cellStyle name="Normal 8 3 2 3 5 3" xfId="6517" xr:uid="{00000000-0005-0000-0000-00006A1D0000}"/>
    <cellStyle name="Normal 8 3 2 3 5 3 2" xfId="14959" xr:uid="{D6D865EF-C569-4360-B209-E17E8AFA99B1}"/>
    <cellStyle name="Normal 8 3 2 3 5 3 3" xfId="23396" xr:uid="{DB2D91ED-531D-44F9-820D-519EAD87155A}"/>
    <cellStyle name="Normal 8 3 2 3 5 4" xfId="10741" xr:uid="{7B2F92AB-61BD-4341-948C-5DE86F12B8D2}"/>
    <cellStyle name="Normal 8 3 2 3 5 5" xfId="19179" xr:uid="{E6643FE0-AAA6-4D52-87E7-E05F1995F032}"/>
    <cellStyle name="Normal 8 3 2 3 6" xfId="2646" xr:uid="{00000000-0005-0000-0000-00006B1D0000}"/>
    <cellStyle name="Normal 8 3 2 3 6 2" xfId="6930" xr:uid="{00000000-0005-0000-0000-00006C1D0000}"/>
    <cellStyle name="Normal 8 3 2 3 6 2 2" xfId="15372" xr:uid="{89A5F633-B83B-44A6-9EEB-60FCFE4F5FB0}"/>
    <cellStyle name="Normal 8 3 2 3 6 2 3" xfId="23809" xr:uid="{B79A1FB7-4163-4B8E-A385-BDB46381E222}"/>
    <cellStyle name="Normal 8 3 2 3 6 3" xfId="11154" xr:uid="{AAEE2447-DA82-4719-989F-44F1B704F2C5}"/>
    <cellStyle name="Normal 8 3 2 3 6 4" xfId="19592" xr:uid="{E81BE47E-4F85-461A-A170-E08B07759EE9}"/>
    <cellStyle name="Normal 8 3 2 3 7" xfId="4865" xr:uid="{00000000-0005-0000-0000-00006D1D0000}"/>
    <cellStyle name="Normal 8 3 2 3 7 2" xfId="13307" xr:uid="{A9403C87-E423-4B41-A145-455C1BC57614}"/>
    <cellStyle name="Normal 8 3 2 3 7 3" xfId="21744" xr:uid="{B44223C3-31D3-469D-B13B-8F4D66CF1349}"/>
    <cellStyle name="Normal 8 3 2 3 8" xfId="9089" xr:uid="{548BEB3F-A353-4BF7-AD9F-2AFB097576A6}"/>
    <cellStyle name="Normal 8 3 2 3 9" xfId="17527" xr:uid="{F9B79225-E63D-4DE8-AD45-7416624B1341}"/>
    <cellStyle name="Normal 8 3 2 4" xfId="963" xr:uid="{00000000-0005-0000-0000-00006E1D0000}"/>
    <cellStyle name="Normal 8 3 2 4 2" xfId="3197" xr:uid="{00000000-0005-0000-0000-00006F1D0000}"/>
    <cellStyle name="Normal 8 3 2 4 2 2" xfId="7420" xr:uid="{00000000-0005-0000-0000-0000701D0000}"/>
    <cellStyle name="Normal 8 3 2 4 2 2 2" xfId="15862" xr:uid="{636A04B4-4010-41B8-9C8F-A55FBA681DE9}"/>
    <cellStyle name="Normal 8 3 2 4 2 2 3" xfId="24299" xr:uid="{9D030205-FA10-4CCC-8841-F06478914254}"/>
    <cellStyle name="Normal 8 3 2 4 2 3" xfId="11644" xr:uid="{CC7D032F-D92B-4534-B6DC-35DD93797D0F}"/>
    <cellStyle name="Normal 8 3 2 4 2 4" xfId="20082" xr:uid="{1B346BC5-98B9-4E1F-98A9-02EEAF4AAEC3}"/>
    <cellStyle name="Normal 8 3 2 4 3" xfId="5275" xr:uid="{00000000-0005-0000-0000-0000711D0000}"/>
    <cellStyle name="Normal 8 3 2 4 3 2" xfId="13717" xr:uid="{FD888995-D722-42BC-9667-1BE924FE2006}"/>
    <cellStyle name="Normal 8 3 2 4 3 3" xfId="22154" xr:uid="{47796589-83F3-400E-A26E-9D6CDCE72785}"/>
    <cellStyle name="Normal 8 3 2 4 4" xfId="9499" xr:uid="{A98B562B-3857-4588-8C25-0550E15DA568}"/>
    <cellStyle name="Normal 8 3 2 4 5" xfId="17937" xr:uid="{53EF1F78-EBFE-4F91-B4A7-A783AA7C1BFB}"/>
    <cellStyle name="Normal 8 3 2 5" xfId="1380" xr:uid="{00000000-0005-0000-0000-0000721D0000}"/>
    <cellStyle name="Normal 8 3 2 5 2" xfId="3610" xr:uid="{00000000-0005-0000-0000-0000731D0000}"/>
    <cellStyle name="Normal 8 3 2 5 2 2" xfId="7833" xr:uid="{00000000-0005-0000-0000-0000741D0000}"/>
    <cellStyle name="Normal 8 3 2 5 2 2 2" xfId="16275" xr:uid="{07000E1B-5ED8-462B-B379-63C3F6127B83}"/>
    <cellStyle name="Normal 8 3 2 5 2 2 3" xfId="24712" xr:uid="{2A08CCB3-B30D-4CA3-9D6D-DE08BB8D0864}"/>
    <cellStyle name="Normal 8 3 2 5 2 3" xfId="12057" xr:uid="{F3E04243-2467-47F6-931E-0F81EBD9E2B2}"/>
    <cellStyle name="Normal 8 3 2 5 2 4" xfId="20495" xr:uid="{76918C0B-EAA2-4AFD-B950-37F698E078CE}"/>
    <cellStyle name="Normal 8 3 2 5 3" xfId="5688" xr:uid="{00000000-0005-0000-0000-0000751D0000}"/>
    <cellStyle name="Normal 8 3 2 5 3 2" xfId="14130" xr:uid="{4B3357CC-520D-4181-9E40-F38D9C1926A5}"/>
    <cellStyle name="Normal 8 3 2 5 3 3" xfId="22567" xr:uid="{C2F6991A-C9C1-4565-821B-E8492E699EA6}"/>
    <cellStyle name="Normal 8 3 2 5 4" xfId="9912" xr:uid="{9C7432F5-BD68-43AA-836B-F9A2F1E11A59}"/>
    <cellStyle name="Normal 8 3 2 5 5" xfId="18350" xr:uid="{B6971F9B-110C-47FC-840F-223B980F26C1}"/>
    <cellStyle name="Normal 8 3 2 6" xfId="1793" xr:uid="{00000000-0005-0000-0000-0000761D0000}"/>
    <cellStyle name="Normal 8 3 2 6 2" xfId="4023" xr:uid="{00000000-0005-0000-0000-0000771D0000}"/>
    <cellStyle name="Normal 8 3 2 6 2 2" xfId="8246" xr:uid="{00000000-0005-0000-0000-0000781D0000}"/>
    <cellStyle name="Normal 8 3 2 6 2 2 2" xfId="16688" xr:uid="{52D689CA-4550-4588-8878-59EC43B47479}"/>
    <cellStyle name="Normal 8 3 2 6 2 2 3" xfId="25125" xr:uid="{7A6FA1F2-1281-4578-8848-8BDB55107482}"/>
    <cellStyle name="Normal 8 3 2 6 2 3" xfId="12470" xr:uid="{68A9B4E6-900B-40C4-938B-CC4F447FF0C7}"/>
    <cellStyle name="Normal 8 3 2 6 2 4" xfId="20908" xr:uid="{2AB12CA0-2CC8-463A-A56A-E82DAE20BC27}"/>
    <cellStyle name="Normal 8 3 2 6 3" xfId="6101" xr:uid="{00000000-0005-0000-0000-0000791D0000}"/>
    <cellStyle name="Normal 8 3 2 6 3 2" xfId="14543" xr:uid="{92665C45-7127-4E55-965F-328899681374}"/>
    <cellStyle name="Normal 8 3 2 6 3 3" xfId="22980" xr:uid="{1BDF997E-1176-4C76-BA03-E1994B7965C2}"/>
    <cellStyle name="Normal 8 3 2 6 4" xfId="10325" xr:uid="{E0F8837A-610F-4AEE-B8C6-FFBB02EE2A7A}"/>
    <cellStyle name="Normal 8 3 2 6 5" xfId="18763" xr:uid="{9105111E-DB74-4CC8-9203-7CE4B3AE2C67}"/>
    <cellStyle name="Normal 8 3 2 7" xfId="2207" xr:uid="{00000000-0005-0000-0000-00007A1D0000}"/>
    <cellStyle name="Normal 8 3 2 7 2" xfId="4436" xr:uid="{00000000-0005-0000-0000-00007B1D0000}"/>
    <cellStyle name="Normal 8 3 2 7 2 2" xfId="8659" xr:uid="{00000000-0005-0000-0000-00007C1D0000}"/>
    <cellStyle name="Normal 8 3 2 7 2 2 2" xfId="17101" xr:uid="{CA088FC1-3E0E-40FD-9E37-B3879E29CD27}"/>
    <cellStyle name="Normal 8 3 2 7 2 2 3" xfId="25538" xr:uid="{35275014-C725-4BA0-A907-191DD0CC76D1}"/>
    <cellStyle name="Normal 8 3 2 7 2 3" xfId="12883" xr:uid="{B2FDDA6A-B45F-4C76-913C-1714F2A13AD2}"/>
    <cellStyle name="Normal 8 3 2 7 2 4" xfId="21321" xr:uid="{35306E6C-0E56-4126-ADAB-B5B1F2B0A05A}"/>
    <cellStyle name="Normal 8 3 2 7 3" xfId="6514" xr:uid="{00000000-0005-0000-0000-00007D1D0000}"/>
    <cellStyle name="Normal 8 3 2 7 3 2" xfId="14956" xr:uid="{D32A3CEA-5854-4440-B729-C63F4953BAC4}"/>
    <cellStyle name="Normal 8 3 2 7 3 3" xfId="23393" xr:uid="{F4126AA7-C89B-4D58-934B-5E1632A3D332}"/>
    <cellStyle name="Normal 8 3 2 7 4" xfId="10738" xr:uid="{6C24962D-25DA-4DB7-8CAC-E0E91AB064DE}"/>
    <cellStyle name="Normal 8 3 2 7 5" xfId="19176" xr:uid="{29C88FD9-3D89-4F74-BE4F-D7B3911C7621}"/>
    <cellStyle name="Normal 8 3 2 8" xfId="2643" xr:uid="{00000000-0005-0000-0000-00007E1D0000}"/>
    <cellStyle name="Normal 8 3 2 8 2" xfId="6927" xr:uid="{00000000-0005-0000-0000-00007F1D0000}"/>
    <cellStyle name="Normal 8 3 2 8 2 2" xfId="15369" xr:uid="{A4AD700F-1633-4A36-8926-F68CA3341DB3}"/>
    <cellStyle name="Normal 8 3 2 8 2 3" xfId="23806" xr:uid="{24A8D579-D6FD-4AA7-AFE1-0AFC3193B421}"/>
    <cellStyle name="Normal 8 3 2 8 3" xfId="11151" xr:uid="{F4EE5CB7-15B6-4620-BAD2-2942524B84CF}"/>
    <cellStyle name="Normal 8 3 2 8 4" xfId="19589" xr:uid="{3677D44E-DA17-4600-A5BC-4F93017B416D}"/>
    <cellStyle name="Normal 8 3 2 9" xfId="4862" xr:uid="{00000000-0005-0000-0000-0000801D0000}"/>
    <cellStyle name="Normal 8 3 2 9 2" xfId="13304" xr:uid="{71B5BB30-8F7C-46AA-A5D4-65874CF8B15C}"/>
    <cellStyle name="Normal 8 3 2 9 3" xfId="21741" xr:uid="{3B17735A-C365-4832-A951-0A74D2C2B990}"/>
    <cellStyle name="Normal 8 3 3" xfId="500" xr:uid="{00000000-0005-0000-0000-0000811D0000}"/>
    <cellStyle name="Normal 8 3 3 10" xfId="17528" xr:uid="{63E5F71E-EBC9-47EA-9A7F-2FB4DCF2E7BD}"/>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2 2 2" xfId="15867" xr:uid="{2987F3B0-19ED-4CFA-A3BB-4511481CE0D5}"/>
    <cellStyle name="Normal 8 3 3 2 2 2 2 3" xfId="24304" xr:uid="{1AEC176A-43EF-43BE-B333-A763468CA67C}"/>
    <cellStyle name="Normal 8 3 3 2 2 2 3" xfId="11649" xr:uid="{67732AE3-90EE-46CA-B2B6-10B6AC41B749}"/>
    <cellStyle name="Normal 8 3 3 2 2 2 4" xfId="20087" xr:uid="{76C20971-7878-4EEC-8021-77F63ADFFEE3}"/>
    <cellStyle name="Normal 8 3 3 2 2 3" xfId="5280" xr:uid="{00000000-0005-0000-0000-0000861D0000}"/>
    <cellStyle name="Normal 8 3 3 2 2 3 2" xfId="13722" xr:uid="{24B11C75-7D15-47B6-8AF3-64377A8C42A2}"/>
    <cellStyle name="Normal 8 3 3 2 2 3 3" xfId="22159" xr:uid="{7400C978-28F5-4345-97D8-937974459D7F}"/>
    <cellStyle name="Normal 8 3 3 2 2 4" xfId="9504" xr:uid="{CDEB8FF5-D87E-407F-A4E7-0B4514C4BC68}"/>
    <cellStyle name="Normal 8 3 3 2 2 5" xfId="17942" xr:uid="{74677B19-1760-476D-AC89-0E989020001B}"/>
    <cellStyle name="Normal 8 3 3 2 3" xfId="1385" xr:uid="{00000000-0005-0000-0000-0000871D0000}"/>
    <cellStyle name="Normal 8 3 3 2 3 2" xfId="3615" xr:uid="{00000000-0005-0000-0000-0000881D0000}"/>
    <cellStyle name="Normal 8 3 3 2 3 2 2" xfId="7838" xr:uid="{00000000-0005-0000-0000-0000891D0000}"/>
    <cellStyle name="Normal 8 3 3 2 3 2 2 2" xfId="16280" xr:uid="{864F07B7-9972-4090-AB9C-9DB2DFC77240}"/>
    <cellStyle name="Normal 8 3 3 2 3 2 2 3" xfId="24717" xr:uid="{3E421481-E285-48DE-B09C-ED35410424B8}"/>
    <cellStyle name="Normal 8 3 3 2 3 2 3" xfId="12062" xr:uid="{DF967355-6614-4716-9941-2C3F9B9C26A0}"/>
    <cellStyle name="Normal 8 3 3 2 3 2 4" xfId="20500" xr:uid="{772BFE4B-DF90-47EF-83DF-40E8B1BD01D9}"/>
    <cellStyle name="Normal 8 3 3 2 3 3" xfId="5693" xr:uid="{00000000-0005-0000-0000-00008A1D0000}"/>
    <cellStyle name="Normal 8 3 3 2 3 3 2" xfId="14135" xr:uid="{A58D8C28-A657-4FEE-AF54-8E5274AE2E3F}"/>
    <cellStyle name="Normal 8 3 3 2 3 3 3" xfId="22572" xr:uid="{2F82F843-AA37-44F2-BC34-7FB4802A2272}"/>
    <cellStyle name="Normal 8 3 3 2 3 4" xfId="9917" xr:uid="{E0EC2C87-BE6E-42D8-BDB2-0F24F57222B3}"/>
    <cellStyle name="Normal 8 3 3 2 3 5" xfId="18355" xr:uid="{0112A7C5-0227-4F15-982C-EEB40C66F88D}"/>
    <cellStyle name="Normal 8 3 3 2 4" xfId="1798" xr:uid="{00000000-0005-0000-0000-00008B1D0000}"/>
    <cellStyle name="Normal 8 3 3 2 4 2" xfId="4028" xr:uid="{00000000-0005-0000-0000-00008C1D0000}"/>
    <cellStyle name="Normal 8 3 3 2 4 2 2" xfId="8251" xr:uid="{00000000-0005-0000-0000-00008D1D0000}"/>
    <cellStyle name="Normal 8 3 3 2 4 2 2 2" xfId="16693" xr:uid="{28F58916-4A61-4B42-AE34-D85A3B537C64}"/>
    <cellStyle name="Normal 8 3 3 2 4 2 2 3" xfId="25130" xr:uid="{CE32F349-FD58-47BF-A122-A82FBE8851EB}"/>
    <cellStyle name="Normal 8 3 3 2 4 2 3" xfId="12475" xr:uid="{767B4D8F-AD13-4D76-8DEB-E5BDAF5E94BA}"/>
    <cellStyle name="Normal 8 3 3 2 4 2 4" xfId="20913" xr:uid="{B51A555F-E2C6-4275-9CE8-7914F887F8BC}"/>
    <cellStyle name="Normal 8 3 3 2 4 3" xfId="6106" xr:uid="{00000000-0005-0000-0000-00008E1D0000}"/>
    <cellStyle name="Normal 8 3 3 2 4 3 2" xfId="14548" xr:uid="{2FD4F1BC-3DF3-4227-B3B4-58650C34EE9E}"/>
    <cellStyle name="Normal 8 3 3 2 4 3 3" xfId="22985" xr:uid="{1AA4F492-8DC0-4D45-93B6-413642B21F63}"/>
    <cellStyle name="Normal 8 3 3 2 4 4" xfId="10330" xr:uid="{94DEC69A-FBC4-4921-9020-1D47CEAA054E}"/>
    <cellStyle name="Normal 8 3 3 2 4 5" xfId="18768" xr:uid="{089BD902-7B55-4B59-BFF5-A907F7BAB07F}"/>
    <cellStyle name="Normal 8 3 3 2 5" xfId="2212" xr:uid="{00000000-0005-0000-0000-00008F1D0000}"/>
    <cellStyle name="Normal 8 3 3 2 5 2" xfId="4441" xr:uid="{00000000-0005-0000-0000-0000901D0000}"/>
    <cellStyle name="Normal 8 3 3 2 5 2 2" xfId="8664" xr:uid="{00000000-0005-0000-0000-0000911D0000}"/>
    <cellStyle name="Normal 8 3 3 2 5 2 2 2" xfId="17106" xr:uid="{56BE45D0-9A16-496C-9CE0-A796B8B5140B}"/>
    <cellStyle name="Normal 8 3 3 2 5 2 2 3" xfId="25543" xr:uid="{FF4D713C-4623-4497-AE8B-08E50BD855F3}"/>
    <cellStyle name="Normal 8 3 3 2 5 2 3" xfId="12888" xr:uid="{2499243E-2D0B-4A69-85A0-74FB6892F890}"/>
    <cellStyle name="Normal 8 3 3 2 5 2 4" xfId="21326" xr:uid="{12591A11-58B1-4278-9F10-020881880CE1}"/>
    <cellStyle name="Normal 8 3 3 2 5 3" xfId="6519" xr:uid="{00000000-0005-0000-0000-0000921D0000}"/>
    <cellStyle name="Normal 8 3 3 2 5 3 2" xfId="14961" xr:uid="{5C6F0CAB-6EE5-4595-B449-CFE7BEECCACA}"/>
    <cellStyle name="Normal 8 3 3 2 5 3 3" xfId="23398" xr:uid="{DE4ACA28-16EC-4A6F-B433-DF2AE82881D2}"/>
    <cellStyle name="Normal 8 3 3 2 5 4" xfId="10743" xr:uid="{A7180C5B-4747-4653-B06E-CB571B795C2B}"/>
    <cellStyle name="Normal 8 3 3 2 5 5" xfId="19181" xr:uid="{75DE8F64-6D64-4BC6-A781-4023E7C3BE1C}"/>
    <cellStyle name="Normal 8 3 3 2 6" xfId="2648" xr:uid="{00000000-0005-0000-0000-0000931D0000}"/>
    <cellStyle name="Normal 8 3 3 2 6 2" xfId="6932" xr:uid="{00000000-0005-0000-0000-0000941D0000}"/>
    <cellStyle name="Normal 8 3 3 2 6 2 2" xfId="15374" xr:uid="{DD4249A0-F398-4E29-892F-ADF8EF10FF70}"/>
    <cellStyle name="Normal 8 3 3 2 6 2 3" xfId="23811" xr:uid="{3BC0C8F3-851B-4ACE-AAF1-C5A9247BCE89}"/>
    <cellStyle name="Normal 8 3 3 2 6 3" xfId="11156" xr:uid="{C313D563-45F3-4A0C-9CFF-FC5093F4F4A8}"/>
    <cellStyle name="Normal 8 3 3 2 6 4" xfId="19594" xr:uid="{569CFB79-5918-4BBF-AFB6-C52655B8836B}"/>
    <cellStyle name="Normal 8 3 3 2 7" xfId="4867" xr:uid="{00000000-0005-0000-0000-0000951D0000}"/>
    <cellStyle name="Normal 8 3 3 2 7 2" xfId="13309" xr:uid="{4414B79C-A941-4085-9206-564BCE142E9D}"/>
    <cellStyle name="Normal 8 3 3 2 7 3" xfId="21746" xr:uid="{ED084B03-18BF-4DCB-8341-BB5E4D47F0C7}"/>
    <cellStyle name="Normal 8 3 3 2 8" xfId="9091" xr:uid="{4C56C4C2-F690-4A0A-B5FA-E5E6841AEF48}"/>
    <cellStyle name="Normal 8 3 3 2 9" xfId="17529" xr:uid="{E86D8455-D148-44FC-9521-7047C930FE22}"/>
    <cellStyle name="Normal 8 3 3 3" xfId="967" xr:uid="{00000000-0005-0000-0000-0000961D0000}"/>
    <cellStyle name="Normal 8 3 3 3 2" xfId="3201" xr:uid="{00000000-0005-0000-0000-0000971D0000}"/>
    <cellStyle name="Normal 8 3 3 3 2 2" xfId="7424" xr:uid="{00000000-0005-0000-0000-0000981D0000}"/>
    <cellStyle name="Normal 8 3 3 3 2 2 2" xfId="15866" xr:uid="{464ED11E-02B9-44C3-924E-30D1B9FD3034}"/>
    <cellStyle name="Normal 8 3 3 3 2 2 3" xfId="24303" xr:uid="{829442D6-E969-45F5-9909-02C31A6E9C4A}"/>
    <cellStyle name="Normal 8 3 3 3 2 3" xfId="11648" xr:uid="{242F91BF-9945-4556-81BC-44CDE52FEFC3}"/>
    <cellStyle name="Normal 8 3 3 3 2 4" xfId="20086" xr:uid="{70D2FE63-6585-43E6-9614-CB1355EA9A97}"/>
    <cellStyle name="Normal 8 3 3 3 3" xfId="5279" xr:uid="{00000000-0005-0000-0000-0000991D0000}"/>
    <cellStyle name="Normal 8 3 3 3 3 2" xfId="13721" xr:uid="{E081E27F-1CC4-4010-B6C2-7068E965F3F9}"/>
    <cellStyle name="Normal 8 3 3 3 3 3" xfId="22158" xr:uid="{D46D6F25-0FF7-4CBE-A463-5B6F0966E421}"/>
    <cellStyle name="Normal 8 3 3 3 4" xfId="9503" xr:uid="{BB19509F-68E1-4469-B16C-83C96B0AF9FE}"/>
    <cellStyle name="Normal 8 3 3 3 5" xfId="17941" xr:uid="{C4CA82A5-FC7A-4E76-8523-754F00DBA5E3}"/>
    <cellStyle name="Normal 8 3 3 4" xfId="1384" xr:uid="{00000000-0005-0000-0000-00009A1D0000}"/>
    <cellStyle name="Normal 8 3 3 4 2" xfId="3614" xr:uid="{00000000-0005-0000-0000-00009B1D0000}"/>
    <cellStyle name="Normal 8 3 3 4 2 2" xfId="7837" xr:uid="{00000000-0005-0000-0000-00009C1D0000}"/>
    <cellStyle name="Normal 8 3 3 4 2 2 2" xfId="16279" xr:uid="{383DE712-EBFF-4228-8795-01A18E606994}"/>
    <cellStyle name="Normal 8 3 3 4 2 2 3" xfId="24716" xr:uid="{D3B0D3A1-9B22-4CCA-B9DE-3E33F16CB227}"/>
    <cellStyle name="Normal 8 3 3 4 2 3" xfId="12061" xr:uid="{0A06B789-4D55-45C4-80F2-4E1F659ECCED}"/>
    <cellStyle name="Normal 8 3 3 4 2 4" xfId="20499" xr:uid="{8CB91937-C144-4CA8-A48F-E234AB36394B}"/>
    <cellStyle name="Normal 8 3 3 4 3" xfId="5692" xr:uid="{00000000-0005-0000-0000-00009D1D0000}"/>
    <cellStyle name="Normal 8 3 3 4 3 2" xfId="14134" xr:uid="{08CC5F9B-2D64-4B7E-BDC3-BB766D348660}"/>
    <cellStyle name="Normal 8 3 3 4 3 3" xfId="22571" xr:uid="{1494D20C-98A4-4177-9664-A142CD4CC334}"/>
    <cellStyle name="Normal 8 3 3 4 4" xfId="9916" xr:uid="{7F45D914-9A2D-408A-AAD1-C8293A59A390}"/>
    <cellStyle name="Normal 8 3 3 4 5" xfId="18354" xr:uid="{0926F0E4-BEC3-4471-8CAC-C6086C719036}"/>
    <cellStyle name="Normal 8 3 3 5" xfId="1797" xr:uid="{00000000-0005-0000-0000-00009E1D0000}"/>
    <cellStyle name="Normal 8 3 3 5 2" xfId="4027" xr:uid="{00000000-0005-0000-0000-00009F1D0000}"/>
    <cellStyle name="Normal 8 3 3 5 2 2" xfId="8250" xr:uid="{00000000-0005-0000-0000-0000A01D0000}"/>
    <cellStyle name="Normal 8 3 3 5 2 2 2" xfId="16692" xr:uid="{A66C3610-2545-490E-90D3-E6CE544D1F71}"/>
    <cellStyle name="Normal 8 3 3 5 2 2 3" xfId="25129" xr:uid="{291C13B3-C75C-4025-8CBE-2C3F7108EF94}"/>
    <cellStyle name="Normal 8 3 3 5 2 3" xfId="12474" xr:uid="{79CB66BF-FC08-487C-BD22-F47F90124A79}"/>
    <cellStyle name="Normal 8 3 3 5 2 4" xfId="20912" xr:uid="{9391D920-913D-4DAB-8964-719900C89530}"/>
    <cellStyle name="Normal 8 3 3 5 3" xfId="6105" xr:uid="{00000000-0005-0000-0000-0000A11D0000}"/>
    <cellStyle name="Normal 8 3 3 5 3 2" xfId="14547" xr:uid="{B32C37DF-6EE5-4767-90CE-8EC68FE562C4}"/>
    <cellStyle name="Normal 8 3 3 5 3 3" xfId="22984" xr:uid="{38BCA2EC-A153-4308-B6A6-B9D84E614C29}"/>
    <cellStyle name="Normal 8 3 3 5 4" xfId="10329" xr:uid="{C8C40694-A95A-42E6-85EE-F979C0387D01}"/>
    <cellStyle name="Normal 8 3 3 5 5" xfId="18767" xr:uid="{C297B79D-BEE6-44FB-940F-5147AB6BBDB3}"/>
    <cellStyle name="Normal 8 3 3 6" xfId="2211" xr:uid="{00000000-0005-0000-0000-0000A21D0000}"/>
    <cellStyle name="Normal 8 3 3 6 2" xfId="4440" xr:uid="{00000000-0005-0000-0000-0000A31D0000}"/>
    <cellStyle name="Normal 8 3 3 6 2 2" xfId="8663" xr:uid="{00000000-0005-0000-0000-0000A41D0000}"/>
    <cellStyle name="Normal 8 3 3 6 2 2 2" xfId="17105" xr:uid="{7D9C1E31-8743-4BE0-B79E-B5FDEDEE8804}"/>
    <cellStyle name="Normal 8 3 3 6 2 2 3" xfId="25542" xr:uid="{E0B87E38-E35C-46D9-B163-757A36A351B4}"/>
    <cellStyle name="Normal 8 3 3 6 2 3" xfId="12887" xr:uid="{2B024D6D-4A6F-4E72-AFFD-D0DD78A051E1}"/>
    <cellStyle name="Normal 8 3 3 6 2 4" xfId="21325" xr:uid="{715A51B7-FD4D-45DD-84B8-DC3E6066A3BB}"/>
    <cellStyle name="Normal 8 3 3 6 3" xfId="6518" xr:uid="{00000000-0005-0000-0000-0000A51D0000}"/>
    <cellStyle name="Normal 8 3 3 6 3 2" xfId="14960" xr:uid="{14B97A80-160E-40F9-B6F3-7F00344D4019}"/>
    <cellStyle name="Normal 8 3 3 6 3 3" xfId="23397" xr:uid="{DD2F8A26-44E1-4E00-8D2B-C22DB03AB9A1}"/>
    <cellStyle name="Normal 8 3 3 6 4" xfId="10742" xr:uid="{68C483B8-C7CD-417F-9B1D-61CD4348E772}"/>
    <cellStyle name="Normal 8 3 3 6 5" xfId="19180" xr:uid="{B2A575CF-E805-4195-915A-F43E9F1C3149}"/>
    <cellStyle name="Normal 8 3 3 7" xfId="2647" xr:uid="{00000000-0005-0000-0000-0000A61D0000}"/>
    <cellStyle name="Normal 8 3 3 7 2" xfId="6931" xr:uid="{00000000-0005-0000-0000-0000A71D0000}"/>
    <cellStyle name="Normal 8 3 3 7 2 2" xfId="15373" xr:uid="{0BC2DBAD-F909-4229-B75B-7840D6350FC5}"/>
    <cellStyle name="Normal 8 3 3 7 2 3" xfId="23810" xr:uid="{4C93310A-FE13-464C-A6D5-52686A2812CC}"/>
    <cellStyle name="Normal 8 3 3 7 3" xfId="11155" xr:uid="{732B58B8-FC54-4323-AF62-558642EDF4B6}"/>
    <cellStyle name="Normal 8 3 3 7 4" xfId="19593" xr:uid="{AA27355B-9AFC-45C2-93F8-A0994543124B}"/>
    <cellStyle name="Normal 8 3 3 8" xfId="4866" xr:uid="{00000000-0005-0000-0000-0000A81D0000}"/>
    <cellStyle name="Normal 8 3 3 8 2" xfId="13308" xr:uid="{0BA479AF-B1C7-4E00-B940-BED23A4082C6}"/>
    <cellStyle name="Normal 8 3 3 8 3" xfId="21745" xr:uid="{C9E525DB-8256-4D32-8808-1280880CD871}"/>
    <cellStyle name="Normal 8 3 3 9" xfId="9090" xr:uid="{4B8DA384-BF42-4869-A4B6-E23552DF9C7D}"/>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2 2 2" xfId="15868" xr:uid="{0830FD84-EB44-465A-BB48-67CEF31ADE60}"/>
    <cellStyle name="Normal 8 3 4 2 2 2 3" xfId="24305" xr:uid="{68726BDF-E0C8-4644-90D7-1586000698C0}"/>
    <cellStyle name="Normal 8 3 4 2 2 3" xfId="11650" xr:uid="{D0EF61E2-DF9B-473E-B923-A560382F6C7D}"/>
    <cellStyle name="Normal 8 3 4 2 2 4" xfId="20088" xr:uid="{A5C42EA1-CA6C-41D9-A3AF-437B3BF35C43}"/>
    <cellStyle name="Normal 8 3 4 2 3" xfId="5281" xr:uid="{00000000-0005-0000-0000-0000AD1D0000}"/>
    <cellStyle name="Normal 8 3 4 2 3 2" xfId="13723" xr:uid="{71FEF8B9-9657-47A2-AC7C-71BDF3E354D0}"/>
    <cellStyle name="Normal 8 3 4 2 3 3" xfId="22160" xr:uid="{E0677C5E-95F8-4C35-80FE-F3D79D734546}"/>
    <cellStyle name="Normal 8 3 4 2 4" xfId="9505" xr:uid="{DC057CA0-8414-423C-A9F9-A38C8451143F}"/>
    <cellStyle name="Normal 8 3 4 2 5" xfId="17943" xr:uid="{8899BA8B-C2ED-4E25-82CB-A88E89F69051}"/>
    <cellStyle name="Normal 8 3 4 3" xfId="1386" xr:uid="{00000000-0005-0000-0000-0000AE1D0000}"/>
    <cellStyle name="Normal 8 3 4 3 2" xfId="3616" xr:uid="{00000000-0005-0000-0000-0000AF1D0000}"/>
    <cellStyle name="Normal 8 3 4 3 2 2" xfId="7839" xr:uid="{00000000-0005-0000-0000-0000B01D0000}"/>
    <cellStyle name="Normal 8 3 4 3 2 2 2" xfId="16281" xr:uid="{A35B74C2-64B7-480F-9E32-B716726EF03D}"/>
    <cellStyle name="Normal 8 3 4 3 2 2 3" xfId="24718" xr:uid="{57DA2CBE-C093-46D8-B110-FB73F07215A1}"/>
    <cellStyle name="Normal 8 3 4 3 2 3" xfId="12063" xr:uid="{77498EC6-7BE7-4D4A-952D-9DCC2BA690E1}"/>
    <cellStyle name="Normal 8 3 4 3 2 4" xfId="20501" xr:uid="{C572DFC5-BFFC-49B2-9F42-F23A88179D15}"/>
    <cellStyle name="Normal 8 3 4 3 3" xfId="5694" xr:uid="{00000000-0005-0000-0000-0000B11D0000}"/>
    <cellStyle name="Normal 8 3 4 3 3 2" xfId="14136" xr:uid="{2999EF17-2D43-4A31-B798-54648FC3A0B0}"/>
    <cellStyle name="Normal 8 3 4 3 3 3" xfId="22573" xr:uid="{2CF51BB9-B79B-4502-8F41-64F4DE0049F5}"/>
    <cellStyle name="Normal 8 3 4 3 4" xfId="9918" xr:uid="{BEF8DF33-C5B3-4B78-9DEB-DEEA435B5505}"/>
    <cellStyle name="Normal 8 3 4 3 5" xfId="18356" xr:uid="{C71DB67E-F098-42C2-B87D-BE88326CF92F}"/>
    <cellStyle name="Normal 8 3 4 4" xfId="1799" xr:uid="{00000000-0005-0000-0000-0000B21D0000}"/>
    <cellStyle name="Normal 8 3 4 4 2" xfId="4029" xr:uid="{00000000-0005-0000-0000-0000B31D0000}"/>
    <cellStyle name="Normal 8 3 4 4 2 2" xfId="8252" xr:uid="{00000000-0005-0000-0000-0000B41D0000}"/>
    <cellStyle name="Normal 8 3 4 4 2 2 2" xfId="16694" xr:uid="{488E08B6-1577-4912-A1E6-541B4B284AA2}"/>
    <cellStyle name="Normal 8 3 4 4 2 2 3" xfId="25131" xr:uid="{95A202CD-7FBB-424B-92BC-3B6D88BAD85F}"/>
    <cellStyle name="Normal 8 3 4 4 2 3" xfId="12476" xr:uid="{D7868A8C-EFDB-4E6C-9341-810D63827948}"/>
    <cellStyle name="Normal 8 3 4 4 2 4" xfId="20914" xr:uid="{42419DFE-843E-4459-B673-373BB9DFA344}"/>
    <cellStyle name="Normal 8 3 4 4 3" xfId="6107" xr:uid="{00000000-0005-0000-0000-0000B51D0000}"/>
    <cellStyle name="Normal 8 3 4 4 3 2" xfId="14549" xr:uid="{2E51B4A0-2AD4-4DE2-8094-78788EEB5EAE}"/>
    <cellStyle name="Normal 8 3 4 4 3 3" xfId="22986" xr:uid="{9ECA06BB-92E7-4CB3-B8CC-BB196F51AC7B}"/>
    <cellStyle name="Normal 8 3 4 4 4" xfId="10331" xr:uid="{77DEA9D9-D4FA-4EBC-9E26-0B6685C6D276}"/>
    <cellStyle name="Normal 8 3 4 4 5" xfId="18769" xr:uid="{DB851F7C-9028-407A-960D-F6FD37049E72}"/>
    <cellStyle name="Normal 8 3 4 5" xfId="2213" xr:uid="{00000000-0005-0000-0000-0000B61D0000}"/>
    <cellStyle name="Normal 8 3 4 5 2" xfId="4442" xr:uid="{00000000-0005-0000-0000-0000B71D0000}"/>
    <cellStyle name="Normal 8 3 4 5 2 2" xfId="8665" xr:uid="{00000000-0005-0000-0000-0000B81D0000}"/>
    <cellStyle name="Normal 8 3 4 5 2 2 2" xfId="17107" xr:uid="{6A50ADFD-4BD0-4C80-884E-136BCCE78D84}"/>
    <cellStyle name="Normal 8 3 4 5 2 2 3" xfId="25544" xr:uid="{DB5A7934-0BC7-4825-BCF5-51A9969117A5}"/>
    <cellStyle name="Normal 8 3 4 5 2 3" xfId="12889" xr:uid="{2EBB29FB-AB34-44F7-A91D-16B57B61B906}"/>
    <cellStyle name="Normal 8 3 4 5 2 4" xfId="21327" xr:uid="{7FF75F2C-A83F-475C-8258-8AD93251BA11}"/>
    <cellStyle name="Normal 8 3 4 5 3" xfId="6520" xr:uid="{00000000-0005-0000-0000-0000B91D0000}"/>
    <cellStyle name="Normal 8 3 4 5 3 2" xfId="14962" xr:uid="{D1A4853F-0469-4902-88DC-5AEA05B0A9BA}"/>
    <cellStyle name="Normal 8 3 4 5 3 3" xfId="23399" xr:uid="{A6CEB969-4F4F-4122-AB6A-DD20790D0B4C}"/>
    <cellStyle name="Normal 8 3 4 5 4" xfId="10744" xr:uid="{E18948CE-CC3E-474F-B42A-EAA645EC6BF4}"/>
    <cellStyle name="Normal 8 3 4 5 5" xfId="19182" xr:uid="{F91C98A3-845B-4E3D-910F-2E00841F4700}"/>
    <cellStyle name="Normal 8 3 4 6" xfId="2649" xr:uid="{00000000-0005-0000-0000-0000BA1D0000}"/>
    <cellStyle name="Normal 8 3 4 6 2" xfId="6933" xr:uid="{00000000-0005-0000-0000-0000BB1D0000}"/>
    <cellStyle name="Normal 8 3 4 6 2 2" xfId="15375" xr:uid="{171EC45D-88F2-4144-A990-B35E3BA55887}"/>
    <cellStyle name="Normal 8 3 4 6 2 3" xfId="23812" xr:uid="{AEFF3091-E5AF-4268-A73C-D788F735543F}"/>
    <cellStyle name="Normal 8 3 4 6 3" xfId="11157" xr:uid="{BE3A7375-AB8D-44BC-B4C8-FD858EF5E91F}"/>
    <cellStyle name="Normal 8 3 4 6 4" xfId="19595" xr:uid="{EA2B86F6-1EC5-4C49-90FA-B573CDA707BD}"/>
    <cellStyle name="Normal 8 3 4 7" xfId="4868" xr:uid="{00000000-0005-0000-0000-0000BC1D0000}"/>
    <cellStyle name="Normal 8 3 4 7 2" xfId="13310" xr:uid="{E8B46827-466D-461D-BDD2-35E4C4D653D0}"/>
    <cellStyle name="Normal 8 3 4 7 3" xfId="21747" xr:uid="{728AB482-6D88-462C-BDBB-FFF27946708B}"/>
    <cellStyle name="Normal 8 3 4 8" xfId="9092" xr:uid="{8C45EBA0-D416-490E-A812-56983D0AF7F6}"/>
    <cellStyle name="Normal 8 3 4 9" xfId="17530" xr:uid="{308930D8-AD79-43F3-B7CD-02091CD0BF97}"/>
    <cellStyle name="Normal 8 3 5" xfId="962" xr:uid="{00000000-0005-0000-0000-0000BD1D0000}"/>
    <cellStyle name="Normal 8 3 5 2" xfId="3196" xr:uid="{00000000-0005-0000-0000-0000BE1D0000}"/>
    <cellStyle name="Normal 8 3 5 2 2" xfId="7419" xr:uid="{00000000-0005-0000-0000-0000BF1D0000}"/>
    <cellStyle name="Normal 8 3 5 2 2 2" xfId="15861" xr:uid="{6BF06019-4EDC-4E2B-A773-953F963D3705}"/>
    <cellStyle name="Normal 8 3 5 2 2 3" xfId="24298" xr:uid="{B7F457DB-1DEE-4E4F-8062-1D8C3A18B35E}"/>
    <cellStyle name="Normal 8 3 5 2 3" xfId="11643" xr:uid="{FFF333DD-BA1D-4A31-A9F9-DA59A132E800}"/>
    <cellStyle name="Normal 8 3 5 2 4" xfId="20081" xr:uid="{AD05D88F-F194-4056-AE37-A6691A8837E2}"/>
    <cellStyle name="Normal 8 3 5 3" xfId="5274" xr:uid="{00000000-0005-0000-0000-0000C01D0000}"/>
    <cellStyle name="Normal 8 3 5 3 2" xfId="13716" xr:uid="{6BCC616D-7DEE-49EF-AB44-9E4A9B94ED66}"/>
    <cellStyle name="Normal 8 3 5 3 3" xfId="22153" xr:uid="{3BC0C505-148B-4F11-B07D-B00BC3ED4510}"/>
    <cellStyle name="Normal 8 3 5 4" xfId="9498" xr:uid="{3B676E4A-D242-4BDA-BC74-9337C083A61B}"/>
    <cellStyle name="Normal 8 3 5 5" xfId="17936" xr:uid="{7248063D-3B39-48B1-B6EB-1DC775AA26AD}"/>
    <cellStyle name="Normal 8 3 6" xfId="1379" xr:uid="{00000000-0005-0000-0000-0000C11D0000}"/>
    <cellStyle name="Normal 8 3 6 2" xfId="3609" xr:uid="{00000000-0005-0000-0000-0000C21D0000}"/>
    <cellStyle name="Normal 8 3 6 2 2" xfId="7832" xr:uid="{00000000-0005-0000-0000-0000C31D0000}"/>
    <cellStyle name="Normal 8 3 6 2 2 2" xfId="16274" xr:uid="{6E096879-FF88-47C1-99D2-8DD21C769497}"/>
    <cellStyle name="Normal 8 3 6 2 2 3" xfId="24711" xr:uid="{1D6D21AB-C3F6-48AC-8E98-DCFF2D6EB8CF}"/>
    <cellStyle name="Normal 8 3 6 2 3" xfId="12056" xr:uid="{F0692A31-E8E3-4B21-BE6F-CABA85F6D655}"/>
    <cellStyle name="Normal 8 3 6 2 4" xfId="20494" xr:uid="{505819F2-E63C-4049-BE7E-B6D850CFA964}"/>
    <cellStyle name="Normal 8 3 6 3" xfId="5687" xr:uid="{00000000-0005-0000-0000-0000C41D0000}"/>
    <cellStyle name="Normal 8 3 6 3 2" xfId="14129" xr:uid="{877323B8-722F-4007-99B7-6C1F56564BFD}"/>
    <cellStyle name="Normal 8 3 6 3 3" xfId="22566" xr:uid="{23572B47-93F0-4D8F-8B8C-9893B50617A4}"/>
    <cellStyle name="Normal 8 3 6 4" xfId="9911" xr:uid="{F5CFBD02-31B8-4BFD-9A05-EE616D19D1C3}"/>
    <cellStyle name="Normal 8 3 6 5" xfId="18349" xr:uid="{6920A654-1C46-4967-B0BC-AB3414381BC4}"/>
    <cellStyle name="Normal 8 3 7" xfId="1792" xr:uid="{00000000-0005-0000-0000-0000C51D0000}"/>
    <cellStyle name="Normal 8 3 7 2" xfId="4022" xr:uid="{00000000-0005-0000-0000-0000C61D0000}"/>
    <cellStyle name="Normal 8 3 7 2 2" xfId="8245" xr:uid="{00000000-0005-0000-0000-0000C71D0000}"/>
    <cellStyle name="Normal 8 3 7 2 2 2" xfId="16687" xr:uid="{03BC71F7-0AB4-4B6E-9D22-EB2DB81ACB6F}"/>
    <cellStyle name="Normal 8 3 7 2 2 3" xfId="25124" xr:uid="{3F226288-F62B-4FA8-A781-47D17676ED9D}"/>
    <cellStyle name="Normal 8 3 7 2 3" xfId="12469" xr:uid="{E782E5D1-7E15-432E-A889-19D545DC743A}"/>
    <cellStyle name="Normal 8 3 7 2 4" xfId="20907" xr:uid="{A432517A-AC73-4F20-AFF1-BF37D446F046}"/>
    <cellStyle name="Normal 8 3 7 3" xfId="6100" xr:uid="{00000000-0005-0000-0000-0000C81D0000}"/>
    <cellStyle name="Normal 8 3 7 3 2" xfId="14542" xr:uid="{95EB6A1F-DFC7-4F88-9F51-54AE9D1613E2}"/>
    <cellStyle name="Normal 8 3 7 3 3" xfId="22979" xr:uid="{DF76ACC1-9FB6-4A20-A8A9-76FB14FB2429}"/>
    <cellStyle name="Normal 8 3 7 4" xfId="10324" xr:uid="{341CCD44-CC44-4435-A506-960B723AA4BC}"/>
    <cellStyle name="Normal 8 3 7 5" xfId="18762" xr:uid="{B29D45A0-7042-4431-9652-4FBF42E135B7}"/>
    <cellStyle name="Normal 8 3 8" xfId="2206" xr:uid="{00000000-0005-0000-0000-0000C91D0000}"/>
    <cellStyle name="Normal 8 3 8 2" xfId="4435" xr:uid="{00000000-0005-0000-0000-0000CA1D0000}"/>
    <cellStyle name="Normal 8 3 8 2 2" xfId="8658" xr:uid="{00000000-0005-0000-0000-0000CB1D0000}"/>
    <cellStyle name="Normal 8 3 8 2 2 2" xfId="17100" xr:uid="{FF10E59E-CC3A-48DA-876C-6428C89492E7}"/>
    <cellStyle name="Normal 8 3 8 2 2 3" xfId="25537" xr:uid="{00119BF2-AF91-4479-8B8E-7A44235F8FEB}"/>
    <cellStyle name="Normal 8 3 8 2 3" xfId="12882" xr:uid="{8C9B90CF-96BD-46FD-943A-66A12C61B729}"/>
    <cellStyle name="Normal 8 3 8 2 4" xfId="21320" xr:uid="{16A05695-E482-42A9-8420-747599EDAEBB}"/>
    <cellStyle name="Normal 8 3 8 3" xfId="6513" xr:uid="{00000000-0005-0000-0000-0000CC1D0000}"/>
    <cellStyle name="Normal 8 3 8 3 2" xfId="14955" xr:uid="{87C103AA-BB20-49F1-AFEC-49F308C968A4}"/>
    <cellStyle name="Normal 8 3 8 3 3" xfId="23392" xr:uid="{B2EEF108-AC52-4D8D-A4E9-705DBEB8AE46}"/>
    <cellStyle name="Normal 8 3 8 4" xfId="10737" xr:uid="{80DFB23C-7677-4BBA-8251-C5224CD84DA0}"/>
    <cellStyle name="Normal 8 3 8 5" xfId="19175" xr:uid="{7873E281-6868-4AAE-965A-34D27EC8959A}"/>
    <cellStyle name="Normal 8 3 9" xfId="2642" xr:uid="{00000000-0005-0000-0000-0000CD1D0000}"/>
    <cellStyle name="Normal 8 3 9 2" xfId="6926" xr:uid="{00000000-0005-0000-0000-0000CE1D0000}"/>
    <cellStyle name="Normal 8 3 9 2 2" xfId="15368" xr:uid="{FA9C8F15-41E4-4020-A30B-4EC6F095EF22}"/>
    <cellStyle name="Normal 8 3 9 2 3" xfId="23805" xr:uid="{54686340-C41D-44C6-BC8C-BF58E8BAC5C3}"/>
    <cellStyle name="Normal 8 3 9 3" xfId="11150" xr:uid="{AC14B89D-A8C0-4E50-8D53-3EA3DB8937EF}"/>
    <cellStyle name="Normal 8 3 9 4" xfId="19588" xr:uid="{A3D65573-74D5-44AB-8839-17FDB2B028F0}"/>
    <cellStyle name="Normal 8 4" xfId="503" xr:uid="{00000000-0005-0000-0000-0000CF1D0000}"/>
    <cellStyle name="Normal 8 4 10" xfId="9093" xr:uid="{F35F4977-5454-4564-88C8-2C5B538590D6}"/>
    <cellStyle name="Normal 8 4 11" xfId="17531" xr:uid="{C5E9A25D-5B92-49E7-8146-FF165259F175}"/>
    <cellStyle name="Normal 8 4 2" xfId="504" xr:uid="{00000000-0005-0000-0000-0000D01D0000}"/>
    <cellStyle name="Normal 8 4 2 10" xfId="17532" xr:uid="{78712570-98D9-412F-ACAF-34EC11ED3331}"/>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2 2 2" xfId="15871" xr:uid="{5AEB9817-6022-4278-B074-D26034AC74A5}"/>
    <cellStyle name="Normal 8 4 2 2 2 2 2 3" xfId="24308" xr:uid="{B31D4499-4838-439E-B350-C0D5A7C41B3F}"/>
    <cellStyle name="Normal 8 4 2 2 2 2 3" xfId="11653" xr:uid="{28D48D8C-5A64-4F80-86B0-CDA625DBF714}"/>
    <cellStyle name="Normal 8 4 2 2 2 2 4" xfId="20091" xr:uid="{6C844407-8530-4EEB-BB46-61A9D4CD7645}"/>
    <cellStyle name="Normal 8 4 2 2 2 3" xfId="5284" xr:uid="{00000000-0005-0000-0000-0000D51D0000}"/>
    <cellStyle name="Normal 8 4 2 2 2 3 2" xfId="13726" xr:uid="{3CD5D419-9271-4D6F-973A-A82A687A5A0F}"/>
    <cellStyle name="Normal 8 4 2 2 2 3 3" xfId="22163" xr:uid="{A3C3072A-44D4-4804-B0EC-44A811A57E85}"/>
    <cellStyle name="Normal 8 4 2 2 2 4" xfId="9508" xr:uid="{BC298DB5-92D2-4065-AE52-418D85DD4F11}"/>
    <cellStyle name="Normal 8 4 2 2 2 5" xfId="17946" xr:uid="{C13361DA-64E7-4979-AA31-97EB4D1DB926}"/>
    <cellStyle name="Normal 8 4 2 2 3" xfId="1389" xr:uid="{00000000-0005-0000-0000-0000D61D0000}"/>
    <cellStyle name="Normal 8 4 2 2 3 2" xfId="3619" xr:uid="{00000000-0005-0000-0000-0000D71D0000}"/>
    <cellStyle name="Normal 8 4 2 2 3 2 2" xfId="7842" xr:uid="{00000000-0005-0000-0000-0000D81D0000}"/>
    <cellStyle name="Normal 8 4 2 2 3 2 2 2" xfId="16284" xr:uid="{656AB0A2-74C6-48BF-9FDB-73864BDA525C}"/>
    <cellStyle name="Normal 8 4 2 2 3 2 2 3" xfId="24721" xr:uid="{65DC1C7B-37D0-41D1-A665-2EDAEB5F270C}"/>
    <cellStyle name="Normal 8 4 2 2 3 2 3" xfId="12066" xr:uid="{7A91ABE1-D505-4F97-A9CE-1B4B66ACC5D4}"/>
    <cellStyle name="Normal 8 4 2 2 3 2 4" xfId="20504" xr:uid="{69BE0E5C-C9FC-478A-B398-840105007223}"/>
    <cellStyle name="Normal 8 4 2 2 3 3" xfId="5697" xr:uid="{00000000-0005-0000-0000-0000D91D0000}"/>
    <cellStyle name="Normal 8 4 2 2 3 3 2" xfId="14139" xr:uid="{3A06DB8C-E667-4EE3-ADB9-A7AC90F68927}"/>
    <cellStyle name="Normal 8 4 2 2 3 3 3" xfId="22576" xr:uid="{94AF1521-0507-4960-BFBF-1F15C6A9B696}"/>
    <cellStyle name="Normal 8 4 2 2 3 4" xfId="9921" xr:uid="{8150DEE9-B0EE-4649-A245-2C101C6C3C34}"/>
    <cellStyle name="Normal 8 4 2 2 3 5" xfId="18359" xr:uid="{EC59A547-66EA-4817-B173-C68934301BF1}"/>
    <cellStyle name="Normal 8 4 2 2 4" xfId="1802" xr:uid="{00000000-0005-0000-0000-0000DA1D0000}"/>
    <cellStyle name="Normal 8 4 2 2 4 2" xfId="4032" xr:uid="{00000000-0005-0000-0000-0000DB1D0000}"/>
    <cellStyle name="Normal 8 4 2 2 4 2 2" xfId="8255" xr:uid="{00000000-0005-0000-0000-0000DC1D0000}"/>
    <cellStyle name="Normal 8 4 2 2 4 2 2 2" xfId="16697" xr:uid="{5F2E2989-64BA-4AC9-B8D8-574A1CD908AC}"/>
    <cellStyle name="Normal 8 4 2 2 4 2 2 3" xfId="25134" xr:uid="{6454153F-45D3-45A8-9CB1-4E10283DE523}"/>
    <cellStyle name="Normal 8 4 2 2 4 2 3" xfId="12479" xr:uid="{126BC1B3-33CC-41A6-BA8B-475C4F27F233}"/>
    <cellStyle name="Normal 8 4 2 2 4 2 4" xfId="20917" xr:uid="{2F0596F5-F45B-4D1B-BE48-5FDE7C2E59AB}"/>
    <cellStyle name="Normal 8 4 2 2 4 3" xfId="6110" xr:uid="{00000000-0005-0000-0000-0000DD1D0000}"/>
    <cellStyle name="Normal 8 4 2 2 4 3 2" xfId="14552" xr:uid="{0FB1716B-DC51-4955-B7BF-F69644F80D73}"/>
    <cellStyle name="Normal 8 4 2 2 4 3 3" xfId="22989" xr:uid="{827C1476-E0B7-408B-B82B-119972E9B68C}"/>
    <cellStyle name="Normal 8 4 2 2 4 4" xfId="10334" xr:uid="{70775BEA-4B15-48F5-9E78-58BC2F9E890A}"/>
    <cellStyle name="Normal 8 4 2 2 4 5" xfId="18772" xr:uid="{F10D50D2-894B-4226-8417-D21DA75A0B52}"/>
    <cellStyle name="Normal 8 4 2 2 5" xfId="2216" xr:uid="{00000000-0005-0000-0000-0000DE1D0000}"/>
    <cellStyle name="Normal 8 4 2 2 5 2" xfId="4445" xr:uid="{00000000-0005-0000-0000-0000DF1D0000}"/>
    <cellStyle name="Normal 8 4 2 2 5 2 2" xfId="8668" xr:uid="{00000000-0005-0000-0000-0000E01D0000}"/>
    <cellStyle name="Normal 8 4 2 2 5 2 2 2" xfId="17110" xr:uid="{6DA9B7FD-A959-4465-9C0C-0C8BCD5743B1}"/>
    <cellStyle name="Normal 8 4 2 2 5 2 2 3" xfId="25547" xr:uid="{7B99A82C-1A63-47A8-866E-D11EE35E3C95}"/>
    <cellStyle name="Normal 8 4 2 2 5 2 3" xfId="12892" xr:uid="{E5F947C4-9967-41D5-8450-716C624EDFA7}"/>
    <cellStyle name="Normal 8 4 2 2 5 2 4" xfId="21330" xr:uid="{0F4BE010-105B-4152-AF86-40DECEDE635D}"/>
    <cellStyle name="Normal 8 4 2 2 5 3" xfId="6523" xr:uid="{00000000-0005-0000-0000-0000E11D0000}"/>
    <cellStyle name="Normal 8 4 2 2 5 3 2" xfId="14965" xr:uid="{EE0ED0C9-67A3-4395-B24E-23EC250DE36F}"/>
    <cellStyle name="Normal 8 4 2 2 5 3 3" xfId="23402" xr:uid="{C9C6C951-7A76-4F75-9F1E-A93ECEA04F88}"/>
    <cellStyle name="Normal 8 4 2 2 5 4" xfId="10747" xr:uid="{A19D362E-6645-4A56-8E13-6D22A408C23B}"/>
    <cellStyle name="Normal 8 4 2 2 5 5" xfId="19185" xr:uid="{5662D4A9-2D29-4FBC-A427-AF002C98B714}"/>
    <cellStyle name="Normal 8 4 2 2 6" xfId="2652" xr:uid="{00000000-0005-0000-0000-0000E21D0000}"/>
    <cellStyle name="Normal 8 4 2 2 6 2" xfId="6936" xr:uid="{00000000-0005-0000-0000-0000E31D0000}"/>
    <cellStyle name="Normal 8 4 2 2 6 2 2" xfId="15378" xr:uid="{8660B366-0D2D-4B3F-A783-E676711DACF8}"/>
    <cellStyle name="Normal 8 4 2 2 6 2 3" xfId="23815" xr:uid="{F7C751C7-6256-4F36-B85F-F6EDFBE0607D}"/>
    <cellStyle name="Normal 8 4 2 2 6 3" xfId="11160" xr:uid="{F6298648-1304-485F-8BC6-FD8812331C7B}"/>
    <cellStyle name="Normal 8 4 2 2 6 4" xfId="19598" xr:uid="{76B311CF-EC35-4AF1-B2B8-86208CB7EF55}"/>
    <cellStyle name="Normal 8 4 2 2 7" xfId="4871" xr:uid="{00000000-0005-0000-0000-0000E41D0000}"/>
    <cellStyle name="Normal 8 4 2 2 7 2" xfId="13313" xr:uid="{C35FC40D-6B3F-4F58-96A5-9652BD05C238}"/>
    <cellStyle name="Normal 8 4 2 2 7 3" xfId="21750" xr:uid="{98662AC6-7C4F-43AA-B22A-738AD8BC5B52}"/>
    <cellStyle name="Normal 8 4 2 2 8" xfId="9095" xr:uid="{DEEFA7E6-6423-4B59-A0A7-4E201EFCC017}"/>
    <cellStyle name="Normal 8 4 2 2 9" xfId="17533" xr:uid="{7C17F9F2-7C34-4D9B-AAF3-39075C692D9E}"/>
    <cellStyle name="Normal 8 4 2 3" xfId="971" xr:uid="{00000000-0005-0000-0000-0000E51D0000}"/>
    <cellStyle name="Normal 8 4 2 3 2" xfId="3205" xr:uid="{00000000-0005-0000-0000-0000E61D0000}"/>
    <cellStyle name="Normal 8 4 2 3 2 2" xfId="7428" xr:uid="{00000000-0005-0000-0000-0000E71D0000}"/>
    <cellStyle name="Normal 8 4 2 3 2 2 2" xfId="15870" xr:uid="{4FC6187F-CC77-4143-A4F4-B6CEECCC30D1}"/>
    <cellStyle name="Normal 8 4 2 3 2 2 3" xfId="24307" xr:uid="{B6912B3C-5A17-46E0-825B-D7D3DCD556B7}"/>
    <cellStyle name="Normal 8 4 2 3 2 3" xfId="11652" xr:uid="{6069DF30-E879-41F4-8A06-B48E8565D25C}"/>
    <cellStyle name="Normal 8 4 2 3 2 4" xfId="20090" xr:uid="{E358BE19-0235-492F-9CD7-50AAC3E82EE0}"/>
    <cellStyle name="Normal 8 4 2 3 3" xfId="5283" xr:uid="{00000000-0005-0000-0000-0000E81D0000}"/>
    <cellStyle name="Normal 8 4 2 3 3 2" xfId="13725" xr:uid="{26621681-95E9-4B87-A245-8B257F564A45}"/>
    <cellStyle name="Normal 8 4 2 3 3 3" xfId="22162" xr:uid="{47258CE8-33F6-4E90-96AA-50B3AB8A6E41}"/>
    <cellStyle name="Normal 8 4 2 3 4" xfId="9507" xr:uid="{4F89FD1B-98AB-46EF-A703-DAEC8A5B6325}"/>
    <cellStyle name="Normal 8 4 2 3 5" xfId="17945" xr:uid="{AC3D9D43-EC2A-4FF9-B80A-8891E0AB7E12}"/>
    <cellStyle name="Normal 8 4 2 4" xfId="1388" xr:uid="{00000000-0005-0000-0000-0000E91D0000}"/>
    <cellStyle name="Normal 8 4 2 4 2" xfId="3618" xr:uid="{00000000-0005-0000-0000-0000EA1D0000}"/>
    <cellStyle name="Normal 8 4 2 4 2 2" xfId="7841" xr:uid="{00000000-0005-0000-0000-0000EB1D0000}"/>
    <cellStyle name="Normal 8 4 2 4 2 2 2" xfId="16283" xr:uid="{FCE4FFEF-A83D-42D6-BB0D-0E515FB4F038}"/>
    <cellStyle name="Normal 8 4 2 4 2 2 3" xfId="24720" xr:uid="{1643477B-9008-492B-8000-CC6E447AC240}"/>
    <cellStyle name="Normal 8 4 2 4 2 3" xfId="12065" xr:uid="{31776ECC-492A-49A7-A9A1-CA6A9578999A}"/>
    <cellStyle name="Normal 8 4 2 4 2 4" xfId="20503" xr:uid="{90BE3914-7A1F-4D96-93E1-BDD07149A5B8}"/>
    <cellStyle name="Normal 8 4 2 4 3" xfId="5696" xr:uid="{00000000-0005-0000-0000-0000EC1D0000}"/>
    <cellStyle name="Normal 8 4 2 4 3 2" xfId="14138" xr:uid="{36DC5613-02A9-4A93-A0A6-9D33332595DF}"/>
    <cellStyle name="Normal 8 4 2 4 3 3" xfId="22575" xr:uid="{ECF9DBB5-9FCA-45A6-B997-B2D32339606C}"/>
    <cellStyle name="Normal 8 4 2 4 4" xfId="9920" xr:uid="{55D34F6A-CAA5-4FBA-8269-3074ED51EC9E}"/>
    <cellStyle name="Normal 8 4 2 4 5" xfId="18358" xr:uid="{DC15324E-C6BC-4760-9769-19935368F291}"/>
    <cellStyle name="Normal 8 4 2 5" xfId="1801" xr:uid="{00000000-0005-0000-0000-0000ED1D0000}"/>
    <cellStyle name="Normal 8 4 2 5 2" xfId="4031" xr:uid="{00000000-0005-0000-0000-0000EE1D0000}"/>
    <cellStyle name="Normal 8 4 2 5 2 2" xfId="8254" xr:uid="{00000000-0005-0000-0000-0000EF1D0000}"/>
    <cellStyle name="Normal 8 4 2 5 2 2 2" xfId="16696" xr:uid="{4CABD6C8-8E08-4415-8FA4-E13297D4A492}"/>
    <cellStyle name="Normal 8 4 2 5 2 2 3" xfId="25133" xr:uid="{FEA4476F-BEC6-4646-B9B3-D1B497CE4D3C}"/>
    <cellStyle name="Normal 8 4 2 5 2 3" xfId="12478" xr:uid="{E55E9DBD-5AC8-4E8D-A648-C84D825FA4E4}"/>
    <cellStyle name="Normal 8 4 2 5 2 4" xfId="20916" xr:uid="{C1CDA346-9347-4A55-81BA-9A4D6C8DB58E}"/>
    <cellStyle name="Normal 8 4 2 5 3" xfId="6109" xr:uid="{00000000-0005-0000-0000-0000F01D0000}"/>
    <cellStyle name="Normal 8 4 2 5 3 2" xfId="14551" xr:uid="{FEE36687-8B41-45F2-B834-C9AD7739B876}"/>
    <cellStyle name="Normal 8 4 2 5 3 3" xfId="22988" xr:uid="{2EF0FD8F-C1CE-4666-A185-D0E48D1D2ABD}"/>
    <cellStyle name="Normal 8 4 2 5 4" xfId="10333" xr:uid="{1E088940-88D7-4059-9224-5169500FCA3D}"/>
    <cellStyle name="Normal 8 4 2 5 5" xfId="18771" xr:uid="{E058CE5A-B069-4D92-B84D-45CFA3B5433F}"/>
    <cellStyle name="Normal 8 4 2 6" xfId="2215" xr:uid="{00000000-0005-0000-0000-0000F11D0000}"/>
    <cellStyle name="Normal 8 4 2 6 2" xfId="4444" xr:uid="{00000000-0005-0000-0000-0000F21D0000}"/>
    <cellStyle name="Normal 8 4 2 6 2 2" xfId="8667" xr:uid="{00000000-0005-0000-0000-0000F31D0000}"/>
    <cellStyle name="Normal 8 4 2 6 2 2 2" xfId="17109" xr:uid="{02548D69-4B87-4A48-BECA-C45E09E8F322}"/>
    <cellStyle name="Normal 8 4 2 6 2 2 3" xfId="25546" xr:uid="{A1AB9FB8-4279-45E7-99BA-5C8BE4C6C1B1}"/>
    <cellStyle name="Normal 8 4 2 6 2 3" xfId="12891" xr:uid="{15089D44-796D-4180-9227-54DA391BE0FA}"/>
    <cellStyle name="Normal 8 4 2 6 2 4" xfId="21329" xr:uid="{A5563715-73AD-4B57-BFB4-36F9609195F2}"/>
    <cellStyle name="Normal 8 4 2 6 3" xfId="6522" xr:uid="{00000000-0005-0000-0000-0000F41D0000}"/>
    <cellStyle name="Normal 8 4 2 6 3 2" xfId="14964" xr:uid="{280BEFAB-D70D-49BA-ACCF-5C5B16020AC7}"/>
    <cellStyle name="Normal 8 4 2 6 3 3" xfId="23401" xr:uid="{CD788651-7DAA-4C01-971D-8B0AAFEFA88B}"/>
    <cellStyle name="Normal 8 4 2 6 4" xfId="10746" xr:uid="{3C1156DB-7252-4536-85D8-E4DCDCD93EB3}"/>
    <cellStyle name="Normal 8 4 2 6 5" xfId="19184" xr:uid="{E8F34A44-DE3B-43D2-AB94-C1FAB34AA355}"/>
    <cellStyle name="Normal 8 4 2 7" xfId="2651" xr:uid="{00000000-0005-0000-0000-0000F51D0000}"/>
    <cellStyle name="Normal 8 4 2 7 2" xfId="6935" xr:uid="{00000000-0005-0000-0000-0000F61D0000}"/>
    <cellStyle name="Normal 8 4 2 7 2 2" xfId="15377" xr:uid="{987E7697-A84C-4959-B475-F7D1C2A02D45}"/>
    <cellStyle name="Normal 8 4 2 7 2 3" xfId="23814" xr:uid="{0E3289AC-9AC8-419A-BB2C-5560E5887C76}"/>
    <cellStyle name="Normal 8 4 2 7 3" xfId="11159" xr:uid="{3762D86A-2182-4B8B-8875-8A91CB4AF1E1}"/>
    <cellStyle name="Normal 8 4 2 7 4" xfId="19597" xr:uid="{BD19A146-7631-4810-83BB-DE7F8C542435}"/>
    <cellStyle name="Normal 8 4 2 8" xfId="4870" xr:uid="{00000000-0005-0000-0000-0000F71D0000}"/>
    <cellStyle name="Normal 8 4 2 8 2" xfId="13312" xr:uid="{F3D67330-48E9-431E-9E65-E94660332B19}"/>
    <cellStyle name="Normal 8 4 2 8 3" xfId="21749" xr:uid="{D01C8E1F-4F27-4FA8-81D1-A159E75A4930}"/>
    <cellStyle name="Normal 8 4 2 9" xfId="9094" xr:uid="{EB430628-D880-4A5E-9F09-362B8C356223}"/>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2 2 2" xfId="15872" xr:uid="{9D5E5C5B-214C-4A9C-A568-9FF8375F44E2}"/>
    <cellStyle name="Normal 8 4 3 2 2 2 3" xfId="24309" xr:uid="{56F7BBE5-8E01-457E-968E-F17DD72C4C76}"/>
    <cellStyle name="Normal 8 4 3 2 2 3" xfId="11654" xr:uid="{E165FAC1-2B09-4060-87D3-8BA6E8EFE812}"/>
    <cellStyle name="Normal 8 4 3 2 2 4" xfId="20092" xr:uid="{09D95268-9691-4A96-844D-51D0B8F04696}"/>
    <cellStyle name="Normal 8 4 3 2 3" xfId="5285" xr:uid="{00000000-0005-0000-0000-0000FC1D0000}"/>
    <cellStyle name="Normal 8 4 3 2 3 2" xfId="13727" xr:uid="{DF578597-AA2F-4518-A748-AA52A5D2AE43}"/>
    <cellStyle name="Normal 8 4 3 2 3 3" xfId="22164" xr:uid="{640C89FF-AAC2-413D-BE6B-FFD20F104B86}"/>
    <cellStyle name="Normal 8 4 3 2 4" xfId="9509" xr:uid="{32B2F083-B6C3-4B29-AAD7-CEA95731EF6D}"/>
    <cellStyle name="Normal 8 4 3 2 5" xfId="17947" xr:uid="{10B50AA5-68C1-4E60-B475-07AEC39F0BEE}"/>
    <cellStyle name="Normal 8 4 3 3" xfId="1390" xr:uid="{00000000-0005-0000-0000-0000FD1D0000}"/>
    <cellStyle name="Normal 8 4 3 3 2" xfId="3620" xr:uid="{00000000-0005-0000-0000-0000FE1D0000}"/>
    <cellStyle name="Normal 8 4 3 3 2 2" xfId="7843" xr:uid="{00000000-0005-0000-0000-0000FF1D0000}"/>
    <cellStyle name="Normal 8 4 3 3 2 2 2" xfId="16285" xr:uid="{E0CCF454-1CA2-4CE2-AF6F-5540AE937057}"/>
    <cellStyle name="Normal 8 4 3 3 2 2 3" xfId="24722" xr:uid="{10FD2262-0805-4EEA-B04C-7463243F0B57}"/>
    <cellStyle name="Normal 8 4 3 3 2 3" xfId="12067" xr:uid="{F1440FD0-A1DE-45E5-A609-D2FA5B5440C5}"/>
    <cellStyle name="Normal 8 4 3 3 2 4" xfId="20505" xr:uid="{241F35EF-7CEA-4E64-AB5C-B026970B333C}"/>
    <cellStyle name="Normal 8 4 3 3 3" xfId="5698" xr:uid="{00000000-0005-0000-0000-0000001E0000}"/>
    <cellStyle name="Normal 8 4 3 3 3 2" xfId="14140" xr:uid="{A11A7001-0A52-4A8A-8CF5-729CCA9D9F19}"/>
    <cellStyle name="Normal 8 4 3 3 3 3" xfId="22577" xr:uid="{9E6CFE99-3F2F-4A14-B5A4-2489C7DE3999}"/>
    <cellStyle name="Normal 8 4 3 3 4" xfId="9922" xr:uid="{75D9A864-A598-4B86-9F05-9BAF88D5DD70}"/>
    <cellStyle name="Normal 8 4 3 3 5" xfId="18360" xr:uid="{A859FCE6-7DC9-4244-807E-4309211C12CA}"/>
    <cellStyle name="Normal 8 4 3 4" xfId="1803" xr:uid="{00000000-0005-0000-0000-0000011E0000}"/>
    <cellStyle name="Normal 8 4 3 4 2" xfId="4033" xr:uid="{00000000-0005-0000-0000-0000021E0000}"/>
    <cellStyle name="Normal 8 4 3 4 2 2" xfId="8256" xr:uid="{00000000-0005-0000-0000-0000031E0000}"/>
    <cellStyle name="Normal 8 4 3 4 2 2 2" xfId="16698" xr:uid="{94CEB233-2A12-4EC8-9820-04DEAD6BDB82}"/>
    <cellStyle name="Normal 8 4 3 4 2 2 3" xfId="25135" xr:uid="{745B162C-7B5B-41B2-8DCD-FF8708C83FB4}"/>
    <cellStyle name="Normal 8 4 3 4 2 3" xfId="12480" xr:uid="{C24F2A0C-DC9B-4108-9F4A-B84345CC339C}"/>
    <cellStyle name="Normal 8 4 3 4 2 4" xfId="20918" xr:uid="{068605B8-4667-4E37-9B07-E0F3B2B697AB}"/>
    <cellStyle name="Normal 8 4 3 4 3" xfId="6111" xr:uid="{00000000-0005-0000-0000-0000041E0000}"/>
    <cellStyle name="Normal 8 4 3 4 3 2" xfId="14553" xr:uid="{1091AD9E-8212-4D2C-9A3A-00C97DCF0A3D}"/>
    <cellStyle name="Normal 8 4 3 4 3 3" xfId="22990" xr:uid="{BA0A8C9D-AE2F-436F-85A9-BA9EB861254B}"/>
    <cellStyle name="Normal 8 4 3 4 4" xfId="10335" xr:uid="{2DDBE708-7247-424C-B067-86DE582B1598}"/>
    <cellStyle name="Normal 8 4 3 4 5" xfId="18773" xr:uid="{9BA28C2B-DA10-4F0E-BB0F-7240B8D3ACC8}"/>
    <cellStyle name="Normal 8 4 3 5" xfId="2217" xr:uid="{00000000-0005-0000-0000-0000051E0000}"/>
    <cellStyle name="Normal 8 4 3 5 2" xfId="4446" xr:uid="{00000000-0005-0000-0000-0000061E0000}"/>
    <cellStyle name="Normal 8 4 3 5 2 2" xfId="8669" xr:uid="{00000000-0005-0000-0000-0000071E0000}"/>
    <cellStyle name="Normal 8 4 3 5 2 2 2" xfId="17111" xr:uid="{91131E7E-2DAA-46E1-8A7A-1AF13DD8C246}"/>
    <cellStyle name="Normal 8 4 3 5 2 2 3" xfId="25548" xr:uid="{2697D932-5ED1-49BC-9A65-58872FA4CCFC}"/>
    <cellStyle name="Normal 8 4 3 5 2 3" xfId="12893" xr:uid="{3B65AA5B-E147-42DC-8B1B-2F45E189C6E7}"/>
    <cellStyle name="Normal 8 4 3 5 2 4" xfId="21331" xr:uid="{4680903F-3D29-4B4B-AC3F-EF389BF1E125}"/>
    <cellStyle name="Normal 8 4 3 5 3" xfId="6524" xr:uid="{00000000-0005-0000-0000-0000081E0000}"/>
    <cellStyle name="Normal 8 4 3 5 3 2" xfId="14966" xr:uid="{0CBA9557-1650-47DD-BF9E-59FB0B4F4E53}"/>
    <cellStyle name="Normal 8 4 3 5 3 3" xfId="23403" xr:uid="{72C552B4-425A-4E51-85AD-624A1677C3EC}"/>
    <cellStyle name="Normal 8 4 3 5 4" xfId="10748" xr:uid="{5DC697EC-3351-4EBC-BDE9-B2AF68299413}"/>
    <cellStyle name="Normal 8 4 3 5 5" xfId="19186" xr:uid="{9A0F2E37-2E02-4257-B3ED-7E082188F3F3}"/>
    <cellStyle name="Normal 8 4 3 6" xfId="2653" xr:uid="{00000000-0005-0000-0000-0000091E0000}"/>
    <cellStyle name="Normal 8 4 3 6 2" xfId="6937" xr:uid="{00000000-0005-0000-0000-00000A1E0000}"/>
    <cellStyle name="Normal 8 4 3 6 2 2" xfId="15379" xr:uid="{EA3DD994-8595-4F87-B229-7827077B8C77}"/>
    <cellStyle name="Normal 8 4 3 6 2 3" xfId="23816" xr:uid="{D6ADE947-8049-47A0-9914-8F2C3399148F}"/>
    <cellStyle name="Normal 8 4 3 6 3" xfId="11161" xr:uid="{A3D96C77-737B-4CA7-9081-89940E0D76F4}"/>
    <cellStyle name="Normal 8 4 3 6 4" xfId="19599" xr:uid="{316A9650-F441-43E6-9702-320A969CF017}"/>
    <cellStyle name="Normal 8 4 3 7" xfId="4872" xr:uid="{00000000-0005-0000-0000-00000B1E0000}"/>
    <cellStyle name="Normal 8 4 3 7 2" xfId="13314" xr:uid="{6B1399B9-7FDD-4390-86BB-353C2B94664A}"/>
    <cellStyle name="Normal 8 4 3 7 3" xfId="21751" xr:uid="{9EEBC7A7-DFEB-4579-BC9E-15776E63949D}"/>
    <cellStyle name="Normal 8 4 3 8" xfId="9096" xr:uid="{EB933C03-5C9D-4B9C-87CB-A327B419BE6C}"/>
    <cellStyle name="Normal 8 4 3 9" xfId="17534" xr:uid="{789890CF-0485-4037-ADD6-3AE038C0EB7C}"/>
    <cellStyle name="Normal 8 4 4" xfId="970" xr:uid="{00000000-0005-0000-0000-00000C1E0000}"/>
    <cellStyle name="Normal 8 4 4 2" xfId="3204" xr:uid="{00000000-0005-0000-0000-00000D1E0000}"/>
    <cellStyle name="Normal 8 4 4 2 2" xfId="7427" xr:uid="{00000000-0005-0000-0000-00000E1E0000}"/>
    <cellStyle name="Normal 8 4 4 2 2 2" xfId="15869" xr:uid="{954FF88D-A325-46AB-A238-5B9374603D81}"/>
    <cellStyle name="Normal 8 4 4 2 2 3" xfId="24306" xr:uid="{C0BBC3EF-F6A3-4A36-B418-230CC3019580}"/>
    <cellStyle name="Normal 8 4 4 2 3" xfId="11651" xr:uid="{C710A76B-C4D5-4235-B755-A09596D4F5E6}"/>
    <cellStyle name="Normal 8 4 4 2 4" xfId="20089" xr:uid="{AF6149FA-2023-4EE3-B094-DA03DBEE4B16}"/>
    <cellStyle name="Normal 8 4 4 3" xfId="5282" xr:uid="{00000000-0005-0000-0000-00000F1E0000}"/>
    <cellStyle name="Normal 8 4 4 3 2" xfId="13724" xr:uid="{1CC708AE-3355-4B04-8277-E0086A665579}"/>
    <cellStyle name="Normal 8 4 4 3 3" xfId="22161" xr:uid="{6A3D0114-4F78-4A22-8F1B-8073B4273EDA}"/>
    <cellStyle name="Normal 8 4 4 4" xfId="9506" xr:uid="{B42D4BC3-ADFE-4BD2-9A39-C4E560DD9DDC}"/>
    <cellStyle name="Normal 8 4 4 5" xfId="17944" xr:uid="{F93FD88D-1565-4792-A49C-D77F812761C1}"/>
    <cellStyle name="Normal 8 4 5" xfId="1387" xr:uid="{00000000-0005-0000-0000-0000101E0000}"/>
    <cellStyle name="Normal 8 4 5 2" xfId="3617" xr:uid="{00000000-0005-0000-0000-0000111E0000}"/>
    <cellStyle name="Normal 8 4 5 2 2" xfId="7840" xr:uid="{00000000-0005-0000-0000-0000121E0000}"/>
    <cellStyle name="Normal 8 4 5 2 2 2" xfId="16282" xr:uid="{2E0C3AD1-554B-45CC-AA95-B6AB4441E889}"/>
    <cellStyle name="Normal 8 4 5 2 2 3" xfId="24719" xr:uid="{C0E3222A-C029-4F0D-9AE9-AABFD3BF3DD9}"/>
    <cellStyle name="Normal 8 4 5 2 3" xfId="12064" xr:uid="{BC74F209-0820-4DAE-AC46-B1F25B5F913F}"/>
    <cellStyle name="Normal 8 4 5 2 4" xfId="20502" xr:uid="{A94AD721-44C1-4C1A-9C7E-A1CCBA2FC819}"/>
    <cellStyle name="Normal 8 4 5 3" xfId="5695" xr:uid="{00000000-0005-0000-0000-0000131E0000}"/>
    <cellStyle name="Normal 8 4 5 3 2" xfId="14137" xr:uid="{0FA33E14-3DF0-4E69-9D87-90E015F036FB}"/>
    <cellStyle name="Normal 8 4 5 3 3" xfId="22574" xr:uid="{A3DD22C0-670D-43C7-BFA9-6D032CABE7D2}"/>
    <cellStyle name="Normal 8 4 5 4" xfId="9919" xr:uid="{DFA5F505-95CE-4756-97D7-4092A1495AA6}"/>
    <cellStyle name="Normal 8 4 5 5" xfId="18357" xr:uid="{F0FB8B85-F3F1-4109-982D-E356E3CE613D}"/>
    <cellStyle name="Normal 8 4 6" xfId="1800" xr:uid="{00000000-0005-0000-0000-0000141E0000}"/>
    <cellStyle name="Normal 8 4 6 2" xfId="4030" xr:uid="{00000000-0005-0000-0000-0000151E0000}"/>
    <cellStyle name="Normal 8 4 6 2 2" xfId="8253" xr:uid="{00000000-0005-0000-0000-0000161E0000}"/>
    <cellStyle name="Normal 8 4 6 2 2 2" xfId="16695" xr:uid="{11D33095-B364-4EF3-8001-43C65EA91A12}"/>
    <cellStyle name="Normal 8 4 6 2 2 3" xfId="25132" xr:uid="{ECF80FFA-9E04-472D-AC7A-C9CE6A1E0BBF}"/>
    <cellStyle name="Normal 8 4 6 2 3" xfId="12477" xr:uid="{958F12CB-BF70-43E0-A9F7-CC9FA9BEE37C}"/>
    <cellStyle name="Normal 8 4 6 2 4" xfId="20915" xr:uid="{2394F348-D4C4-4100-A46D-2D50C2A35790}"/>
    <cellStyle name="Normal 8 4 6 3" xfId="6108" xr:uid="{00000000-0005-0000-0000-0000171E0000}"/>
    <cellStyle name="Normal 8 4 6 3 2" xfId="14550" xr:uid="{14125EB7-746E-4C16-B637-8432C807FF97}"/>
    <cellStyle name="Normal 8 4 6 3 3" xfId="22987" xr:uid="{DEC8C02B-D5B6-4906-8FA8-FAF00042A859}"/>
    <cellStyle name="Normal 8 4 6 4" xfId="10332" xr:uid="{4E4BA7C8-5BDC-4418-B0A0-560CD2BD4C17}"/>
    <cellStyle name="Normal 8 4 6 5" xfId="18770" xr:uid="{2C7D6705-0AFD-4AA6-90AA-3F9871A18C2F}"/>
    <cellStyle name="Normal 8 4 7" xfId="2214" xr:uid="{00000000-0005-0000-0000-0000181E0000}"/>
    <cellStyle name="Normal 8 4 7 2" xfId="4443" xr:uid="{00000000-0005-0000-0000-0000191E0000}"/>
    <cellStyle name="Normal 8 4 7 2 2" xfId="8666" xr:uid="{00000000-0005-0000-0000-00001A1E0000}"/>
    <cellStyle name="Normal 8 4 7 2 2 2" xfId="17108" xr:uid="{785F98C1-028F-43DC-B33C-BD43F727353E}"/>
    <cellStyle name="Normal 8 4 7 2 2 3" xfId="25545" xr:uid="{95A98A38-840B-49FC-A123-E2CCF0E90EEF}"/>
    <cellStyle name="Normal 8 4 7 2 3" xfId="12890" xr:uid="{3E298B5F-A61F-4E45-A377-FE43D33C1F7D}"/>
    <cellStyle name="Normal 8 4 7 2 4" xfId="21328" xr:uid="{2BC0AA0F-E9F0-46D0-867B-88FB0209DE7F}"/>
    <cellStyle name="Normal 8 4 7 3" xfId="6521" xr:uid="{00000000-0005-0000-0000-00001B1E0000}"/>
    <cellStyle name="Normal 8 4 7 3 2" xfId="14963" xr:uid="{ECA3221C-9185-412E-B99A-54AE1B0350BC}"/>
    <cellStyle name="Normal 8 4 7 3 3" xfId="23400" xr:uid="{2FE9F458-AA05-4435-8EB1-A87079B4F0F8}"/>
    <cellStyle name="Normal 8 4 7 4" xfId="10745" xr:uid="{FB03B54D-76D6-40CB-9FA0-46637C7B9357}"/>
    <cellStyle name="Normal 8 4 7 5" xfId="19183" xr:uid="{D9E0E984-D1E9-4082-828E-501D891B4EA6}"/>
    <cellStyle name="Normal 8 4 8" xfId="2650" xr:uid="{00000000-0005-0000-0000-00001C1E0000}"/>
    <cellStyle name="Normal 8 4 8 2" xfId="6934" xr:uid="{00000000-0005-0000-0000-00001D1E0000}"/>
    <cellStyle name="Normal 8 4 8 2 2" xfId="15376" xr:uid="{D0EDBE75-37C2-4B99-A7EB-B16F1E84660E}"/>
    <cellStyle name="Normal 8 4 8 2 3" xfId="23813" xr:uid="{AE61A5C7-2608-4D14-8BF7-616BB5D424F1}"/>
    <cellStyle name="Normal 8 4 8 3" xfId="11158" xr:uid="{9E6787D1-E2DC-41A0-84E4-BD6E683BE56C}"/>
    <cellStyle name="Normal 8 4 8 4" xfId="19596" xr:uid="{E9220DEF-ADBD-4153-9631-577B87801104}"/>
    <cellStyle name="Normal 8 4 9" xfId="4869" xr:uid="{00000000-0005-0000-0000-00001E1E0000}"/>
    <cellStyle name="Normal 8 4 9 2" xfId="13311" xr:uid="{9B431BC6-8CA1-4F5D-83F2-63250FAFEA9A}"/>
    <cellStyle name="Normal 8 4 9 3" xfId="21748" xr:uid="{25161A62-0AC4-4F10-812A-CC0C39B0814D}"/>
    <cellStyle name="Normal 8 5" xfId="507" xr:uid="{00000000-0005-0000-0000-00001F1E0000}"/>
    <cellStyle name="Normal 8 5 10" xfId="17535" xr:uid="{EA7DC16D-3DA4-45AB-A3F0-077D668C3E39}"/>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2 2 2" xfId="15874" xr:uid="{B65C821F-9CFA-4E81-A214-AF00EA97C7D9}"/>
    <cellStyle name="Normal 8 5 2 2 2 2 3" xfId="24311" xr:uid="{72C56AA6-9158-48A9-9F38-E6DB5A9E59EA}"/>
    <cellStyle name="Normal 8 5 2 2 2 3" xfId="11656" xr:uid="{7E84D609-09A8-4A23-8EE7-F862250D524F}"/>
    <cellStyle name="Normal 8 5 2 2 2 4" xfId="20094" xr:uid="{AA5E09BA-30B3-4B3A-83B7-72DDB30239EF}"/>
    <cellStyle name="Normal 8 5 2 2 3" xfId="5287" xr:uid="{00000000-0005-0000-0000-0000241E0000}"/>
    <cellStyle name="Normal 8 5 2 2 3 2" xfId="13729" xr:uid="{8DFDECA0-64D9-4669-B056-5EC074E71734}"/>
    <cellStyle name="Normal 8 5 2 2 3 3" xfId="22166" xr:uid="{E1689C01-E05D-45D0-AF4C-8040294E969C}"/>
    <cellStyle name="Normal 8 5 2 2 4" xfId="9511" xr:uid="{EE7F6FEC-D591-42F4-B0AF-56886EE8F7A9}"/>
    <cellStyle name="Normal 8 5 2 2 5" xfId="17949" xr:uid="{4DD85973-5A7F-42F1-9551-7F3C47774117}"/>
    <cellStyle name="Normal 8 5 2 3" xfId="1392" xr:uid="{00000000-0005-0000-0000-0000251E0000}"/>
    <cellStyle name="Normal 8 5 2 3 2" xfId="3622" xr:uid="{00000000-0005-0000-0000-0000261E0000}"/>
    <cellStyle name="Normal 8 5 2 3 2 2" xfId="7845" xr:uid="{00000000-0005-0000-0000-0000271E0000}"/>
    <cellStyle name="Normal 8 5 2 3 2 2 2" xfId="16287" xr:uid="{4B1A89A5-1FC0-47D5-927A-1BDC93795914}"/>
    <cellStyle name="Normal 8 5 2 3 2 2 3" xfId="24724" xr:uid="{38FEE6CF-02FD-4703-86DE-0DACE87948DB}"/>
    <cellStyle name="Normal 8 5 2 3 2 3" xfId="12069" xr:uid="{23C336CA-9421-4532-A518-0182F1607B10}"/>
    <cellStyle name="Normal 8 5 2 3 2 4" xfId="20507" xr:uid="{3E04BF6B-E499-4EE6-BAA8-4A85595D6045}"/>
    <cellStyle name="Normal 8 5 2 3 3" xfId="5700" xr:uid="{00000000-0005-0000-0000-0000281E0000}"/>
    <cellStyle name="Normal 8 5 2 3 3 2" xfId="14142" xr:uid="{34B522F4-BE04-4A46-BCE3-B57BA0488997}"/>
    <cellStyle name="Normal 8 5 2 3 3 3" xfId="22579" xr:uid="{7BEB30F6-A917-4278-BBFE-0B67CF178B64}"/>
    <cellStyle name="Normal 8 5 2 3 4" xfId="9924" xr:uid="{C56D8F31-1F5E-4DE2-A57F-AD320EE1EE4A}"/>
    <cellStyle name="Normal 8 5 2 3 5" xfId="18362" xr:uid="{11A34054-F1DA-476E-B2AB-FC88117E0F9F}"/>
    <cellStyle name="Normal 8 5 2 4" xfId="1805" xr:uid="{00000000-0005-0000-0000-0000291E0000}"/>
    <cellStyle name="Normal 8 5 2 4 2" xfId="4035" xr:uid="{00000000-0005-0000-0000-00002A1E0000}"/>
    <cellStyle name="Normal 8 5 2 4 2 2" xfId="8258" xr:uid="{00000000-0005-0000-0000-00002B1E0000}"/>
    <cellStyle name="Normal 8 5 2 4 2 2 2" xfId="16700" xr:uid="{06C0D40B-6F06-4F4C-B46C-E7A9BE18173D}"/>
    <cellStyle name="Normal 8 5 2 4 2 2 3" xfId="25137" xr:uid="{64AC422B-86D7-4481-B23E-FAB6BB2BEC6C}"/>
    <cellStyle name="Normal 8 5 2 4 2 3" xfId="12482" xr:uid="{C2B6BC85-0CE0-45A4-A513-2E3AE3696C04}"/>
    <cellStyle name="Normal 8 5 2 4 2 4" xfId="20920" xr:uid="{B54096A6-0650-4688-9B23-30783F245F56}"/>
    <cellStyle name="Normal 8 5 2 4 3" xfId="6113" xr:uid="{00000000-0005-0000-0000-00002C1E0000}"/>
    <cellStyle name="Normal 8 5 2 4 3 2" xfId="14555" xr:uid="{4F22604B-C29C-4645-8180-A55D6C346946}"/>
    <cellStyle name="Normal 8 5 2 4 3 3" xfId="22992" xr:uid="{1D3C2764-8EB7-4247-AAA6-B2DCEBD5CBE3}"/>
    <cellStyle name="Normal 8 5 2 4 4" xfId="10337" xr:uid="{9B77656E-D043-4C07-8C18-E2EB86FACB56}"/>
    <cellStyle name="Normal 8 5 2 4 5" xfId="18775" xr:uid="{830C3C48-8941-4A76-AF79-C33A97B8A46A}"/>
    <cellStyle name="Normal 8 5 2 5" xfId="2219" xr:uid="{00000000-0005-0000-0000-00002D1E0000}"/>
    <cellStyle name="Normal 8 5 2 5 2" xfId="4448" xr:uid="{00000000-0005-0000-0000-00002E1E0000}"/>
    <cellStyle name="Normal 8 5 2 5 2 2" xfId="8671" xr:uid="{00000000-0005-0000-0000-00002F1E0000}"/>
    <cellStyle name="Normal 8 5 2 5 2 2 2" xfId="17113" xr:uid="{35FB0EBB-A101-42BD-B7B5-BA9AF7E309B6}"/>
    <cellStyle name="Normal 8 5 2 5 2 2 3" xfId="25550" xr:uid="{436C7495-F492-4FC2-A557-8261023DDAE9}"/>
    <cellStyle name="Normal 8 5 2 5 2 3" xfId="12895" xr:uid="{C84513EA-DE05-4CCD-9B02-32EA54D53F00}"/>
    <cellStyle name="Normal 8 5 2 5 2 4" xfId="21333" xr:uid="{DED6AB2A-F513-46DA-8E2B-A1774B5AC50F}"/>
    <cellStyle name="Normal 8 5 2 5 3" xfId="6526" xr:uid="{00000000-0005-0000-0000-0000301E0000}"/>
    <cellStyle name="Normal 8 5 2 5 3 2" xfId="14968" xr:uid="{72D11870-734F-4791-A727-B73D7314FD6A}"/>
    <cellStyle name="Normal 8 5 2 5 3 3" xfId="23405" xr:uid="{B62D0B48-74D2-49A0-81FE-128CC9E8BE11}"/>
    <cellStyle name="Normal 8 5 2 5 4" xfId="10750" xr:uid="{AC7F2B3D-C9DB-4473-8888-1AC31CAFC790}"/>
    <cellStyle name="Normal 8 5 2 5 5" xfId="19188" xr:uid="{D146EEF8-F560-47A6-BA5A-3FDD10322A35}"/>
    <cellStyle name="Normal 8 5 2 6" xfId="2655" xr:uid="{00000000-0005-0000-0000-0000311E0000}"/>
    <cellStyle name="Normal 8 5 2 6 2" xfId="6939" xr:uid="{00000000-0005-0000-0000-0000321E0000}"/>
    <cellStyle name="Normal 8 5 2 6 2 2" xfId="15381" xr:uid="{9AE1BA57-858A-4C00-8136-8AF465072D3A}"/>
    <cellStyle name="Normal 8 5 2 6 2 3" xfId="23818" xr:uid="{D471E74D-2D27-4285-B507-E75C1059606C}"/>
    <cellStyle name="Normal 8 5 2 6 3" xfId="11163" xr:uid="{D441D5D3-A529-4E18-B1EC-245ACF638EE5}"/>
    <cellStyle name="Normal 8 5 2 6 4" xfId="19601" xr:uid="{2C24613F-8DAB-4760-A311-ED67645BA591}"/>
    <cellStyle name="Normal 8 5 2 7" xfId="4874" xr:uid="{00000000-0005-0000-0000-0000331E0000}"/>
    <cellStyle name="Normal 8 5 2 7 2" xfId="13316" xr:uid="{D22D8D37-11D6-4594-A312-0406A3F0BF0F}"/>
    <cellStyle name="Normal 8 5 2 7 3" xfId="21753" xr:uid="{EA9094AE-C0DD-4BE1-9D7C-714092383AC2}"/>
    <cellStyle name="Normal 8 5 2 8" xfId="9098" xr:uid="{593C90B1-E899-471D-9722-86A555A96836}"/>
    <cellStyle name="Normal 8 5 2 9" xfId="17536" xr:uid="{0AD54239-84DC-410A-8F34-6F7715DD40B7}"/>
    <cellStyle name="Normal 8 5 3" xfId="974" xr:uid="{00000000-0005-0000-0000-0000341E0000}"/>
    <cellStyle name="Normal 8 5 3 2" xfId="3208" xr:uid="{00000000-0005-0000-0000-0000351E0000}"/>
    <cellStyle name="Normal 8 5 3 2 2" xfId="7431" xr:uid="{00000000-0005-0000-0000-0000361E0000}"/>
    <cellStyle name="Normal 8 5 3 2 2 2" xfId="15873" xr:uid="{425AD98E-73A5-4A9C-8034-9EF8B4121092}"/>
    <cellStyle name="Normal 8 5 3 2 2 3" xfId="24310" xr:uid="{CF22AA73-C378-4A43-B038-E611E00A7B52}"/>
    <cellStyle name="Normal 8 5 3 2 3" xfId="11655" xr:uid="{D64A627C-AFEE-43E8-93CB-80323069F966}"/>
    <cellStyle name="Normal 8 5 3 2 4" xfId="20093" xr:uid="{4C676822-19A6-44F7-BC1A-9A7EC1025BE3}"/>
    <cellStyle name="Normal 8 5 3 3" xfId="5286" xr:uid="{00000000-0005-0000-0000-0000371E0000}"/>
    <cellStyle name="Normal 8 5 3 3 2" xfId="13728" xr:uid="{B96BBA2C-3CE3-47A9-BEB5-D148BFEFF9AA}"/>
    <cellStyle name="Normal 8 5 3 3 3" xfId="22165" xr:uid="{D3C5D110-A9FB-469F-8891-C6F227E406DC}"/>
    <cellStyle name="Normal 8 5 3 4" xfId="9510" xr:uid="{B26BA767-27E6-4798-AA40-1AD9344FB2AE}"/>
    <cellStyle name="Normal 8 5 3 5" xfId="17948" xr:uid="{53F5D821-A08D-4E7F-890A-318357E5358F}"/>
    <cellStyle name="Normal 8 5 4" xfId="1391" xr:uid="{00000000-0005-0000-0000-0000381E0000}"/>
    <cellStyle name="Normal 8 5 4 2" xfId="3621" xr:uid="{00000000-0005-0000-0000-0000391E0000}"/>
    <cellStyle name="Normal 8 5 4 2 2" xfId="7844" xr:uid="{00000000-0005-0000-0000-00003A1E0000}"/>
    <cellStyle name="Normal 8 5 4 2 2 2" xfId="16286" xr:uid="{CFAFBA2A-BB12-4CD3-ADED-E691F163BBBD}"/>
    <cellStyle name="Normal 8 5 4 2 2 3" xfId="24723" xr:uid="{37F28451-1E10-49D9-9603-1AA24E9540C9}"/>
    <cellStyle name="Normal 8 5 4 2 3" xfId="12068" xr:uid="{DF7BB1FF-96E3-42BB-9DFD-DAC72AB6EC20}"/>
    <cellStyle name="Normal 8 5 4 2 4" xfId="20506" xr:uid="{C3085044-6D32-433C-8CA2-C8244377C158}"/>
    <cellStyle name="Normal 8 5 4 3" xfId="5699" xr:uid="{00000000-0005-0000-0000-00003B1E0000}"/>
    <cellStyle name="Normal 8 5 4 3 2" xfId="14141" xr:uid="{7EFA0866-588E-415C-BA93-B2198E4D8720}"/>
    <cellStyle name="Normal 8 5 4 3 3" xfId="22578" xr:uid="{B1196DE0-A324-4A04-9CF0-2342570434A0}"/>
    <cellStyle name="Normal 8 5 4 4" xfId="9923" xr:uid="{6FD967CD-A05B-437B-97CC-36CB1EEFBD16}"/>
    <cellStyle name="Normal 8 5 4 5" xfId="18361" xr:uid="{668C42FB-597E-4120-8DE5-7DCF363F7FD0}"/>
    <cellStyle name="Normal 8 5 5" xfId="1804" xr:uid="{00000000-0005-0000-0000-00003C1E0000}"/>
    <cellStyle name="Normal 8 5 5 2" xfId="4034" xr:uid="{00000000-0005-0000-0000-00003D1E0000}"/>
    <cellStyle name="Normal 8 5 5 2 2" xfId="8257" xr:uid="{00000000-0005-0000-0000-00003E1E0000}"/>
    <cellStyle name="Normal 8 5 5 2 2 2" xfId="16699" xr:uid="{F18DCADC-70D4-4657-84F0-15917E0BC939}"/>
    <cellStyle name="Normal 8 5 5 2 2 3" xfId="25136" xr:uid="{9595CE0D-9011-4D0F-9893-7082E4AC738F}"/>
    <cellStyle name="Normal 8 5 5 2 3" xfId="12481" xr:uid="{CB05B798-867A-4A50-9E64-AD27ABA09FED}"/>
    <cellStyle name="Normal 8 5 5 2 4" xfId="20919" xr:uid="{B04CB2AB-5A66-4A08-AD2D-B62B550F5B7C}"/>
    <cellStyle name="Normal 8 5 5 3" xfId="6112" xr:uid="{00000000-0005-0000-0000-00003F1E0000}"/>
    <cellStyle name="Normal 8 5 5 3 2" xfId="14554" xr:uid="{8F7C92BB-12D3-4EC3-8C2E-48F444957E7E}"/>
    <cellStyle name="Normal 8 5 5 3 3" xfId="22991" xr:uid="{D4FA48DA-7EF3-4B76-961E-E04E94026649}"/>
    <cellStyle name="Normal 8 5 5 4" xfId="10336" xr:uid="{C8439F4E-4988-4070-9D26-E8B2DF8F21DC}"/>
    <cellStyle name="Normal 8 5 5 5" xfId="18774" xr:uid="{CE478391-5F42-4373-83F5-6D2F61953647}"/>
    <cellStyle name="Normal 8 5 6" xfId="2218" xr:uid="{00000000-0005-0000-0000-0000401E0000}"/>
    <cellStyle name="Normal 8 5 6 2" xfId="4447" xr:uid="{00000000-0005-0000-0000-0000411E0000}"/>
    <cellStyle name="Normal 8 5 6 2 2" xfId="8670" xr:uid="{00000000-0005-0000-0000-0000421E0000}"/>
    <cellStyle name="Normal 8 5 6 2 2 2" xfId="17112" xr:uid="{7C1FB189-682A-4D7C-A734-E6CB347EBA23}"/>
    <cellStyle name="Normal 8 5 6 2 2 3" xfId="25549" xr:uid="{DF9B1BDE-CBD1-4A20-8A65-D17EA77614BA}"/>
    <cellStyle name="Normal 8 5 6 2 3" xfId="12894" xr:uid="{AFD4D0FC-5FD8-4DBF-BF54-9CA2EB08B327}"/>
    <cellStyle name="Normal 8 5 6 2 4" xfId="21332" xr:uid="{28C12245-833C-4A87-8B41-FDE944AC76B6}"/>
    <cellStyle name="Normal 8 5 6 3" xfId="6525" xr:uid="{00000000-0005-0000-0000-0000431E0000}"/>
    <cellStyle name="Normal 8 5 6 3 2" xfId="14967" xr:uid="{2F0EAD66-BC41-4B19-A130-F0F7994FA8A1}"/>
    <cellStyle name="Normal 8 5 6 3 3" xfId="23404" xr:uid="{45368B80-FD56-4126-8411-CD98E5BB2F6F}"/>
    <cellStyle name="Normal 8 5 6 4" xfId="10749" xr:uid="{50CE98D6-2F48-482C-B0D5-43A785B5BAAC}"/>
    <cellStyle name="Normal 8 5 6 5" xfId="19187" xr:uid="{1601A299-9BCC-459F-929F-68F063528314}"/>
    <cellStyle name="Normal 8 5 7" xfId="2654" xr:uid="{00000000-0005-0000-0000-0000441E0000}"/>
    <cellStyle name="Normal 8 5 7 2" xfId="6938" xr:uid="{00000000-0005-0000-0000-0000451E0000}"/>
    <cellStyle name="Normal 8 5 7 2 2" xfId="15380" xr:uid="{404BC8BB-53F9-4DE7-8C79-5DD8DCA00C4C}"/>
    <cellStyle name="Normal 8 5 7 2 3" xfId="23817" xr:uid="{B6D16EDD-EF6C-4847-A7F4-451E8C00AFBB}"/>
    <cellStyle name="Normal 8 5 7 3" xfId="11162" xr:uid="{670F2954-29C8-4EB6-B87E-7B369DC8A738}"/>
    <cellStyle name="Normal 8 5 7 4" xfId="19600" xr:uid="{064FF74B-6F0A-4BC0-82A5-435058B7BEDC}"/>
    <cellStyle name="Normal 8 5 8" xfId="4873" xr:uid="{00000000-0005-0000-0000-0000461E0000}"/>
    <cellStyle name="Normal 8 5 8 2" xfId="13315" xr:uid="{DAAF8206-9B4E-46BB-ADD5-4086CF04FFEF}"/>
    <cellStyle name="Normal 8 5 8 3" xfId="21752" xr:uid="{06035161-F7A0-411A-B481-178462AFC219}"/>
    <cellStyle name="Normal 8 5 9" xfId="9097" xr:uid="{1E2B46BC-2FEA-4AB4-817F-170D3C151501}"/>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2 2 2" xfId="15875" xr:uid="{795573BB-6412-480A-A8F3-D331FEBA779D}"/>
    <cellStyle name="Normal 8 6 2 2 2 3" xfId="24312" xr:uid="{DB5FA519-32C7-48D9-9989-C3F4BADBBC93}"/>
    <cellStyle name="Normal 8 6 2 2 3" xfId="11657" xr:uid="{504B875C-7514-4E24-918D-125D582027F7}"/>
    <cellStyle name="Normal 8 6 2 2 4" xfId="20095" xr:uid="{506890E5-1C74-497A-851C-841075B91EA0}"/>
    <cellStyle name="Normal 8 6 2 3" xfId="5288" xr:uid="{00000000-0005-0000-0000-00004B1E0000}"/>
    <cellStyle name="Normal 8 6 2 3 2" xfId="13730" xr:uid="{5E4461B3-07F1-4F00-90D5-5C2AEFA0E74A}"/>
    <cellStyle name="Normal 8 6 2 3 3" xfId="22167" xr:uid="{4675FF77-1C5F-47D9-907F-606FB0BE7FBE}"/>
    <cellStyle name="Normal 8 6 2 4" xfId="9512" xr:uid="{143B2D5E-726D-451A-A58D-3687AA6A81C1}"/>
    <cellStyle name="Normal 8 6 2 5" xfId="17950" xr:uid="{2A0FF168-3FCE-48BA-B923-4619553A288E}"/>
    <cellStyle name="Normal 8 6 3" xfId="1393" xr:uid="{00000000-0005-0000-0000-00004C1E0000}"/>
    <cellStyle name="Normal 8 6 3 2" xfId="3623" xr:uid="{00000000-0005-0000-0000-00004D1E0000}"/>
    <cellStyle name="Normal 8 6 3 2 2" xfId="7846" xr:uid="{00000000-0005-0000-0000-00004E1E0000}"/>
    <cellStyle name="Normal 8 6 3 2 2 2" xfId="16288" xr:uid="{05FD0C7F-1554-4EBF-B5C1-071332089C36}"/>
    <cellStyle name="Normal 8 6 3 2 2 3" xfId="24725" xr:uid="{16E33ECC-AD52-4D84-8CB9-19F63F47E32F}"/>
    <cellStyle name="Normal 8 6 3 2 3" xfId="12070" xr:uid="{1DF75629-DF60-4D6E-B19B-B26E16F790FC}"/>
    <cellStyle name="Normal 8 6 3 2 4" xfId="20508" xr:uid="{6D7FC45C-002E-44AE-83B8-5869B04BEC55}"/>
    <cellStyle name="Normal 8 6 3 3" xfId="5701" xr:uid="{00000000-0005-0000-0000-00004F1E0000}"/>
    <cellStyle name="Normal 8 6 3 3 2" xfId="14143" xr:uid="{D4F9CB62-A00A-46B7-99A1-4264F060E33D}"/>
    <cellStyle name="Normal 8 6 3 3 3" xfId="22580" xr:uid="{447B86C4-6CCF-4A98-A06B-B8CA3854ED89}"/>
    <cellStyle name="Normal 8 6 3 4" xfId="9925" xr:uid="{81CC61AA-5BA9-45AC-872E-4EC75B373FFD}"/>
    <cellStyle name="Normal 8 6 3 5" xfId="18363" xr:uid="{2AC054D3-C60C-437E-B425-B0690D6088AB}"/>
    <cellStyle name="Normal 8 6 4" xfId="1806" xr:uid="{00000000-0005-0000-0000-0000501E0000}"/>
    <cellStyle name="Normal 8 6 4 2" xfId="4036" xr:uid="{00000000-0005-0000-0000-0000511E0000}"/>
    <cellStyle name="Normal 8 6 4 2 2" xfId="8259" xr:uid="{00000000-0005-0000-0000-0000521E0000}"/>
    <cellStyle name="Normal 8 6 4 2 2 2" xfId="16701" xr:uid="{B4EFAD54-2765-402E-8B86-C4FB16D3D0DB}"/>
    <cellStyle name="Normal 8 6 4 2 2 3" xfId="25138" xr:uid="{1CEF7456-36F6-46DF-A001-C3F4BC48CDE9}"/>
    <cellStyle name="Normal 8 6 4 2 3" xfId="12483" xr:uid="{984E1295-1ECB-4088-B233-50D15306BD40}"/>
    <cellStyle name="Normal 8 6 4 2 4" xfId="20921" xr:uid="{BEE1A4DD-5A06-4B31-8155-ABFCDEB15934}"/>
    <cellStyle name="Normal 8 6 4 3" xfId="6114" xr:uid="{00000000-0005-0000-0000-0000531E0000}"/>
    <cellStyle name="Normal 8 6 4 3 2" xfId="14556" xr:uid="{2AC3C26C-EA8B-472B-9B0D-AC9A1346974F}"/>
    <cellStyle name="Normal 8 6 4 3 3" xfId="22993" xr:uid="{D360E01A-BCEA-4AC9-84CE-B66E802326F6}"/>
    <cellStyle name="Normal 8 6 4 4" xfId="10338" xr:uid="{0BB463B4-0EF9-4B67-929B-8ED0B4D4CAC0}"/>
    <cellStyle name="Normal 8 6 4 5" xfId="18776" xr:uid="{D4CF141B-DD4B-4FAE-84E2-F4C95BA66292}"/>
    <cellStyle name="Normal 8 6 5" xfId="2220" xr:uid="{00000000-0005-0000-0000-0000541E0000}"/>
    <cellStyle name="Normal 8 6 5 2" xfId="4449" xr:uid="{00000000-0005-0000-0000-0000551E0000}"/>
    <cellStyle name="Normal 8 6 5 2 2" xfId="8672" xr:uid="{00000000-0005-0000-0000-0000561E0000}"/>
    <cellStyle name="Normal 8 6 5 2 2 2" xfId="17114" xr:uid="{EBE398E2-44FC-4463-A98F-188374E569D7}"/>
    <cellStyle name="Normal 8 6 5 2 2 3" xfId="25551" xr:uid="{0AF6AAFA-431C-498A-8C7F-3C4CF488C945}"/>
    <cellStyle name="Normal 8 6 5 2 3" xfId="12896" xr:uid="{E4189048-8EB6-4766-B180-62532F7AFF24}"/>
    <cellStyle name="Normal 8 6 5 2 4" xfId="21334" xr:uid="{96E6935A-D765-4913-8F50-D201C43871DF}"/>
    <cellStyle name="Normal 8 6 5 3" xfId="6527" xr:uid="{00000000-0005-0000-0000-0000571E0000}"/>
    <cellStyle name="Normal 8 6 5 3 2" xfId="14969" xr:uid="{1BF0FCCD-FDAE-40B7-9A5B-220DA96FE245}"/>
    <cellStyle name="Normal 8 6 5 3 3" xfId="23406" xr:uid="{3EAD114D-1846-453B-95BF-701B104AE82E}"/>
    <cellStyle name="Normal 8 6 5 4" xfId="10751" xr:uid="{86A8CB7A-D776-45EA-B48B-82BF7ED9B1A6}"/>
    <cellStyle name="Normal 8 6 5 5" xfId="19189" xr:uid="{DB3B7E6B-14D6-46E1-84CC-1C849A6A5C95}"/>
    <cellStyle name="Normal 8 6 6" xfId="2656" xr:uid="{00000000-0005-0000-0000-0000581E0000}"/>
    <cellStyle name="Normal 8 6 6 2" xfId="6940" xr:uid="{00000000-0005-0000-0000-0000591E0000}"/>
    <cellStyle name="Normal 8 6 6 2 2" xfId="15382" xr:uid="{A9CF76E4-AC7C-49C6-982D-8F057F3D2448}"/>
    <cellStyle name="Normal 8 6 6 2 3" xfId="23819" xr:uid="{421B50D2-3FDB-46E2-8F20-025548DF0F22}"/>
    <cellStyle name="Normal 8 6 6 3" xfId="11164" xr:uid="{4BB78E3E-456F-4A09-9AE7-EE2F5FA8D23F}"/>
    <cellStyle name="Normal 8 6 6 4" xfId="19602" xr:uid="{214C4C46-9AD4-4162-84C1-3A691E105294}"/>
    <cellStyle name="Normal 8 6 7" xfId="4875" xr:uid="{00000000-0005-0000-0000-00005A1E0000}"/>
    <cellStyle name="Normal 8 6 7 2" xfId="13317" xr:uid="{A145BEF5-C4AE-49CE-976F-EB1847835ECE}"/>
    <cellStyle name="Normal 8 6 7 3" xfId="21754" xr:uid="{0BFD6C6F-8F0E-42DD-87EB-C7C28386DF4F}"/>
    <cellStyle name="Normal 8 6 8" xfId="9099" xr:uid="{BCF2DB26-CA28-4F16-BEDE-639C4D86FC17}"/>
    <cellStyle name="Normal 8 6 9" xfId="17537" xr:uid="{B0EB01C9-B230-430E-B5D5-6C244566170A}"/>
    <cellStyle name="Normal 8 7" xfId="945" xr:uid="{00000000-0005-0000-0000-00005B1E0000}"/>
    <cellStyle name="Normal 8 7 2" xfId="3179" xr:uid="{00000000-0005-0000-0000-00005C1E0000}"/>
    <cellStyle name="Normal 8 7 2 2" xfId="7402" xr:uid="{00000000-0005-0000-0000-00005D1E0000}"/>
    <cellStyle name="Normal 8 7 2 2 2" xfId="15844" xr:uid="{03E5816A-10D1-4730-ADDC-88940EADEDDA}"/>
    <cellStyle name="Normal 8 7 2 2 3" xfId="24281" xr:uid="{74FBFBDC-0CB9-43B2-ABDD-7B3D2D871CD7}"/>
    <cellStyle name="Normal 8 7 2 3" xfId="11626" xr:uid="{BD2A13D9-EAF4-4E78-8842-9E45280620E6}"/>
    <cellStyle name="Normal 8 7 2 4" xfId="20064" xr:uid="{0217854B-958C-4A13-BE36-D9065B0C38FD}"/>
    <cellStyle name="Normal 8 7 3" xfId="5257" xr:uid="{00000000-0005-0000-0000-00005E1E0000}"/>
    <cellStyle name="Normal 8 7 3 2" xfId="13699" xr:uid="{5F4C2014-3C0A-4500-90CC-E482905E9C55}"/>
    <cellStyle name="Normal 8 7 3 3" xfId="22136" xr:uid="{BBA4D1EF-3CE4-408E-8B88-BC6AE1F0AB2A}"/>
    <cellStyle name="Normal 8 7 4" xfId="9481" xr:uid="{D3CC0A37-4587-4121-AC0C-BFEE3AE6B2DB}"/>
    <cellStyle name="Normal 8 7 5" xfId="17919" xr:uid="{AB452714-5B2B-43C3-AA24-9A46932EE76E}"/>
    <cellStyle name="Normal 8 8" xfId="1362" xr:uid="{00000000-0005-0000-0000-00005F1E0000}"/>
    <cellStyle name="Normal 8 8 2" xfId="3592" xr:uid="{00000000-0005-0000-0000-0000601E0000}"/>
    <cellStyle name="Normal 8 8 2 2" xfId="7815" xr:uid="{00000000-0005-0000-0000-0000611E0000}"/>
    <cellStyle name="Normal 8 8 2 2 2" xfId="16257" xr:uid="{4CC9307C-E0BC-49BC-A664-0F137651CA72}"/>
    <cellStyle name="Normal 8 8 2 2 3" xfId="24694" xr:uid="{06B124AB-CD77-490B-A165-970F6FEE9C06}"/>
    <cellStyle name="Normal 8 8 2 3" xfId="12039" xr:uid="{892CC81D-A297-4C37-BED5-7F0A68012484}"/>
    <cellStyle name="Normal 8 8 2 4" xfId="20477" xr:uid="{4D8A5A0F-F6B5-48C2-9492-C6AC3447E2AA}"/>
    <cellStyle name="Normal 8 8 3" xfId="5670" xr:uid="{00000000-0005-0000-0000-0000621E0000}"/>
    <cellStyle name="Normal 8 8 3 2" xfId="14112" xr:uid="{A04E4283-AC0B-423A-BC63-B15BFFC23BBC}"/>
    <cellStyle name="Normal 8 8 3 3" xfId="22549" xr:uid="{14656AAF-FF88-42CA-BA96-8387B9B59434}"/>
    <cellStyle name="Normal 8 8 4" xfId="9894" xr:uid="{905DC4D9-781C-406A-A114-4907B1C232AF}"/>
    <cellStyle name="Normal 8 8 5" xfId="18332" xr:uid="{05F30FF4-4CE8-44D1-8926-F7642F36D6A7}"/>
    <cellStyle name="Normal 8 9" xfId="1775" xr:uid="{00000000-0005-0000-0000-0000631E0000}"/>
    <cellStyle name="Normal 8 9 2" xfId="4005" xr:uid="{00000000-0005-0000-0000-0000641E0000}"/>
    <cellStyle name="Normal 8 9 2 2" xfId="8228" xr:uid="{00000000-0005-0000-0000-0000651E0000}"/>
    <cellStyle name="Normal 8 9 2 2 2" xfId="16670" xr:uid="{D76F1080-779D-45D8-AF35-1D3C7E5EEC7A}"/>
    <cellStyle name="Normal 8 9 2 2 3" xfId="25107" xr:uid="{8DA63EEC-FDB3-4355-8A36-10E1D35832D7}"/>
    <cellStyle name="Normal 8 9 2 3" xfId="12452" xr:uid="{99678AEC-9C3F-40BC-B798-E9749445BDB6}"/>
    <cellStyle name="Normal 8 9 2 4" xfId="20890" xr:uid="{1C8D941E-1CAE-413F-BD1C-5508DF99C7A1}"/>
    <cellStyle name="Normal 8 9 3" xfId="6083" xr:uid="{00000000-0005-0000-0000-0000661E0000}"/>
    <cellStyle name="Normal 8 9 3 2" xfId="14525" xr:uid="{1AD58159-FE42-408D-9EFA-B28BEDBBE665}"/>
    <cellStyle name="Normal 8 9 3 3" xfId="22962" xr:uid="{F9598D06-3224-4B03-A4ED-A1C174D6BD09}"/>
    <cellStyle name="Normal 8 9 4" xfId="10307" xr:uid="{A51BD835-F3F5-4DDA-B348-89B8489F71DD}"/>
    <cellStyle name="Normal 8 9 5" xfId="18745" xr:uid="{CF286B83-BB96-491D-A45D-3F2AC9651B1D}"/>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0 2 2" xfId="15383" xr:uid="{DECDEBC2-9AC5-4EF3-B2A0-0141F69695F2}"/>
    <cellStyle name="Normal 9 2 10 2 3" xfId="23820" xr:uid="{F05B1F6B-0AFA-47FF-8DBA-67592CACA65A}"/>
    <cellStyle name="Normal 9 2 10 3" xfId="11165" xr:uid="{577A4A5E-8CBA-4A1D-973A-9A7ECB98686C}"/>
    <cellStyle name="Normal 9 2 10 4" xfId="19603" xr:uid="{C6B52DD9-D907-45EC-8829-C8A2884A2B42}"/>
    <cellStyle name="Normal 9 2 11" xfId="4876" xr:uid="{00000000-0005-0000-0000-00006B1E0000}"/>
    <cellStyle name="Normal 9 2 11 2" xfId="13318" xr:uid="{F3972F6B-D44F-4DFC-A194-E031C3BABE68}"/>
    <cellStyle name="Normal 9 2 11 3" xfId="21755" xr:uid="{6CAECAFE-B904-407C-A711-2A723C0488B2}"/>
    <cellStyle name="Normal 9 2 12" xfId="9100" xr:uid="{BB20C663-83AA-437A-9D20-4CB89C71957D}"/>
    <cellStyle name="Normal 9 2 13" xfId="17538" xr:uid="{973B91DF-5B72-4F8E-AC6E-DF6F58E028DE}"/>
    <cellStyle name="Normal 9 2 2" xfId="512" xr:uid="{00000000-0005-0000-0000-00006C1E0000}"/>
    <cellStyle name="Normal 9 2 2 10" xfId="4877" xr:uid="{00000000-0005-0000-0000-00006D1E0000}"/>
    <cellStyle name="Normal 9 2 2 10 2" xfId="13319" xr:uid="{4DEF9B26-491F-4C0A-9B09-983FD92F1E83}"/>
    <cellStyle name="Normal 9 2 2 10 3" xfId="21756" xr:uid="{DD27E6D9-B85D-4912-85FF-E98C05764B56}"/>
    <cellStyle name="Normal 9 2 2 11" xfId="9101" xr:uid="{B32CA1E6-07B1-471F-86AC-6FC26670A445}"/>
    <cellStyle name="Normal 9 2 2 12" xfId="17539" xr:uid="{97B50801-3F86-4823-BDD5-378DA2249C80}"/>
    <cellStyle name="Normal 9 2 2 2" xfId="513" xr:uid="{00000000-0005-0000-0000-00006E1E0000}"/>
    <cellStyle name="Normal 9 2 2 2 10" xfId="9102" xr:uid="{6AA769A5-EDCD-4E79-97A2-8417C88FE950}"/>
    <cellStyle name="Normal 9 2 2 2 11" xfId="17540" xr:uid="{4EB0DE80-4317-4B0C-80CE-F938D3B4A1A4}"/>
    <cellStyle name="Normal 9 2 2 2 2" xfId="514" xr:uid="{00000000-0005-0000-0000-00006F1E0000}"/>
    <cellStyle name="Normal 9 2 2 2 2 10" xfId="17541" xr:uid="{8C1573ED-DDC9-4D58-ADBC-3BB70F009AD3}"/>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2 2 2" xfId="15880" xr:uid="{A9D3DC10-3E47-4A37-85CA-BFF8B47B2411}"/>
    <cellStyle name="Normal 9 2 2 2 2 2 2 2 2 3" xfId="24317" xr:uid="{C8B49227-C762-4BF1-AAA1-DAB0C3314D5C}"/>
    <cellStyle name="Normal 9 2 2 2 2 2 2 2 3" xfId="11662" xr:uid="{046E30E7-85E4-4E08-A5F9-49864544876A}"/>
    <cellStyle name="Normal 9 2 2 2 2 2 2 2 4" xfId="20100" xr:uid="{EDAF99EE-9B03-4663-80AF-1D752647E0E1}"/>
    <cellStyle name="Normal 9 2 2 2 2 2 2 3" xfId="5293" xr:uid="{00000000-0005-0000-0000-0000741E0000}"/>
    <cellStyle name="Normal 9 2 2 2 2 2 2 3 2" xfId="13735" xr:uid="{87DF6ED9-33CB-4215-9181-11584A385B67}"/>
    <cellStyle name="Normal 9 2 2 2 2 2 2 3 3" xfId="22172" xr:uid="{B94E99B3-8DDB-4EB8-B944-4703A3BED908}"/>
    <cellStyle name="Normal 9 2 2 2 2 2 2 4" xfId="9517" xr:uid="{62F4A8EE-090E-4649-806C-0B55EDD92366}"/>
    <cellStyle name="Normal 9 2 2 2 2 2 2 5" xfId="17955" xr:uid="{00F3448F-55CA-4966-9BD4-69A45EB4D311}"/>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2 2 2" xfId="16293" xr:uid="{66BF55BC-512F-466E-9609-78E0BF88A1D8}"/>
    <cellStyle name="Normal 9 2 2 2 2 2 3 2 2 3" xfId="24730" xr:uid="{CC2D4DD5-A54E-4385-8C09-D179FA9E5731}"/>
    <cellStyle name="Normal 9 2 2 2 2 2 3 2 3" xfId="12075" xr:uid="{D2DBF152-D400-47C7-B503-FE76B499589E}"/>
    <cellStyle name="Normal 9 2 2 2 2 2 3 2 4" xfId="20513" xr:uid="{E7022E39-5715-4C3C-8CDA-B9EFC5102CEE}"/>
    <cellStyle name="Normal 9 2 2 2 2 2 3 3" xfId="5706" xr:uid="{00000000-0005-0000-0000-0000781E0000}"/>
    <cellStyle name="Normal 9 2 2 2 2 2 3 3 2" xfId="14148" xr:uid="{5B5EE541-7224-42FC-A24D-DD8987A4E6B2}"/>
    <cellStyle name="Normal 9 2 2 2 2 2 3 3 3" xfId="22585" xr:uid="{3A131212-5547-412D-96FE-72A38437851B}"/>
    <cellStyle name="Normal 9 2 2 2 2 2 3 4" xfId="9930" xr:uid="{C38033F8-F67E-4648-AA0B-A3EE527FCCB2}"/>
    <cellStyle name="Normal 9 2 2 2 2 2 3 5" xfId="18368" xr:uid="{127BB769-F9A7-435F-85B4-CFDC029C9013}"/>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2 2 2" xfId="16706" xr:uid="{5A1A7303-63E8-412B-9BD2-560054473C67}"/>
    <cellStyle name="Normal 9 2 2 2 2 2 4 2 2 3" xfId="25143" xr:uid="{505362BA-EE79-4450-89B3-3F5685C29C9E}"/>
    <cellStyle name="Normal 9 2 2 2 2 2 4 2 3" xfId="12488" xr:uid="{617C04B1-E84F-4459-BA77-24383B87FA8E}"/>
    <cellStyle name="Normal 9 2 2 2 2 2 4 2 4" xfId="20926" xr:uid="{C7DC2761-237E-4579-A884-5E138A1F752A}"/>
    <cellStyle name="Normal 9 2 2 2 2 2 4 3" xfId="6119" xr:uid="{00000000-0005-0000-0000-00007C1E0000}"/>
    <cellStyle name="Normal 9 2 2 2 2 2 4 3 2" xfId="14561" xr:uid="{2D12B7AC-C9F3-485D-8A94-2E85EF89B0E9}"/>
    <cellStyle name="Normal 9 2 2 2 2 2 4 3 3" xfId="22998" xr:uid="{507CDA8E-0423-4D99-B9F9-0BC44C4A58DE}"/>
    <cellStyle name="Normal 9 2 2 2 2 2 4 4" xfId="10343" xr:uid="{FAAB4513-10F7-4CB9-96F3-4D8D68A487BF}"/>
    <cellStyle name="Normal 9 2 2 2 2 2 4 5" xfId="18781" xr:uid="{A4E4BA99-C920-4B5E-B3F0-D7982EAAE6BD}"/>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2 2 2" xfId="17119" xr:uid="{F2E07917-0C94-4892-81E1-993EC809C223}"/>
    <cellStyle name="Normal 9 2 2 2 2 2 5 2 2 3" xfId="25556" xr:uid="{C99FE0CE-A9A4-4A5C-8BDA-79CFC7A1E26E}"/>
    <cellStyle name="Normal 9 2 2 2 2 2 5 2 3" xfId="12901" xr:uid="{85D817CA-5090-4969-A821-2A6BDE4A7A5E}"/>
    <cellStyle name="Normal 9 2 2 2 2 2 5 2 4" xfId="21339" xr:uid="{C5A9EF66-D380-4768-9BC7-3CCF52F65D63}"/>
    <cellStyle name="Normal 9 2 2 2 2 2 5 3" xfId="6532" xr:uid="{00000000-0005-0000-0000-0000801E0000}"/>
    <cellStyle name="Normal 9 2 2 2 2 2 5 3 2" xfId="14974" xr:uid="{7D482A52-D439-404E-A9B3-819BB5286B43}"/>
    <cellStyle name="Normal 9 2 2 2 2 2 5 3 3" xfId="23411" xr:uid="{E5B7E020-2FF2-470B-BF0C-2F7BA27BD655}"/>
    <cellStyle name="Normal 9 2 2 2 2 2 5 4" xfId="10756" xr:uid="{0111427F-A355-4F88-B420-41382007D4F6}"/>
    <cellStyle name="Normal 9 2 2 2 2 2 5 5" xfId="19194" xr:uid="{C986707A-D3C8-4C83-88E9-0547604FDCFD}"/>
    <cellStyle name="Normal 9 2 2 2 2 2 6" xfId="2661" xr:uid="{00000000-0005-0000-0000-0000811E0000}"/>
    <cellStyle name="Normal 9 2 2 2 2 2 6 2" xfId="6945" xr:uid="{00000000-0005-0000-0000-0000821E0000}"/>
    <cellStyle name="Normal 9 2 2 2 2 2 6 2 2" xfId="15387" xr:uid="{F2A6965F-5E3E-46B3-BA96-F58C880364F2}"/>
    <cellStyle name="Normal 9 2 2 2 2 2 6 2 3" xfId="23824" xr:uid="{58955C80-25F3-4F24-8A41-2ADB0DCBFE1F}"/>
    <cellStyle name="Normal 9 2 2 2 2 2 6 3" xfId="11169" xr:uid="{461CDD4A-14B3-42EF-B3C2-17CAB3DA1843}"/>
    <cellStyle name="Normal 9 2 2 2 2 2 6 4" xfId="19607" xr:uid="{8C8B73D0-8D46-4A42-8A4A-52E8FAA1F898}"/>
    <cellStyle name="Normal 9 2 2 2 2 2 7" xfId="4880" xr:uid="{00000000-0005-0000-0000-0000831E0000}"/>
    <cellStyle name="Normal 9 2 2 2 2 2 7 2" xfId="13322" xr:uid="{DF6D61F1-13D4-426B-A182-1155804ED8AC}"/>
    <cellStyle name="Normal 9 2 2 2 2 2 7 3" xfId="21759" xr:uid="{4E3C18DB-F08C-42EB-8AD4-744987007654}"/>
    <cellStyle name="Normal 9 2 2 2 2 2 8" xfId="9104" xr:uid="{B6D9ED1F-BE6E-4392-8838-A9D6CE46AC17}"/>
    <cellStyle name="Normal 9 2 2 2 2 2 9" xfId="17542" xr:uid="{135FE719-AC8A-4FA9-AC74-F6B1AC39CCF9}"/>
    <cellStyle name="Normal 9 2 2 2 2 3" xfId="981" xr:uid="{00000000-0005-0000-0000-0000841E0000}"/>
    <cellStyle name="Normal 9 2 2 2 2 3 2" xfId="3214" xr:uid="{00000000-0005-0000-0000-0000851E0000}"/>
    <cellStyle name="Normal 9 2 2 2 2 3 2 2" xfId="7437" xr:uid="{00000000-0005-0000-0000-0000861E0000}"/>
    <cellStyle name="Normal 9 2 2 2 2 3 2 2 2" xfId="15879" xr:uid="{6BF7DA8E-1D4F-4A69-A57D-F81D8D9CEC63}"/>
    <cellStyle name="Normal 9 2 2 2 2 3 2 2 3" xfId="24316" xr:uid="{9AF3201A-040C-4839-968B-109C9E68DE11}"/>
    <cellStyle name="Normal 9 2 2 2 2 3 2 3" xfId="11661" xr:uid="{86E544BA-4D37-4173-8E4B-4F2D4539D04D}"/>
    <cellStyle name="Normal 9 2 2 2 2 3 2 4" xfId="20099" xr:uid="{C4DB8643-BBF8-4388-AA0F-CA89731C7897}"/>
    <cellStyle name="Normal 9 2 2 2 2 3 3" xfId="5292" xr:uid="{00000000-0005-0000-0000-0000871E0000}"/>
    <cellStyle name="Normal 9 2 2 2 2 3 3 2" xfId="13734" xr:uid="{B8F6EDB4-A8E4-4DF5-B4E9-074987F04BAF}"/>
    <cellStyle name="Normal 9 2 2 2 2 3 3 3" xfId="22171" xr:uid="{0F4A7211-76A3-49DA-81B8-8C7ABA0733EB}"/>
    <cellStyle name="Normal 9 2 2 2 2 3 4" xfId="9516" xr:uid="{A6B615A0-3D2A-4F25-833E-7BFB0C2655DC}"/>
    <cellStyle name="Normal 9 2 2 2 2 3 5" xfId="17954" xr:uid="{F4AF8425-58ED-45C8-881C-6A0A5BE2F2B8}"/>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2 2 2" xfId="16292" xr:uid="{97E6AE05-221F-4F7D-8675-19E72830F1DC}"/>
    <cellStyle name="Normal 9 2 2 2 2 4 2 2 3" xfId="24729" xr:uid="{B96F1756-AAE7-4448-9278-1E148FD62DBC}"/>
    <cellStyle name="Normal 9 2 2 2 2 4 2 3" xfId="12074" xr:uid="{476A3899-B6D6-46E0-B03E-26C322F91382}"/>
    <cellStyle name="Normal 9 2 2 2 2 4 2 4" xfId="20512" xr:uid="{CBCC5FA1-E4BC-4534-B2AE-2808569F2562}"/>
    <cellStyle name="Normal 9 2 2 2 2 4 3" xfId="5705" xr:uid="{00000000-0005-0000-0000-00008B1E0000}"/>
    <cellStyle name="Normal 9 2 2 2 2 4 3 2" xfId="14147" xr:uid="{758678B3-61D2-4CF9-8250-5DA914ADCEF1}"/>
    <cellStyle name="Normal 9 2 2 2 2 4 3 3" xfId="22584" xr:uid="{21F3CA2C-4043-4B1F-9B75-40C1182F5637}"/>
    <cellStyle name="Normal 9 2 2 2 2 4 4" xfId="9929" xr:uid="{D18C4877-457C-4957-9CF0-079FE1C26580}"/>
    <cellStyle name="Normal 9 2 2 2 2 4 5" xfId="18367" xr:uid="{2491D4B9-D542-419F-8049-7233D025B9A4}"/>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2 2 2" xfId="16705" xr:uid="{13CF6255-643B-4D80-87AF-F2B34B7E7C8F}"/>
    <cellStyle name="Normal 9 2 2 2 2 5 2 2 3" xfId="25142" xr:uid="{A6DBBC89-D42C-4C8B-8FCD-5A7A411E17EE}"/>
    <cellStyle name="Normal 9 2 2 2 2 5 2 3" xfId="12487" xr:uid="{0B6BA023-7BA3-40E7-8C14-4F29B23823B3}"/>
    <cellStyle name="Normal 9 2 2 2 2 5 2 4" xfId="20925" xr:uid="{006F591A-E9AF-42E0-84B0-53E5B56DB46B}"/>
    <cellStyle name="Normal 9 2 2 2 2 5 3" xfId="6118" xr:uid="{00000000-0005-0000-0000-00008F1E0000}"/>
    <cellStyle name="Normal 9 2 2 2 2 5 3 2" xfId="14560" xr:uid="{3954106E-5521-4E75-A7CE-219262039CDE}"/>
    <cellStyle name="Normal 9 2 2 2 2 5 3 3" xfId="22997" xr:uid="{CB61D6AC-2AE6-4AFF-8339-95B9866F1637}"/>
    <cellStyle name="Normal 9 2 2 2 2 5 4" xfId="10342" xr:uid="{2AD5015D-AB13-4CFD-A46E-4B0FFB4F4DFC}"/>
    <cellStyle name="Normal 9 2 2 2 2 5 5" xfId="18780" xr:uid="{A7262D08-595B-4ED4-A709-A929C015E67E}"/>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2 2 2" xfId="17118" xr:uid="{6D445D59-8D36-4D12-A0A6-C9A7E5987E49}"/>
    <cellStyle name="Normal 9 2 2 2 2 6 2 2 3" xfId="25555" xr:uid="{048F08D0-D3E2-4AB1-AE89-4203B7539676}"/>
    <cellStyle name="Normal 9 2 2 2 2 6 2 3" xfId="12900" xr:uid="{C80A6817-C8FF-4D0B-A875-5AA168CD79A3}"/>
    <cellStyle name="Normal 9 2 2 2 2 6 2 4" xfId="21338" xr:uid="{06D36515-0EF6-40BD-9C68-ED6AA1E54E62}"/>
    <cellStyle name="Normal 9 2 2 2 2 6 3" xfId="6531" xr:uid="{00000000-0005-0000-0000-0000931E0000}"/>
    <cellStyle name="Normal 9 2 2 2 2 6 3 2" xfId="14973" xr:uid="{CFC15E83-F584-4FA8-889F-E66792A5F75A}"/>
    <cellStyle name="Normal 9 2 2 2 2 6 3 3" xfId="23410" xr:uid="{B186D5EA-26B6-4020-BF48-86E86D766BD8}"/>
    <cellStyle name="Normal 9 2 2 2 2 6 4" xfId="10755" xr:uid="{242DC534-3CD2-4440-8176-C381B8D12AB6}"/>
    <cellStyle name="Normal 9 2 2 2 2 6 5" xfId="19193" xr:uid="{B5F9A389-0D8A-4629-A43E-49DBD16D4B6B}"/>
    <cellStyle name="Normal 9 2 2 2 2 7" xfId="2660" xr:uid="{00000000-0005-0000-0000-0000941E0000}"/>
    <cellStyle name="Normal 9 2 2 2 2 7 2" xfId="6944" xr:uid="{00000000-0005-0000-0000-0000951E0000}"/>
    <cellStyle name="Normal 9 2 2 2 2 7 2 2" xfId="15386" xr:uid="{972D049D-52D8-41CE-932A-29D3904E7822}"/>
    <cellStyle name="Normal 9 2 2 2 2 7 2 3" xfId="23823" xr:uid="{F86E3BFC-9C5E-4797-BDD4-FA43F64248FF}"/>
    <cellStyle name="Normal 9 2 2 2 2 7 3" xfId="11168" xr:uid="{659D5523-352E-4119-BFFF-8028CCFE2FDA}"/>
    <cellStyle name="Normal 9 2 2 2 2 7 4" xfId="19606" xr:uid="{DBE29E42-04FA-46D9-A8A3-2B6792C40039}"/>
    <cellStyle name="Normal 9 2 2 2 2 8" xfId="4879" xr:uid="{00000000-0005-0000-0000-0000961E0000}"/>
    <cellStyle name="Normal 9 2 2 2 2 8 2" xfId="13321" xr:uid="{FFB5B678-C8F4-4936-9333-8FB28CAD00F1}"/>
    <cellStyle name="Normal 9 2 2 2 2 8 3" xfId="21758" xr:uid="{CA3B0A1A-CB75-4FA7-BBB5-F26F567134E3}"/>
    <cellStyle name="Normal 9 2 2 2 2 9" xfId="9103" xr:uid="{4025E640-DF0B-46B7-A4C7-9149904DC9DD}"/>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2 2 2" xfId="15881" xr:uid="{E1CE86FB-5F37-47C8-B5EE-B4C5FED1AFAC}"/>
    <cellStyle name="Normal 9 2 2 2 3 2 2 2 3" xfId="24318" xr:uid="{1B7A48D4-7026-469F-9F1D-53301480C3E3}"/>
    <cellStyle name="Normal 9 2 2 2 3 2 2 3" xfId="11663" xr:uid="{75924802-0ABF-4990-9D0E-419013A20F8B}"/>
    <cellStyle name="Normal 9 2 2 2 3 2 2 4" xfId="20101" xr:uid="{8EA46B6C-A9BA-4617-B4DA-671DD8D1F787}"/>
    <cellStyle name="Normal 9 2 2 2 3 2 3" xfId="5294" xr:uid="{00000000-0005-0000-0000-00009B1E0000}"/>
    <cellStyle name="Normal 9 2 2 2 3 2 3 2" xfId="13736" xr:uid="{9AA61E2F-6F4D-4AB2-A6E8-6807C8D7E162}"/>
    <cellStyle name="Normal 9 2 2 2 3 2 3 3" xfId="22173" xr:uid="{CC206D39-AC3A-4FAF-9614-39D4DC4FC71E}"/>
    <cellStyle name="Normal 9 2 2 2 3 2 4" xfId="9518" xr:uid="{7CCC2D3D-A0A8-43B5-91F3-6A41CC33809D}"/>
    <cellStyle name="Normal 9 2 2 2 3 2 5" xfId="17956" xr:uid="{BE1B1682-E645-4DF8-91EE-C171F58FE277}"/>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2 2 2" xfId="16294" xr:uid="{12BC6D79-A680-4A12-93BB-376AA6BD37BD}"/>
    <cellStyle name="Normal 9 2 2 2 3 3 2 2 3" xfId="24731" xr:uid="{CB106839-3B39-4FC3-AC6D-0E6148FA203D}"/>
    <cellStyle name="Normal 9 2 2 2 3 3 2 3" xfId="12076" xr:uid="{034C9AE2-B591-4E08-97D3-F09C3D233AED}"/>
    <cellStyle name="Normal 9 2 2 2 3 3 2 4" xfId="20514" xr:uid="{3D8B2DBB-3FB5-4D64-A557-9F78C9D92B09}"/>
    <cellStyle name="Normal 9 2 2 2 3 3 3" xfId="5707" xr:uid="{00000000-0005-0000-0000-00009F1E0000}"/>
    <cellStyle name="Normal 9 2 2 2 3 3 3 2" xfId="14149" xr:uid="{09DFB86A-AAC8-4715-9B1D-CA78B3CCBC24}"/>
    <cellStyle name="Normal 9 2 2 2 3 3 3 3" xfId="22586" xr:uid="{8A3D26EC-0BCD-4DA5-9E25-949569FE0BBD}"/>
    <cellStyle name="Normal 9 2 2 2 3 3 4" xfId="9931" xr:uid="{65CEF6C2-AC6A-482D-9DFC-4A1CA5B6ED20}"/>
    <cellStyle name="Normal 9 2 2 2 3 3 5" xfId="18369" xr:uid="{13698BD5-233A-4A7E-80C8-DBB00FD24587}"/>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2 2 2" xfId="16707" xr:uid="{932B753E-96C7-4FCC-AA47-0207847B75A6}"/>
    <cellStyle name="Normal 9 2 2 2 3 4 2 2 3" xfId="25144" xr:uid="{FEF156E9-AB7A-4748-A778-5679341FF280}"/>
    <cellStyle name="Normal 9 2 2 2 3 4 2 3" xfId="12489" xr:uid="{15008E0B-F5FC-43AE-957F-1445CF8A985C}"/>
    <cellStyle name="Normal 9 2 2 2 3 4 2 4" xfId="20927" xr:uid="{92A462EC-BE56-4DDD-81E5-0C4B239150EC}"/>
    <cellStyle name="Normal 9 2 2 2 3 4 3" xfId="6120" xr:uid="{00000000-0005-0000-0000-0000A31E0000}"/>
    <cellStyle name="Normal 9 2 2 2 3 4 3 2" xfId="14562" xr:uid="{2030DD8D-7A3B-4396-9FFB-6D7D0BB52975}"/>
    <cellStyle name="Normal 9 2 2 2 3 4 3 3" xfId="22999" xr:uid="{812BF5EF-9958-4720-949B-399EA127088B}"/>
    <cellStyle name="Normal 9 2 2 2 3 4 4" xfId="10344" xr:uid="{77D87BC7-82AE-4022-88C8-17AD73306A2F}"/>
    <cellStyle name="Normal 9 2 2 2 3 4 5" xfId="18782" xr:uid="{8C4BDA66-048E-4DEC-9CA7-05E8C55CFF88}"/>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2 2 2" xfId="17120" xr:uid="{1EB9E424-84C9-4A23-AD3A-674B7FE1CF1A}"/>
    <cellStyle name="Normal 9 2 2 2 3 5 2 2 3" xfId="25557" xr:uid="{4C6CBCE5-81E7-4439-B5AA-036573E00A7A}"/>
    <cellStyle name="Normal 9 2 2 2 3 5 2 3" xfId="12902" xr:uid="{34E17287-C9DC-4022-A358-E364D29E200F}"/>
    <cellStyle name="Normal 9 2 2 2 3 5 2 4" xfId="21340" xr:uid="{35FCCF75-4805-4A6C-9AA2-8E5C5AFC9CD3}"/>
    <cellStyle name="Normal 9 2 2 2 3 5 3" xfId="6533" xr:uid="{00000000-0005-0000-0000-0000A71E0000}"/>
    <cellStyle name="Normal 9 2 2 2 3 5 3 2" xfId="14975" xr:uid="{C5C83873-AFA6-44C9-BBB6-78D4A7442381}"/>
    <cellStyle name="Normal 9 2 2 2 3 5 3 3" xfId="23412" xr:uid="{6B5DE1AA-2606-41F6-BB65-8C12D1EA1A8A}"/>
    <cellStyle name="Normal 9 2 2 2 3 5 4" xfId="10757" xr:uid="{5B2B646C-2703-4443-96DC-12E4FDE83B5E}"/>
    <cellStyle name="Normal 9 2 2 2 3 5 5" xfId="19195" xr:uid="{A115700D-F908-40EF-8529-C3EFA8546EB1}"/>
    <cellStyle name="Normal 9 2 2 2 3 6" xfId="2662" xr:uid="{00000000-0005-0000-0000-0000A81E0000}"/>
    <cellStyle name="Normal 9 2 2 2 3 6 2" xfId="6946" xr:uid="{00000000-0005-0000-0000-0000A91E0000}"/>
    <cellStyle name="Normal 9 2 2 2 3 6 2 2" xfId="15388" xr:uid="{7B9045B2-77F2-426F-A366-973DEAB6B2A7}"/>
    <cellStyle name="Normal 9 2 2 2 3 6 2 3" xfId="23825" xr:uid="{775C1981-AA9E-471F-A263-5BCD6ABEE63A}"/>
    <cellStyle name="Normal 9 2 2 2 3 6 3" xfId="11170" xr:uid="{3907C5A9-8324-4396-919F-E443F8FA40F8}"/>
    <cellStyle name="Normal 9 2 2 2 3 6 4" xfId="19608" xr:uid="{D3897B75-0164-41A2-9717-3A73E8AC15D2}"/>
    <cellStyle name="Normal 9 2 2 2 3 7" xfId="4881" xr:uid="{00000000-0005-0000-0000-0000AA1E0000}"/>
    <cellStyle name="Normal 9 2 2 2 3 7 2" xfId="13323" xr:uid="{01B71CDF-055C-498B-AAC3-785500958A81}"/>
    <cellStyle name="Normal 9 2 2 2 3 7 3" xfId="21760" xr:uid="{FC32F383-32B2-4970-81DE-58903CC31F43}"/>
    <cellStyle name="Normal 9 2 2 2 3 8" xfId="9105" xr:uid="{5B7F315A-55C0-4D09-ACDF-0707AF58C7F1}"/>
    <cellStyle name="Normal 9 2 2 2 3 9" xfId="17543" xr:uid="{B999D6D1-597F-4C3F-BEE0-7B9AEA17C9B7}"/>
    <cellStyle name="Normal 9 2 2 2 4" xfId="980" xr:uid="{00000000-0005-0000-0000-0000AB1E0000}"/>
    <cellStyle name="Normal 9 2 2 2 4 2" xfId="3213" xr:uid="{00000000-0005-0000-0000-0000AC1E0000}"/>
    <cellStyle name="Normal 9 2 2 2 4 2 2" xfId="7436" xr:uid="{00000000-0005-0000-0000-0000AD1E0000}"/>
    <cellStyle name="Normal 9 2 2 2 4 2 2 2" xfId="15878" xr:uid="{7D2C5414-35B0-4044-8EDE-A2F6F3D0CE9A}"/>
    <cellStyle name="Normal 9 2 2 2 4 2 2 3" xfId="24315" xr:uid="{F8E6AE01-C6A0-42E3-9985-B4CFA7645659}"/>
    <cellStyle name="Normal 9 2 2 2 4 2 3" xfId="11660" xr:uid="{A191C4A1-B805-4B0F-A512-7221282A22A6}"/>
    <cellStyle name="Normal 9 2 2 2 4 2 4" xfId="20098" xr:uid="{4363CCA5-5644-490E-9705-EF8B8CCA194B}"/>
    <cellStyle name="Normal 9 2 2 2 4 3" xfId="5291" xr:uid="{00000000-0005-0000-0000-0000AE1E0000}"/>
    <cellStyle name="Normal 9 2 2 2 4 3 2" xfId="13733" xr:uid="{B92EF7E1-B503-490B-BDE5-4DBF8D3D617F}"/>
    <cellStyle name="Normal 9 2 2 2 4 3 3" xfId="22170" xr:uid="{99791953-4928-46EB-88DC-B4D68DAF16AB}"/>
    <cellStyle name="Normal 9 2 2 2 4 4" xfId="9515" xr:uid="{1051D742-2C5D-4D03-81F3-B6BFD2092DD7}"/>
    <cellStyle name="Normal 9 2 2 2 4 5" xfId="17953" xr:uid="{4368E5F1-CBC5-4E4C-B2AF-95212B4982F8}"/>
    <cellStyle name="Normal 9 2 2 2 5" xfId="1396" xr:uid="{00000000-0005-0000-0000-0000AF1E0000}"/>
    <cellStyle name="Normal 9 2 2 2 5 2" xfId="3626" xr:uid="{00000000-0005-0000-0000-0000B01E0000}"/>
    <cellStyle name="Normal 9 2 2 2 5 2 2" xfId="7849" xr:uid="{00000000-0005-0000-0000-0000B11E0000}"/>
    <cellStyle name="Normal 9 2 2 2 5 2 2 2" xfId="16291" xr:uid="{1B64F2FB-3DC5-455A-93EC-3153C6644E30}"/>
    <cellStyle name="Normal 9 2 2 2 5 2 2 3" xfId="24728" xr:uid="{1E3A5BDE-BEEC-4BA3-9FDF-E133C8CCF509}"/>
    <cellStyle name="Normal 9 2 2 2 5 2 3" xfId="12073" xr:uid="{EA1B66E0-CDF5-4B02-AD91-85DF3979C114}"/>
    <cellStyle name="Normal 9 2 2 2 5 2 4" xfId="20511" xr:uid="{C0B3E38F-F709-43BD-A369-C5C2796374CA}"/>
    <cellStyle name="Normal 9 2 2 2 5 3" xfId="5704" xr:uid="{00000000-0005-0000-0000-0000B21E0000}"/>
    <cellStyle name="Normal 9 2 2 2 5 3 2" xfId="14146" xr:uid="{3FDB58C7-BCF1-403D-AC57-83B28E529E36}"/>
    <cellStyle name="Normal 9 2 2 2 5 3 3" xfId="22583" xr:uid="{1C28B409-256B-49A1-A915-9CC8A0692A41}"/>
    <cellStyle name="Normal 9 2 2 2 5 4" xfId="9928" xr:uid="{77EE6A1A-F1CB-4308-A24D-DA48D2EF9732}"/>
    <cellStyle name="Normal 9 2 2 2 5 5" xfId="18366" xr:uid="{3B094859-E0CA-4381-A06D-D8B4D007173C}"/>
    <cellStyle name="Normal 9 2 2 2 6" xfId="1809" xr:uid="{00000000-0005-0000-0000-0000B31E0000}"/>
    <cellStyle name="Normal 9 2 2 2 6 2" xfId="4039" xr:uid="{00000000-0005-0000-0000-0000B41E0000}"/>
    <cellStyle name="Normal 9 2 2 2 6 2 2" xfId="8262" xr:uid="{00000000-0005-0000-0000-0000B51E0000}"/>
    <cellStyle name="Normal 9 2 2 2 6 2 2 2" xfId="16704" xr:uid="{CC5B79A2-D6F6-4E87-A2B0-7D56615D6851}"/>
    <cellStyle name="Normal 9 2 2 2 6 2 2 3" xfId="25141" xr:uid="{69D08255-CD93-4FA7-B89E-057CB332A817}"/>
    <cellStyle name="Normal 9 2 2 2 6 2 3" xfId="12486" xr:uid="{474C2B24-2911-42A2-B49C-40E691547EB7}"/>
    <cellStyle name="Normal 9 2 2 2 6 2 4" xfId="20924" xr:uid="{DB3871B2-E9C1-4BFD-9B39-C636244DD10C}"/>
    <cellStyle name="Normal 9 2 2 2 6 3" xfId="6117" xr:uid="{00000000-0005-0000-0000-0000B61E0000}"/>
    <cellStyle name="Normal 9 2 2 2 6 3 2" xfId="14559" xr:uid="{AE6C6C70-0A8F-4BEF-A64F-9207DA6108E4}"/>
    <cellStyle name="Normal 9 2 2 2 6 3 3" xfId="22996" xr:uid="{951843FD-CB46-449E-BE4D-0F5AF5330F65}"/>
    <cellStyle name="Normal 9 2 2 2 6 4" xfId="10341" xr:uid="{C4F779E3-36CA-4B3E-B8B0-39A67C0AA102}"/>
    <cellStyle name="Normal 9 2 2 2 6 5" xfId="18779" xr:uid="{BD2A3E28-026D-4352-A6B5-8D588DA9834C}"/>
    <cellStyle name="Normal 9 2 2 2 7" xfId="2223" xr:uid="{00000000-0005-0000-0000-0000B71E0000}"/>
    <cellStyle name="Normal 9 2 2 2 7 2" xfId="4452" xr:uid="{00000000-0005-0000-0000-0000B81E0000}"/>
    <cellStyle name="Normal 9 2 2 2 7 2 2" xfId="8675" xr:uid="{00000000-0005-0000-0000-0000B91E0000}"/>
    <cellStyle name="Normal 9 2 2 2 7 2 2 2" xfId="17117" xr:uid="{0E1B7208-75C4-4EFF-8063-C0E6F0B329D7}"/>
    <cellStyle name="Normal 9 2 2 2 7 2 2 3" xfId="25554" xr:uid="{71747154-8074-423A-8B24-BE941D092688}"/>
    <cellStyle name="Normal 9 2 2 2 7 2 3" xfId="12899" xr:uid="{7E52FACE-30E4-4FF6-AB8B-DFED8221615C}"/>
    <cellStyle name="Normal 9 2 2 2 7 2 4" xfId="21337" xr:uid="{13C599B6-FBFE-4196-8178-CB5E23904E01}"/>
    <cellStyle name="Normal 9 2 2 2 7 3" xfId="6530" xr:uid="{00000000-0005-0000-0000-0000BA1E0000}"/>
    <cellStyle name="Normal 9 2 2 2 7 3 2" xfId="14972" xr:uid="{EBF4CBD8-32B2-4ED7-8A89-12A98E2454D7}"/>
    <cellStyle name="Normal 9 2 2 2 7 3 3" xfId="23409" xr:uid="{0851018A-B72F-4164-9CFD-3F739AB3A795}"/>
    <cellStyle name="Normal 9 2 2 2 7 4" xfId="10754" xr:uid="{D45B99E4-6D57-4550-B9AF-F6726C57BE05}"/>
    <cellStyle name="Normal 9 2 2 2 7 5" xfId="19192" xr:uid="{C1502DAD-0B9A-408E-BF92-0B385DD04656}"/>
    <cellStyle name="Normal 9 2 2 2 8" xfId="2659" xr:uid="{00000000-0005-0000-0000-0000BB1E0000}"/>
    <cellStyle name="Normal 9 2 2 2 8 2" xfId="6943" xr:uid="{00000000-0005-0000-0000-0000BC1E0000}"/>
    <cellStyle name="Normal 9 2 2 2 8 2 2" xfId="15385" xr:uid="{C2155103-0043-4BAA-8DAA-804739D58FB2}"/>
    <cellStyle name="Normal 9 2 2 2 8 2 3" xfId="23822" xr:uid="{46907E95-9B99-45CF-9B75-1FACA2EA58D7}"/>
    <cellStyle name="Normal 9 2 2 2 8 3" xfId="11167" xr:uid="{76440A43-48C5-49CE-B9E4-5A7A55151EA1}"/>
    <cellStyle name="Normal 9 2 2 2 8 4" xfId="19605" xr:uid="{322D3263-F99E-439D-9EB0-BE2D28A4FCD4}"/>
    <cellStyle name="Normal 9 2 2 2 9" xfId="4878" xr:uid="{00000000-0005-0000-0000-0000BD1E0000}"/>
    <cellStyle name="Normal 9 2 2 2 9 2" xfId="13320" xr:uid="{2EFB38AE-3E8F-4890-96DA-5BA61113728C}"/>
    <cellStyle name="Normal 9 2 2 2 9 3" xfId="21757" xr:uid="{195E9D90-74FD-410D-BE73-A1CB814D35EC}"/>
    <cellStyle name="Normal 9 2 2 3" xfId="517" xr:uid="{00000000-0005-0000-0000-0000BE1E0000}"/>
    <cellStyle name="Normal 9 2 2 3 10" xfId="17544" xr:uid="{D14EC1DE-5C58-46CD-9540-245FD1763BB2}"/>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2 2 2" xfId="15883" xr:uid="{6933D6C9-1946-45BF-8370-437AFEC2FA61}"/>
    <cellStyle name="Normal 9 2 2 3 2 2 2 2 3" xfId="24320" xr:uid="{512EB1B9-AF31-4F50-A48F-0146E3854B7C}"/>
    <cellStyle name="Normal 9 2 2 3 2 2 2 3" xfId="11665" xr:uid="{161EBA97-487F-449E-9580-11AD0EF5DCDB}"/>
    <cellStyle name="Normal 9 2 2 3 2 2 2 4" xfId="20103" xr:uid="{17EFA64B-8143-4EA7-8996-6664D978BE0E}"/>
    <cellStyle name="Normal 9 2 2 3 2 2 3" xfId="5296" xr:uid="{00000000-0005-0000-0000-0000C31E0000}"/>
    <cellStyle name="Normal 9 2 2 3 2 2 3 2" xfId="13738" xr:uid="{81974698-A1C8-4307-B42E-48E59685458A}"/>
    <cellStyle name="Normal 9 2 2 3 2 2 3 3" xfId="22175" xr:uid="{820D0BB9-DED9-4864-BEEE-4DDE0B40A6F2}"/>
    <cellStyle name="Normal 9 2 2 3 2 2 4" xfId="9520" xr:uid="{F092CCED-3AA1-4F21-96C1-70428CE49E33}"/>
    <cellStyle name="Normal 9 2 2 3 2 2 5" xfId="17958" xr:uid="{8BBCF808-9BB8-40DD-8267-A289CF2A97C3}"/>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2 2 2" xfId="16296" xr:uid="{261625E1-018B-4018-B288-B8D4605D09CC}"/>
    <cellStyle name="Normal 9 2 2 3 2 3 2 2 3" xfId="24733" xr:uid="{9EE8B3A4-606E-477F-8586-A325BF88EF59}"/>
    <cellStyle name="Normal 9 2 2 3 2 3 2 3" xfId="12078" xr:uid="{953EFD93-4E25-4E6E-9940-9424C7812968}"/>
    <cellStyle name="Normal 9 2 2 3 2 3 2 4" xfId="20516" xr:uid="{5B7B8C3C-EC15-4638-9F2F-EB5CE62B5B89}"/>
    <cellStyle name="Normal 9 2 2 3 2 3 3" xfId="5709" xr:uid="{00000000-0005-0000-0000-0000C71E0000}"/>
    <cellStyle name="Normal 9 2 2 3 2 3 3 2" xfId="14151" xr:uid="{13F471D9-D894-47FD-8DA6-8F87EC5FD35A}"/>
    <cellStyle name="Normal 9 2 2 3 2 3 3 3" xfId="22588" xr:uid="{DD2AC4BD-D8F4-466B-8E35-3689F5079126}"/>
    <cellStyle name="Normal 9 2 2 3 2 3 4" xfId="9933" xr:uid="{6FC0EE63-9F0E-439B-B902-CF7B4ED12DD0}"/>
    <cellStyle name="Normal 9 2 2 3 2 3 5" xfId="18371" xr:uid="{05FA0B38-0D06-48B1-B8A0-1CF5C0F70916}"/>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2 2 2" xfId="16709" xr:uid="{F59F0426-4819-4EC7-A166-F2777C83399D}"/>
    <cellStyle name="Normal 9 2 2 3 2 4 2 2 3" xfId="25146" xr:uid="{01A4CD18-FC57-4B1A-961A-C138B4FE503E}"/>
    <cellStyle name="Normal 9 2 2 3 2 4 2 3" xfId="12491" xr:uid="{3BE372E6-3E28-4A48-9E18-585E6DC85F54}"/>
    <cellStyle name="Normal 9 2 2 3 2 4 2 4" xfId="20929" xr:uid="{AE172BCD-4D37-4569-976F-24115E879EB2}"/>
    <cellStyle name="Normal 9 2 2 3 2 4 3" xfId="6122" xr:uid="{00000000-0005-0000-0000-0000CB1E0000}"/>
    <cellStyle name="Normal 9 2 2 3 2 4 3 2" xfId="14564" xr:uid="{483BB1E4-FE42-42CA-A536-BA76A41FD8EA}"/>
    <cellStyle name="Normal 9 2 2 3 2 4 3 3" xfId="23001" xr:uid="{90AADEED-A663-4F53-84F4-BDC77C292E6A}"/>
    <cellStyle name="Normal 9 2 2 3 2 4 4" xfId="10346" xr:uid="{19FF47D0-8BCA-464A-B933-2855F69A90CD}"/>
    <cellStyle name="Normal 9 2 2 3 2 4 5" xfId="18784" xr:uid="{C6822A98-86D5-4178-A07B-1906706E253B}"/>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2 2 2" xfId="17122" xr:uid="{BBAD39F1-D512-4C4F-983D-A95DCEB9C2DB}"/>
    <cellStyle name="Normal 9 2 2 3 2 5 2 2 3" xfId="25559" xr:uid="{DC5EF659-8D68-4C51-991B-BE1E9B89B8BE}"/>
    <cellStyle name="Normal 9 2 2 3 2 5 2 3" xfId="12904" xr:uid="{85BEEFA7-1BA7-4AE7-818C-05953CD844BE}"/>
    <cellStyle name="Normal 9 2 2 3 2 5 2 4" xfId="21342" xr:uid="{AFDA3279-F75A-40BB-A126-01923C9635A8}"/>
    <cellStyle name="Normal 9 2 2 3 2 5 3" xfId="6535" xr:uid="{00000000-0005-0000-0000-0000CF1E0000}"/>
    <cellStyle name="Normal 9 2 2 3 2 5 3 2" xfId="14977" xr:uid="{51C47E40-0BC1-4306-AB8A-9C3822B039B8}"/>
    <cellStyle name="Normal 9 2 2 3 2 5 3 3" xfId="23414" xr:uid="{FB86B53D-7EE9-46BC-A49A-153CBBAEFD80}"/>
    <cellStyle name="Normal 9 2 2 3 2 5 4" xfId="10759" xr:uid="{2E8CBE76-DEA8-452A-B26B-FAC22D478F50}"/>
    <cellStyle name="Normal 9 2 2 3 2 5 5" xfId="19197" xr:uid="{BFCFE9E5-0EA5-4E19-AFAF-B2A278E730AE}"/>
    <cellStyle name="Normal 9 2 2 3 2 6" xfId="2664" xr:uid="{00000000-0005-0000-0000-0000D01E0000}"/>
    <cellStyle name="Normal 9 2 2 3 2 6 2" xfId="6948" xr:uid="{00000000-0005-0000-0000-0000D11E0000}"/>
    <cellStyle name="Normal 9 2 2 3 2 6 2 2" xfId="15390" xr:uid="{F8967A26-D9A4-4269-A971-2D7B0CCF08A5}"/>
    <cellStyle name="Normal 9 2 2 3 2 6 2 3" xfId="23827" xr:uid="{E8D4C9D7-2A16-4B7D-9420-25DE6A858CAD}"/>
    <cellStyle name="Normal 9 2 2 3 2 6 3" xfId="11172" xr:uid="{ADEECA2C-F1BC-4E6B-9863-7A22CF24AA08}"/>
    <cellStyle name="Normal 9 2 2 3 2 6 4" xfId="19610" xr:uid="{838F7052-633F-4363-ABBF-D6A4A56F9A34}"/>
    <cellStyle name="Normal 9 2 2 3 2 7" xfId="4883" xr:uid="{00000000-0005-0000-0000-0000D21E0000}"/>
    <cellStyle name="Normal 9 2 2 3 2 7 2" xfId="13325" xr:uid="{CDC3CA54-0B8B-420E-A5B2-001E84224F46}"/>
    <cellStyle name="Normal 9 2 2 3 2 7 3" xfId="21762" xr:uid="{A6D65E43-41FB-4B89-B633-8A1C54BADAD3}"/>
    <cellStyle name="Normal 9 2 2 3 2 8" xfId="9107" xr:uid="{DBC6EBCE-34A7-4010-A845-C88D1589B48F}"/>
    <cellStyle name="Normal 9 2 2 3 2 9" xfId="17545" xr:uid="{94AFF6E7-C432-4976-BC07-2B5BBD5E8A42}"/>
    <cellStyle name="Normal 9 2 2 3 3" xfId="984" xr:uid="{00000000-0005-0000-0000-0000D31E0000}"/>
    <cellStyle name="Normal 9 2 2 3 3 2" xfId="3217" xr:uid="{00000000-0005-0000-0000-0000D41E0000}"/>
    <cellStyle name="Normal 9 2 2 3 3 2 2" xfId="7440" xr:uid="{00000000-0005-0000-0000-0000D51E0000}"/>
    <cellStyle name="Normal 9 2 2 3 3 2 2 2" xfId="15882" xr:uid="{C3961496-6C47-4A8E-A119-1088EC630A84}"/>
    <cellStyle name="Normal 9 2 2 3 3 2 2 3" xfId="24319" xr:uid="{454F7055-FBBF-41C6-83DA-98EE7F3809A4}"/>
    <cellStyle name="Normal 9 2 2 3 3 2 3" xfId="11664" xr:uid="{CA365FFB-1DB1-460B-965F-768FB00B9F65}"/>
    <cellStyle name="Normal 9 2 2 3 3 2 4" xfId="20102" xr:uid="{3F6C4629-7D25-4A5B-8873-C848E67C34DD}"/>
    <cellStyle name="Normal 9 2 2 3 3 3" xfId="5295" xr:uid="{00000000-0005-0000-0000-0000D61E0000}"/>
    <cellStyle name="Normal 9 2 2 3 3 3 2" xfId="13737" xr:uid="{8C79B980-6157-47F4-9FE5-1EFE6182001A}"/>
    <cellStyle name="Normal 9 2 2 3 3 3 3" xfId="22174" xr:uid="{18F662B9-5748-43E3-8561-00FB5EEF1EDF}"/>
    <cellStyle name="Normal 9 2 2 3 3 4" xfId="9519" xr:uid="{66017DB0-DA6E-4D0B-82EB-2D222797FC41}"/>
    <cellStyle name="Normal 9 2 2 3 3 5" xfId="17957" xr:uid="{D2F2075E-ABF3-40F8-980C-88B6DE39F6F4}"/>
    <cellStyle name="Normal 9 2 2 3 4" xfId="1400" xr:uid="{00000000-0005-0000-0000-0000D71E0000}"/>
    <cellStyle name="Normal 9 2 2 3 4 2" xfId="3630" xr:uid="{00000000-0005-0000-0000-0000D81E0000}"/>
    <cellStyle name="Normal 9 2 2 3 4 2 2" xfId="7853" xr:uid="{00000000-0005-0000-0000-0000D91E0000}"/>
    <cellStyle name="Normal 9 2 2 3 4 2 2 2" xfId="16295" xr:uid="{D1B23170-D9BA-4FF5-B3F3-34146D036C36}"/>
    <cellStyle name="Normal 9 2 2 3 4 2 2 3" xfId="24732" xr:uid="{C0CD0BAF-D276-4CE6-8DA9-72511B360095}"/>
    <cellStyle name="Normal 9 2 2 3 4 2 3" xfId="12077" xr:uid="{75401639-9539-497C-99A9-C57552790C5D}"/>
    <cellStyle name="Normal 9 2 2 3 4 2 4" xfId="20515" xr:uid="{43888024-0754-4786-9632-6490AC61694A}"/>
    <cellStyle name="Normal 9 2 2 3 4 3" xfId="5708" xr:uid="{00000000-0005-0000-0000-0000DA1E0000}"/>
    <cellStyle name="Normal 9 2 2 3 4 3 2" xfId="14150" xr:uid="{253DEB0B-4D0A-41BF-9871-7400B6FC263C}"/>
    <cellStyle name="Normal 9 2 2 3 4 3 3" xfId="22587" xr:uid="{CE4651B4-EA06-49A9-B5ED-0380CB3063E8}"/>
    <cellStyle name="Normal 9 2 2 3 4 4" xfId="9932" xr:uid="{450EAA01-D8F5-4684-9221-C1A5C16176B1}"/>
    <cellStyle name="Normal 9 2 2 3 4 5" xfId="18370" xr:uid="{E750FD1B-487A-4FFF-AB4E-BC2AF74ED2CB}"/>
    <cellStyle name="Normal 9 2 2 3 5" xfId="1813" xr:uid="{00000000-0005-0000-0000-0000DB1E0000}"/>
    <cellStyle name="Normal 9 2 2 3 5 2" xfId="4043" xr:uid="{00000000-0005-0000-0000-0000DC1E0000}"/>
    <cellStyle name="Normal 9 2 2 3 5 2 2" xfId="8266" xr:uid="{00000000-0005-0000-0000-0000DD1E0000}"/>
    <cellStyle name="Normal 9 2 2 3 5 2 2 2" xfId="16708" xr:uid="{13A94F3D-45FB-47AB-BC81-08F0D9787BAD}"/>
    <cellStyle name="Normal 9 2 2 3 5 2 2 3" xfId="25145" xr:uid="{6CE0E0FB-DBB3-4752-8CF0-59B1CFDA9093}"/>
    <cellStyle name="Normal 9 2 2 3 5 2 3" xfId="12490" xr:uid="{A8F77A6F-64BA-412D-91B2-76E69EBF08FA}"/>
    <cellStyle name="Normal 9 2 2 3 5 2 4" xfId="20928" xr:uid="{A83AA7CE-ECA2-4079-B3DF-4E5026036C95}"/>
    <cellStyle name="Normal 9 2 2 3 5 3" xfId="6121" xr:uid="{00000000-0005-0000-0000-0000DE1E0000}"/>
    <cellStyle name="Normal 9 2 2 3 5 3 2" xfId="14563" xr:uid="{A305FDBC-D585-431B-943E-7E5D03C8A69A}"/>
    <cellStyle name="Normal 9 2 2 3 5 3 3" xfId="23000" xr:uid="{34A2EBDE-64F7-4E53-9006-127B88023504}"/>
    <cellStyle name="Normal 9 2 2 3 5 4" xfId="10345" xr:uid="{A8DAB801-BF7A-4DF4-B2E0-743266F9CC2B}"/>
    <cellStyle name="Normal 9 2 2 3 5 5" xfId="18783" xr:uid="{7BB79FBF-C356-4515-91A2-73FF84BDB2D1}"/>
    <cellStyle name="Normal 9 2 2 3 6" xfId="2227" xr:uid="{00000000-0005-0000-0000-0000DF1E0000}"/>
    <cellStyle name="Normal 9 2 2 3 6 2" xfId="4456" xr:uid="{00000000-0005-0000-0000-0000E01E0000}"/>
    <cellStyle name="Normal 9 2 2 3 6 2 2" xfId="8679" xr:uid="{00000000-0005-0000-0000-0000E11E0000}"/>
    <cellStyle name="Normal 9 2 2 3 6 2 2 2" xfId="17121" xr:uid="{0CDEA39C-5C67-4386-A9B9-7C5C2FC430A6}"/>
    <cellStyle name="Normal 9 2 2 3 6 2 2 3" xfId="25558" xr:uid="{47A294E6-8EE0-4666-B052-A0CC8DC30251}"/>
    <cellStyle name="Normal 9 2 2 3 6 2 3" xfId="12903" xr:uid="{7F97AF25-20D1-4E7D-9A21-8042AA19AD7F}"/>
    <cellStyle name="Normal 9 2 2 3 6 2 4" xfId="21341" xr:uid="{DC55F01E-51F7-484A-8151-A4B7CACCE3F9}"/>
    <cellStyle name="Normal 9 2 2 3 6 3" xfId="6534" xr:uid="{00000000-0005-0000-0000-0000E21E0000}"/>
    <cellStyle name="Normal 9 2 2 3 6 3 2" xfId="14976" xr:uid="{0C04775B-4655-43BC-A378-5258D8FD8B0C}"/>
    <cellStyle name="Normal 9 2 2 3 6 3 3" xfId="23413" xr:uid="{317633E2-9129-44AD-B637-18040F29A989}"/>
    <cellStyle name="Normal 9 2 2 3 6 4" xfId="10758" xr:uid="{75806C53-7890-4B58-8BB9-D80066C6E09B}"/>
    <cellStyle name="Normal 9 2 2 3 6 5" xfId="19196" xr:uid="{32D7BBF5-0453-45EE-8134-715A1C5D5921}"/>
    <cellStyle name="Normal 9 2 2 3 7" xfId="2663" xr:uid="{00000000-0005-0000-0000-0000E31E0000}"/>
    <cellStyle name="Normal 9 2 2 3 7 2" xfId="6947" xr:uid="{00000000-0005-0000-0000-0000E41E0000}"/>
    <cellStyle name="Normal 9 2 2 3 7 2 2" xfId="15389" xr:uid="{C8176AEC-61A1-4138-94F4-6B8A62301C66}"/>
    <cellStyle name="Normal 9 2 2 3 7 2 3" xfId="23826" xr:uid="{A034A3DF-7D6A-475D-A140-5E963C30B570}"/>
    <cellStyle name="Normal 9 2 2 3 7 3" xfId="11171" xr:uid="{1AF824B4-1886-4AF9-A966-4884ACB10B0D}"/>
    <cellStyle name="Normal 9 2 2 3 7 4" xfId="19609" xr:uid="{A44713B9-A041-4FF0-902A-97C53A38D990}"/>
    <cellStyle name="Normal 9 2 2 3 8" xfId="4882" xr:uid="{00000000-0005-0000-0000-0000E51E0000}"/>
    <cellStyle name="Normal 9 2 2 3 8 2" xfId="13324" xr:uid="{7B8AF606-13A5-4749-8426-354C89E59A7B}"/>
    <cellStyle name="Normal 9 2 2 3 8 3" xfId="21761" xr:uid="{31506747-8337-405D-B917-2307F23CBB76}"/>
    <cellStyle name="Normal 9 2 2 3 9" xfId="9106" xr:uid="{98B856F8-AE51-4910-9F8D-7BBFEBD1841F}"/>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2 2 2" xfId="15884" xr:uid="{E885B8DF-94A1-449D-B8EE-B0943142EFF6}"/>
    <cellStyle name="Normal 9 2 2 4 2 2 2 3" xfId="24321" xr:uid="{22C942DC-1AA9-4615-B732-00C2A01A5E5C}"/>
    <cellStyle name="Normal 9 2 2 4 2 2 3" xfId="11666" xr:uid="{2FE8783B-CB71-491B-AD88-1CEB879B5329}"/>
    <cellStyle name="Normal 9 2 2 4 2 2 4" xfId="20104" xr:uid="{9E960A85-4785-494F-B1A8-B14C19C82F5C}"/>
    <cellStyle name="Normal 9 2 2 4 2 3" xfId="5297" xr:uid="{00000000-0005-0000-0000-0000EA1E0000}"/>
    <cellStyle name="Normal 9 2 2 4 2 3 2" xfId="13739" xr:uid="{49F44D51-0525-4DCB-B0C0-984F6622FC67}"/>
    <cellStyle name="Normal 9 2 2 4 2 3 3" xfId="22176" xr:uid="{0305B7EF-B9FB-4121-9F3C-79FCDB7AD549}"/>
    <cellStyle name="Normal 9 2 2 4 2 4" xfId="9521" xr:uid="{D140F50E-8A95-4678-8B82-70078F3BC986}"/>
    <cellStyle name="Normal 9 2 2 4 2 5" xfId="17959" xr:uid="{51C0AD21-B700-4FB0-9697-1954E24020C2}"/>
    <cellStyle name="Normal 9 2 2 4 3" xfId="1402" xr:uid="{00000000-0005-0000-0000-0000EB1E0000}"/>
    <cellStyle name="Normal 9 2 2 4 3 2" xfId="3632" xr:uid="{00000000-0005-0000-0000-0000EC1E0000}"/>
    <cellStyle name="Normal 9 2 2 4 3 2 2" xfId="7855" xr:uid="{00000000-0005-0000-0000-0000ED1E0000}"/>
    <cellStyle name="Normal 9 2 2 4 3 2 2 2" xfId="16297" xr:uid="{EF2E3146-BB42-4291-9B06-371A5A16C3B9}"/>
    <cellStyle name="Normal 9 2 2 4 3 2 2 3" xfId="24734" xr:uid="{AF5B16DB-AA89-4E1A-8DDA-0E46A2265361}"/>
    <cellStyle name="Normal 9 2 2 4 3 2 3" xfId="12079" xr:uid="{5CC3E98B-20D6-4D09-BD31-3A83A599216B}"/>
    <cellStyle name="Normal 9 2 2 4 3 2 4" xfId="20517" xr:uid="{F152B9C5-1386-4CEB-84AD-0A80DF3B2957}"/>
    <cellStyle name="Normal 9 2 2 4 3 3" xfId="5710" xr:uid="{00000000-0005-0000-0000-0000EE1E0000}"/>
    <cellStyle name="Normal 9 2 2 4 3 3 2" xfId="14152" xr:uid="{12DF95A3-C598-4BFE-A183-3DCEFF35FDF4}"/>
    <cellStyle name="Normal 9 2 2 4 3 3 3" xfId="22589" xr:uid="{DAB5EBEF-A894-4F4B-B1FD-AA70EB262872}"/>
    <cellStyle name="Normal 9 2 2 4 3 4" xfId="9934" xr:uid="{11BB1D0B-D344-4404-A17D-917FC0228D70}"/>
    <cellStyle name="Normal 9 2 2 4 3 5" xfId="18372" xr:uid="{9AA0F1D9-BC11-4101-84D0-5EE37F580D84}"/>
    <cellStyle name="Normal 9 2 2 4 4" xfId="1815" xr:uid="{00000000-0005-0000-0000-0000EF1E0000}"/>
    <cellStyle name="Normal 9 2 2 4 4 2" xfId="4045" xr:uid="{00000000-0005-0000-0000-0000F01E0000}"/>
    <cellStyle name="Normal 9 2 2 4 4 2 2" xfId="8268" xr:uid="{00000000-0005-0000-0000-0000F11E0000}"/>
    <cellStyle name="Normal 9 2 2 4 4 2 2 2" xfId="16710" xr:uid="{42979A79-2B40-45A4-B66A-9E882D4D90A7}"/>
    <cellStyle name="Normal 9 2 2 4 4 2 2 3" xfId="25147" xr:uid="{6DBB978F-618B-4F5A-B38B-7AEB2D70F9D4}"/>
    <cellStyle name="Normal 9 2 2 4 4 2 3" xfId="12492" xr:uid="{BA19B6F7-5822-4653-B323-1AB924C631B0}"/>
    <cellStyle name="Normal 9 2 2 4 4 2 4" xfId="20930" xr:uid="{4B811CDB-700F-4098-826C-585C561766AF}"/>
    <cellStyle name="Normal 9 2 2 4 4 3" xfId="6123" xr:uid="{00000000-0005-0000-0000-0000F21E0000}"/>
    <cellStyle name="Normal 9 2 2 4 4 3 2" xfId="14565" xr:uid="{142436C7-75B8-484D-97AB-590EEBC1F5BA}"/>
    <cellStyle name="Normal 9 2 2 4 4 3 3" xfId="23002" xr:uid="{C50752ED-A6C6-4E95-8DDD-6D4C2042C74C}"/>
    <cellStyle name="Normal 9 2 2 4 4 4" xfId="10347" xr:uid="{5514BF42-269B-4A63-88D9-1627B0D7BCD9}"/>
    <cellStyle name="Normal 9 2 2 4 4 5" xfId="18785" xr:uid="{3F0C92E6-8A94-4434-90EF-0D351A08CB0D}"/>
    <cellStyle name="Normal 9 2 2 4 5" xfId="2229" xr:uid="{00000000-0005-0000-0000-0000F31E0000}"/>
    <cellStyle name="Normal 9 2 2 4 5 2" xfId="4458" xr:uid="{00000000-0005-0000-0000-0000F41E0000}"/>
    <cellStyle name="Normal 9 2 2 4 5 2 2" xfId="8681" xr:uid="{00000000-0005-0000-0000-0000F51E0000}"/>
    <cellStyle name="Normal 9 2 2 4 5 2 2 2" xfId="17123" xr:uid="{8EDB96A9-906E-4E04-B4A9-C9558A387D21}"/>
    <cellStyle name="Normal 9 2 2 4 5 2 2 3" xfId="25560" xr:uid="{69F0C994-3DDA-4AF6-8BE6-40070EEDD05E}"/>
    <cellStyle name="Normal 9 2 2 4 5 2 3" xfId="12905" xr:uid="{46578395-B76F-4BE6-8C22-409217655F05}"/>
    <cellStyle name="Normal 9 2 2 4 5 2 4" xfId="21343" xr:uid="{4D506514-907D-4FC8-B1DD-D375EFF636E8}"/>
    <cellStyle name="Normal 9 2 2 4 5 3" xfId="6536" xr:uid="{00000000-0005-0000-0000-0000F61E0000}"/>
    <cellStyle name="Normal 9 2 2 4 5 3 2" xfId="14978" xr:uid="{4D8A974A-6409-43FC-BDB8-AD75B8D69A35}"/>
    <cellStyle name="Normal 9 2 2 4 5 3 3" xfId="23415" xr:uid="{CF46865C-16F5-4515-B533-17D551D4BCDC}"/>
    <cellStyle name="Normal 9 2 2 4 5 4" xfId="10760" xr:uid="{ACF4020C-0A90-4FBC-BB22-682C1F7CFBF4}"/>
    <cellStyle name="Normal 9 2 2 4 5 5" xfId="19198" xr:uid="{54F6FBA5-DDE1-4C25-A1E3-F647B88EB7E6}"/>
    <cellStyle name="Normal 9 2 2 4 6" xfId="2665" xr:uid="{00000000-0005-0000-0000-0000F71E0000}"/>
    <cellStyle name="Normal 9 2 2 4 6 2" xfId="6949" xr:uid="{00000000-0005-0000-0000-0000F81E0000}"/>
    <cellStyle name="Normal 9 2 2 4 6 2 2" xfId="15391" xr:uid="{35015CE2-1C27-4222-88EA-FBC813E763F2}"/>
    <cellStyle name="Normal 9 2 2 4 6 2 3" xfId="23828" xr:uid="{661AC0D8-082B-4B47-BE37-922B8AD30D31}"/>
    <cellStyle name="Normal 9 2 2 4 6 3" xfId="11173" xr:uid="{DE3D0A3F-478E-4994-B799-77C848B5633C}"/>
    <cellStyle name="Normal 9 2 2 4 6 4" xfId="19611" xr:uid="{39C2BDCB-FAF1-4CAA-AB5F-C1A3B54EE82A}"/>
    <cellStyle name="Normal 9 2 2 4 7" xfId="4884" xr:uid="{00000000-0005-0000-0000-0000F91E0000}"/>
    <cellStyle name="Normal 9 2 2 4 7 2" xfId="13326" xr:uid="{3C50686C-D07D-4B05-B8FA-D71F15F10C9F}"/>
    <cellStyle name="Normal 9 2 2 4 7 3" xfId="21763" xr:uid="{5AE24126-70C1-42CA-9414-CF994386837B}"/>
    <cellStyle name="Normal 9 2 2 4 8" xfId="9108" xr:uid="{C17A67F4-DA19-4AB9-BAB6-0EC349703098}"/>
    <cellStyle name="Normal 9 2 2 4 9" xfId="17546" xr:uid="{84A79D0E-DE5B-4EB2-B22E-52D4C1E02083}"/>
    <cellStyle name="Normal 9 2 2 5" xfId="979" xr:uid="{00000000-0005-0000-0000-0000FA1E0000}"/>
    <cellStyle name="Normal 9 2 2 5 2" xfId="3212" xr:uid="{00000000-0005-0000-0000-0000FB1E0000}"/>
    <cellStyle name="Normal 9 2 2 5 2 2" xfId="7435" xr:uid="{00000000-0005-0000-0000-0000FC1E0000}"/>
    <cellStyle name="Normal 9 2 2 5 2 2 2" xfId="15877" xr:uid="{ECD16A5A-3D7E-4D91-BE44-BFE5761A7A55}"/>
    <cellStyle name="Normal 9 2 2 5 2 2 3" xfId="24314" xr:uid="{B39CBD36-18E1-4645-802C-D2EBC54D8B5A}"/>
    <cellStyle name="Normal 9 2 2 5 2 3" xfId="11659" xr:uid="{C166F093-7103-452D-9AE2-64642C983513}"/>
    <cellStyle name="Normal 9 2 2 5 2 4" xfId="20097" xr:uid="{D5A0CAB1-E8A3-4D4C-9926-A8E1AC98B0F0}"/>
    <cellStyle name="Normal 9 2 2 5 3" xfId="5290" xr:uid="{00000000-0005-0000-0000-0000FD1E0000}"/>
    <cellStyle name="Normal 9 2 2 5 3 2" xfId="13732" xr:uid="{EE3DAB19-6144-4BFE-8962-AAFA677BBCF0}"/>
    <cellStyle name="Normal 9 2 2 5 3 3" xfId="22169" xr:uid="{7B9030E0-4095-4FA5-BE46-1664C8E9D938}"/>
    <cellStyle name="Normal 9 2 2 5 4" xfId="9514" xr:uid="{0644C918-337E-49CF-A966-62AB581AA21A}"/>
    <cellStyle name="Normal 9 2 2 5 5" xfId="17952" xr:uid="{EDBF1979-93F0-466C-B064-AE09E0BBC93A}"/>
    <cellStyle name="Normal 9 2 2 6" xfId="1395" xr:uid="{00000000-0005-0000-0000-0000FE1E0000}"/>
    <cellStyle name="Normal 9 2 2 6 2" xfId="3625" xr:uid="{00000000-0005-0000-0000-0000FF1E0000}"/>
    <cellStyle name="Normal 9 2 2 6 2 2" xfId="7848" xr:uid="{00000000-0005-0000-0000-0000001F0000}"/>
    <cellStyle name="Normal 9 2 2 6 2 2 2" xfId="16290" xr:uid="{7E068153-44BE-44F5-AF65-F09D654CBD69}"/>
    <cellStyle name="Normal 9 2 2 6 2 2 3" xfId="24727" xr:uid="{411CFD98-048B-4B30-9F3D-DCDE3EFAD6B0}"/>
    <cellStyle name="Normal 9 2 2 6 2 3" xfId="12072" xr:uid="{AB34B179-AD2E-40DF-A6D9-CC00AD3C313E}"/>
    <cellStyle name="Normal 9 2 2 6 2 4" xfId="20510" xr:uid="{F94BEBC6-3EF8-401D-A0FA-7AD243173F3A}"/>
    <cellStyle name="Normal 9 2 2 6 3" xfId="5703" xr:uid="{00000000-0005-0000-0000-0000011F0000}"/>
    <cellStyle name="Normal 9 2 2 6 3 2" xfId="14145" xr:uid="{872BF587-9B12-47A0-99DC-750558F5C185}"/>
    <cellStyle name="Normal 9 2 2 6 3 3" xfId="22582" xr:uid="{CDA67AB4-9ADF-421B-9E6C-B9AAFE8F7DD7}"/>
    <cellStyle name="Normal 9 2 2 6 4" xfId="9927" xr:uid="{71C020FE-50BB-4DB4-B461-B2E45EE06EBA}"/>
    <cellStyle name="Normal 9 2 2 6 5" xfId="18365" xr:uid="{371D1636-B0BC-4BB1-9C0A-87795E3BB9E7}"/>
    <cellStyle name="Normal 9 2 2 7" xfId="1808" xr:uid="{00000000-0005-0000-0000-0000021F0000}"/>
    <cellStyle name="Normal 9 2 2 7 2" xfId="4038" xr:uid="{00000000-0005-0000-0000-0000031F0000}"/>
    <cellStyle name="Normal 9 2 2 7 2 2" xfId="8261" xr:uid="{00000000-0005-0000-0000-0000041F0000}"/>
    <cellStyle name="Normal 9 2 2 7 2 2 2" xfId="16703" xr:uid="{D2A530D3-AD18-4425-8BD2-52E74730F6DD}"/>
    <cellStyle name="Normal 9 2 2 7 2 2 3" xfId="25140" xr:uid="{816D4392-D98D-4855-8562-05B2675940F9}"/>
    <cellStyle name="Normal 9 2 2 7 2 3" xfId="12485" xr:uid="{0B5C4C24-DD8B-4E87-B594-8B271EDE4A60}"/>
    <cellStyle name="Normal 9 2 2 7 2 4" xfId="20923" xr:uid="{C22E6021-A119-44A4-8AD3-961053955022}"/>
    <cellStyle name="Normal 9 2 2 7 3" xfId="6116" xr:uid="{00000000-0005-0000-0000-0000051F0000}"/>
    <cellStyle name="Normal 9 2 2 7 3 2" xfId="14558" xr:uid="{2B3FDE81-9C8A-493E-87BF-66F30DD5B69B}"/>
    <cellStyle name="Normal 9 2 2 7 3 3" xfId="22995" xr:uid="{B822A068-641A-4BD1-A8E0-1FBA56227DA3}"/>
    <cellStyle name="Normal 9 2 2 7 4" xfId="10340" xr:uid="{CD44A0BF-19C1-4885-BD9A-477600EA76DA}"/>
    <cellStyle name="Normal 9 2 2 7 5" xfId="18778" xr:uid="{12A9DF25-E6BE-44ED-AB19-5075616C105E}"/>
    <cellStyle name="Normal 9 2 2 8" xfId="2222" xr:uid="{00000000-0005-0000-0000-0000061F0000}"/>
    <cellStyle name="Normal 9 2 2 8 2" xfId="4451" xr:uid="{00000000-0005-0000-0000-0000071F0000}"/>
    <cellStyle name="Normal 9 2 2 8 2 2" xfId="8674" xr:uid="{00000000-0005-0000-0000-0000081F0000}"/>
    <cellStyle name="Normal 9 2 2 8 2 2 2" xfId="17116" xr:uid="{80830C20-1CA4-4D20-8DE7-58E8175AC3B0}"/>
    <cellStyle name="Normal 9 2 2 8 2 2 3" xfId="25553" xr:uid="{3680A2D3-B53D-4B3F-B039-289263AD0F26}"/>
    <cellStyle name="Normal 9 2 2 8 2 3" xfId="12898" xr:uid="{864A3C83-55F9-4B83-91EB-2CAC3C873CD5}"/>
    <cellStyle name="Normal 9 2 2 8 2 4" xfId="21336" xr:uid="{6B071322-1077-44D0-97DA-5F951B0AC907}"/>
    <cellStyle name="Normal 9 2 2 8 3" xfId="6529" xr:uid="{00000000-0005-0000-0000-0000091F0000}"/>
    <cellStyle name="Normal 9 2 2 8 3 2" xfId="14971" xr:uid="{BE3488F7-8454-4007-BD4E-7F6DD753F6D4}"/>
    <cellStyle name="Normal 9 2 2 8 3 3" xfId="23408" xr:uid="{560B6C15-AF75-41E0-8F99-899A3B554824}"/>
    <cellStyle name="Normal 9 2 2 8 4" xfId="10753" xr:uid="{689B60F1-8225-46B1-A035-0182CE048F6D}"/>
    <cellStyle name="Normal 9 2 2 8 5" xfId="19191" xr:uid="{C754CD31-C404-4351-875D-B0156A76E2D4}"/>
    <cellStyle name="Normal 9 2 2 9" xfId="2658" xr:uid="{00000000-0005-0000-0000-00000A1F0000}"/>
    <cellStyle name="Normal 9 2 2 9 2" xfId="6942" xr:uid="{00000000-0005-0000-0000-00000B1F0000}"/>
    <cellStyle name="Normal 9 2 2 9 2 2" xfId="15384" xr:uid="{6853637A-5105-4857-B234-5519F705259B}"/>
    <cellStyle name="Normal 9 2 2 9 2 3" xfId="23821" xr:uid="{F7094A81-97A4-4889-9004-BDC3A3740E1B}"/>
    <cellStyle name="Normal 9 2 2 9 3" xfId="11166" xr:uid="{C55B15D4-B763-4E35-9A53-0213A0501B05}"/>
    <cellStyle name="Normal 9 2 2 9 4" xfId="19604" xr:uid="{A2D6947F-25F1-42A6-AD6A-0CA480F62450}"/>
    <cellStyle name="Normal 9 2 3" xfId="520" xr:uid="{00000000-0005-0000-0000-00000C1F0000}"/>
    <cellStyle name="Normal 9 2 3 10" xfId="9109" xr:uid="{5FB2A772-3833-4595-9696-DF233D301EE2}"/>
    <cellStyle name="Normal 9 2 3 11" xfId="17547" xr:uid="{970D63B3-2103-4A34-94F8-96B2AC112ADC}"/>
    <cellStyle name="Normal 9 2 3 2" xfId="521" xr:uid="{00000000-0005-0000-0000-00000D1F0000}"/>
    <cellStyle name="Normal 9 2 3 2 10" xfId="17548" xr:uid="{25EF19AB-C83B-46F6-A1C9-6042448361B5}"/>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2 2 2" xfId="15887" xr:uid="{3CBB9A47-FA60-4E2A-ABB4-A1F9D70A09E1}"/>
    <cellStyle name="Normal 9 2 3 2 2 2 2 2 3" xfId="24324" xr:uid="{117089CD-BE0B-40DE-AB28-FB6CB3123321}"/>
    <cellStyle name="Normal 9 2 3 2 2 2 2 3" xfId="11669" xr:uid="{95B4CEBA-4219-4CE9-ABCE-C88E02C5D08C}"/>
    <cellStyle name="Normal 9 2 3 2 2 2 2 4" xfId="20107" xr:uid="{4FB4B532-097D-41C0-8E58-48867A22E6B1}"/>
    <cellStyle name="Normal 9 2 3 2 2 2 3" xfId="5300" xr:uid="{00000000-0005-0000-0000-0000121F0000}"/>
    <cellStyle name="Normal 9 2 3 2 2 2 3 2" xfId="13742" xr:uid="{9A58C1EC-B0E5-4AB9-BD58-14E1ACCDD0E1}"/>
    <cellStyle name="Normal 9 2 3 2 2 2 3 3" xfId="22179" xr:uid="{7D4F091A-F06E-46F0-9190-CA5DA5D700E5}"/>
    <cellStyle name="Normal 9 2 3 2 2 2 4" xfId="9524" xr:uid="{FB76CC95-34CF-4971-809E-5C5915B852CF}"/>
    <cellStyle name="Normal 9 2 3 2 2 2 5" xfId="17962" xr:uid="{8B459DA5-07A1-4100-AE09-22EC05FF2DEF}"/>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2 2 2" xfId="16300" xr:uid="{00AFF061-319F-44FD-B241-A7FB6CA748AA}"/>
    <cellStyle name="Normal 9 2 3 2 2 3 2 2 3" xfId="24737" xr:uid="{EA136E21-3CFC-4994-81ED-16816E657591}"/>
    <cellStyle name="Normal 9 2 3 2 2 3 2 3" xfId="12082" xr:uid="{CC55356F-C968-4179-BEA5-62AE2CB720DB}"/>
    <cellStyle name="Normal 9 2 3 2 2 3 2 4" xfId="20520" xr:uid="{C09BEBE3-710B-49C9-9035-A9F3508099EE}"/>
    <cellStyle name="Normal 9 2 3 2 2 3 3" xfId="5713" xr:uid="{00000000-0005-0000-0000-0000161F0000}"/>
    <cellStyle name="Normal 9 2 3 2 2 3 3 2" xfId="14155" xr:uid="{A30D2309-E85E-42A5-99D3-A3711D03D564}"/>
    <cellStyle name="Normal 9 2 3 2 2 3 3 3" xfId="22592" xr:uid="{8327F63D-AC4A-4EDB-87A0-3C96DE4E4A7C}"/>
    <cellStyle name="Normal 9 2 3 2 2 3 4" xfId="9937" xr:uid="{BE2638AC-F117-40C8-AE8A-8014C4F3403E}"/>
    <cellStyle name="Normal 9 2 3 2 2 3 5" xfId="18375" xr:uid="{09C9A3F4-448D-4A77-8FF2-A7F36DD45F42}"/>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2 2 2" xfId="16713" xr:uid="{0E4837F0-F4C9-4FFF-9BCD-0D627427CD35}"/>
    <cellStyle name="Normal 9 2 3 2 2 4 2 2 3" xfId="25150" xr:uid="{54889E4D-0B60-41B3-BE0D-0F0FD09F867B}"/>
    <cellStyle name="Normal 9 2 3 2 2 4 2 3" xfId="12495" xr:uid="{C09DF33D-ED58-4213-8468-5EB74D7AD405}"/>
    <cellStyle name="Normal 9 2 3 2 2 4 2 4" xfId="20933" xr:uid="{CE656C44-DD1C-4624-85F9-A3D76975C0C7}"/>
    <cellStyle name="Normal 9 2 3 2 2 4 3" xfId="6126" xr:uid="{00000000-0005-0000-0000-00001A1F0000}"/>
    <cellStyle name="Normal 9 2 3 2 2 4 3 2" xfId="14568" xr:uid="{9920BB34-61A6-4C4C-95F7-C368C6B7ECA4}"/>
    <cellStyle name="Normal 9 2 3 2 2 4 3 3" xfId="23005" xr:uid="{E7B1CD1D-C67A-4360-AF6F-7E4D07DEF9C3}"/>
    <cellStyle name="Normal 9 2 3 2 2 4 4" xfId="10350" xr:uid="{0FCAC095-B6CF-475D-A514-504D06ECBA78}"/>
    <cellStyle name="Normal 9 2 3 2 2 4 5" xfId="18788" xr:uid="{E117FDCA-CA95-47C4-8C95-528B7F009139}"/>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2 2 2" xfId="17126" xr:uid="{DD179637-0299-49BA-844F-696FFE01D0DD}"/>
    <cellStyle name="Normal 9 2 3 2 2 5 2 2 3" xfId="25563" xr:uid="{AB9F536B-CEED-4C5E-B330-104D62608A0E}"/>
    <cellStyle name="Normal 9 2 3 2 2 5 2 3" xfId="12908" xr:uid="{337E2BA9-9A08-432B-A48E-888BD68311FA}"/>
    <cellStyle name="Normal 9 2 3 2 2 5 2 4" xfId="21346" xr:uid="{2CBC0286-9A99-4413-9A62-F3D54D592549}"/>
    <cellStyle name="Normal 9 2 3 2 2 5 3" xfId="6539" xr:uid="{00000000-0005-0000-0000-00001E1F0000}"/>
    <cellStyle name="Normal 9 2 3 2 2 5 3 2" xfId="14981" xr:uid="{726E3875-6B3C-4363-9033-635815B111D5}"/>
    <cellStyle name="Normal 9 2 3 2 2 5 3 3" xfId="23418" xr:uid="{5280B3EA-B63B-48C0-A16D-AEBDEC17231E}"/>
    <cellStyle name="Normal 9 2 3 2 2 5 4" xfId="10763" xr:uid="{C7377CFA-F89F-4690-B8B0-71451A7E15A8}"/>
    <cellStyle name="Normal 9 2 3 2 2 5 5" xfId="19201" xr:uid="{B293564E-9D69-44B3-8244-B693D2F27FCC}"/>
    <cellStyle name="Normal 9 2 3 2 2 6" xfId="2668" xr:uid="{00000000-0005-0000-0000-00001F1F0000}"/>
    <cellStyle name="Normal 9 2 3 2 2 6 2" xfId="6952" xr:uid="{00000000-0005-0000-0000-0000201F0000}"/>
    <cellStyle name="Normal 9 2 3 2 2 6 2 2" xfId="15394" xr:uid="{D369C3B9-2B71-4582-B12A-10D46DC5551F}"/>
    <cellStyle name="Normal 9 2 3 2 2 6 2 3" xfId="23831" xr:uid="{9592A4FC-484D-4EA0-BD66-3313D84F162F}"/>
    <cellStyle name="Normal 9 2 3 2 2 6 3" xfId="11176" xr:uid="{CAE917ED-90C0-47E2-A309-917F64FCC8CA}"/>
    <cellStyle name="Normal 9 2 3 2 2 6 4" xfId="19614" xr:uid="{A070BFE9-5963-4C74-8C26-8A7BF7AF2CBF}"/>
    <cellStyle name="Normal 9 2 3 2 2 7" xfId="4887" xr:uid="{00000000-0005-0000-0000-0000211F0000}"/>
    <cellStyle name="Normal 9 2 3 2 2 7 2" xfId="13329" xr:uid="{F8B866EB-4066-4E07-A2F8-B47D4721457D}"/>
    <cellStyle name="Normal 9 2 3 2 2 7 3" xfId="21766" xr:uid="{37F4E6E9-C038-474F-8E80-3F63179D7815}"/>
    <cellStyle name="Normal 9 2 3 2 2 8" xfId="9111" xr:uid="{1614F3FB-DDB9-421F-B290-FD71634812F1}"/>
    <cellStyle name="Normal 9 2 3 2 2 9" xfId="17549" xr:uid="{ED971AA4-86BF-420F-A768-FAE60550748D}"/>
    <cellStyle name="Normal 9 2 3 2 3" xfId="988" xr:uid="{00000000-0005-0000-0000-0000221F0000}"/>
    <cellStyle name="Normal 9 2 3 2 3 2" xfId="3221" xr:uid="{00000000-0005-0000-0000-0000231F0000}"/>
    <cellStyle name="Normal 9 2 3 2 3 2 2" xfId="7444" xr:uid="{00000000-0005-0000-0000-0000241F0000}"/>
    <cellStyle name="Normal 9 2 3 2 3 2 2 2" xfId="15886" xr:uid="{8CBD78E6-BF29-4080-BE6D-177FFD9398D0}"/>
    <cellStyle name="Normal 9 2 3 2 3 2 2 3" xfId="24323" xr:uid="{A6410702-E732-403E-AA05-682341A29C60}"/>
    <cellStyle name="Normal 9 2 3 2 3 2 3" xfId="11668" xr:uid="{B561691F-1337-43C1-A925-EDC9A202B721}"/>
    <cellStyle name="Normal 9 2 3 2 3 2 4" xfId="20106" xr:uid="{34D1E3A8-BEF1-4E39-A03D-AEAFA71E14C6}"/>
    <cellStyle name="Normal 9 2 3 2 3 3" xfId="5299" xr:uid="{00000000-0005-0000-0000-0000251F0000}"/>
    <cellStyle name="Normal 9 2 3 2 3 3 2" xfId="13741" xr:uid="{5D8CB02D-29BE-45B4-9DB1-65F94F7D4C1F}"/>
    <cellStyle name="Normal 9 2 3 2 3 3 3" xfId="22178" xr:uid="{165B90F8-6992-4C41-85A0-A23EF9C616CC}"/>
    <cellStyle name="Normal 9 2 3 2 3 4" xfId="9523" xr:uid="{B141E58E-1744-49A5-81E1-8138A40E1B22}"/>
    <cellStyle name="Normal 9 2 3 2 3 5" xfId="17961" xr:uid="{4054910E-C068-4D53-93F1-9F4AE51216AF}"/>
    <cellStyle name="Normal 9 2 3 2 4" xfId="1404" xr:uid="{00000000-0005-0000-0000-0000261F0000}"/>
    <cellStyle name="Normal 9 2 3 2 4 2" xfId="3634" xr:uid="{00000000-0005-0000-0000-0000271F0000}"/>
    <cellStyle name="Normal 9 2 3 2 4 2 2" xfId="7857" xr:uid="{00000000-0005-0000-0000-0000281F0000}"/>
    <cellStyle name="Normal 9 2 3 2 4 2 2 2" xfId="16299" xr:uid="{9E428D81-6728-44DC-9FC9-0D83042728AF}"/>
    <cellStyle name="Normal 9 2 3 2 4 2 2 3" xfId="24736" xr:uid="{492ED069-9DBD-4044-BD14-CE531029EF3F}"/>
    <cellStyle name="Normal 9 2 3 2 4 2 3" xfId="12081" xr:uid="{CE4683EF-010E-4FED-9459-F3C85C815EF2}"/>
    <cellStyle name="Normal 9 2 3 2 4 2 4" xfId="20519" xr:uid="{B18CD687-FBEC-4C27-B779-F6F788135906}"/>
    <cellStyle name="Normal 9 2 3 2 4 3" xfId="5712" xr:uid="{00000000-0005-0000-0000-0000291F0000}"/>
    <cellStyle name="Normal 9 2 3 2 4 3 2" xfId="14154" xr:uid="{A84F668E-A748-4172-8870-C0D87C6B238A}"/>
    <cellStyle name="Normal 9 2 3 2 4 3 3" xfId="22591" xr:uid="{CEECFC96-A127-479D-985F-403CDDDB6152}"/>
    <cellStyle name="Normal 9 2 3 2 4 4" xfId="9936" xr:uid="{19576716-4385-4D92-BA08-2CB54D9B2369}"/>
    <cellStyle name="Normal 9 2 3 2 4 5" xfId="18374" xr:uid="{1473CDD7-0A79-4B96-AA5A-8805C82D1C30}"/>
    <cellStyle name="Normal 9 2 3 2 5" xfId="1817" xr:uid="{00000000-0005-0000-0000-00002A1F0000}"/>
    <cellStyle name="Normal 9 2 3 2 5 2" xfId="4047" xr:uid="{00000000-0005-0000-0000-00002B1F0000}"/>
    <cellStyle name="Normal 9 2 3 2 5 2 2" xfId="8270" xr:uid="{00000000-0005-0000-0000-00002C1F0000}"/>
    <cellStyle name="Normal 9 2 3 2 5 2 2 2" xfId="16712" xr:uid="{BC9F9FEC-D5FF-4F4E-A483-955301A9985B}"/>
    <cellStyle name="Normal 9 2 3 2 5 2 2 3" xfId="25149" xr:uid="{93C7BD57-8754-49E1-8089-D0312A3F910C}"/>
    <cellStyle name="Normal 9 2 3 2 5 2 3" xfId="12494" xr:uid="{AFF2890C-733A-4133-836E-880AC87AFBA6}"/>
    <cellStyle name="Normal 9 2 3 2 5 2 4" xfId="20932" xr:uid="{11721936-5E0F-4B0C-85BF-5A7A00665CEA}"/>
    <cellStyle name="Normal 9 2 3 2 5 3" xfId="6125" xr:uid="{00000000-0005-0000-0000-00002D1F0000}"/>
    <cellStyle name="Normal 9 2 3 2 5 3 2" xfId="14567" xr:uid="{28B1C91C-AD73-43A4-B65A-5CCC363F7C55}"/>
    <cellStyle name="Normal 9 2 3 2 5 3 3" xfId="23004" xr:uid="{B6490F08-5E7A-42B9-8643-A9BF9DEB007E}"/>
    <cellStyle name="Normal 9 2 3 2 5 4" xfId="10349" xr:uid="{B50EB312-F697-4A9B-B183-F36C47C05CC9}"/>
    <cellStyle name="Normal 9 2 3 2 5 5" xfId="18787" xr:uid="{9D5A7D1F-091F-4030-ADBB-D703528AF046}"/>
    <cellStyle name="Normal 9 2 3 2 6" xfId="2231" xr:uid="{00000000-0005-0000-0000-00002E1F0000}"/>
    <cellStyle name="Normal 9 2 3 2 6 2" xfId="4460" xr:uid="{00000000-0005-0000-0000-00002F1F0000}"/>
    <cellStyle name="Normal 9 2 3 2 6 2 2" xfId="8683" xr:uid="{00000000-0005-0000-0000-0000301F0000}"/>
    <cellStyle name="Normal 9 2 3 2 6 2 2 2" xfId="17125" xr:uid="{8F180A18-47F4-4C28-ACAB-3D26B52B1956}"/>
    <cellStyle name="Normal 9 2 3 2 6 2 2 3" xfId="25562" xr:uid="{6B57B4D0-B883-4C0E-9FD0-CB6BAE452FC4}"/>
    <cellStyle name="Normal 9 2 3 2 6 2 3" xfId="12907" xr:uid="{A76DB6DA-C6ED-4DA1-AA2D-CF8295789ABC}"/>
    <cellStyle name="Normal 9 2 3 2 6 2 4" xfId="21345" xr:uid="{F20472DA-8A52-4234-94B2-2B9A005FFA71}"/>
    <cellStyle name="Normal 9 2 3 2 6 3" xfId="6538" xr:uid="{00000000-0005-0000-0000-0000311F0000}"/>
    <cellStyle name="Normal 9 2 3 2 6 3 2" xfId="14980" xr:uid="{483191ED-12F7-4AFD-9AB6-2A5BB4326719}"/>
    <cellStyle name="Normal 9 2 3 2 6 3 3" xfId="23417" xr:uid="{2BB7A89D-2BC7-4955-8D9D-8DED50648F0D}"/>
    <cellStyle name="Normal 9 2 3 2 6 4" xfId="10762" xr:uid="{2F35A1B3-B93A-482A-BDEE-B328CA39CC2F}"/>
    <cellStyle name="Normal 9 2 3 2 6 5" xfId="19200" xr:uid="{F65AE50D-925A-4071-8499-E7C71A90D1C7}"/>
    <cellStyle name="Normal 9 2 3 2 7" xfId="2667" xr:uid="{00000000-0005-0000-0000-0000321F0000}"/>
    <cellStyle name="Normal 9 2 3 2 7 2" xfId="6951" xr:uid="{00000000-0005-0000-0000-0000331F0000}"/>
    <cellStyle name="Normal 9 2 3 2 7 2 2" xfId="15393" xr:uid="{812DBBD7-8B02-4606-9C87-43A87DFE76CA}"/>
    <cellStyle name="Normal 9 2 3 2 7 2 3" xfId="23830" xr:uid="{488F778B-AEAB-41B1-A6DA-4CB8084EE6DE}"/>
    <cellStyle name="Normal 9 2 3 2 7 3" xfId="11175" xr:uid="{89E34DBC-4420-489F-B98E-2C1091BD3F4C}"/>
    <cellStyle name="Normal 9 2 3 2 7 4" xfId="19613" xr:uid="{6A19D155-1778-4EA8-9F16-D4291E25D220}"/>
    <cellStyle name="Normal 9 2 3 2 8" xfId="4886" xr:uid="{00000000-0005-0000-0000-0000341F0000}"/>
    <cellStyle name="Normal 9 2 3 2 8 2" xfId="13328" xr:uid="{659DEA8D-DD13-4B09-BB16-C95A8E3044A8}"/>
    <cellStyle name="Normal 9 2 3 2 8 3" xfId="21765" xr:uid="{CA9BEB7E-062E-4517-9C3D-7089F33BB495}"/>
    <cellStyle name="Normal 9 2 3 2 9" xfId="9110" xr:uid="{957E5F76-495A-4E9F-B8B6-3E7803B2A497}"/>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2 2 2" xfId="15888" xr:uid="{0FAF2647-FE0C-406B-A96C-3D27CC2C4059}"/>
    <cellStyle name="Normal 9 2 3 3 2 2 2 3" xfId="24325" xr:uid="{7F5C697D-0BB2-4C54-8EFA-801C8CB2B66E}"/>
    <cellStyle name="Normal 9 2 3 3 2 2 3" xfId="11670" xr:uid="{3149AA24-2ADA-47E5-84AB-F3C4B98FC48B}"/>
    <cellStyle name="Normal 9 2 3 3 2 2 4" xfId="20108" xr:uid="{0164481F-E72B-4961-AC94-4793F602D0F9}"/>
    <cellStyle name="Normal 9 2 3 3 2 3" xfId="5301" xr:uid="{00000000-0005-0000-0000-0000391F0000}"/>
    <cellStyle name="Normal 9 2 3 3 2 3 2" xfId="13743" xr:uid="{DCFE99A3-E2E1-44CD-84CD-D17F4A461558}"/>
    <cellStyle name="Normal 9 2 3 3 2 3 3" xfId="22180" xr:uid="{79CE9C9E-EFAA-466F-BF6C-A0AF020CA3F5}"/>
    <cellStyle name="Normal 9 2 3 3 2 4" xfId="9525" xr:uid="{6810AFE4-307A-43A5-B845-EAE30366FFF2}"/>
    <cellStyle name="Normal 9 2 3 3 2 5" xfId="17963" xr:uid="{5464CB3E-AE21-4818-9570-B6E685E359A2}"/>
    <cellStyle name="Normal 9 2 3 3 3" xfId="1406" xr:uid="{00000000-0005-0000-0000-00003A1F0000}"/>
    <cellStyle name="Normal 9 2 3 3 3 2" xfId="3636" xr:uid="{00000000-0005-0000-0000-00003B1F0000}"/>
    <cellStyle name="Normal 9 2 3 3 3 2 2" xfId="7859" xr:uid="{00000000-0005-0000-0000-00003C1F0000}"/>
    <cellStyle name="Normal 9 2 3 3 3 2 2 2" xfId="16301" xr:uid="{6D085095-88C2-4601-A7BD-2ED39167B4F9}"/>
    <cellStyle name="Normal 9 2 3 3 3 2 2 3" xfId="24738" xr:uid="{D2D3CE90-FD0E-4099-9787-EC65E472DB7F}"/>
    <cellStyle name="Normal 9 2 3 3 3 2 3" xfId="12083" xr:uid="{D0FA0462-1DB0-4CE1-A0B9-3EC6923E2ECD}"/>
    <cellStyle name="Normal 9 2 3 3 3 2 4" xfId="20521" xr:uid="{69A0004F-170F-4FEA-B19B-3759C57D4D38}"/>
    <cellStyle name="Normal 9 2 3 3 3 3" xfId="5714" xr:uid="{00000000-0005-0000-0000-00003D1F0000}"/>
    <cellStyle name="Normal 9 2 3 3 3 3 2" xfId="14156" xr:uid="{BEB76259-88BC-4635-AD5B-1D49AF65DCA2}"/>
    <cellStyle name="Normal 9 2 3 3 3 3 3" xfId="22593" xr:uid="{C197F6F8-19D2-4977-BBA6-F715CCBF71EE}"/>
    <cellStyle name="Normal 9 2 3 3 3 4" xfId="9938" xr:uid="{71AFA1C9-E337-405E-8CD7-569D61B8E893}"/>
    <cellStyle name="Normal 9 2 3 3 3 5" xfId="18376" xr:uid="{91D4DF27-3B61-43BB-ABBE-EDBA35E3720A}"/>
    <cellStyle name="Normal 9 2 3 3 4" xfId="1819" xr:uid="{00000000-0005-0000-0000-00003E1F0000}"/>
    <cellStyle name="Normal 9 2 3 3 4 2" xfId="4049" xr:uid="{00000000-0005-0000-0000-00003F1F0000}"/>
    <cellStyle name="Normal 9 2 3 3 4 2 2" xfId="8272" xr:uid="{00000000-0005-0000-0000-0000401F0000}"/>
    <cellStyle name="Normal 9 2 3 3 4 2 2 2" xfId="16714" xr:uid="{85130225-AD06-4BB8-9858-36DA11797C15}"/>
    <cellStyle name="Normal 9 2 3 3 4 2 2 3" xfId="25151" xr:uid="{3B6D880A-69BB-4039-9772-AEA051A73F9D}"/>
    <cellStyle name="Normal 9 2 3 3 4 2 3" xfId="12496" xr:uid="{BBA0A131-51A2-4024-BC27-595938950252}"/>
    <cellStyle name="Normal 9 2 3 3 4 2 4" xfId="20934" xr:uid="{F9B9A320-9526-47C2-8377-13A8B643C267}"/>
    <cellStyle name="Normal 9 2 3 3 4 3" xfId="6127" xr:uid="{00000000-0005-0000-0000-0000411F0000}"/>
    <cellStyle name="Normal 9 2 3 3 4 3 2" xfId="14569" xr:uid="{48148644-B9DB-4A80-8B67-CE33B3412713}"/>
    <cellStyle name="Normal 9 2 3 3 4 3 3" xfId="23006" xr:uid="{932C1964-C572-4E20-B618-0AF02A646D05}"/>
    <cellStyle name="Normal 9 2 3 3 4 4" xfId="10351" xr:uid="{3986C27B-E05E-4A12-9F45-24917343F771}"/>
    <cellStyle name="Normal 9 2 3 3 4 5" xfId="18789" xr:uid="{E7FF9F3F-CF82-4A76-AF04-563FC155FE7C}"/>
    <cellStyle name="Normal 9 2 3 3 5" xfId="2233" xr:uid="{00000000-0005-0000-0000-0000421F0000}"/>
    <cellStyle name="Normal 9 2 3 3 5 2" xfId="4462" xr:uid="{00000000-0005-0000-0000-0000431F0000}"/>
    <cellStyle name="Normal 9 2 3 3 5 2 2" xfId="8685" xr:uid="{00000000-0005-0000-0000-0000441F0000}"/>
    <cellStyle name="Normal 9 2 3 3 5 2 2 2" xfId="17127" xr:uid="{83F0D9BE-5B39-4E05-9294-E2E18A6660A2}"/>
    <cellStyle name="Normal 9 2 3 3 5 2 2 3" xfId="25564" xr:uid="{CBC4F746-3823-4F5A-B1A7-107C27168BE1}"/>
    <cellStyle name="Normal 9 2 3 3 5 2 3" xfId="12909" xr:uid="{3437F8CD-266A-4910-8618-EB1AEA7C6772}"/>
    <cellStyle name="Normal 9 2 3 3 5 2 4" xfId="21347" xr:uid="{91329B94-787F-4E0D-9709-5FA0C6062D9E}"/>
    <cellStyle name="Normal 9 2 3 3 5 3" xfId="6540" xr:uid="{00000000-0005-0000-0000-0000451F0000}"/>
    <cellStyle name="Normal 9 2 3 3 5 3 2" xfId="14982" xr:uid="{B86E6256-31AB-425F-A687-3A1474F2E4D5}"/>
    <cellStyle name="Normal 9 2 3 3 5 3 3" xfId="23419" xr:uid="{C6E50FE0-E513-4125-9343-0DFEDABB0059}"/>
    <cellStyle name="Normal 9 2 3 3 5 4" xfId="10764" xr:uid="{DBB8BDAC-8C48-45DE-8CBF-08D402B04CBA}"/>
    <cellStyle name="Normal 9 2 3 3 5 5" xfId="19202" xr:uid="{8A7DD583-3D3D-44B6-9244-02F3BFEADFB7}"/>
    <cellStyle name="Normal 9 2 3 3 6" xfId="2669" xr:uid="{00000000-0005-0000-0000-0000461F0000}"/>
    <cellStyle name="Normal 9 2 3 3 6 2" xfId="6953" xr:uid="{00000000-0005-0000-0000-0000471F0000}"/>
    <cellStyle name="Normal 9 2 3 3 6 2 2" xfId="15395" xr:uid="{79B519BC-ADB1-40D8-A767-6D9827FA1D9F}"/>
    <cellStyle name="Normal 9 2 3 3 6 2 3" xfId="23832" xr:uid="{171EE39F-7D77-45F9-97F4-D8845DEE0ED2}"/>
    <cellStyle name="Normal 9 2 3 3 6 3" xfId="11177" xr:uid="{6EF84D5F-776E-4D45-8716-DAA8D43F9FCD}"/>
    <cellStyle name="Normal 9 2 3 3 6 4" xfId="19615" xr:uid="{6FAC7B77-E7FC-4249-82B0-A6CCC5227849}"/>
    <cellStyle name="Normal 9 2 3 3 7" xfId="4888" xr:uid="{00000000-0005-0000-0000-0000481F0000}"/>
    <cellStyle name="Normal 9 2 3 3 7 2" xfId="13330" xr:uid="{82E38D05-2274-42E2-ABFD-E925E69C4606}"/>
    <cellStyle name="Normal 9 2 3 3 7 3" xfId="21767" xr:uid="{E1093DBD-7885-4CA9-AB97-EA215A4B320C}"/>
    <cellStyle name="Normal 9 2 3 3 8" xfId="9112" xr:uid="{15BAF51A-2425-4FAB-91DD-F88798238E4B}"/>
    <cellStyle name="Normal 9 2 3 3 9" xfId="17550" xr:uid="{B2EC14A3-8543-405D-8617-0A22C8F87FCC}"/>
    <cellStyle name="Normal 9 2 3 4" xfId="987" xr:uid="{00000000-0005-0000-0000-0000491F0000}"/>
    <cellStyle name="Normal 9 2 3 4 2" xfId="3220" xr:uid="{00000000-0005-0000-0000-00004A1F0000}"/>
    <cellStyle name="Normal 9 2 3 4 2 2" xfId="7443" xr:uid="{00000000-0005-0000-0000-00004B1F0000}"/>
    <cellStyle name="Normal 9 2 3 4 2 2 2" xfId="15885" xr:uid="{0CBE2843-E8DA-4E4E-B58E-0AB071A3F337}"/>
    <cellStyle name="Normal 9 2 3 4 2 2 3" xfId="24322" xr:uid="{1C714B88-F78E-4664-B283-E394247C58FA}"/>
    <cellStyle name="Normal 9 2 3 4 2 3" xfId="11667" xr:uid="{EC49E782-FDFA-42DD-AAA6-4C1C75C0A506}"/>
    <cellStyle name="Normal 9 2 3 4 2 4" xfId="20105" xr:uid="{42AF5DD7-EE2E-4440-801E-DBA20B73F1AC}"/>
    <cellStyle name="Normal 9 2 3 4 3" xfId="5298" xr:uid="{00000000-0005-0000-0000-00004C1F0000}"/>
    <cellStyle name="Normal 9 2 3 4 3 2" xfId="13740" xr:uid="{C4DF2E07-2916-4FA7-B2D4-EA55B8900DC6}"/>
    <cellStyle name="Normal 9 2 3 4 3 3" xfId="22177" xr:uid="{A0B8F27F-F674-4C9D-9BF2-394B1E26666A}"/>
    <cellStyle name="Normal 9 2 3 4 4" xfId="9522" xr:uid="{EF96D772-5B0D-4D8E-B65F-028759CFE6E2}"/>
    <cellStyle name="Normal 9 2 3 4 5" xfId="17960" xr:uid="{7C69D083-7EC3-44F7-8169-60CE6295495A}"/>
    <cellStyle name="Normal 9 2 3 5" xfId="1403" xr:uid="{00000000-0005-0000-0000-00004D1F0000}"/>
    <cellStyle name="Normal 9 2 3 5 2" xfId="3633" xr:uid="{00000000-0005-0000-0000-00004E1F0000}"/>
    <cellStyle name="Normal 9 2 3 5 2 2" xfId="7856" xr:uid="{00000000-0005-0000-0000-00004F1F0000}"/>
    <cellStyle name="Normal 9 2 3 5 2 2 2" xfId="16298" xr:uid="{8D1D94FA-3A10-46C2-903E-C67C8862C4F5}"/>
    <cellStyle name="Normal 9 2 3 5 2 2 3" xfId="24735" xr:uid="{8AD52E3C-2A14-4606-A9B7-D50DFD927410}"/>
    <cellStyle name="Normal 9 2 3 5 2 3" xfId="12080" xr:uid="{899355FA-42C7-4636-B356-298216A8179A}"/>
    <cellStyle name="Normal 9 2 3 5 2 4" xfId="20518" xr:uid="{49BD6760-6192-45D3-97FC-3DA8320FD7F5}"/>
    <cellStyle name="Normal 9 2 3 5 3" xfId="5711" xr:uid="{00000000-0005-0000-0000-0000501F0000}"/>
    <cellStyle name="Normal 9 2 3 5 3 2" xfId="14153" xr:uid="{B43D9581-90AF-4B98-8F72-B86DB5FFF812}"/>
    <cellStyle name="Normal 9 2 3 5 3 3" xfId="22590" xr:uid="{D9DEA85D-4817-472E-B818-40B198D47929}"/>
    <cellStyle name="Normal 9 2 3 5 4" xfId="9935" xr:uid="{CC1E6740-B643-4328-8A32-53A17543C4C1}"/>
    <cellStyle name="Normal 9 2 3 5 5" xfId="18373" xr:uid="{CF309220-348D-46B2-8DA0-8BA6D664D98B}"/>
    <cellStyle name="Normal 9 2 3 6" xfId="1816" xr:uid="{00000000-0005-0000-0000-0000511F0000}"/>
    <cellStyle name="Normal 9 2 3 6 2" xfId="4046" xr:uid="{00000000-0005-0000-0000-0000521F0000}"/>
    <cellStyle name="Normal 9 2 3 6 2 2" xfId="8269" xr:uid="{00000000-0005-0000-0000-0000531F0000}"/>
    <cellStyle name="Normal 9 2 3 6 2 2 2" xfId="16711" xr:uid="{D97C84E5-723E-4E26-B7B4-C749EEE54280}"/>
    <cellStyle name="Normal 9 2 3 6 2 2 3" xfId="25148" xr:uid="{4C3C588B-FC0B-4703-8267-548E72616725}"/>
    <cellStyle name="Normal 9 2 3 6 2 3" xfId="12493" xr:uid="{A16485F4-4508-46AA-9E85-0A5CB01C2895}"/>
    <cellStyle name="Normal 9 2 3 6 2 4" xfId="20931" xr:uid="{16A77521-FEE9-4AC6-96FD-85A743D943A0}"/>
    <cellStyle name="Normal 9 2 3 6 3" xfId="6124" xr:uid="{00000000-0005-0000-0000-0000541F0000}"/>
    <cellStyle name="Normal 9 2 3 6 3 2" xfId="14566" xr:uid="{FE75823E-DF61-47F1-921C-018412DD30A2}"/>
    <cellStyle name="Normal 9 2 3 6 3 3" xfId="23003" xr:uid="{0441AF86-00BD-4B47-8A95-A0AB3C7FFAE2}"/>
    <cellStyle name="Normal 9 2 3 6 4" xfId="10348" xr:uid="{F3ECF0CF-CBA7-45AC-A080-6E503D35F903}"/>
    <cellStyle name="Normal 9 2 3 6 5" xfId="18786" xr:uid="{69953D1E-2DFA-4B47-BFE0-62419202DF05}"/>
    <cellStyle name="Normal 9 2 3 7" xfId="2230" xr:uid="{00000000-0005-0000-0000-0000551F0000}"/>
    <cellStyle name="Normal 9 2 3 7 2" xfId="4459" xr:uid="{00000000-0005-0000-0000-0000561F0000}"/>
    <cellStyle name="Normal 9 2 3 7 2 2" xfId="8682" xr:uid="{00000000-0005-0000-0000-0000571F0000}"/>
    <cellStyle name="Normal 9 2 3 7 2 2 2" xfId="17124" xr:uid="{C5C5585C-EC8C-4627-85D3-1D24724A2C68}"/>
    <cellStyle name="Normal 9 2 3 7 2 2 3" xfId="25561" xr:uid="{781FA5D9-0D35-4F55-9C76-813CAB87F8D2}"/>
    <cellStyle name="Normal 9 2 3 7 2 3" xfId="12906" xr:uid="{25015CF5-8504-4656-B656-884F46047B06}"/>
    <cellStyle name="Normal 9 2 3 7 2 4" xfId="21344" xr:uid="{730EE40B-B138-48EC-9839-802B2E7D3A8C}"/>
    <cellStyle name="Normal 9 2 3 7 3" xfId="6537" xr:uid="{00000000-0005-0000-0000-0000581F0000}"/>
    <cellStyle name="Normal 9 2 3 7 3 2" xfId="14979" xr:uid="{E9B894E4-4F4F-430E-B6AE-70423635D326}"/>
    <cellStyle name="Normal 9 2 3 7 3 3" xfId="23416" xr:uid="{794D921F-7F40-4A42-87F4-9117BCCAEAA5}"/>
    <cellStyle name="Normal 9 2 3 7 4" xfId="10761" xr:uid="{CE14DD62-A79D-455B-9E25-177922CC4A3A}"/>
    <cellStyle name="Normal 9 2 3 7 5" xfId="19199" xr:uid="{4472FD3E-464A-44DF-9EDA-8FEE21E7E5A6}"/>
    <cellStyle name="Normal 9 2 3 8" xfId="2666" xr:uid="{00000000-0005-0000-0000-0000591F0000}"/>
    <cellStyle name="Normal 9 2 3 8 2" xfId="6950" xr:uid="{00000000-0005-0000-0000-00005A1F0000}"/>
    <cellStyle name="Normal 9 2 3 8 2 2" xfId="15392" xr:uid="{E83420AF-335C-4B2E-97CD-5B5A10575856}"/>
    <cellStyle name="Normal 9 2 3 8 2 3" xfId="23829" xr:uid="{DF4D0A8E-9404-44F4-B4F8-CE2647711317}"/>
    <cellStyle name="Normal 9 2 3 8 3" xfId="11174" xr:uid="{F67E0588-0574-4CCD-87AF-CB265B464533}"/>
    <cellStyle name="Normal 9 2 3 8 4" xfId="19612" xr:uid="{2BB56D71-CAAA-408B-BC50-5C5F5181C0F3}"/>
    <cellStyle name="Normal 9 2 3 9" xfId="4885" xr:uid="{00000000-0005-0000-0000-00005B1F0000}"/>
    <cellStyle name="Normal 9 2 3 9 2" xfId="13327" xr:uid="{D8CBC80B-D334-4DFF-B6D8-D4BEA1C557E0}"/>
    <cellStyle name="Normal 9 2 3 9 3" xfId="21764" xr:uid="{35DB7436-9FD1-4BA1-9A31-C90DEC3C0A02}"/>
    <cellStyle name="Normal 9 2 4" xfId="524" xr:uid="{00000000-0005-0000-0000-00005C1F0000}"/>
    <cellStyle name="Normal 9 2 4 10" xfId="17551" xr:uid="{327C80E2-25FE-4446-A916-29B823A6930D}"/>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2 2 2" xfId="15890" xr:uid="{5377E50E-5E47-483A-894F-E2A364353637}"/>
    <cellStyle name="Normal 9 2 4 2 2 2 2 3" xfId="24327" xr:uid="{CA497505-342A-4027-A748-416C3A224B4B}"/>
    <cellStyle name="Normal 9 2 4 2 2 2 3" xfId="11672" xr:uid="{42DD7B33-3EFD-4EBF-876D-9E535DD41344}"/>
    <cellStyle name="Normal 9 2 4 2 2 2 4" xfId="20110" xr:uid="{3DF204F3-58AC-431E-AE01-89391B48D49D}"/>
    <cellStyle name="Normal 9 2 4 2 2 3" xfId="5303" xr:uid="{00000000-0005-0000-0000-0000611F0000}"/>
    <cellStyle name="Normal 9 2 4 2 2 3 2" xfId="13745" xr:uid="{9B6A6309-E318-46C0-8444-D23CA6821122}"/>
    <cellStyle name="Normal 9 2 4 2 2 3 3" xfId="22182" xr:uid="{916911A7-6A8C-44F0-8DED-D5C91B2B307F}"/>
    <cellStyle name="Normal 9 2 4 2 2 4" xfId="9527" xr:uid="{EF721426-9754-4B14-9F78-0838C4866C57}"/>
    <cellStyle name="Normal 9 2 4 2 2 5" xfId="17965" xr:uid="{5D322AC6-AF05-4072-B2ED-E737633876B8}"/>
    <cellStyle name="Normal 9 2 4 2 3" xfId="1408" xr:uid="{00000000-0005-0000-0000-0000621F0000}"/>
    <cellStyle name="Normal 9 2 4 2 3 2" xfId="3638" xr:uid="{00000000-0005-0000-0000-0000631F0000}"/>
    <cellStyle name="Normal 9 2 4 2 3 2 2" xfId="7861" xr:uid="{00000000-0005-0000-0000-0000641F0000}"/>
    <cellStyle name="Normal 9 2 4 2 3 2 2 2" xfId="16303" xr:uid="{B66EDCC1-6A62-452C-8E3D-C299A3630384}"/>
    <cellStyle name="Normal 9 2 4 2 3 2 2 3" xfId="24740" xr:uid="{514D1DC8-EC8E-4F6B-8EBB-A69DCFAAD2EE}"/>
    <cellStyle name="Normal 9 2 4 2 3 2 3" xfId="12085" xr:uid="{2D3F96F6-0FB8-49C3-908F-A4117AA3F535}"/>
    <cellStyle name="Normal 9 2 4 2 3 2 4" xfId="20523" xr:uid="{45891DE7-FABA-4C7C-AFB8-B8D54EED7F29}"/>
    <cellStyle name="Normal 9 2 4 2 3 3" xfId="5716" xr:uid="{00000000-0005-0000-0000-0000651F0000}"/>
    <cellStyle name="Normal 9 2 4 2 3 3 2" xfId="14158" xr:uid="{21D493EA-011E-4029-9299-10ECB16402CB}"/>
    <cellStyle name="Normal 9 2 4 2 3 3 3" xfId="22595" xr:uid="{7274A680-79CC-404B-AF88-33892B9B1E2B}"/>
    <cellStyle name="Normal 9 2 4 2 3 4" xfId="9940" xr:uid="{55E48C4F-F324-447E-8188-07CF2176ED16}"/>
    <cellStyle name="Normal 9 2 4 2 3 5" xfId="18378" xr:uid="{C6AE2338-9864-49D2-BF2F-BF4428BC245F}"/>
    <cellStyle name="Normal 9 2 4 2 4" xfId="1821" xr:uid="{00000000-0005-0000-0000-0000661F0000}"/>
    <cellStyle name="Normal 9 2 4 2 4 2" xfId="4051" xr:uid="{00000000-0005-0000-0000-0000671F0000}"/>
    <cellStyle name="Normal 9 2 4 2 4 2 2" xfId="8274" xr:uid="{00000000-0005-0000-0000-0000681F0000}"/>
    <cellStyle name="Normal 9 2 4 2 4 2 2 2" xfId="16716" xr:uid="{B1C59907-CD29-4DD8-B5CA-FDB96545C723}"/>
    <cellStyle name="Normal 9 2 4 2 4 2 2 3" xfId="25153" xr:uid="{346B50FB-3720-4582-B0F6-DCEB1F8B770C}"/>
    <cellStyle name="Normal 9 2 4 2 4 2 3" xfId="12498" xr:uid="{6465DEAE-3361-48EC-86AC-BC3D84022C01}"/>
    <cellStyle name="Normal 9 2 4 2 4 2 4" xfId="20936" xr:uid="{5F413633-6A29-4A6D-B616-C886A54EEBA6}"/>
    <cellStyle name="Normal 9 2 4 2 4 3" xfId="6129" xr:uid="{00000000-0005-0000-0000-0000691F0000}"/>
    <cellStyle name="Normal 9 2 4 2 4 3 2" xfId="14571" xr:uid="{74382E1E-2F7D-4E4B-8DAF-1A0796C21B2D}"/>
    <cellStyle name="Normal 9 2 4 2 4 3 3" xfId="23008" xr:uid="{E63C4E18-16A7-4C1D-82EB-A85E24B57D8C}"/>
    <cellStyle name="Normal 9 2 4 2 4 4" xfId="10353" xr:uid="{CC26CCAC-07FD-49DB-89AF-9D62FCC730BC}"/>
    <cellStyle name="Normal 9 2 4 2 4 5" xfId="18791" xr:uid="{85528D9F-12F3-4D20-AE13-DA97BAC0E191}"/>
    <cellStyle name="Normal 9 2 4 2 5" xfId="2235" xr:uid="{00000000-0005-0000-0000-00006A1F0000}"/>
    <cellStyle name="Normal 9 2 4 2 5 2" xfId="4464" xr:uid="{00000000-0005-0000-0000-00006B1F0000}"/>
    <cellStyle name="Normal 9 2 4 2 5 2 2" xfId="8687" xr:uid="{00000000-0005-0000-0000-00006C1F0000}"/>
    <cellStyle name="Normal 9 2 4 2 5 2 2 2" xfId="17129" xr:uid="{057E70C0-85F5-4CEF-945E-015A9991B762}"/>
    <cellStyle name="Normal 9 2 4 2 5 2 2 3" xfId="25566" xr:uid="{8D9AECC3-EF3C-4575-B58D-AE0396AD7036}"/>
    <cellStyle name="Normal 9 2 4 2 5 2 3" xfId="12911" xr:uid="{9DBBF975-1B63-4618-A43B-D3943BB7A728}"/>
    <cellStyle name="Normal 9 2 4 2 5 2 4" xfId="21349" xr:uid="{BB191CC6-EC9C-45E2-A2CF-2BD92666CFE7}"/>
    <cellStyle name="Normal 9 2 4 2 5 3" xfId="6542" xr:uid="{00000000-0005-0000-0000-00006D1F0000}"/>
    <cellStyle name="Normal 9 2 4 2 5 3 2" xfId="14984" xr:uid="{66D044D8-70B7-4DFB-A52E-983B1FAC2A4F}"/>
    <cellStyle name="Normal 9 2 4 2 5 3 3" xfId="23421" xr:uid="{E7B71268-8813-4CB8-B71A-A0B7ED8B52C0}"/>
    <cellStyle name="Normal 9 2 4 2 5 4" xfId="10766" xr:uid="{BBAEAE6A-E178-44DD-AD51-14481884D2FC}"/>
    <cellStyle name="Normal 9 2 4 2 5 5" xfId="19204" xr:uid="{66C75F29-467D-42CB-8164-33A7E4E86107}"/>
    <cellStyle name="Normal 9 2 4 2 6" xfId="2671" xr:uid="{00000000-0005-0000-0000-00006E1F0000}"/>
    <cellStyle name="Normal 9 2 4 2 6 2" xfId="6955" xr:uid="{00000000-0005-0000-0000-00006F1F0000}"/>
    <cellStyle name="Normal 9 2 4 2 6 2 2" xfId="15397" xr:uid="{4F210425-9684-4803-8D1B-EB17B8FBD2EC}"/>
    <cellStyle name="Normal 9 2 4 2 6 2 3" xfId="23834" xr:uid="{7A6D2DA2-45C1-48F8-9B51-003BCD402275}"/>
    <cellStyle name="Normal 9 2 4 2 6 3" xfId="11179" xr:uid="{1712BC70-135A-49DD-8140-B89C69270F4E}"/>
    <cellStyle name="Normal 9 2 4 2 6 4" xfId="19617" xr:uid="{6ADC9B1A-9A6F-4AD2-9ACC-C3127EAA9048}"/>
    <cellStyle name="Normal 9 2 4 2 7" xfId="4890" xr:uid="{00000000-0005-0000-0000-0000701F0000}"/>
    <cellStyle name="Normal 9 2 4 2 7 2" xfId="13332" xr:uid="{D8472761-844B-42CD-A9D9-58AB81E80BCC}"/>
    <cellStyle name="Normal 9 2 4 2 7 3" xfId="21769" xr:uid="{A7E046CB-9340-4699-996B-D6962A26E087}"/>
    <cellStyle name="Normal 9 2 4 2 8" xfId="9114" xr:uid="{74974958-D65A-4EDD-AB8D-F7411153E4E6}"/>
    <cellStyle name="Normal 9 2 4 2 9" xfId="17552" xr:uid="{9FFA6038-B1D6-410C-8FFF-FAD24E816220}"/>
    <cellStyle name="Normal 9 2 4 3" xfId="991" xr:uid="{00000000-0005-0000-0000-0000711F0000}"/>
    <cellStyle name="Normal 9 2 4 3 2" xfId="3224" xr:uid="{00000000-0005-0000-0000-0000721F0000}"/>
    <cellStyle name="Normal 9 2 4 3 2 2" xfId="7447" xr:uid="{00000000-0005-0000-0000-0000731F0000}"/>
    <cellStyle name="Normal 9 2 4 3 2 2 2" xfId="15889" xr:uid="{17EE4F22-4C8E-477E-8FFE-88B37002D506}"/>
    <cellStyle name="Normal 9 2 4 3 2 2 3" xfId="24326" xr:uid="{53DF4040-0B27-4A3E-826C-0467DB447A8B}"/>
    <cellStyle name="Normal 9 2 4 3 2 3" xfId="11671" xr:uid="{468B083D-2C7D-4912-B2AE-086A175D516B}"/>
    <cellStyle name="Normal 9 2 4 3 2 4" xfId="20109" xr:uid="{F21FCF11-0610-45CD-9337-09BC2C63FC41}"/>
    <cellStyle name="Normal 9 2 4 3 3" xfId="5302" xr:uid="{00000000-0005-0000-0000-0000741F0000}"/>
    <cellStyle name="Normal 9 2 4 3 3 2" xfId="13744" xr:uid="{C657D6C0-6742-4DA8-A00C-C6C77AFA2E9C}"/>
    <cellStyle name="Normal 9 2 4 3 3 3" xfId="22181" xr:uid="{C0C60E1D-38BD-435E-8E79-CA27ACECB47E}"/>
    <cellStyle name="Normal 9 2 4 3 4" xfId="9526" xr:uid="{87660360-DA4E-401B-94F0-2BD75F949412}"/>
    <cellStyle name="Normal 9 2 4 3 5" xfId="17964" xr:uid="{8C1FAF5A-454C-4F5A-9D6F-849704807861}"/>
    <cellStyle name="Normal 9 2 4 4" xfId="1407" xr:uid="{00000000-0005-0000-0000-0000751F0000}"/>
    <cellStyle name="Normal 9 2 4 4 2" xfId="3637" xr:uid="{00000000-0005-0000-0000-0000761F0000}"/>
    <cellStyle name="Normal 9 2 4 4 2 2" xfId="7860" xr:uid="{00000000-0005-0000-0000-0000771F0000}"/>
    <cellStyle name="Normal 9 2 4 4 2 2 2" xfId="16302" xr:uid="{75940242-9ABC-4055-B38E-966057CC75CE}"/>
    <cellStyle name="Normal 9 2 4 4 2 2 3" xfId="24739" xr:uid="{753B3386-D989-41CC-91FA-BD00CD34CE3A}"/>
    <cellStyle name="Normal 9 2 4 4 2 3" xfId="12084" xr:uid="{558FD4DC-1F0E-424E-94DC-A520FA256DC3}"/>
    <cellStyle name="Normal 9 2 4 4 2 4" xfId="20522" xr:uid="{84937914-EACC-4DA7-9781-CCE61D5CAEE1}"/>
    <cellStyle name="Normal 9 2 4 4 3" xfId="5715" xr:uid="{00000000-0005-0000-0000-0000781F0000}"/>
    <cellStyle name="Normal 9 2 4 4 3 2" xfId="14157" xr:uid="{4BBA3298-AF72-4C57-B70A-D03AFEA7F37E}"/>
    <cellStyle name="Normal 9 2 4 4 3 3" xfId="22594" xr:uid="{8E3826AA-497E-4AAF-963D-F289EF420165}"/>
    <cellStyle name="Normal 9 2 4 4 4" xfId="9939" xr:uid="{3E1E8EEB-FB68-4311-9A88-79998C90AD34}"/>
    <cellStyle name="Normal 9 2 4 4 5" xfId="18377" xr:uid="{D42A40D0-53AB-478D-A4CA-65749C968867}"/>
    <cellStyle name="Normal 9 2 4 5" xfId="1820" xr:uid="{00000000-0005-0000-0000-0000791F0000}"/>
    <cellStyle name="Normal 9 2 4 5 2" xfId="4050" xr:uid="{00000000-0005-0000-0000-00007A1F0000}"/>
    <cellStyle name="Normal 9 2 4 5 2 2" xfId="8273" xr:uid="{00000000-0005-0000-0000-00007B1F0000}"/>
    <cellStyle name="Normal 9 2 4 5 2 2 2" xfId="16715" xr:uid="{00BC490F-16C0-459C-A761-5811F394FA91}"/>
    <cellStyle name="Normal 9 2 4 5 2 2 3" xfId="25152" xr:uid="{BF576E91-1859-4F1E-87AD-744B424AD723}"/>
    <cellStyle name="Normal 9 2 4 5 2 3" xfId="12497" xr:uid="{00E3AC73-133F-4590-9758-C1BE214E0559}"/>
    <cellStyle name="Normal 9 2 4 5 2 4" xfId="20935" xr:uid="{736028F0-2384-48F5-A139-F1651A5FBFCE}"/>
    <cellStyle name="Normal 9 2 4 5 3" xfId="6128" xr:uid="{00000000-0005-0000-0000-00007C1F0000}"/>
    <cellStyle name="Normal 9 2 4 5 3 2" xfId="14570" xr:uid="{B2EE3037-5EBC-4002-B73F-32E4A8C1B2E9}"/>
    <cellStyle name="Normal 9 2 4 5 3 3" xfId="23007" xr:uid="{87041BDA-288D-428E-820E-28041403107E}"/>
    <cellStyle name="Normal 9 2 4 5 4" xfId="10352" xr:uid="{93679C99-4D4F-4783-8E98-54CCBB345149}"/>
    <cellStyle name="Normal 9 2 4 5 5" xfId="18790" xr:uid="{610ACAA4-41E0-48C4-B076-5D65725301F1}"/>
    <cellStyle name="Normal 9 2 4 6" xfId="2234" xr:uid="{00000000-0005-0000-0000-00007D1F0000}"/>
    <cellStyle name="Normal 9 2 4 6 2" xfId="4463" xr:uid="{00000000-0005-0000-0000-00007E1F0000}"/>
    <cellStyle name="Normal 9 2 4 6 2 2" xfId="8686" xr:uid="{00000000-0005-0000-0000-00007F1F0000}"/>
    <cellStyle name="Normal 9 2 4 6 2 2 2" xfId="17128" xr:uid="{35E6A823-67C3-4184-AFD5-753C8305F924}"/>
    <cellStyle name="Normal 9 2 4 6 2 2 3" xfId="25565" xr:uid="{6570715F-3008-44DA-81CF-7FFAC6B5C28A}"/>
    <cellStyle name="Normal 9 2 4 6 2 3" xfId="12910" xr:uid="{5A55F94C-834F-4B94-9CCF-D4CFE1472039}"/>
    <cellStyle name="Normal 9 2 4 6 2 4" xfId="21348" xr:uid="{6F04085E-6089-4B08-9F8B-2260CAB7AB2C}"/>
    <cellStyle name="Normal 9 2 4 6 3" xfId="6541" xr:uid="{00000000-0005-0000-0000-0000801F0000}"/>
    <cellStyle name="Normal 9 2 4 6 3 2" xfId="14983" xr:uid="{C782033D-7576-442C-984E-1845FB677D02}"/>
    <cellStyle name="Normal 9 2 4 6 3 3" xfId="23420" xr:uid="{B6D4CB57-C50C-4D80-8B41-A8A9B17BC6E7}"/>
    <cellStyle name="Normal 9 2 4 6 4" xfId="10765" xr:uid="{17398A79-4030-4B5B-93CE-A20FC34DAFA3}"/>
    <cellStyle name="Normal 9 2 4 6 5" xfId="19203" xr:uid="{7DDA2561-5C14-4930-AE2A-DBB12F19050D}"/>
    <cellStyle name="Normal 9 2 4 7" xfId="2670" xr:uid="{00000000-0005-0000-0000-0000811F0000}"/>
    <cellStyle name="Normal 9 2 4 7 2" xfId="6954" xr:uid="{00000000-0005-0000-0000-0000821F0000}"/>
    <cellStyle name="Normal 9 2 4 7 2 2" xfId="15396" xr:uid="{88C49FA0-23A5-49D3-AE78-9582F523A62C}"/>
    <cellStyle name="Normal 9 2 4 7 2 3" xfId="23833" xr:uid="{EA4D89FF-C1A5-4898-AB5D-CDC30C2D5D17}"/>
    <cellStyle name="Normal 9 2 4 7 3" xfId="11178" xr:uid="{9201B6D2-E133-449B-A053-E692D5BBF26A}"/>
    <cellStyle name="Normal 9 2 4 7 4" xfId="19616" xr:uid="{4F390C9E-7493-47AB-BDD0-70397F4DB3C6}"/>
    <cellStyle name="Normal 9 2 4 8" xfId="4889" xr:uid="{00000000-0005-0000-0000-0000831F0000}"/>
    <cellStyle name="Normal 9 2 4 8 2" xfId="13331" xr:uid="{12C8EF94-7C7C-40E5-A5D1-7EEF408D253C}"/>
    <cellStyle name="Normal 9 2 4 8 3" xfId="21768" xr:uid="{1ADA70F1-3AC1-44E9-AA2C-986E4B829557}"/>
    <cellStyle name="Normal 9 2 4 9" xfId="9113" xr:uid="{0B7D450C-81BF-41FE-B7B0-F931899A0551}"/>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2 2 2" xfId="15891" xr:uid="{CA0204E2-0FAC-40B6-84B2-18A529894034}"/>
    <cellStyle name="Normal 9 2 5 2 2 2 3" xfId="24328" xr:uid="{8C1B1580-110B-4440-A23E-08863E471344}"/>
    <cellStyle name="Normal 9 2 5 2 2 3" xfId="11673" xr:uid="{8FE7A8E0-563F-42AD-8137-CE30FC8B25EA}"/>
    <cellStyle name="Normal 9 2 5 2 2 4" xfId="20111" xr:uid="{2A62F39F-33AB-49C9-897C-F10D8FC57610}"/>
    <cellStyle name="Normal 9 2 5 2 3" xfId="5304" xr:uid="{00000000-0005-0000-0000-0000881F0000}"/>
    <cellStyle name="Normal 9 2 5 2 3 2" xfId="13746" xr:uid="{B7DE1CD7-CF47-4F63-9A3F-BAA94153303F}"/>
    <cellStyle name="Normal 9 2 5 2 3 3" xfId="22183" xr:uid="{9BBFAFE4-3CCF-4214-9E3D-F656EC363A83}"/>
    <cellStyle name="Normal 9 2 5 2 4" xfId="9528" xr:uid="{B5054046-AB74-4006-A371-BD43CE5647ED}"/>
    <cellStyle name="Normal 9 2 5 2 5" xfId="17966" xr:uid="{40D837F0-086C-4AC4-903F-75727234738B}"/>
    <cellStyle name="Normal 9 2 5 3" xfId="1409" xr:uid="{00000000-0005-0000-0000-0000891F0000}"/>
    <cellStyle name="Normal 9 2 5 3 2" xfId="3639" xr:uid="{00000000-0005-0000-0000-00008A1F0000}"/>
    <cellStyle name="Normal 9 2 5 3 2 2" xfId="7862" xr:uid="{00000000-0005-0000-0000-00008B1F0000}"/>
    <cellStyle name="Normal 9 2 5 3 2 2 2" xfId="16304" xr:uid="{8C57A4E9-6338-4E15-ADEE-EA54E4FA1BB9}"/>
    <cellStyle name="Normal 9 2 5 3 2 2 3" xfId="24741" xr:uid="{B51E7F11-BD39-4487-984B-5A80986166F4}"/>
    <cellStyle name="Normal 9 2 5 3 2 3" xfId="12086" xr:uid="{2220B053-C64E-495F-9EEE-91704F557B86}"/>
    <cellStyle name="Normal 9 2 5 3 2 4" xfId="20524" xr:uid="{A9CC07F8-6A27-4E04-8F53-9C273339A501}"/>
    <cellStyle name="Normal 9 2 5 3 3" xfId="5717" xr:uid="{00000000-0005-0000-0000-00008C1F0000}"/>
    <cellStyle name="Normal 9 2 5 3 3 2" xfId="14159" xr:uid="{874DA9E1-349A-4AC4-B6F5-414130380F0B}"/>
    <cellStyle name="Normal 9 2 5 3 3 3" xfId="22596" xr:uid="{6149F75B-1648-46C0-B200-99EA8C65EF00}"/>
    <cellStyle name="Normal 9 2 5 3 4" xfId="9941" xr:uid="{80A6310F-5B93-4AB8-8F4C-DCB631D9E968}"/>
    <cellStyle name="Normal 9 2 5 3 5" xfId="18379" xr:uid="{C27B2B91-33F2-4B15-9FE5-AECBFD0FF792}"/>
    <cellStyle name="Normal 9 2 5 4" xfId="1822" xr:uid="{00000000-0005-0000-0000-00008D1F0000}"/>
    <cellStyle name="Normal 9 2 5 4 2" xfId="4052" xr:uid="{00000000-0005-0000-0000-00008E1F0000}"/>
    <cellStyle name="Normal 9 2 5 4 2 2" xfId="8275" xr:uid="{00000000-0005-0000-0000-00008F1F0000}"/>
    <cellStyle name="Normal 9 2 5 4 2 2 2" xfId="16717" xr:uid="{F53A32BD-676B-44ED-80FF-7C5646C4AF51}"/>
    <cellStyle name="Normal 9 2 5 4 2 2 3" xfId="25154" xr:uid="{749ADC2F-4796-4F9C-8848-6B331065BDFD}"/>
    <cellStyle name="Normal 9 2 5 4 2 3" xfId="12499" xr:uid="{29D9C10D-5D66-4FC9-9E45-292606942D7A}"/>
    <cellStyle name="Normal 9 2 5 4 2 4" xfId="20937" xr:uid="{14103D26-3DC9-4422-BD82-BA064DC64EB9}"/>
    <cellStyle name="Normal 9 2 5 4 3" xfId="6130" xr:uid="{00000000-0005-0000-0000-0000901F0000}"/>
    <cellStyle name="Normal 9 2 5 4 3 2" xfId="14572" xr:uid="{1D80EF0C-C3BE-4139-B12D-446B85F3C931}"/>
    <cellStyle name="Normal 9 2 5 4 3 3" xfId="23009" xr:uid="{8D9A15EE-0C59-4141-8694-62D04AF275C3}"/>
    <cellStyle name="Normal 9 2 5 4 4" xfId="10354" xr:uid="{F34F50A2-5E53-410E-882B-97CCE31A9B6E}"/>
    <cellStyle name="Normal 9 2 5 4 5" xfId="18792" xr:uid="{60F55175-A0CA-487C-9FBB-0F0E5919D9AE}"/>
    <cellStyle name="Normal 9 2 5 5" xfId="2236" xr:uid="{00000000-0005-0000-0000-0000911F0000}"/>
    <cellStyle name="Normal 9 2 5 5 2" xfId="4465" xr:uid="{00000000-0005-0000-0000-0000921F0000}"/>
    <cellStyle name="Normal 9 2 5 5 2 2" xfId="8688" xr:uid="{00000000-0005-0000-0000-0000931F0000}"/>
    <cellStyle name="Normal 9 2 5 5 2 2 2" xfId="17130" xr:uid="{6F4CD53B-9360-4D25-99F3-2BBFBF128BD2}"/>
    <cellStyle name="Normal 9 2 5 5 2 2 3" xfId="25567" xr:uid="{9D54AE8A-E19F-4239-9A53-FE1525CF325B}"/>
    <cellStyle name="Normal 9 2 5 5 2 3" xfId="12912" xr:uid="{DCA6E98B-155E-4ACB-ABA0-EF235A10275C}"/>
    <cellStyle name="Normal 9 2 5 5 2 4" xfId="21350" xr:uid="{8A81EB0B-6562-4668-BA64-E24E5F5A7E38}"/>
    <cellStyle name="Normal 9 2 5 5 3" xfId="6543" xr:uid="{00000000-0005-0000-0000-0000941F0000}"/>
    <cellStyle name="Normal 9 2 5 5 3 2" xfId="14985" xr:uid="{42D35697-84B9-42B5-BAB3-B427F8CC6257}"/>
    <cellStyle name="Normal 9 2 5 5 3 3" xfId="23422" xr:uid="{0E05C00D-D477-46CA-B8AD-BC63BCEA4502}"/>
    <cellStyle name="Normal 9 2 5 5 4" xfId="10767" xr:uid="{A6824FD6-7902-4A3D-9562-5AF1D96C7952}"/>
    <cellStyle name="Normal 9 2 5 5 5" xfId="19205" xr:uid="{3DDADC1F-7DBD-42E9-82CF-9EE069272604}"/>
    <cellStyle name="Normal 9 2 5 6" xfId="2672" xr:uid="{00000000-0005-0000-0000-0000951F0000}"/>
    <cellStyle name="Normal 9 2 5 6 2" xfId="6956" xr:uid="{00000000-0005-0000-0000-0000961F0000}"/>
    <cellStyle name="Normal 9 2 5 6 2 2" xfId="15398" xr:uid="{D72FA1A5-97A7-4DAA-BB23-AF829A3859C2}"/>
    <cellStyle name="Normal 9 2 5 6 2 3" xfId="23835" xr:uid="{07D42B5E-56EB-433E-89F7-FF43ED706484}"/>
    <cellStyle name="Normal 9 2 5 6 3" xfId="11180" xr:uid="{DA227A98-1F04-4B1A-8C94-A58973B27EEC}"/>
    <cellStyle name="Normal 9 2 5 6 4" xfId="19618" xr:uid="{FAEABC24-98A5-4506-8635-66F0007753CB}"/>
    <cellStyle name="Normal 9 2 5 7" xfId="4891" xr:uid="{00000000-0005-0000-0000-0000971F0000}"/>
    <cellStyle name="Normal 9 2 5 7 2" xfId="13333" xr:uid="{F971A9E1-3000-4B48-BAF0-9C210B5CC85D}"/>
    <cellStyle name="Normal 9 2 5 7 3" xfId="21770" xr:uid="{69794023-E51D-48B5-9978-2354572B3215}"/>
    <cellStyle name="Normal 9 2 5 8" xfId="9115" xr:uid="{1E0C3531-CA7E-4394-92D2-0DCAC06371AC}"/>
    <cellStyle name="Normal 9 2 5 9" xfId="17553" xr:uid="{3F4C91EA-5FE0-409C-A421-F3832123AD8B}"/>
    <cellStyle name="Normal 9 2 6" xfId="978" xr:uid="{00000000-0005-0000-0000-0000981F0000}"/>
    <cellStyle name="Normal 9 2 6 2" xfId="3211" xr:uid="{00000000-0005-0000-0000-0000991F0000}"/>
    <cellStyle name="Normal 9 2 6 2 2" xfId="7434" xr:uid="{00000000-0005-0000-0000-00009A1F0000}"/>
    <cellStyle name="Normal 9 2 6 2 2 2" xfId="15876" xr:uid="{809A6677-3C67-4637-BB2B-A0BA9A080841}"/>
    <cellStyle name="Normal 9 2 6 2 2 3" xfId="24313" xr:uid="{96B94EDF-E03F-4B5F-AA03-0E3B6A1EC1F0}"/>
    <cellStyle name="Normal 9 2 6 2 3" xfId="11658" xr:uid="{A7CD8296-CEF8-4110-B356-2C9FE0E9034C}"/>
    <cellStyle name="Normal 9 2 6 2 4" xfId="20096" xr:uid="{A4080DF5-FFF1-49F8-9182-293C215A1352}"/>
    <cellStyle name="Normal 9 2 6 3" xfId="5289" xr:uid="{00000000-0005-0000-0000-00009B1F0000}"/>
    <cellStyle name="Normal 9 2 6 3 2" xfId="13731" xr:uid="{ACC6A058-6DE3-4121-B885-CA3BF86FA40B}"/>
    <cellStyle name="Normal 9 2 6 3 3" xfId="22168" xr:uid="{AF6529BF-9AEF-41D5-A49A-F5C930FEED2C}"/>
    <cellStyle name="Normal 9 2 6 4" xfId="9513" xr:uid="{57EBF9EF-DF6D-4BDB-83B7-FC2E414DF269}"/>
    <cellStyle name="Normal 9 2 6 5" xfId="17951" xr:uid="{1D52913D-A746-42C4-B408-C24A3143528F}"/>
    <cellStyle name="Normal 9 2 7" xfId="1394" xr:uid="{00000000-0005-0000-0000-00009C1F0000}"/>
    <cellStyle name="Normal 9 2 7 2" xfId="3624" xr:uid="{00000000-0005-0000-0000-00009D1F0000}"/>
    <cellStyle name="Normal 9 2 7 2 2" xfId="7847" xr:uid="{00000000-0005-0000-0000-00009E1F0000}"/>
    <cellStyle name="Normal 9 2 7 2 2 2" xfId="16289" xr:uid="{D12D9401-3ACB-4FC4-9544-FC0BF0A74149}"/>
    <cellStyle name="Normal 9 2 7 2 2 3" xfId="24726" xr:uid="{940FAB04-794E-4920-AC52-BFEC0CD4099F}"/>
    <cellStyle name="Normal 9 2 7 2 3" xfId="12071" xr:uid="{1D565304-E80E-4170-BEF0-0808B0EBA5E9}"/>
    <cellStyle name="Normal 9 2 7 2 4" xfId="20509" xr:uid="{4B8C8864-F45D-489C-A5F3-BD623F4BD1E1}"/>
    <cellStyle name="Normal 9 2 7 3" xfId="5702" xr:uid="{00000000-0005-0000-0000-00009F1F0000}"/>
    <cellStyle name="Normal 9 2 7 3 2" xfId="14144" xr:uid="{23C6AF3F-4407-4136-8056-6AD6E138FA63}"/>
    <cellStyle name="Normal 9 2 7 3 3" xfId="22581" xr:uid="{6BC9E781-F7EA-48D5-9514-E6A9A71DCE15}"/>
    <cellStyle name="Normal 9 2 7 4" xfId="9926" xr:uid="{F7766E22-E8E6-4263-97A7-8553374F82C4}"/>
    <cellStyle name="Normal 9 2 7 5" xfId="18364" xr:uid="{2DF86794-E2E2-4FDC-A240-639E33EA7339}"/>
    <cellStyle name="Normal 9 2 8" xfId="1807" xr:uid="{00000000-0005-0000-0000-0000A01F0000}"/>
    <cellStyle name="Normal 9 2 8 2" xfId="4037" xr:uid="{00000000-0005-0000-0000-0000A11F0000}"/>
    <cellStyle name="Normal 9 2 8 2 2" xfId="8260" xr:uid="{00000000-0005-0000-0000-0000A21F0000}"/>
    <cellStyle name="Normal 9 2 8 2 2 2" xfId="16702" xr:uid="{A6141E0E-451A-4AB6-87A9-4E3701A82522}"/>
    <cellStyle name="Normal 9 2 8 2 2 3" xfId="25139" xr:uid="{AF10ED5A-ECBB-41CB-B048-BAF703BF5B0A}"/>
    <cellStyle name="Normal 9 2 8 2 3" xfId="12484" xr:uid="{CB5263C3-2E4C-43D9-90DD-C3634648E3F2}"/>
    <cellStyle name="Normal 9 2 8 2 4" xfId="20922" xr:uid="{276A794E-7C8D-4D37-AA14-F9A6B7FC4122}"/>
    <cellStyle name="Normal 9 2 8 3" xfId="6115" xr:uid="{00000000-0005-0000-0000-0000A31F0000}"/>
    <cellStyle name="Normal 9 2 8 3 2" xfId="14557" xr:uid="{4FD6410E-33F3-456E-B90E-8DF0F97C8CC3}"/>
    <cellStyle name="Normal 9 2 8 3 3" xfId="22994" xr:uid="{5D1DC292-4E2F-4B12-A608-1270C4EAF101}"/>
    <cellStyle name="Normal 9 2 8 4" xfId="10339" xr:uid="{CD2CD446-EDF6-4B9C-839B-83C7F9EB0C65}"/>
    <cellStyle name="Normal 9 2 8 5" xfId="18777" xr:uid="{3A3F3E4F-C2B6-4822-9D16-812D5B9B6B8C}"/>
    <cellStyle name="Normal 9 2 9" xfId="2221" xr:uid="{00000000-0005-0000-0000-0000A41F0000}"/>
    <cellStyle name="Normal 9 2 9 2" xfId="4450" xr:uid="{00000000-0005-0000-0000-0000A51F0000}"/>
    <cellStyle name="Normal 9 2 9 2 2" xfId="8673" xr:uid="{00000000-0005-0000-0000-0000A61F0000}"/>
    <cellStyle name="Normal 9 2 9 2 2 2" xfId="17115" xr:uid="{1731AC3C-DE37-49E3-81E0-F9DE0269C8A5}"/>
    <cellStyle name="Normal 9 2 9 2 2 3" xfId="25552" xr:uid="{3CA2D18E-A414-4B1E-B385-7B0E1C460BA8}"/>
    <cellStyle name="Normal 9 2 9 2 3" xfId="12897" xr:uid="{0AFE2E95-E114-465C-81EF-A3EAA6EE093A}"/>
    <cellStyle name="Normal 9 2 9 2 4" xfId="21335" xr:uid="{DEAF2228-856B-44D3-824D-D2B300FA7893}"/>
    <cellStyle name="Normal 9 2 9 3" xfId="6528" xr:uid="{00000000-0005-0000-0000-0000A71F0000}"/>
    <cellStyle name="Normal 9 2 9 3 2" xfId="14970" xr:uid="{981E1F5A-65AE-45FE-A426-BD8F08E6DA6F}"/>
    <cellStyle name="Normal 9 2 9 3 3" xfId="23407" xr:uid="{F45695EA-1F4A-4B16-AE99-D1C24C35DBAB}"/>
    <cellStyle name="Normal 9 2 9 4" xfId="10752" xr:uid="{D11D1D00-20E2-4501-812F-4EAB8DCED103}"/>
    <cellStyle name="Normal 9 2 9 5" xfId="19190" xr:uid="{F223EC51-1822-4D3E-B938-F66A8CDB2F27}"/>
    <cellStyle name="Normal 9 3" xfId="527" xr:uid="{00000000-0005-0000-0000-0000A81F0000}"/>
    <cellStyle name="Normal 9 3 10" xfId="4892" xr:uid="{00000000-0005-0000-0000-0000A91F0000}"/>
    <cellStyle name="Normal 9 3 10 2" xfId="13334" xr:uid="{A55B7A85-CE90-4839-9A5C-8AB5FF8115E0}"/>
    <cellStyle name="Normal 9 3 10 3" xfId="21771" xr:uid="{8503360C-1A06-460A-A848-DD77B681C430}"/>
    <cellStyle name="Normal 9 3 11" xfId="9116" xr:uid="{55428620-9554-4934-9503-15629C866C8C}"/>
    <cellStyle name="Normal 9 3 12" xfId="17554" xr:uid="{D69DB645-5F87-41FA-8FEA-D7225094C426}"/>
    <cellStyle name="Normal 9 3 2" xfId="528" xr:uid="{00000000-0005-0000-0000-0000AA1F0000}"/>
    <cellStyle name="Normal 9 3 2 10" xfId="9117" xr:uid="{9041295A-3C5F-41DA-B1DE-28A5FF72B8A1}"/>
    <cellStyle name="Normal 9 3 2 11" xfId="17555" xr:uid="{F2A0E458-DC5C-4491-9B55-CBBE376F7CDA}"/>
    <cellStyle name="Normal 9 3 2 2" xfId="529" xr:uid="{00000000-0005-0000-0000-0000AB1F0000}"/>
    <cellStyle name="Normal 9 3 2 2 10" xfId="17556" xr:uid="{66B3AABF-9142-4576-9867-B93EAE6CF779}"/>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2 2 2" xfId="15895" xr:uid="{52ACE5AC-58A1-4223-A922-8902072D0BF0}"/>
    <cellStyle name="Normal 9 3 2 2 2 2 2 2 3" xfId="24332" xr:uid="{753BC019-EDBF-45BF-B92D-416DFF982723}"/>
    <cellStyle name="Normal 9 3 2 2 2 2 2 3" xfId="11677" xr:uid="{872E4CBA-3BAA-4AF2-94FF-1FB0533457C8}"/>
    <cellStyle name="Normal 9 3 2 2 2 2 2 4" xfId="20115" xr:uid="{206215BF-DBF3-458B-976D-CFDC9B589587}"/>
    <cellStyle name="Normal 9 3 2 2 2 2 3" xfId="5308" xr:uid="{00000000-0005-0000-0000-0000B01F0000}"/>
    <cellStyle name="Normal 9 3 2 2 2 2 3 2" xfId="13750" xr:uid="{AFB59D57-9D9B-42A4-B040-BEAB6A195176}"/>
    <cellStyle name="Normal 9 3 2 2 2 2 3 3" xfId="22187" xr:uid="{6659EDC0-EF0B-4C60-B984-8666385577B3}"/>
    <cellStyle name="Normal 9 3 2 2 2 2 4" xfId="9532" xr:uid="{1D413AC5-208D-44D4-BB3F-B809BB1A508B}"/>
    <cellStyle name="Normal 9 3 2 2 2 2 5" xfId="17970" xr:uid="{D9B11493-AE4A-4780-9B5A-B6574091FE5A}"/>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2 2 2" xfId="16308" xr:uid="{21EF8251-4D4A-40CF-B592-CE4202BAAC98}"/>
    <cellStyle name="Normal 9 3 2 2 2 3 2 2 3" xfId="24745" xr:uid="{C3054578-8F47-4CD4-A5B8-117CD1840502}"/>
    <cellStyle name="Normal 9 3 2 2 2 3 2 3" xfId="12090" xr:uid="{B258E0F3-0A58-4E44-BC78-2024833B3100}"/>
    <cellStyle name="Normal 9 3 2 2 2 3 2 4" xfId="20528" xr:uid="{0B19830D-7A15-453C-B995-A5500492CB3F}"/>
    <cellStyle name="Normal 9 3 2 2 2 3 3" xfId="5721" xr:uid="{00000000-0005-0000-0000-0000B41F0000}"/>
    <cellStyle name="Normal 9 3 2 2 2 3 3 2" xfId="14163" xr:uid="{E24D2EF7-C34F-4328-9F23-18859BECB9F3}"/>
    <cellStyle name="Normal 9 3 2 2 2 3 3 3" xfId="22600" xr:uid="{9398309D-937B-4FC9-8255-DAA81D3AAEAC}"/>
    <cellStyle name="Normal 9 3 2 2 2 3 4" xfId="9945" xr:uid="{9A05E3D6-A2E4-4ABA-9972-C56F7823831F}"/>
    <cellStyle name="Normal 9 3 2 2 2 3 5" xfId="18383" xr:uid="{9E7DB2B0-858E-498E-A48B-16D5D12C9816}"/>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2 2 2" xfId="16721" xr:uid="{4CDB0B80-955A-43F2-B770-9299165B9660}"/>
    <cellStyle name="Normal 9 3 2 2 2 4 2 2 3" xfId="25158" xr:uid="{4CDE1715-CCBC-4FD0-8E63-86F5A2090043}"/>
    <cellStyle name="Normal 9 3 2 2 2 4 2 3" xfId="12503" xr:uid="{84DBE6EB-DCBE-4EEA-9B5B-D05CC0C373D0}"/>
    <cellStyle name="Normal 9 3 2 2 2 4 2 4" xfId="20941" xr:uid="{B75EF1C4-6C7F-45E7-89CD-BBC67D4E8D60}"/>
    <cellStyle name="Normal 9 3 2 2 2 4 3" xfId="6134" xr:uid="{00000000-0005-0000-0000-0000B81F0000}"/>
    <cellStyle name="Normal 9 3 2 2 2 4 3 2" xfId="14576" xr:uid="{AC524406-0934-4496-98A5-63C5D02643E8}"/>
    <cellStyle name="Normal 9 3 2 2 2 4 3 3" xfId="23013" xr:uid="{D1F8DEE4-03AA-4211-B40C-3C3F70BA2F0F}"/>
    <cellStyle name="Normal 9 3 2 2 2 4 4" xfId="10358" xr:uid="{D2879149-9E6A-438D-A5A0-89570CA5DB74}"/>
    <cellStyle name="Normal 9 3 2 2 2 4 5" xfId="18796" xr:uid="{B85ACF27-E0B9-438F-9F36-AE49B3220E7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2 2 2" xfId="17134" xr:uid="{DB112A68-DAD6-4835-9989-72E832A41CE0}"/>
    <cellStyle name="Normal 9 3 2 2 2 5 2 2 3" xfId="25571" xr:uid="{28D93095-7F7A-44EF-9EDD-18EDDA2CD84D}"/>
    <cellStyle name="Normal 9 3 2 2 2 5 2 3" xfId="12916" xr:uid="{C5CEEFFF-81C0-4210-BC03-262624F4D392}"/>
    <cellStyle name="Normal 9 3 2 2 2 5 2 4" xfId="21354" xr:uid="{FC81E991-87C4-428D-BDF2-269B6DC452F5}"/>
    <cellStyle name="Normal 9 3 2 2 2 5 3" xfId="6547" xr:uid="{00000000-0005-0000-0000-0000BC1F0000}"/>
    <cellStyle name="Normal 9 3 2 2 2 5 3 2" xfId="14989" xr:uid="{51C79F20-7DDF-43F5-9426-B8A7FCD996FA}"/>
    <cellStyle name="Normal 9 3 2 2 2 5 3 3" xfId="23426" xr:uid="{03112EC1-B7F8-4804-B0B4-69A2E3FEDB76}"/>
    <cellStyle name="Normal 9 3 2 2 2 5 4" xfId="10771" xr:uid="{9300D28F-F67B-4630-B039-9AF907B570C6}"/>
    <cellStyle name="Normal 9 3 2 2 2 5 5" xfId="19209" xr:uid="{3BA07E65-2AFE-41AB-9A8E-3779E297FB01}"/>
    <cellStyle name="Normal 9 3 2 2 2 6" xfId="2676" xr:uid="{00000000-0005-0000-0000-0000BD1F0000}"/>
    <cellStyle name="Normal 9 3 2 2 2 6 2" xfId="6960" xr:uid="{00000000-0005-0000-0000-0000BE1F0000}"/>
    <cellStyle name="Normal 9 3 2 2 2 6 2 2" xfId="15402" xr:uid="{FC0544AF-A350-4874-8728-2C614AF02183}"/>
    <cellStyle name="Normal 9 3 2 2 2 6 2 3" xfId="23839" xr:uid="{7B8278C9-7955-4A33-B9E1-58723AC6DE5C}"/>
    <cellStyle name="Normal 9 3 2 2 2 6 3" xfId="11184" xr:uid="{264B7FD7-695A-432B-A63C-B77005EBBC00}"/>
    <cellStyle name="Normal 9 3 2 2 2 6 4" xfId="19622" xr:uid="{1764A5FF-C336-406D-893F-03CE4D657A53}"/>
    <cellStyle name="Normal 9 3 2 2 2 7" xfId="4895" xr:uid="{00000000-0005-0000-0000-0000BF1F0000}"/>
    <cellStyle name="Normal 9 3 2 2 2 7 2" xfId="13337" xr:uid="{2B2A5897-DE99-4F2A-957F-485273D7E4CC}"/>
    <cellStyle name="Normal 9 3 2 2 2 7 3" xfId="21774" xr:uid="{B5D351EA-AC43-443B-9F8C-8428F4050E13}"/>
    <cellStyle name="Normal 9 3 2 2 2 8" xfId="9119" xr:uid="{8ED9DE2F-CDFC-4AB0-8816-B60EA98911E8}"/>
    <cellStyle name="Normal 9 3 2 2 2 9" xfId="17557" xr:uid="{37958960-EACA-4803-B597-3EF77642B059}"/>
    <cellStyle name="Normal 9 3 2 2 3" xfId="996" xr:uid="{00000000-0005-0000-0000-0000C01F0000}"/>
    <cellStyle name="Normal 9 3 2 2 3 2" xfId="3229" xr:uid="{00000000-0005-0000-0000-0000C11F0000}"/>
    <cellStyle name="Normal 9 3 2 2 3 2 2" xfId="7452" xr:uid="{00000000-0005-0000-0000-0000C21F0000}"/>
    <cellStyle name="Normal 9 3 2 2 3 2 2 2" xfId="15894" xr:uid="{2777DB33-6B8F-4F77-9551-FA1FE839AA4E}"/>
    <cellStyle name="Normal 9 3 2 2 3 2 2 3" xfId="24331" xr:uid="{D2ED5910-BD6F-4EBD-80B2-75E050263F43}"/>
    <cellStyle name="Normal 9 3 2 2 3 2 3" xfId="11676" xr:uid="{626CEA7A-5C46-4C7F-8B16-53855968BE7A}"/>
    <cellStyle name="Normal 9 3 2 2 3 2 4" xfId="20114" xr:uid="{BE2389F8-3D13-4092-A7EC-186FC75A3CDD}"/>
    <cellStyle name="Normal 9 3 2 2 3 3" xfId="5307" xr:uid="{00000000-0005-0000-0000-0000C31F0000}"/>
    <cellStyle name="Normal 9 3 2 2 3 3 2" xfId="13749" xr:uid="{0EB194B6-7D2A-4EEF-8A7B-56116403EFD8}"/>
    <cellStyle name="Normal 9 3 2 2 3 3 3" xfId="22186" xr:uid="{1E11BA2D-ECED-40D7-AC38-5C166FC91656}"/>
    <cellStyle name="Normal 9 3 2 2 3 4" xfId="9531" xr:uid="{CB440359-DD77-4EFC-BA82-9DD487DBE654}"/>
    <cellStyle name="Normal 9 3 2 2 3 5" xfId="17969" xr:uid="{FFE254EB-E876-49FA-B793-B584325F6980}"/>
    <cellStyle name="Normal 9 3 2 2 4" xfId="1412" xr:uid="{00000000-0005-0000-0000-0000C41F0000}"/>
    <cellStyle name="Normal 9 3 2 2 4 2" xfId="3642" xr:uid="{00000000-0005-0000-0000-0000C51F0000}"/>
    <cellStyle name="Normal 9 3 2 2 4 2 2" xfId="7865" xr:uid="{00000000-0005-0000-0000-0000C61F0000}"/>
    <cellStyle name="Normal 9 3 2 2 4 2 2 2" xfId="16307" xr:uid="{8E576048-625A-42D6-8506-2381573E826F}"/>
    <cellStyle name="Normal 9 3 2 2 4 2 2 3" xfId="24744" xr:uid="{1A073E57-9DB7-473D-B8D0-A6BD22536832}"/>
    <cellStyle name="Normal 9 3 2 2 4 2 3" xfId="12089" xr:uid="{44A05182-BBC4-4D75-A68B-6E297D7D1A6A}"/>
    <cellStyle name="Normal 9 3 2 2 4 2 4" xfId="20527" xr:uid="{56550872-63A3-4853-AF04-A4166922CC20}"/>
    <cellStyle name="Normal 9 3 2 2 4 3" xfId="5720" xr:uid="{00000000-0005-0000-0000-0000C71F0000}"/>
    <cellStyle name="Normal 9 3 2 2 4 3 2" xfId="14162" xr:uid="{5A0285D1-03AE-4367-B51B-28E90D1FF8AC}"/>
    <cellStyle name="Normal 9 3 2 2 4 3 3" xfId="22599" xr:uid="{C3DCCDBE-6586-4B5F-89B0-4E2A62B67566}"/>
    <cellStyle name="Normal 9 3 2 2 4 4" xfId="9944" xr:uid="{1B60E887-F6C3-43F0-AB3A-126EEDB8E54D}"/>
    <cellStyle name="Normal 9 3 2 2 4 5" xfId="18382" xr:uid="{D85C1F41-D3AF-4596-BEDC-BB5E36A9A60B}"/>
    <cellStyle name="Normal 9 3 2 2 5" xfId="1825" xr:uid="{00000000-0005-0000-0000-0000C81F0000}"/>
    <cellStyle name="Normal 9 3 2 2 5 2" xfId="4055" xr:uid="{00000000-0005-0000-0000-0000C91F0000}"/>
    <cellStyle name="Normal 9 3 2 2 5 2 2" xfId="8278" xr:uid="{00000000-0005-0000-0000-0000CA1F0000}"/>
    <cellStyle name="Normal 9 3 2 2 5 2 2 2" xfId="16720" xr:uid="{D8F6D061-1F6C-45C7-AF8C-52CAD3035C7C}"/>
    <cellStyle name="Normal 9 3 2 2 5 2 2 3" xfId="25157" xr:uid="{65B45F8B-D355-48B8-AE01-C22AB189C26C}"/>
    <cellStyle name="Normal 9 3 2 2 5 2 3" xfId="12502" xr:uid="{52F8DDEB-6584-4133-ABD3-18147F85198C}"/>
    <cellStyle name="Normal 9 3 2 2 5 2 4" xfId="20940" xr:uid="{06453407-D65D-4EFE-803E-93CF402D52F0}"/>
    <cellStyle name="Normal 9 3 2 2 5 3" xfId="6133" xr:uid="{00000000-0005-0000-0000-0000CB1F0000}"/>
    <cellStyle name="Normal 9 3 2 2 5 3 2" xfId="14575" xr:uid="{FB3566E1-D2A0-4F41-9B7A-D76798F5717E}"/>
    <cellStyle name="Normal 9 3 2 2 5 3 3" xfId="23012" xr:uid="{6AC59052-0862-4EB3-B825-CF96259AD233}"/>
    <cellStyle name="Normal 9 3 2 2 5 4" xfId="10357" xr:uid="{42EDBA8E-7917-4475-93D1-DD1AD18D3B76}"/>
    <cellStyle name="Normal 9 3 2 2 5 5" xfId="18795" xr:uid="{6B049821-F790-4FBA-8805-0E3A36D2EF15}"/>
    <cellStyle name="Normal 9 3 2 2 6" xfId="2239" xr:uid="{00000000-0005-0000-0000-0000CC1F0000}"/>
    <cellStyle name="Normal 9 3 2 2 6 2" xfId="4468" xr:uid="{00000000-0005-0000-0000-0000CD1F0000}"/>
    <cellStyle name="Normal 9 3 2 2 6 2 2" xfId="8691" xr:uid="{00000000-0005-0000-0000-0000CE1F0000}"/>
    <cellStyle name="Normal 9 3 2 2 6 2 2 2" xfId="17133" xr:uid="{D0832CC4-9770-4855-AA53-5BF529C1655F}"/>
    <cellStyle name="Normal 9 3 2 2 6 2 2 3" xfId="25570" xr:uid="{2097AB3A-A1EB-4AA3-BB26-3B221EC8BEFB}"/>
    <cellStyle name="Normal 9 3 2 2 6 2 3" xfId="12915" xr:uid="{8EA0B208-8166-4A2E-AC05-A75843746164}"/>
    <cellStyle name="Normal 9 3 2 2 6 2 4" xfId="21353" xr:uid="{45B692E4-3293-49D7-8B33-6D4C4408C1CE}"/>
    <cellStyle name="Normal 9 3 2 2 6 3" xfId="6546" xr:uid="{00000000-0005-0000-0000-0000CF1F0000}"/>
    <cellStyle name="Normal 9 3 2 2 6 3 2" xfId="14988" xr:uid="{D11BF7D7-CD5F-4D97-AC85-3CA3B2CDF904}"/>
    <cellStyle name="Normal 9 3 2 2 6 3 3" xfId="23425" xr:uid="{82FC4269-A863-4419-BAF4-02C651AB4D3C}"/>
    <cellStyle name="Normal 9 3 2 2 6 4" xfId="10770" xr:uid="{C42D4756-6E44-43D7-9E86-5B256BEA92BB}"/>
    <cellStyle name="Normal 9 3 2 2 6 5" xfId="19208" xr:uid="{B20162AD-45F3-439C-8D26-AD6C3764E56F}"/>
    <cellStyle name="Normal 9 3 2 2 7" xfId="2675" xr:uid="{00000000-0005-0000-0000-0000D01F0000}"/>
    <cellStyle name="Normal 9 3 2 2 7 2" xfId="6959" xr:uid="{00000000-0005-0000-0000-0000D11F0000}"/>
    <cellStyle name="Normal 9 3 2 2 7 2 2" xfId="15401" xr:uid="{E9563912-7A80-413B-B608-B2C93454CC2B}"/>
    <cellStyle name="Normal 9 3 2 2 7 2 3" xfId="23838" xr:uid="{470736BA-DA8E-4EF9-8642-9AC9A9BAD40B}"/>
    <cellStyle name="Normal 9 3 2 2 7 3" xfId="11183" xr:uid="{DAEEA139-6AAE-4826-8651-34D521C32029}"/>
    <cellStyle name="Normal 9 3 2 2 7 4" xfId="19621" xr:uid="{4213FDB9-7002-4417-A230-E699A161DD22}"/>
    <cellStyle name="Normal 9 3 2 2 8" xfId="4894" xr:uid="{00000000-0005-0000-0000-0000D21F0000}"/>
    <cellStyle name="Normal 9 3 2 2 8 2" xfId="13336" xr:uid="{9C63B0B9-A04A-4B1B-B1A8-A504915A6D99}"/>
    <cellStyle name="Normal 9 3 2 2 8 3" xfId="21773" xr:uid="{B686169C-A593-4F4F-AC92-A0DE643631C0}"/>
    <cellStyle name="Normal 9 3 2 2 9" xfId="9118" xr:uid="{91B140B0-EDD2-4CE7-A390-4431BFE88625}"/>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2 2 2" xfId="15896" xr:uid="{A3E74EFD-FC07-4CFF-A2BF-34DF3588F124}"/>
    <cellStyle name="Normal 9 3 2 3 2 2 2 3" xfId="24333" xr:uid="{6D649376-89AD-4274-804A-69427562E7BC}"/>
    <cellStyle name="Normal 9 3 2 3 2 2 3" xfId="11678" xr:uid="{73CA5568-60C9-48EB-83E4-D1DC5A7B13BB}"/>
    <cellStyle name="Normal 9 3 2 3 2 2 4" xfId="20116" xr:uid="{7279B709-F612-403C-83D2-C179A38C3EE9}"/>
    <cellStyle name="Normal 9 3 2 3 2 3" xfId="5309" xr:uid="{00000000-0005-0000-0000-0000D71F0000}"/>
    <cellStyle name="Normal 9 3 2 3 2 3 2" xfId="13751" xr:uid="{8A4F1A32-2884-42C6-82E3-A1CA07013087}"/>
    <cellStyle name="Normal 9 3 2 3 2 3 3" xfId="22188" xr:uid="{735FE7CD-462D-4345-A151-6DF0699865BB}"/>
    <cellStyle name="Normal 9 3 2 3 2 4" xfId="9533" xr:uid="{56ACD729-8DE4-4413-B7B9-122FC33461F0}"/>
    <cellStyle name="Normal 9 3 2 3 2 5" xfId="17971" xr:uid="{FB4A4AEB-ED0F-48F2-A57D-D59F05EBD23E}"/>
    <cellStyle name="Normal 9 3 2 3 3" xfId="1414" xr:uid="{00000000-0005-0000-0000-0000D81F0000}"/>
    <cellStyle name="Normal 9 3 2 3 3 2" xfId="3644" xr:uid="{00000000-0005-0000-0000-0000D91F0000}"/>
    <cellStyle name="Normal 9 3 2 3 3 2 2" xfId="7867" xr:uid="{00000000-0005-0000-0000-0000DA1F0000}"/>
    <cellStyle name="Normal 9 3 2 3 3 2 2 2" xfId="16309" xr:uid="{2BFA8852-3E17-44F8-AE39-F1FB1A78E8EF}"/>
    <cellStyle name="Normal 9 3 2 3 3 2 2 3" xfId="24746" xr:uid="{E39FE07B-F176-4A23-B700-04A265680082}"/>
    <cellStyle name="Normal 9 3 2 3 3 2 3" xfId="12091" xr:uid="{BAD58AF0-8A93-4B78-BB56-809769A2F7AA}"/>
    <cellStyle name="Normal 9 3 2 3 3 2 4" xfId="20529" xr:uid="{A5DDF4EF-A682-40FA-B955-C8025DF324B2}"/>
    <cellStyle name="Normal 9 3 2 3 3 3" xfId="5722" xr:uid="{00000000-0005-0000-0000-0000DB1F0000}"/>
    <cellStyle name="Normal 9 3 2 3 3 3 2" xfId="14164" xr:uid="{5438635B-A139-4BA9-8FB1-227E68395AEE}"/>
    <cellStyle name="Normal 9 3 2 3 3 3 3" xfId="22601" xr:uid="{E3A43832-7D00-4AC7-9DE2-A3888B75B166}"/>
    <cellStyle name="Normal 9 3 2 3 3 4" xfId="9946" xr:uid="{4A663E45-5FC8-43B4-A0D5-C05E9C8CD05C}"/>
    <cellStyle name="Normal 9 3 2 3 3 5" xfId="18384" xr:uid="{C48A7D7D-E7A5-4694-B39D-68E79CD57170}"/>
    <cellStyle name="Normal 9 3 2 3 4" xfId="1827" xr:uid="{00000000-0005-0000-0000-0000DC1F0000}"/>
    <cellStyle name="Normal 9 3 2 3 4 2" xfId="4057" xr:uid="{00000000-0005-0000-0000-0000DD1F0000}"/>
    <cellStyle name="Normal 9 3 2 3 4 2 2" xfId="8280" xr:uid="{00000000-0005-0000-0000-0000DE1F0000}"/>
    <cellStyle name="Normal 9 3 2 3 4 2 2 2" xfId="16722" xr:uid="{109DBC53-5808-405B-9611-1BA69CB91882}"/>
    <cellStyle name="Normal 9 3 2 3 4 2 2 3" xfId="25159" xr:uid="{E4DA8EC9-916A-4D7B-9F8E-FAE138D6D0EC}"/>
    <cellStyle name="Normal 9 3 2 3 4 2 3" xfId="12504" xr:uid="{C0408DDF-D847-448F-9213-B49A3F2789A9}"/>
    <cellStyle name="Normal 9 3 2 3 4 2 4" xfId="20942" xr:uid="{ED1DC353-2D29-4128-9DDE-F6BC11E04688}"/>
    <cellStyle name="Normal 9 3 2 3 4 3" xfId="6135" xr:uid="{00000000-0005-0000-0000-0000DF1F0000}"/>
    <cellStyle name="Normal 9 3 2 3 4 3 2" xfId="14577" xr:uid="{03EF05CF-49E4-4CFB-92F2-D2D9528FE44C}"/>
    <cellStyle name="Normal 9 3 2 3 4 3 3" xfId="23014" xr:uid="{FDD1DAAC-6504-4B6E-A84D-48DD4821ABCF}"/>
    <cellStyle name="Normal 9 3 2 3 4 4" xfId="10359" xr:uid="{012195EB-1DAE-4735-86E7-796871B93AE0}"/>
    <cellStyle name="Normal 9 3 2 3 4 5" xfId="18797" xr:uid="{84DA0E5C-30C9-45E7-A7DF-693647C019D4}"/>
    <cellStyle name="Normal 9 3 2 3 5" xfId="2241" xr:uid="{00000000-0005-0000-0000-0000E01F0000}"/>
    <cellStyle name="Normal 9 3 2 3 5 2" xfId="4470" xr:uid="{00000000-0005-0000-0000-0000E11F0000}"/>
    <cellStyle name="Normal 9 3 2 3 5 2 2" xfId="8693" xr:uid="{00000000-0005-0000-0000-0000E21F0000}"/>
    <cellStyle name="Normal 9 3 2 3 5 2 2 2" xfId="17135" xr:uid="{DB578FCC-AAC2-4D94-B34B-5BF18958A75D}"/>
    <cellStyle name="Normal 9 3 2 3 5 2 2 3" xfId="25572" xr:uid="{81379ADE-72EE-4B4C-8280-84D795F8E10F}"/>
    <cellStyle name="Normal 9 3 2 3 5 2 3" xfId="12917" xr:uid="{E70F29D2-8E1F-40D8-837A-E6C76003A336}"/>
    <cellStyle name="Normal 9 3 2 3 5 2 4" xfId="21355" xr:uid="{0599C3B4-1AD1-4DFA-A30B-6CBD8862B7F8}"/>
    <cellStyle name="Normal 9 3 2 3 5 3" xfId="6548" xr:uid="{00000000-0005-0000-0000-0000E31F0000}"/>
    <cellStyle name="Normal 9 3 2 3 5 3 2" xfId="14990" xr:uid="{8CB35543-B7A6-4316-A70C-5A870AA7D79D}"/>
    <cellStyle name="Normal 9 3 2 3 5 3 3" xfId="23427" xr:uid="{64D02ACC-EA54-4DB4-AD1B-B9838B3F43B3}"/>
    <cellStyle name="Normal 9 3 2 3 5 4" xfId="10772" xr:uid="{F5EA6CD5-9840-4BA9-8B9C-2F532E8843FB}"/>
    <cellStyle name="Normal 9 3 2 3 5 5" xfId="19210" xr:uid="{E82FD4AE-8044-49FA-B1D7-9B67F44C06FE}"/>
    <cellStyle name="Normal 9 3 2 3 6" xfId="2677" xr:uid="{00000000-0005-0000-0000-0000E41F0000}"/>
    <cellStyle name="Normal 9 3 2 3 6 2" xfId="6961" xr:uid="{00000000-0005-0000-0000-0000E51F0000}"/>
    <cellStyle name="Normal 9 3 2 3 6 2 2" xfId="15403" xr:uid="{55DA85B6-13DA-40EB-B0DF-968A6E01309A}"/>
    <cellStyle name="Normal 9 3 2 3 6 2 3" xfId="23840" xr:uid="{9B5C0F78-4929-4B9A-9278-FFC8DD03C7B1}"/>
    <cellStyle name="Normal 9 3 2 3 6 3" xfId="11185" xr:uid="{35161F1A-320B-40CB-9AB8-91C53CB3CB59}"/>
    <cellStyle name="Normal 9 3 2 3 6 4" xfId="19623" xr:uid="{3181FB73-539B-4CA3-BD31-E9B3D6AEE716}"/>
    <cellStyle name="Normal 9 3 2 3 7" xfId="4896" xr:uid="{00000000-0005-0000-0000-0000E61F0000}"/>
    <cellStyle name="Normal 9 3 2 3 7 2" xfId="13338" xr:uid="{083CAB0A-BBC2-41A8-B301-B686652EBD8E}"/>
    <cellStyle name="Normal 9 3 2 3 7 3" xfId="21775" xr:uid="{35284901-4055-4BC4-B2DF-B4931E266629}"/>
    <cellStyle name="Normal 9 3 2 3 8" xfId="9120" xr:uid="{EBFA37C6-B12B-4A9D-9687-5A129F5591D4}"/>
    <cellStyle name="Normal 9 3 2 3 9" xfId="17558" xr:uid="{4DF0202C-C660-40CE-BF18-73CE826E501B}"/>
    <cellStyle name="Normal 9 3 2 4" xfId="995" xr:uid="{00000000-0005-0000-0000-0000E71F0000}"/>
    <cellStyle name="Normal 9 3 2 4 2" xfId="3228" xr:uid="{00000000-0005-0000-0000-0000E81F0000}"/>
    <cellStyle name="Normal 9 3 2 4 2 2" xfId="7451" xr:uid="{00000000-0005-0000-0000-0000E91F0000}"/>
    <cellStyle name="Normal 9 3 2 4 2 2 2" xfId="15893" xr:uid="{CE57150A-CDC7-4A78-B63B-859082D43047}"/>
    <cellStyle name="Normal 9 3 2 4 2 2 3" xfId="24330" xr:uid="{79F0E126-FE4A-451D-BAA2-73417713B850}"/>
    <cellStyle name="Normal 9 3 2 4 2 3" xfId="11675" xr:uid="{4178F3B2-233F-4EFF-A0AC-503B3A30F535}"/>
    <cellStyle name="Normal 9 3 2 4 2 4" xfId="20113" xr:uid="{9CF1E891-96E0-4802-AD1D-0FCA1BAEC032}"/>
    <cellStyle name="Normal 9 3 2 4 3" xfId="5306" xr:uid="{00000000-0005-0000-0000-0000EA1F0000}"/>
    <cellStyle name="Normal 9 3 2 4 3 2" xfId="13748" xr:uid="{5F12644C-6EBB-4A34-82BA-899378DD5542}"/>
    <cellStyle name="Normal 9 3 2 4 3 3" xfId="22185" xr:uid="{2921660E-567B-42DF-BBB0-280811E8D66D}"/>
    <cellStyle name="Normal 9 3 2 4 4" xfId="9530" xr:uid="{1FECDAFF-91E7-462A-8B68-5A296E2DF2C5}"/>
    <cellStyle name="Normal 9 3 2 4 5" xfId="17968" xr:uid="{B97B1FE3-2F2B-4352-9CBF-9D0323C90D98}"/>
    <cellStyle name="Normal 9 3 2 5" xfId="1411" xr:uid="{00000000-0005-0000-0000-0000EB1F0000}"/>
    <cellStyle name="Normal 9 3 2 5 2" xfId="3641" xr:uid="{00000000-0005-0000-0000-0000EC1F0000}"/>
    <cellStyle name="Normal 9 3 2 5 2 2" xfId="7864" xr:uid="{00000000-0005-0000-0000-0000ED1F0000}"/>
    <cellStyle name="Normal 9 3 2 5 2 2 2" xfId="16306" xr:uid="{D8D17CF6-FFE9-4EDA-AF18-45ADA331B45C}"/>
    <cellStyle name="Normal 9 3 2 5 2 2 3" xfId="24743" xr:uid="{627DFE14-1F8D-4CC7-A2EA-059CB07DF4EA}"/>
    <cellStyle name="Normal 9 3 2 5 2 3" xfId="12088" xr:uid="{9B8E6EA8-C9AD-4299-A7F5-86255B04B057}"/>
    <cellStyle name="Normal 9 3 2 5 2 4" xfId="20526" xr:uid="{DB239F34-1696-4131-851C-4007570DD438}"/>
    <cellStyle name="Normal 9 3 2 5 3" xfId="5719" xr:uid="{00000000-0005-0000-0000-0000EE1F0000}"/>
    <cellStyle name="Normal 9 3 2 5 3 2" xfId="14161" xr:uid="{5581B614-DD1C-4ACF-B1B6-EE413D580EF9}"/>
    <cellStyle name="Normal 9 3 2 5 3 3" xfId="22598" xr:uid="{F3430248-0936-4255-8A50-CEE38BCEB1C0}"/>
    <cellStyle name="Normal 9 3 2 5 4" xfId="9943" xr:uid="{80B070E9-47D1-4D39-8CF2-5DF04377BDFE}"/>
    <cellStyle name="Normal 9 3 2 5 5" xfId="18381" xr:uid="{1729CD20-93EA-4945-9379-32BC6A921D8B}"/>
    <cellStyle name="Normal 9 3 2 6" xfId="1824" xr:uid="{00000000-0005-0000-0000-0000EF1F0000}"/>
    <cellStyle name="Normal 9 3 2 6 2" xfId="4054" xr:uid="{00000000-0005-0000-0000-0000F01F0000}"/>
    <cellStyle name="Normal 9 3 2 6 2 2" xfId="8277" xr:uid="{00000000-0005-0000-0000-0000F11F0000}"/>
    <cellStyle name="Normal 9 3 2 6 2 2 2" xfId="16719" xr:uid="{42EAAED9-2EA7-4F69-B9DB-2E3D0DD31C39}"/>
    <cellStyle name="Normal 9 3 2 6 2 2 3" xfId="25156" xr:uid="{59C9AC8B-DB85-4F72-A383-3DC436999990}"/>
    <cellStyle name="Normal 9 3 2 6 2 3" xfId="12501" xr:uid="{05EDD60A-B384-4F4B-A930-CB82BC9D8BB9}"/>
    <cellStyle name="Normal 9 3 2 6 2 4" xfId="20939" xr:uid="{8EA3970E-65B0-4C27-857C-215AE1DAB980}"/>
    <cellStyle name="Normal 9 3 2 6 3" xfId="6132" xr:uid="{00000000-0005-0000-0000-0000F21F0000}"/>
    <cellStyle name="Normal 9 3 2 6 3 2" xfId="14574" xr:uid="{57F1F998-0A1E-4B0E-8DCC-33EB18A96EC8}"/>
    <cellStyle name="Normal 9 3 2 6 3 3" xfId="23011" xr:uid="{4335427E-E6FD-4AEC-84D7-FB17D68359DE}"/>
    <cellStyle name="Normal 9 3 2 6 4" xfId="10356" xr:uid="{6C425295-6B15-43FA-853F-015D8DFA5D26}"/>
    <cellStyle name="Normal 9 3 2 6 5" xfId="18794" xr:uid="{1D88C113-1D03-497F-9DBC-991DF0D2D5A5}"/>
    <cellStyle name="Normal 9 3 2 7" xfId="2238" xr:uid="{00000000-0005-0000-0000-0000F31F0000}"/>
    <cellStyle name="Normal 9 3 2 7 2" xfId="4467" xr:uid="{00000000-0005-0000-0000-0000F41F0000}"/>
    <cellStyle name="Normal 9 3 2 7 2 2" xfId="8690" xr:uid="{00000000-0005-0000-0000-0000F51F0000}"/>
    <cellStyle name="Normal 9 3 2 7 2 2 2" xfId="17132" xr:uid="{D5D3BEBE-2E7A-40BF-8DC0-1FF214978CEC}"/>
    <cellStyle name="Normal 9 3 2 7 2 2 3" xfId="25569" xr:uid="{644DDB74-79B9-40DA-90F5-E6ECDEC60ABF}"/>
    <cellStyle name="Normal 9 3 2 7 2 3" xfId="12914" xr:uid="{8501C522-FC11-40D9-9F93-0AD45E5B493F}"/>
    <cellStyle name="Normal 9 3 2 7 2 4" xfId="21352" xr:uid="{7540DFC5-6109-4A1E-AE3C-1A7CE6823BBE}"/>
    <cellStyle name="Normal 9 3 2 7 3" xfId="6545" xr:uid="{00000000-0005-0000-0000-0000F61F0000}"/>
    <cellStyle name="Normal 9 3 2 7 3 2" xfId="14987" xr:uid="{48297BA2-7A22-4225-8B64-97BE4AFD5441}"/>
    <cellStyle name="Normal 9 3 2 7 3 3" xfId="23424" xr:uid="{6AB536C1-CC19-4A9E-A3F6-8B7370F8423A}"/>
    <cellStyle name="Normal 9 3 2 7 4" xfId="10769" xr:uid="{51A9E4F4-5128-4C47-BF45-DCCF34DA578F}"/>
    <cellStyle name="Normal 9 3 2 7 5" xfId="19207" xr:uid="{D91EABC7-A397-4954-917B-BDF94DE1BFCA}"/>
    <cellStyle name="Normal 9 3 2 8" xfId="2674" xr:uid="{00000000-0005-0000-0000-0000F71F0000}"/>
    <cellStyle name="Normal 9 3 2 8 2" xfId="6958" xr:uid="{00000000-0005-0000-0000-0000F81F0000}"/>
    <cellStyle name="Normal 9 3 2 8 2 2" xfId="15400" xr:uid="{44A596A5-3195-4EEA-98BD-871D7D013BA5}"/>
    <cellStyle name="Normal 9 3 2 8 2 3" xfId="23837" xr:uid="{749131B5-583B-4A96-91E4-087885494C51}"/>
    <cellStyle name="Normal 9 3 2 8 3" xfId="11182" xr:uid="{37289F1B-59E1-4D39-9426-5D474E7D6AE0}"/>
    <cellStyle name="Normal 9 3 2 8 4" xfId="19620" xr:uid="{4C65221A-0B14-414B-BF90-A5D8C33D51C8}"/>
    <cellStyle name="Normal 9 3 2 9" xfId="4893" xr:uid="{00000000-0005-0000-0000-0000F91F0000}"/>
    <cellStyle name="Normal 9 3 2 9 2" xfId="13335" xr:uid="{BEBF665F-1639-45B2-9CD5-E0F1ABF98A7E}"/>
    <cellStyle name="Normal 9 3 2 9 3" xfId="21772" xr:uid="{C4D06106-89CF-43F5-83F1-4CC5458E497B}"/>
    <cellStyle name="Normal 9 3 3" xfId="532" xr:uid="{00000000-0005-0000-0000-0000FA1F0000}"/>
    <cellStyle name="Normal 9 3 3 10" xfId="17559" xr:uid="{3FBA2C0D-BA94-413E-A000-9508CEAC7EF3}"/>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2 2 2" xfId="15898" xr:uid="{CCCD82F6-02C5-4374-B132-2F1C621AAB2E}"/>
    <cellStyle name="Normal 9 3 3 2 2 2 2 3" xfId="24335" xr:uid="{603D7F0D-6935-459A-B320-E1260B4F6FC3}"/>
    <cellStyle name="Normal 9 3 3 2 2 2 3" xfId="11680" xr:uid="{F6591595-A74F-4C81-9DE2-25D5ECCCBD8E}"/>
    <cellStyle name="Normal 9 3 3 2 2 2 4" xfId="20118" xr:uid="{27717E7A-8B95-4212-8C9E-430BDB168D51}"/>
    <cellStyle name="Normal 9 3 3 2 2 3" xfId="5311" xr:uid="{00000000-0005-0000-0000-0000FF1F0000}"/>
    <cellStyle name="Normal 9 3 3 2 2 3 2" xfId="13753" xr:uid="{7A790D50-DE64-49E1-BBD0-166FB5AC4705}"/>
    <cellStyle name="Normal 9 3 3 2 2 3 3" xfId="22190" xr:uid="{77ED1DF5-E6C9-4977-82A6-B287EE89F7C8}"/>
    <cellStyle name="Normal 9 3 3 2 2 4" xfId="9535" xr:uid="{3095243E-7D25-44C4-94DF-03CA265471DF}"/>
    <cellStyle name="Normal 9 3 3 2 2 5" xfId="17973" xr:uid="{60CA146F-2F54-4B62-AB1B-C3CB95C25A46}"/>
    <cellStyle name="Normal 9 3 3 2 3" xfId="1416" xr:uid="{00000000-0005-0000-0000-000000200000}"/>
    <cellStyle name="Normal 9 3 3 2 3 2" xfId="3646" xr:uid="{00000000-0005-0000-0000-000001200000}"/>
    <cellStyle name="Normal 9 3 3 2 3 2 2" xfId="7869" xr:uid="{00000000-0005-0000-0000-000002200000}"/>
    <cellStyle name="Normal 9 3 3 2 3 2 2 2" xfId="16311" xr:uid="{5CA5DCDF-8061-465A-9D5A-2076CF8FEE31}"/>
    <cellStyle name="Normal 9 3 3 2 3 2 2 3" xfId="24748" xr:uid="{69BC2218-5F4C-4068-A881-2C46B18D796E}"/>
    <cellStyle name="Normal 9 3 3 2 3 2 3" xfId="12093" xr:uid="{D312AE8D-42CD-41C7-BBCC-C3C9501B2C4C}"/>
    <cellStyle name="Normal 9 3 3 2 3 2 4" xfId="20531" xr:uid="{9A9CE174-E2B6-4F52-A1FE-A792A543BE3A}"/>
    <cellStyle name="Normal 9 3 3 2 3 3" xfId="5724" xr:uid="{00000000-0005-0000-0000-000003200000}"/>
    <cellStyle name="Normal 9 3 3 2 3 3 2" xfId="14166" xr:uid="{E59F6B24-777B-4ABA-90B7-76091D63EC26}"/>
    <cellStyle name="Normal 9 3 3 2 3 3 3" xfId="22603" xr:uid="{E8ACDF67-D254-49B4-A079-E32FE5707769}"/>
    <cellStyle name="Normal 9 3 3 2 3 4" xfId="9948" xr:uid="{F64CC81B-CD06-4506-B292-39127A14BC4F}"/>
    <cellStyle name="Normal 9 3 3 2 3 5" xfId="18386" xr:uid="{777D960D-1438-44C3-85C6-DA260C3FC16B}"/>
    <cellStyle name="Normal 9 3 3 2 4" xfId="1829" xr:uid="{00000000-0005-0000-0000-000004200000}"/>
    <cellStyle name="Normal 9 3 3 2 4 2" xfId="4059" xr:uid="{00000000-0005-0000-0000-000005200000}"/>
    <cellStyle name="Normal 9 3 3 2 4 2 2" xfId="8282" xr:uid="{00000000-0005-0000-0000-000006200000}"/>
    <cellStyle name="Normal 9 3 3 2 4 2 2 2" xfId="16724" xr:uid="{AC3A5B6D-4992-421A-AF24-EF26113D4061}"/>
    <cellStyle name="Normal 9 3 3 2 4 2 2 3" xfId="25161" xr:uid="{ACC06633-8113-4AEB-8BFE-4B72976EEAD2}"/>
    <cellStyle name="Normal 9 3 3 2 4 2 3" xfId="12506" xr:uid="{2DAB8873-032D-49D2-9280-33FB4B73F6A0}"/>
    <cellStyle name="Normal 9 3 3 2 4 2 4" xfId="20944" xr:uid="{A8C197A4-E6BC-48E2-9233-3CBA536EDEC6}"/>
    <cellStyle name="Normal 9 3 3 2 4 3" xfId="6137" xr:uid="{00000000-0005-0000-0000-000007200000}"/>
    <cellStyle name="Normal 9 3 3 2 4 3 2" xfId="14579" xr:uid="{5AADC966-9319-49B0-A325-A24FAD1AB5A8}"/>
    <cellStyle name="Normal 9 3 3 2 4 3 3" xfId="23016" xr:uid="{AE2F8EFF-6B34-4355-8F8A-587422234386}"/>
    <cellStyle name="Normal 9 3 3 2 4 4" xfId="10361" xr:uid="{5119D4A9-0580-4337-9DE8-98E99A6A967A}"/>
    <cellStyle name="Normal 9 3 3 2 4 5" xfId="18799" xr:uid="{9D111405-149D-4BAE-BC8E-D67169A45738}"/>
    <cellStyle name="Normal 9 3 3 2 5" xfId="2243" xr:uid="{00000000-0005-0000-0000-000008200000}"/>
    <cellStyle name="Normal 9 3 3 2 5 2" xfId="4472" xr:uid="{00000000-0005-0000-0000-000009200000}"/>
    <cellStyle name="Normal 9 3 3 2 5 2 2" xfId="8695" xr:uid="{00000000-0005-0000-0000-00000A200000}"/>
    <cellStyle name="Normal 9 3 3 2 5 2 2 2" xfId="17137" xr:uid="{09A49A1C-480F-41E9-8315-87C1052FB01C}"/>
    <cellStyle name="Normal 9 3 3 2 5 2 2 3" xfId="25574" xr:uid="{A34E04CC-4060-47BD-98D6-4F0555E51690}"/>
    <cellStyle name="Normal 9 3 3 2 5 2 3" xfId="12919" xr:uid="{15AAEBEB-BC94-44D0-AA88-1C37608D44C7}"/>
    <cellStyle name="Normal 9 3 3 2 5 2 4" xfId="21357" xr:uid="{3C4A0003-287E-40CE-ABE1-062F90513990}"/>
    <cellStyle name="Normal 9 3 3 2 5 3" xfId="6550" xr:uid="{00000000-0005-0000-0000-00000B200000}"/>
    <cellStyle name="Normal 9 3 3 2 5 3 2" xfId="14992" xr:uid="{E4DB0D5D-E523-4390-A8AD-750DB99EDFE5}"/>
    <cellStyle name="Normal 9 3 3 2 5 3 3" xfId="23429" xr:uid="{2D1CF717-E989-4592-965E-E58A52A0366B}"/>
    <cellStyle name="Normal 9 3 3 2 5 4" xfId="10774" xr:uid="{01ECE37F-7121-4784-BECC-D477A756CA18}"/>
    <cellStyle name="Normal 9 3 3 2 5 5" xfId="19212" xr:uid="{571370D8-3CCF-4BEE-AA76-DE07181C84C6}"/>
    <cellStyle name="Normal 9 3 3 2 6" xfId="2679" xr:uid="{00000000-0005-0000-0000-00000C200000}"/>
    <cellStyle name="Normal 9 3 3 2 6 2" xfId="6963" xr:uid="{00000000-0005-0000-0000-00000D200000}"/>
    <cellStyle name="Normal 9 3 3 2 6 2 2" xfId="15405" xr:uid="{12224512-A211-4F43-953C-56886FD45EF9}"/>
    <cellStyle name="Normal 9 3 3 2 6 2 3" xfId="23842" xr:uid="{D8EB25C8-0263-41B3-AEFD-6058F264F22A}"/>
    <cellStyle name="Normal 9 3 3 2 6 3" xfId="11187" xr:uid="{609460CD-901C-4C54-A664-543F6117DDF8}"/>
    <cellStyle name="Normal 9 3 3 2 6 4" xfId="19625" xr:uid="{89CC445C-4B47-4E13-A4D1-FC70C7077B44}"/>
    <cellStyle name="Normal 9 3 3 2 7" xfId="4898" xr:uid="{00000000-0005-0000-0000-00000E200000}"/>
    <cellStyle name="Normal 9 3 3 2 7 2" xfId="13340" xr:uid="{54C208A3-F2BD-468C-B7BE-420E526FC0D5}"/>
    <cellStyle name="Normal 9 3 3 2 7 3" xfId="21777" xr:uid="{1BFE6D73-F810-4AF7-B9DF-B3D5CDCBC437}"/>
    <cellStyle name="Normal 9 3 3 2 8" xfId="9122" xr:uid="{A7B0D8C8-4E4F-4A2F-9002-83A71A872EAE}"/>
    <cellStyle name="Normal 9 3 3 2 9" xfId="17560" xr:uid="{32E4A15B-25CE-48F9-95DA-1539E1906322}"/>
    <cellStyle name="Normal 9 3 3 3" xfId="999" xr:uid="{00000000-0005-0000-0000-00000F200000}"/>
    <cellStyle name="Normal 9 3 3 3 2" xfId="3232" xr:uid="{00000000-0005-0000-0000-000010200000}"/>
    <cellStyle name="Normal 9 3 3 3 2 2" xfId="7455" xr:uid="{00000000-0005-0000-0000-000011200000}"/>
    <cellStyle name="Normal 9 3 3 3 2 2 2" xfId="15897" xr:uid="{3D25DF43-8EAE-43DC-A018-FFB2F632912A}"/>
    <cellStyle name="Normal 9 3 3 3 2 2 3" xfId="24334" xr:uid="{563375EC-E799-43E7-BD47-83E331A5CEA3}"/>
    <cellStyle name="Normal 9 3 3 3 2 3" xfId="11679" xr:uid="{B138C273-D292-4FE1-8F36-67DEB08036DC}"/>
    <cellStyle name="Normal 9 3 3 3 2 4" xfId="20117" xr:uid="{86A78E47-A44E-4F23-9DC3-ABDE5E82C79C}"/>
    <cellStyle name="Normal 9 3 3 3 3" xfId="5310" xr:uid="{00000000-0005-0000-0000-000012200000}"/>
    <cellStyle name="Normal 9 3 3 3 3 2" xfId="13752" xr:uid="{5C83B190-AF65-4AB6-B7E7-0E4000A23A36}"/>
    <cellStyle name="Normal 9 3 3 3 3 3" xfId="22189" xr:uid="{972B1902-8554-46DD-A439-D651C0F197C6}"/>
    <cellStyle name="Normal 9 3 3 3 4" xfId="9534" xr:uid="{A3975C1B-26B8-473A-ACF3-077D46B5E1B0}"/>
    <cellStyle name="Normal 9 3 3 3 5" xfId="17972" xr:uid="{D24DE726-C3F4-4449-886F-CAC5F7E88AE2}"/>
    <cellStyle name="Normal 9 3 3 4" xfId="1415" xr:uid="{00000000-0005-0000-0000-000013200000}"/>
    <cellStyle name="Normal 9 3 3 4 2" xfId="3645" xr:uid="{00000000-0005-0000-0000-000014200000}"/>
    <cellStyle name="Normal 9 3 3 4 2 2" xfId="7868" xr:uid="{00000000-0005-0000-0000-000015200000}"/>
    <cellStyle name="Normal 9 3 3 4 2 2 2" xfId="16310" xr:uid="{CF1EE748-6C96-4407-BAF9-44C2ED6868F2}"/>
    <cellStyle name="Normal 9 3 3 4 2 2 3" xfId="24747" xr:uid="{0BBCD4DF-0023-4B72-8D4D-DA31EC1F8BEE}"/>
    <cellStyle name="Normal 9 3 3 4 2 3" xfId="12092" xr:uid="{D0EF59BC-41A6-4490-942C-4429E69ED5EB}"/>
    <cellStyle name="Normal 9 3 3 4 2 4" xfId="20530" xr:uid="{A30242B3-95F3-41D0-88E8-6B5F58DF879D}"/>
    <cellStyle name="Normal 9 3 3 4 3" xfId="5723" xr:uid="{00000000-0005-0000-0000-000016200000}"/>
    <cellStyle name="Normal 9 3 3 4 3 2" xfId="14165" xr:uid="{C9AF352A-7603-4DE6-8BB4-2CFEB1E0F9BA}"/>
    <cellStyle name="Normal 9 3 3 4 3 3" xfId="22602" xr:uid="{4B8C8607-0392-4AF2-A71B-DD760A476FFD}"/>
    <cellStyle name="Normal 9 3 3 4 4" xfId="9947" xr:uid="{BE0D7795-A906-4B5F-848C-306B4964CF69}"/>
    <cellStyle name="Normal 9 3 3 4 5" xfId="18385" xr:uid="{91F30DAC-D723-4867-B74D-28C105C1163C}"/>
    <cellStyle name="Normal 9 3 3 5" xfId="1828" xr:uid="{00000000-0005-0000-0000-000017200000}"/>
    <cellStyle name="Normal 9 3 3 5 2" xfId="4058" xr:uid="{00000000-0005-0000-0000-000018200000}"/>
    <cellStyle name="Normal 9 3 3 5 2 2" xfId="8281" xr:uid="{00000000-0005-0000-0000-000019200000}"/>
    <cellStyle name="Normal 9 3 3 5 2 2 2" xfId="16723" xr:uid="{F9AAA6A6-B497-4814-8EE4-4B9B830B24E0}"/>
    <cellStyle name="Normal 9 3 3 5 2 2 3" xfId="25160" xr:uid="{D3F0602D-8396-49AF-88CE-C3A195CB85A9}"/>
    <cellStyle name="Normal 9 3 3 5 2 3" xfId="12505" xr:uid="{0A2FC807-43EE-4AA9-9A4E-84D55F2CB180}"/>
    <cellStyle name="Normal 9 3 3 5 2 4" xfId="20943" xr:uid="{5EE60DB6-1C53-4C38-842C-5F016A750F4E}"/>
    <cellStyle name="Normal 9 3 3 5 3" xfId="6136" xr:uid="{00000000-0005-0000-0000-00001A200000}"/>
    <cellStyle name="Normal 9 3 3 5 3 2" xfId="14578" xr:uid="{77A4FD3D-442F-47B7-AEA0-17F3D477FAB0}"/>
    <cellStyle name="Normal 9 3 3 5 3 3" xfId="23015" xr:uid="{0B298F31-CE37-47FC-BA09-481581BB4E52}"/>
    <cellStyle name="Normal 9 3 3 5 4" xfId="10360" xr:uid="{BD3BC7D5-0818-482A-87A5-CD6B46067C0E}"/>
    <cellStyle name="Normal 9 3 3 5 5" xfId="18798" xr:uid="{91B01FF7-E5D4-49F3-9D3B-C8AEE10C1555}"/>
    <cellStyle name="Normal 9 3 3 6" xfId="2242" xr:uid="{00000000-0005-0000-0000-00001B200000}"/>
    <cellStyle name="Normal 9 3 3 6 2" xfId="4471" xr:uid="{00000000-0005-0000-0000-00001C200000}"/>
    <cellStyle name="Normal 9 3 3 6 2 2" xfId="8694" xr:uid="{00000000-0005-0000-0000-00001D200000}"/>
    <cellStyle name="Normal 9 3 3 6 2 2 2" xfId="17136" xr:uid="{B6173FD4-C223-46C8-BAFB-6BF8D62391B7}"/>
    <cellStyle name="Normal 9 3 3 6 2 2 3" xfId="25573" xr:uid="{DD8BD3B7-810E-4F57-9C5C-6B21FC0833E3}"/>
    <cellStyle name="Normal 9 3 3 6 2 3" xfId="12918" xr:uid="{7E3DA8E7-B121-44EC-A666-3B96F54DB4E0}"/>
    <cellStyle name="Normal 9 3 3 6 2 4" xfId="21356" xr:uid="{76965EF4-E9D0-4201-8838-E145EF1C2E2B}"/>
    <cellStyle name="Normal 9 3 3 6 3" xfId="6549" xr:uid="{00000000-0005-0000-0000-00001E200000}"/>
    <cellStyle name="Normal 9 3 3 6 3 2" xfId="14991" xr:uid="{B005DEAD-1240-4648-B93C-1B755273FBB6}"/>
    <cellStyle name="Normal 9 3 3 6 3 3" xfId="23428" xr:uid="{87E10302-0817-49DB-B78D-DA5E9133E0B0}"/>
    <cellStyle name="Normal 9 3 3 6 4" xfId="10773" xr:uid="{0F32D2CE-9134-40C9-BEC2-BB716FD3BD38}"/>
    <cellStyle name="Normal 9 3 3 6 5" xfId="19211" xr:uid="{518098D3-589D-4F9C-B77E-4CE081700A3F}"/>
    <cellStyle name="Normal 9 3 3 7" xfId="2678" xr:uid="{00000000-0005-0000-0000-00001F200000}"/>
    <cellStyle name="Normal 9 3 3 7 2" xfId="6962" xr:uid="{00000000-0005-0000-0000-000020200000}"/>
    <cellStyle name="Normal 9 3 3 7 2 2" xfId="15404" xr:uid="{0AEA1362-988D-4DE5-84CD-95E63F9797DB}"/>
    <cellStyle name="Normal 9 3 3 7 2 3" xfId="23841" xr:uid="{24361D1D-CA56-42F1-A557-5C3D460A9E4F}"/>
    <cellStyle name="Normal 9 3 3 7 3" xfId="11186" xr:uid="{5F2893C8-3F60-4B71-9190-C031E967333D}"/>
    <cellStyle name="Normal 9 3 3 7 4" xfId="19624" xr:uid="{DF49EFB8-291C-4328-AB86-E02901D87DD1}"/>
    <cellStyle name="Normal 9 3 3 8" xfId="4897" xr:uid="{00000000-0005-0000-0000-000021200000}"/>
    <cellStyle name="Normal 9 3 3 8 2" xfId="13339" xr:uid="{607A064A-9DCB-4A29-BDA2-0913E5D1037F}"/>
    <cellStyle name="Normal 9 3 3 8 3" xfId="21776" xr:uid="{DC2DEBA1-4B43-44C2-8179-D2248B58EE30}"/>
    <cellStyle name="Normal 9 3 3 9" xfId="9121" xr:uid="{BAAE7307-0626-45B8-8023-815BC41B0A39}"/>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2 2 2" xfId="15899" xr:uid="{2C636CD9-0C0C-467E-AA13-1F1AC1DAD85F}"/>
    <cellStyle name="Normal 9 3 4 2 2 2 3" xfId="24336" xr:uid="{B82FB9AC-D68C-402A-9A5A-01191638B625}"/>
    <cellStyle name="Normal 9 3 4 2 2 3" xfId="11681" xr:uid="{CC8AB307-3689-48A6-85CB-FCF864501D72}"/>
    <cellStyle name="Normal 9 3 4 2 2 4" xfId="20119" xr:uid="{B19285EA-C3DD-44C0-BF49-226F15A6AB8D}"/>
    <cellStyle name="Normal 9 3 4 2 3" xfId="5312" xr:uid="{00000000-0005-0000-0000-000026200000}"/>
    <cellStyle name="Normal 9 3 4 2 3 2" xfId="13754" xr:uid="{CC959234-7C08-4D63-93BD-FDF8868CD475}"/>
    <cellStyle name="Normal 9 3 4 2 3 3" xfId="22191" xr:uid="{E76B3474-08F0-4BAF-AB39-916354B163AC}"/>
    <cellStyle name="Normal 9 3 4 2 4" xfId="9536" xr:uid="{FA478780-FB96-46DA-8997-7B3B186B213B}"/>
    <cellStyle name="Normal 9 3 4 2 5" xfId="17974" xr:uid="{02E85F6B-4B45-4E8C-B7EC-8C3EFE6C0265}"/>
    <cellStyle name="Normal 9 3 4 3" xfId="1417" xr:uid="{00000000-0005-0000-0000-000027200000}"/>
    <cellStyle name="Normal 9 3 4 3 2" xfId="3647" xr:uid="{00000000-0005-0000-0000-000028200000}"/>
    <cellStyle name="Normal 9 3 4 3 2 2" xfId="7870" xr:uid="{00000000-0005-0000-0000-000029200000}"/>
    <cellStyle name="Normal 9 3 4 3 2 2 2" xfId="16312" xr:uid="{31AD2860-D743-4FD3-A9E7-D3BAB3155078}"/>
    <cellStyle name="Normal 9 3 4 3 2 2 3" xfId="24749" xr:uid="{B8D6357A-26CC-4CD3-B04E-FE48788E94BA}"/>
    <cellStyle name="Normal 9 3 4 3 2 3" xfId="12094" xr:uid="{799B3E3F-2AB0-4E8A-8321-C8ABA03EB188}"/>
    <cellStyle name="Normal 9 3 4 3 2 4" xfId="20532" xr:uid="{552AFA62-475C-4565-BA03-B576E471955C}"/>
    <cellStyle name="Normal 9 3 4 3 3" xfId="5725" xr:uid="{00000000-0005-0000-0000-00002A200000}"/>
    <cellStyle name="Normal 9 3 4 3 3 2" xfId="14167" xr:uid="{7E5AE6E7-02B2-46EB-A9A4-320583B96C15}"/>
    <cellStyle name="Normal 9 3 4 3 3 3" xfId="22604" xr:uid="{3CDFA064-63A7-455D-8E78-C282979D201E}"/>
    <cellStyle name="Normal 9 3 4 3 4" xfId="9949" xr:uid="{BDD2501B-58BE-4D89-87AA-B9EB241DB544}"/>
    <cellStyle name="Normal 9 3 4 3 5" xfId="18387" xr:uid="{FE4B02C5-BE13-43C4-84BE-2B304332E63B}"/>
    <cellStyle name="Normal 9 3 4 4" xfId="1830" xr:uid="{00000000-0005-0000-0000-00002B200000}"/>
    <cellStyle name="Normal 9 3 4 4 2" xfId="4060" xr:uid="{00000000-0005-0000-0000-00002C200000}"/>
    <cellStyle name="Normal 9 3 4 4 2 2" xfId="8283" xr:uid="{00000000-0005-0000-0000-00002D200000}"/>
    <cellStyle name="Normal 9 3 4 4 2 2 2" xfId="16725" xr:uid="{5F4F7053-1D76-4F99-886A-0590E27CAE8F}"/>
    <cellStyle name="Normal 9 3 4 4 2 2 3" xfId="25162" xr:uid="{A50487E3-11C7-48E7-9ECB-DC039EF80F49}"/>
    <cellStyle name="Normal 9 3 4 4 2 3" xfId="12507" xr:uid="{AC28B1FB-D839-4741-A66C-6C2C9977159C}"/>
    <cellStyle name="Normal 9 3 4 4 2 4" xfId="20945" xr:uid="{4CF13659-EB59-4B47-A733-BD32C7AAB37E}"/>
    <cellStyle name="Normal 9 3 4 4 3" xfId="6138" xr:uid="{00000000-0005-0000-0000-00002E200000}"/>
    <cellStyle name="Normal 9 3 4 4 3 2" xfId="14580" xr:uid="{91DE61EC-BE65-4A56-8B8E-2DDF037D7917}"/>
    <cellStyle name="Normal 9 3 4 4 3 3" xfId="23017" xr:uid="{BA5C8C05-231B-4FB6-95C5-B3842264F764}"/>
    <cellStyle name="Normal 9 3 4 4 4" xfId="10362" xr:uid="{E8D18C62-9F65-498D-BF60-3B60422BF7B8}"/>
    <cellStyle name="Normal 9 3 4 4 5" xfId="18800" xr:uid="{74FA4B58-1006-4A5F-9241-9F9DAC73493D}"/>
    <cellStyle name="Normal 9 3 4 5" xfId="2244" xr:uid="{00000000-0005-0000-0000-00002F200000}"/>
    <cellStyle name="Normal 9 3 4 5 2" xfId="4473" xr:uid="{00000000-0005-0000-0000-000030200000}"/>
    <cellStyle name="Normal 9 3 4 5 2 2" xfId="8696" xr:uid="{00000000-0005-0000-0000-000031200000}"/>
    <cellStyle name="Normal 9 3 4 5 2 2 2" xfId="17138" xr:uid="{605D5645-5EE7-4A70-8B95-F812AB2711C9}"/>
    <cellStyle name="Normal 9 3 4 5 2 2 3" xfId="25575" xr:uid="{0F1A2F50-DC66-41B7-9A9C-2351F7C5A052}"/>
    <cellStyle name="Normal 9 3 4 5 2 3" xfId="12920" xr:uid="{81CF842F-E5A3-4335-888E-930BF287C74B}"/>
    <cellStyle name="Normal 9 3 4 5 2 4" xfId="21358" xr:uid="{96BF8B4F-5497-4274-AF39-83C5AED36C75}"/>
    <cellStyle name="Normal 9 3 4 5 3" xfId="6551" xr:uid="{00000000-0005-0000-0000-000032200000}"/>
    <cellStyle name="Normal 9 3 4 5 3 2" xfId="14993" xr:uid="{918D9CF6-B6C8-480E-8A9D-477B7B96671D}"/>
    <cellStyle name="Normal 9 3 4 5 3 3" xfId="23430" xr:uid="{00233A13-3752-443F-B9EC-D0D06ECA47D8}"/>
    <cellStyle name="Normal 9 3 4 5 4" xfId="10775" xr:uid="{CBABC745-F33B-42C7-9712-3AC58037FD72}"/>
    <cellStyle name="Normal 9 3 4 5 5" xfId="19213" xr:uid="{67240981-8A2A-41DB-99C9-87CA56C80736}"/>
    <cellStyle name="Normal 9 3 4 6" xfId="2680" xr:uid="{00000000-0005-0000-0000-000033200000}"/>
    <cellStyle name="Normal 9 3 4 6 2" xfId="6964" xr:uid="{00000000-0005-0000-0000-000034200000}"/>
    <cellStyle name="Normal 9 3 4 6 2 2" xfId="15406" xr:uid="{9459EC83-DD67-4E26-AD52-A4BD3D692005}"/>
    <cellStyle name="Normal 9 3 4 6 2 3" xfId="23843" xr:uid="{4B0BD525-22BE-42B6-AF12-158FD6CB75E1}"/>
    <cellStyle name="Normal 9 3 4 6 3" xfId="11188" xr:uid="{30752946-7F63-4784-80E7-69F677FB0E66}"/>
    <cellStyle name="Normal 9 3 4 6 4" xfId="19626" xr:uid="{17412C7D-472A-473E-9625-50EF47363074}"/>
    <cellStyle name="Normal 9 3 4 7" xfId="4899" xr:uid="{00000000-0005-0000-0000-000035200000}"/>
    <cellStyle name="Normal 9 3 4 7 2" xfId="13341" xr:uid="{94E4D5C8-6F33-4198-836C-282915C0658C}"/>
    <cellStyle name="Normal 9 3 4 7 3" xfId="21778" xr:uid="{EF7B0787-D7A4-4539-BB34-0E8A475A6BFD}"/>
    <cellStyle name="Normal 9 3 4 8" xfId="9123" xr:uid="{366CE491-1872-430F-A69A-8D211FCF0AD9}"/>
    <cellStyle name="Normal 9 3 4 9" xfId="17561" xr:uid="{2E04245E-4F78-4622-AFCD-65539FDD9A39}"/>
    <cellStyle name="Normal 9 3 5" xfId="994" xr:uid="{00000000-0005-0000-0000-000036200000}"/>
    <cellStyle name="Normal 9 3 5 2" xfId="3227" xr:uid="{00000000-0005-0000-0000-000037200000}"/>
    <cellStyle name="Normal 9 3 5 2 2" xfId="7450" xr:uid="{00000000-0005-0000-0000-000038200000}"/>
    <cellStyle name="Normal 9 3 5 2 2 2" xfId="15892" xr:uid="{7F0311CD-2378-4599-8FF0-B4AAB31AE9C2}"/>
    <cellStyle name="Normal 9 3 5 2 2 3" xfId="24329" xr:uid="{A71F7259-D98B-4207-BC37-63BE6A579FF3}"/>
    <cellStyle name="Normal 9 3 5 2 3" xfId="11674" xr:uid="{CD127704-FA93-4C81-A4E4-32E68425127F}"/>
    <cellStyle name="Normal 9 3 5 2 4" xfId="20112" xr:uid="{CE4A6491-8A69-4D8E-A924-662C2606FD0C}"/>
    <cellStyle name="Normal 9 3 5 3" xfId="5305" xr:uid="{00000000-0005-0000-0000-000039200000}"/>
    <cellStyle name="Normal 9 3 5 3 2" xfId="13747" xr:uid="{7F104355-5783-48D9-A9CA-B9F3EF59405E}"/>
    <cellStyle name="Normal 9 3 5 3 3" xfId="22184" xr:uid="{A0822F64-14E0-40AF-A0DD-16767749AEF8}"/>
    <cellStyle name="Normal 9 3 5 4" xfId="9529" xr:uid="{F5F38416-11CF-4B4B-B400-528D38356A5B}"/>
    <cellStyle name="Normal 9 3 5 5" xfId="17967" xr:uid="{5FE243BB-6F3C-4DE8-8D23-560EF71D011E}"/>
    <cellStyle name="Normal 9 3 6" xfId="1410" xr:uid="{00000000-0005-0000-0000-00003A200000}"/>
    <cellStyle name="Normal 9 3 6 2" xfId="3640" xr:uid="{00000000-0005-0000-0000-00003B200000}"/>
    <cellStyle name="Normal 9 3 6 2 2" xfId="7863" xr:uid="{00000000-0005-0000-0000-00003C200000}"/>
    <cellStyle name="Normal 9 3 6 2 2 2" xfId="16305" xr:uid="{E684E40E-D4E2-4BD7-9F0D-04CCED134C13}"/>
    <cellStyle name="Normal 9 3 6 2 2 3" xfId="24742" xr:uid="{BE4F31AD-C6F5-4117-B920-7FAD7F8F9DF4}"/>
    <cellStyle name="Normal 9 3 6 2 3" xfId="12087" xr:uid="{E9A3925C-934B-4683-8A8F-0A09EDE8F6D9}"/>
    <cellStyle name="Normal 9 3 6 2 4" xfId="20525" xr:uid="{4D5433C2-3AB3-43D3-A2B5-20CE4FA08360}"/>
    <cellStyle name="Normal 9 3 6 3" xfId="5718" xr:uid="{00000000-0005-0000-0000-00003D200000}"/>
    <cellStyle name="Normal 9 3 6 3 2" xfId="14160" xr:uid="{AD351AF6-91DF-47B5-833F-7F6217E69B23}"/>
    <cellStyle name="Normal 9 3 6 3 3" xfId="22597" xr:uid="{D91E3D2C-0FE9-4238-B9A2-4217B9F9515F}"/>
    <cellStyle name="Normal 9 3 6 4" xfId="9942" xr:uid="{F4D9C7FA-BA95-4F61-83AD-8AB1035A0CEF}"/>
    <cellStyle name="Normal 9 3 6 5" xfId="18380" xr:uid="{9B3F4188-EC4D-4264-920D-E570DF58A2F3}"/>
    <cellStyle name="Normal 9 3 7" xfId="1823" xr:uid="{00000000-0005-0000-0000-00003E200000}"/>
    <cellStyle name="Normal 9 3 7 2" xfId="4053" xr:uid="{00000000-0005-0000-0000-00003F200000}"/>
    <cellStyle name="Normal 9 3 7 2 2" xfId="8276" xr:uid="{00000000-0005-0000-0000-000040200000}"/>
    <cellStyle name="Normal 9 3 7 2 2 2" xfId="16718" xr:uid="{A79C3C91-F5A3-49DC-AE9B-A755C6D4AEF4}"/>
    <cellStyle name="Normal 9 3 7 2 2 3" xfId="25155" xr:uid="{48B78D39-CBFA-4884-A9A3-FE3547F0D959}"/>
    <cellStyle name="Normal 9 3 7 2 3" xfId="12500" xr:uid="{D5A87E85-1593-4B77-AD6C-F79D02CC367E}"/>
    <cellStyle name="Normal 9 3 7 2 4" xfId="20938" xr:uid="{3D407F1C-E7FA-4564-8E0E-C1D225F2FA18}"/>
    <cellStyle name="Normal 9 3 7 3" xfId="6131" xr:uid="{00000000-0005-0000-0000-000041200000}"/>
    <cellStyle name="Normal 9 3 7 3 2" xfId="14573" xr:uid="{66E72E14-B8CB-46BB-A3F6-169E955C6FDE}"/>
    <cellStyle name="Normal 9 3 7 3 3" xfId="23010" xr:uid="{49BA3FA6-F881-4039-8DE5-77EA464EC466}"/>
    <cellStyle name="Normal 9 3 7 4" xfId="10355" xr:uid="{8A40970D-A535-4C6B-BB86-B9F9053C8939}"/>
    <cellStyle name="Normal 9 3 7 5" xfId="18793" xr:uid="{3F0BF4B8-F214-483E-B06D-025D88709A01}"/>
    <cellStyle name="Normal 9 3 8" xfId="2237" xr:uid="{00000000-0005-0000-0000-000042200000}"/>
    <cellStyle name="Normal 9 3 8 2" xfId="4466" xr:uid="{00000000-0005-0000-0000-000043200000}"/>
    <cellStyle name="Normal 9 3 8 2 2" xfId="8689" xr:uid="{00000000-0005-0000-0000-000044200000}"/>
    <cellStyle name="Normal 9 3 8 2 2 2" xfId="17131" xr:uid="{C53783DB-B7CD-4460-9AE0-A57ADA2864CB}"/>
    <cellStyle name="Normal 9 3 8 2 2 3" xfId="25568" xr:uid="{B6CE3C60-BD10-4C46-9620-C6D3EEA28BA6}"/>
    <cellStyle name="Normal 9 3 8 2 3" xfId="12913" xr:uid="{E4710CF4-2065-432C-8C6B-546FEB9CB919}"/>
    <cellStyle name="Normal 9 3 8 2 4" xfId="21351" xr:uid="{44A13377-A7C8-48CA-94A8-5750429C6CE5}"/>
    <cellStyle name="Normal 9 3 8 3" xfId="6544" xr:uid="{00000000-0005-0000-0000-000045200000}"/>
    <cellStyle name="Normal 9 3 8 3 2" xfId="14986" xr:uid="{37C9914F-50B8-4E09-BDF7-148167BFE0EF}"/>
    <cellStyle name="Normal 9 3 8 3 3" xfId="23423" xr:uid="{351DE9EB-D5BD-44D9-85CD-E96185C4762F}"/>
    <cellStyle name="Normal 9 3 8 4" xfId="10768" xr:uid="{184B3AA3-62A0-46FA-9197-54CF6387B86C}"/>
    <cellStyle name="Normal 9 3 8 5" xfId="19206" xr:uid="{986D75FE-C717-4823-8F8E-7808CBE59796}"/>
    <cellStyle name="Normal 9 3 9" xfId="2673" xr:uid="{00000000-0005-0000-0000-000046200000}"/>
    <cellStyle name="Normal 9 3 9 2" xfId="6957" xr:uid="{00000000-0005-0000-0000-000047200000}"/>
    <cellStyle name="Normal 9 3 9 2 2" xfId="15399" xr:uid="{648AF3C1-3294-4372-AC26-F6AB8BBC9374}"/>
    <cellStyle name="Normal 9 3 9 2 3" xfId="23836" xr:uid="{B988AF17-A203-4FE3-8FC3-89656E02E21C}"/>
    <cellStyle name="Normal 9 3 9 3" xfId="11181" xr:uid="{874422CA-B629-4E80-8CCA-990B926DB8E4}"/>
    <cellStyle name="Normal 9 3 9 4" xfId="19619" xr:uid="{340285FE-0689-4043-B88E-D5B9079FFD68}"/>
    <cellStyle name="Normal 9 4" xfId="535" xr:uid="{00000000-0005-0000-0000-000048200000}"/>
    <cellStyle name="Normal 9 4 2" xfId="1002" xr:uid="{00000000-0005-0000-0000-000049200000}"/>
    <cellStyle name="Normal 9 5" xfId="536" xr:uid="{00000000-0005-0000-0000-00004A200000}"/>
    <cellStyle name="Normal 9 5 10" xfId="17562" xr:uid="{CCECA049-303D-4368-9F4C-9651B3898923}"/>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2 2 2" xfId="15901" xr:uid="{60B1E5ED-CC1B-406C-9156-750E0EF1EF6D}"/>
    <cellStyle name="Normal 9 5 2 2 2 2 3" xfId="24338" xr:uid="{08F5B0EE-79CB-41D9-930F-88CE61781883}"/>
    <cellStyle name="Normal 9 5 2 2 2 3" xfId="11683" xr:uid="{9352A02D-CAFC-4B44-A40F-692118B30027}"/>
    <cellStyle name="Normal 9 5 2 2 2 4" xfId="20121" xr:uid="{D94D1699-784A-4607-BA41-F2C85C6244E4}"/>
    <cellStyle name="Normal 9 5 2 2 3" xfId="5314" xr:uid="{00000000-0005-0000-0000-00004F200000}"/>
    <cellStyle name="Normal 9 5 2 2 3 2" xfId="13756" xr:uid="{09B68C86-5B98-4E39-AF62-C9FEFB6EF2DE}"/>
    <cellStyle name="Normal 9 5 2 2 3 3" xfId="22193" xr:uid="{56B160B3-3F68-4A07-A6A4-78ED52501237}"/>
    <cellStyle name="Normal 9 5 2 2 4" xfId="9538" xr:uid="{5F67D4FB-E5E6-4AD8-9504-F58680D56C48}"/>
    <cellStyle name="Normal 9 5 2 2 5" xfId="17976" xr:uid="{8C534D6D-3673-4531-9D87-C729863BB27C}"/>
    <cellStyle name="Normal 9 5 2 3" xfId="1419" xr:uid="{00000000-0005-0000-0000-000050200000}"/>
    <cellStyle name="Normal 9 5 2 3 2" xfId="3649" xr:uid="{00000000-0005-0000-0000-000051200000}"/>
    <cellStyle name="Normal 9 5 2 3 2 2" xfId="7872" xr:uid="{00000000-0005-0000-0000-000052200000}"/>
    <cellStyle name="Normal 9 5 2 3 2 2 2" xfId="16314" xr:uid="{669E08C4-8660-4150-8778-1FFD41C94AF9}"/>
    <cellStyle name="Normal 9 5 2 3 2 2 3" xfId="24751" xr:uid="{CB47A176-7259-4E9A-9C3C-4FE6B90792D7}"/>
    <cellStyle name="Normal 9 5 2 3 2 3" xfId="12096" xr:uid="{1FF75081-59FC-4404-A371-C934DE924DD7}"/>
    <cellStyle name="Normal 9 5 2 3 2 4" xfId="20534" xr:uid="{384EA698-8E43-41E6-BADB-975B1B3C6752}"/>
    <cellStyle name="Normal 9 5 2 3 3" xfId="5727" xr:uid="{00000000-0005-0000-0000-000053200000}"/>
    <cellStyle name="Normal 9 5 2 3 3 2" xfId="14169" xr:uid="{E8F0CA17-7859-4CE2-A122-18D43A258084}"/>
    <cellStyle name="Normal 9 5 2 3 3 3" xfId="22606" xr:uid="{E73AE9FB-A063-433F-90D9-F6DE39882FAE}"/>
    <cellStyle name="Normal 9 5 2 3 4" xfId="9951" xr:uid="{0AA1922F-6DE0-4839-8EF8-7333EF9E5ECC}"/>
    <cellStyle name="Normal 9 5 2 3 5" xfId="18389" xr:uid="{292797E2-395D-43AA-AE40-4F092D5BE7DB}"/>
    <cellStyle name="Normal 9 5 2 4" xfId="1832" xr:uid="{00000000-0005-0000-0000-000054200000}"/>
    <cellStyle name="Normal 9 5 2 4 2" xfId="4062" xr:uid="{00000000-0005-0000-0000-000055200000}"/>
    <cellStyle name="Normal 9 5 2 4 2 2" xfId="8285" xr:uid="{00000000-0005-0000-0000-000056200000}"/>
    <cellStyle name="Normal 9 5 2 4 2 2 2" xfId="16727" xr:uid="{CDDFE16D-757F-427F-A82A-9B975217F86D}"/>
    <cellStyle name="Normal 9 5 2 4 2 2 3" xfId="25164" xr:uid="{79872B16-BC22-4495-BBFE-5591EE56B9B9}"/>
    <cellStyle name="Normal 9 5 2 4 2 3" xfId="12509" xr:uid="{7C5A597C-AF76-40F3-AA7F-B3736E547A50}"/>
    <cellStyle name="Normal 9 5 2 4 2 4" xfId="20947" xr:uid="{F8C03DC0-CE1B-43AF-A305-82DB79800E55}"/>
    <cellStyle name="Normal 9 5 2 4 3" xfId="6140" xr:uid="{00000000-0005-0000-0000-000057200000}"/>
    <cellStyle name="Normal 9 5 2 4 3 2" xfId="14582" xr:uid="{80B61021-0535-46DB-8B7E-201B84102594}"/>
    <cellStyle name="Normal 9 5 2 4 3 3" xfId="23019" xr:uid="{8B314C7E-DE9E-4444-AD8B-CC2810C64919}"/>
    <cellStyle name="Normal 9 5 2 4 4" xfId="10364" xr:uid="{701332E5-9E69-4EA9-9BC7-452CCEDF244F}"/>
    <cellStyle name="Normal 9 5 2 4 5" xfId="18802" xr:uid="{850D7D39-1B60-44D9-9966-54DFF9EFF2FD}"/>
    <cellStyle name="Normal 9 5 2 5" xfId="2246" xr:uid="{00000000-0005-0000-0000-000058200000}"/>
    <cellStyle name="Normal 9 5 2 5 2" xfId="4475" xr:uid="{00000000-0005-0000-0000-000059200000}"/>
    <cellStyle name="Normal 9 5 2 5 2 2" xfId="8698" xr:uid="{00000000-0005-0000-0000-00005A200000}"/>
    <cellStyle name="Normal 9 5 2 5 2 2 2" xfId="17140" xr:uid="{9D06E537-2170-4F57-9224-D7C9681E3FC1}"/>
    <cellStyle name="Normal 9 5 2 5 2 2 3" xfId="25577" xr:uid="{950A711E-3229-432B-8A46-2C0290D08F07}"/>
    <cellStyle name="Normal 9 5 2 5 2 3" xfId="12922" xr:uid="{18B1B6DC-42D8-4567-B2F8-20793C46951A}"/>
    <cellStyle name="Normal 9 5 2 5 2 4" xfId="21360" xr:uid="{AA43D48E-D214-45E6-AA1A-4F4CF56DF0A1}"/>
    <cellStyle name="Normal 9 5 2 5 3" xfId="6553" xr:uid="{00000000-0005-0000-0000-00005B200000}"/>
    <cellStyle name="Normal 9 5 2 5 3 2" xfId="14995" xr:uid="{5BB8E724-26F5-4974-A1A9-EBF9353F0B32}"/>
    <cellStyle name="Normal 9 5 2 5 3 3" xfId="23432" xr:uid="{54C660D6-83E6-435C-8552-0E785CBA1CE6}"/>
    <cellStyle name="Normal 9 5 2 5 4" xfId="10777" xr:uid="{64DD4992-57E9-4C3C-A5D3-55B20D237EAC}"/>
    <cellStyle name="Normal 9 5 2 5 5" xfId="19215" xr:uid="{5C42F033-E23C-43DA-876E-63DCD72B2906}"/>
    <cellStyle name="Normal 9 5 2 6" xfId="2682" xr:uid="{00000000-0005-0000-0000-00005C200000}"/>
    <cellStyle name="Normal 9 5 2 6 2" xfId="6966" xr:uid="{00000000-0005-0000-0000-00005D200000}"/>
    <cellStyle name="Normal 9 5 2 6 2 2" xfId="15408" xr:uid="{4B78497A-C0C1-44F1-B9B5-1E0EA5401CC6}"/>
    <cellStyle name="Normal 9 5 2 6 2 3" xfId="23845" xr:uid="{5438F850-48A9-4265-8428-AEF3A4A5603D}"/>
    <cellStyle name="Normal 9 5 2 6 3" xfId="11190" xr:uid="{EE58B6AA-B96F-4015-9131-DB7DDDEEED10}"/>
    <cellStyle name="Normal 9 5 2 6 4" xfId="19628" xr:uid="{B1C434F4-E211-4468-AEC7-06AF40C72436}"/>
    <cellStyle name="Normal 9 5 2 7" xfId="4901" xr:uid="{00000000-0005-0000-0000-00005E200000}"/>
    <cellStyle name="Normal 9 5 2 7 2" xfId="13343" xr:uid="{279EB640-5AD8-4F9C-81BF-68622CD4824D}"/>
    <cellStyle name="Normal 9 5 2 7 3" xfId="21780" xr:uid="{DEF22577-361D-44B4-A0AB-85A33F56CDFB}"/>
    <cellStyle name="Normal 9 5 2 8" xfId="9125" xr:uid="{01FD76F0-792F-4508-9008-65E76097DBB3}"/>
    <cellStyle name="Normal 9 5 2 9" xfId="17563" xr:uid="{B6C741C8-842F-4FE3-B029-6E690A4813DF}"/>
    <cellStyle name="Normal 9 5 3" xfId="1003" xr:uid="{00000000-0005-0000-0000-00005F200000}"/>
    <cellStyle name="Normal 9 5 3 2" xfId="3235" xr:uid="{00000000-0005-0000-0000-000060200000}"/>
    <cellStyle name="Normal 9 5 3 2 2" xfId="7458" xr:uid="{00000000-0005-0000-0000-000061200000}"/>
    <cellStyle name="Normal 9 5 3 2 2 2" xfId="15900" xr:uid="{E41D645D-1AC5-43C1-B0E2-E1AED76D52C9}"/>
    <cellStyle name="Normal 9 5 3 2 2 3" xfId="24337" xr:uid="{91245848-6AC2-4B59-B33E-4C7DF007A513}"/>
    <cellStyle name="Normal 9 5 3 2 3" xfId="11682" xr:uid="{0639E2D0-30B8-44DF-BDF1-7EB7DBF28EA3}"/>
    <cellStyle name="Normal 9 5 3 2 4" xfId="20120" xr:uid="{A4800BF9-F07A-4FBE-A91B-9CF07A2C0EFD}"/>
    <cellStyle name="Normal 9 5 3 3" xfId="5313" xr:uid="{00000000-0005-0000-0000-000062200000}"/>
    <cellStyle name="Normal 9 5 3 3 2" xfId="13755" xr:uid="{AB128802-646A-416C-88CD-B6FDD32F9F23}"/>
    <cellStyle name="Normal 9 5 3 3 3" xfId="22192" xr:uid="{AB8BFD28-73E7-4C97-BA83-233F2DBE1B40}"/>
    <cellStyle name="Normal 9 5 3 4" xfId="9537" xr:uid="{CADC7B9B-203F-4E72-82C2-C7AA87AAE87D}"/>
    <cellStyle name="Normal 9 5 3 5" xfId="17975" xr:uid="{684B424F-8E1C-4728-9E57-3FF31CAFE505}"/>
    <cellStyle name="Normal 9 5 4" xfId="1418" xr:uid="{00000000-0005-0000-0000-000063200000}"/>
    <cellStyle name="Normal 9 5 4 2" xfId="3648" xr:uid="{00000000-0005-0000-0000-000064200000}"/>
    <cellStyle name="Normal 9 5 4 2 2" xfId="7871" xr:uid="{00000000-0005-0000-0000-000065200000}"/>
    <cellStyle name="Normal 9 5 4 2 2 2" xfId="16313" xr:uid="{CC5305F1-B4A1-430F-9A2E-1114AA0756A3}"/>
    <cellStyle name="Normal 9 5 4 2 2 3" xfId="24750" xr:uid="{DD4659DC-B21A-4EF7-8210-8251CD826F22}"/>
    <cellStyle name="Normal 9 5 4 2 3" xfId="12095" xr:uid="{B7DC93C2-82EB-4F56-890D-C9F02FCCAAD9}"/>
    <cellStyle name="Normal 9 5 4 2 4" xfId="20533" xr:uid="{D47599D5-B722-4060-8AAC-8F6BD5C60195}"/>
    <cellStyle name="Normal 9 5 4 3" xfId="5726" xr:uid="{00000000-0005-0000-0000-000066200000}"/>
    <cellStyle name="Normal 9 5 4 3 2" xfId="14168" xr:uid="{C684B8F9-1175-4207-9075-38B57A955C05}"/>
    <cellStyle name="Normal 9 5 4 3 3" xfId="22605" xr:uid="{9FB56B16-0362-40E2-A715-FC5541682C2A}"/>
    <cellStyle name="Normal 9 5 4 4" xfId="9950" xr:uid="{E428864B-1A4E-4F28-BAAA-E4E62E160102}"/>
    <cellStyle name="Normal 9 5 4 5" xfId="18388" xr:uid="{FDA948B5-CCEC-4D50-BBAB-5C104F983AAF}"/>
    <cellStyle name="Normal 9 5 5" xfId="1831" xr:uid="{00000000-0005-0000-0000-000067200000}"/>
    <cellStyle name="Normal 9 5 5 2" xfId="4061" xr:uid="{00000000-0005-0000-0000-000068200000}"/>
    <cellStyle name="Normal 9 5 5 2 2" xfId="8284" xr:uid="{00000000-0005-0000-0000-000069200000}"/>
    <cellStyle name="Normal 9 5 5 2 2 2" xfId="16726" xr:uid="{0C5C49F8-1020-40A6-A1B2-FF766FF62189}"/>
    <cellStyle name="Normal 9 5 5 2 2 3" xfId="25163" xr:uid="{90E464FF-9016-40A8-AA96-590C92B50938}"/>
    <cellStyle name="Normal 9 5 5 2 3" xfId="12508" xr:uid="{BAF62995-4A26-4F46-8F54-633E627FFC58}"/>
    <cellStyle name="Normal 9 5 5 2 4" xfId="20946" xr:uid="{448429C6-0160-4A26-885D-3E118913F1C0}"/>
    <cellStyle name="Normal 9 5 5 3" xfId="6139" xr:uid="{00000000-0005-0000-0000-00006A200000}"/>
    <cellStyle name="Normal 9 5 5 3 2" xfId="14581" xr:uid="{27B384AD-99E2-48AB-8C11-E8C007B5E8B1}"/>
    <cellStyle name="Normal 9 5 5 3 3" xfId="23018" xr:uid="{9DB75A7F-0A6B-4CCB-979C-F82227ED08B4}"/>
    <cellStyle name="Normal 9 5 5 4" xfId="10363" xr:uid="{B123CBC2-59FA-4C7A-8204-633FB9DBD835}"/>
    <cellStyle name="Normal 9 5 5 5" xfId="18801" xr:uid="{2BA062C5-8E89-4552-9500-BB4F786A2B69}"/>
    <cellStyle name="Normal 9 5 6" xfId="2245" xr:uid="{00000000-0005-0000-0000-00006B200000}"/>
    <cellStyle name="Normal 9 5 6 2" xfId="4474" xr:uid="{00000000-0005-0000-0000-00006C200000}"/>
    <cellStyle name="Normal 9 5 6 2 2" xfId="8697" xr:uid="{00000000-0005-0000-0000-00006D200000}"/>
    <cellStyle name="Normal 9 5 6 2 2 2" xfId="17139" xr:uid="{92E6FB77-E607-423C-AB2D-6B56075FC23E}"/>
    <cellStyle name="Normal 9 5 6 2 2 3" xfId="25576" xr:uid="{79F47E4E-D390-422D-A26E-4B98828335DF}"/>
    <cellStyle name="Normal 9 5 6 2 3" xfId="12921" xr:uid="{4115AE65-E034-44D4-AB69-CD1C2AAE5C07}"/>
    <cellStyle name="Normal 9 5 6 2 4" xfId="21359" xr:uid="{24B58765-4056-4793-B75A-E60529E2C618}"/>
    <cellStyle name="Normal 9 5 6 3" xfId="6552" xr:uid="{00000000-0005-0000-0000-00006E200000}"/>
    <cellStyle name="Normal 9 5 6 3 2" xfId="14994" xr:uid="{90C8F204-8801-4142-8D1E-3341BE0796BA}"/>
    <cellStyle name="Normal 9 5 6 3 3" xfId="23431" xr:uid="{3174D7AC-1516-46EC-A38B-A6CD3D554911}"/>
    <cellStyle name="Normal 9 5 6 4" xfId="10776" xr:uid="{CFB15CA2-F26F-4E13-8A2D-7383D22DCB27}"/>
    <cellStyle name="Normal 9 5 6 5" xfId="19214" xr:uid="{4349E0F4-2CBB-4072-A9F0-068888E01A30}"/>
    <cellStyle name="Normal 9 5 7" xfId="2681" xr:uid="{00000000-0005-0000-0000-00006F200000}"/>
    <cellStyle name="Normal 9 5 7 2" xfId="6965" xr:uid="{00000000-0005-0000-0000-000070200000}"/>
    <cellStyle name="Normal 9 5 7 2 2" xfId="15407" xr:uid="{7F327269-C00C-4B6D-9208-78F918792F18}"/>
    <cellStyle name="Normal 9 5 7 2 3" xfId="23844" xr:uid="{81D8B8C2-CA57-4F59-8F68-870611FE3259}"/>
    <cellStyle name="Normal 9 5 7 3" xfId="11189" xr:uid="{D7D877D0-3CBA-44B2-8763-1836A31C6F9A}"/>
    <cellStyle name="Normal 9 5 7 4" xfId="19627" xr:uid="{D289F5B7-0028-4F40-A032-92E46F46EA56}"/>
    <cellStyle name="Normal 9 5 8" xfId="4900" xr:uid="{00000000-0005-0000-0000-000071200000}"/>
    <cellStyle name="Normal 9 5 8 2" xfId="13342" xr:uid="{7FE8FB30-66F9-446D-AB3B-768AE75C5A7A}"/>
    <cellStyle name="Normal 9 5 8 3" xfId="21779" xr:uid="{019FDE29-BCFD-422D-9B7C-F59E25B5578D}"/>
    <cellStyle name="Normal 9 5 9" xfId="9124" xr:uid="{97836A66-10AE-421B-837F-AF7456A0191B}"/>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2 2 2" xfId="15902" xr:uid="{7DEDB903-F6F1-4D8B-8EAA-FCBB9675A85F}"/>
    <cellStyle name="Normal 9 6 2 2 2 3" xfId="24339" xr:uid="{7ADA30E4-7CFF-4A44-B7EE-8BB847B9FCCB}"/>
    <cellStyle name="Normal 9 6 2 2 3" xfId="11684" xr:uid="{59C09E4E-9FF2-4389-9E87-0C7B3B256FA0}"/>
    <cellStyle name="Normal 9 6 2 2 4" xfId="20122" xr:uid="{BFE232E0-200C-404E-A90E-307DFB5914A9}"/>
    <cellStyle name="Normal 9 6 2 3" xfId="5315" xr:uid="{00000000-0005-0000-0000-000076200000}"/>
    <cellStyle name="Normal 9 6 2 3 2" xfId="13757" xr:uid="{18ED1B22-A41B-4003-91EA-A7AB7A1C53BC}"/>
    <cellStyle name="Normal 9 6 2 3 3" xfId="22194" xr:uid="{8DBC20DE-B366-46BE-ADD2-3EEDA913EFF3}"/>
    <cellStyle name="Normal 9 6 2 4" xfId="9539" xr:uid="{FF752B58-94A6-4A25-BB8C-579A3861934E}"/>
    <cellStyle name="Normal 9 6 2 5" xfId="17977" xr:uid="{E7D0270D-B1AE-4F29-9EE7-F78089E90968}"/>
    <cellStyle name="Normal 9 6 3" xfId="1420" xr:uid="{00000000-0005-0000-0000-000077200000}"/>
    <cellStyle name="Normal 9 6 3 2" xfId="3650" xr:uid="{00000000-0005-0000-0000-000078200000}"/>
    <cellStyle name="Normal 9 6 3 2 2" xfId="7873" xr:uid="{00000000-0005-0000-0000-000079200000}"/>
    <cellStyle name="Normal 9 6 3 2 2 2" xfId="16315" xr:uid="{08B2F8F8-5E70-4510-B0D7-7A07076A67DC}"/>
    <cellStyle name="Normal 9 6 3 2 2 3" xfId="24752" xr:uid="{B7793F89-A932-4429-A835-93665D903648}"/>
    <cellStyle name="Normal 9 6 3 2 3" xfId="12097" xr:uid="{0446D2D1-9CFD-4A53-92F9-4EEBB0CD148B}"/>
    <cellStyle name="Normal 9 6 3 2 4" xfId="20535" xr:uid="{AB45608C-2A66-48AA-8CAE-8B3B2F378632}"/>
    <cellStyle name="Normal 9 6 3 3" xfId="5728" xr:uid="{00000000-0005-0000-0000-00007A200000}"/>
    <cellStyle name="Normal 9 6 3 3 2" xfId="14170" xr:uid="{2FC70479-2620-4223-88FD-486DC82446F8}"/>
    <cellStyle name="Normal 9 6 3 3 3" xfId="22607" xr:uid="{429185D4-E876-472C-9F43-D2A107DA9E85}"/>
    <cellStyle name="Normal 9 6 3 4" xfId="9952" xr:uid="{440B5905-5D65-4A72-BC68-26F7AE0F5FB1}"/>
    <cellStyle name="Normal 9 6 3 5" xfId="18390" xr:uid="{8FE45BCC-4CE9-49FB-AE13-FFD27311FD16}"/>
    <cellStyle name="Normal 9 6 4" xfId="1833" xr:uid="{00000000-0005-0000-0000-00007B200000}"/>
    <cellStyle name="Normal 9 6 4 2" xfId="4063" xr:uid="{00000000-0005-0000-0000-00007C200000}"/>
    <cellStyle name="Normal 9 6 4 2 2" xfId="8286" xr:uid="{00000000-0005-0000-0000-00007D200000}"/>
    <cellStyle name="Normal 9 6 4 2 2 2" xfId="16728" xr:uid="{C0D78E27-E94E-4462-96E7-C92AB344C4B0}"/>
    <cellStyle name="Normal 9 6 4 2 2 3" xfId="25165" xr:uid="{305C53DB-503E-44A0-9582-A40F0999F736}"/>
    <cellStyle name="Normal 9 6 4 2 3" xfId="12510" xr:uid="{8EDAF9B5-7A9E-4AD1-BAF8-83CCFAC07779}"/>
    <cellStyle name="Normal 9 6 4 2 4" xfId="20948" xr:uid="{4C0CC19F-10B3-4756-9CEB-3551963EA8E2}"/>
    <cellStyle name="Normal 9 6 4 3" xfId="6141" xr:uid="{00000000-0005-0000-0000-00007E200000}"/>
    <cellStyle name="Normal 9 6 4 3 2" xfId="14583" xr:uid="{FB337B1F-F0F5-45DD-B37B-01117A6BCD8D}"/>
    <cellStyle name="Normal 9 6 4 3 3" xfId="23020" xr:uid="{C1F1A9B2-225A-4830-B4FA-9AA42AB944FB}"/>
    <cellStyle name="Normal 9 6 4 4" xfId="10365" xr:uid="{8C7A261F-E517-4745-A816-8255E31D5745}"/>
    <cellStyle name="Normal 9 6 4 5" xfId="18803" xr:uid="{2761A0D4-E73D-4189-B5C7-AA720E2A794C}"/>
    <cellStyle name="Normal 9 6 5" xfId="2247" xr:uid="{00000000-0005-0000-0000-00007F200000}"/>
    <cellStyle name="Normal 9 6 5 2" xfId="4476" xr:uid="{00000000-0005-0000-0000-000080200000}"/>
    <cellStyle name="Normal 9 6 5 2 2" xfId="8699" xr:uid="{00000000-0005-0000-0000-000081200000}"/>
    <cellStyle name="Normal 9 6 5 2 2 2" xfId="17141" xr:uid="{490ADF8D-D71F-4E13-B277-C40E4715F367}"/>
    <cellStyle name="Normal 9 6 5 2 2 3" xfId="25578" xr:uid="{3D2AF815-747B-4DBD-8161-99D643C16C62}"/>
    <cellStyle name="Normal 9 6 5 2 3" xfId="12923" xr:uid="{F31BA452-447C-48AD-A67B-1B12CC4A30A7}"/>
    <cellStyle name="Normal 9 6 5 2 4" xfId="21361" xr:uid="{271F5260-3189-479E-AA0F-F9EB27C5AEDB}"/>
    <cellStyle name="Normal 9 6 5 3" xfId="6554" xr:uid="{00000000-0005-0000-0000-000082200000}"/>
    <cellStyle name="Normal 9 6 5 3 2" xfId="14996" xr:uid="{76B0BC13-EBAB-4B7C-9996-1C9E7CFA399E}"/>
    <cellStyle name="Normal 9 6 5 3 3" xfId="23433" xr:uid="{C8B9BC8B-38B3-44A8-BD19-AB18549751CC}"/>
    <cellStyle name="Normal 9 6 5 4" xfId="10778" xr:uid="{0464ECCF-ED82-4C42-95D6-AC87D3253E14}"/>
    <cellStyle name="Normal 9 6 5 5" xfId="19216" xr:uid="{60210435-9AC1-4BA4-BD1C-BD4FECF9A882}"/>
    <cellStyle name="Normal 9 6 6" xfId="2683" xr:uid="{00000000-0005-0000-0000-000083200000}"/>
    <cellStyle name="Normal 9 6 6 2" xfId="6967" xr:uid="{00000000-0005-0000-0000-000084200000}"/>
    <cellStyle name="Normal 9 6 6 2 2" xfId="15409" xr:uid="{162C866E-FA86-472B-A4A9-6114B0EDD27C}"/>
    <cellStyle name="Normal 9 6 6 2 3" xfId="23846" xr:uid="{A887B322-C66E-46CA-9190-61B0DF04D285}"/>
    <cellStyle name="Normal 9 6 6 3" xfId="11191" xr:uid="{B7CA8464-DE59-4B49-9167-0E48246D625B}"/>
    <cellStyle name="Normal 9 6 6 4" xfId="19629" xr:uid="{248133D2-CCD9-4D6D-AF43-CAC767940592}"/>
    <cellStyle name="Normal 9 6 7" xfId="4902" xr:uid="{00000000-0005-0000-0000-000085200000}"/>
    <cellStyle name="Normal 9 6 7 2" xfId="13344" xr:uid="{48BB81E9-EC8A-4383-BE29-9A5C8E8D2BBF}"/>
    <cellStyle name="Normal 9 6 7 3" xfId="21781" xr:uid="{939D28E8-BF36-4801-8209-9C8692436B5A}"/>
    <cellStyle name="Normal 9 6 8" xfId="9126" xr:uid="{C3D5FCFE-7A3E-495E-8D18-468BD7B86B29}"/>
    <cellStyle name="Normal 9 6 9" xfId="17564" xr:uid="{1B1349B5-B8DD-4187-9A77-158C06AD1F72}"/>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0 2 2" xfId="15490" xr:uid="{39FE7BC3-D55B-4C59-B14B-A223925170E8}"/>
    <cellStyle name="Note 2 2 10 2 3" xfId="23927" xr:uid="{49429105-0652-402E-9911-A8BDC42F10F0}"/>
    <cellStyle name="Note 2 2 10 3" xfId="11272" xr:uid="{769EA88D-6C7C-449E-AD0E-58322834B620}"/>
    <cellStyle name="Note 2 2 10 4" xfId="19710" xr:uid="{59EB1C79-8352-40F3-AABA-EE20E94473AA}"/>
    <cellStyle name="Note 2 2 11" xfId="4903" xr:uid="{00000000-0005-0000-0000-000094200000}"/>
    <cellStyle name="Note 2 2 11 2" xfId="13345" xr:uid="{61E15B17-40EB-4A8B-843C-3A86CCD18430}"/>
    <cellStyle name="Note 2 2 11 3" xfId="21782" xr:uid="{EB6A0E70-FC7E-4DC1-ADFE-669C461138F6}"/>
    <cellStyle name="Note 2 2 12" xfId="9127" xr:uid="{C0D23DCC-22A2-4A05-B46E-D9C8A1319571}"/>
    <cellStyle name="Note 2 2 13" xfId="17565" xr:uid="{89A3A67E-4247-4660-ACAD-47A99787B819}"/>
    <cellStyle name="Note 2 2 2" xfId="546" xr:uid="{00000000-0005-0000-0000-000095200000}"/>
    <cellStyle name="Note 2 2 2 10" xfId="4904" xr:uid="{00000000-0005-0000-0000-000096200000}"/>
    <cellStyle name="Note 2 2 2 10 2" xfId="13346" xr:uid="{2EBD3030-B988-4C80-A520-8E626B8B5FB2}"/>
    <cellStyle name="Note 2 2 2 10 3" xfId="21783" xr:uid="{CE4BEC6F-78DE-486A-9C0E-D216D2551E49}"/>
    <cellStyle name="Note 2 2 2 11" xfId="9128" xr:uid="{DA90C526-C1C7-47DD-83E6-D55138712261}"/>
    <cellStyle name="Note 2 2 2 12" xfId="17566" xr:uid="{7DB2B284-69CB-4EEC-8F47-D7D88D51C7C5}"/>
    <cellStyle name="Note 2 2 2 2" xfId="547" xr:uid="{00000000-0005-0000-0000-000097200000}"/>
    <cellStyle name="Note 2 2 2 2 10" xfId="9129" xr:uid="{B9F1BB41-F931-409B-90FE-64BFA6AC8CCA}"/>
    <cellStyle name="Note 2 2 2 2 11" xfId="17567" xr:uid="{4E18642C-F84E-47FE-8EA2-8C0DFCA242D3}"/>
    <cellStyle name="Note 2 2 2 2 2" xfId="1008" xr:uid="{00000000-0005-0000-0000-000098200000}"/>
    <cellStyle name="Note 2 2 2 2 2 2" xfId="3240" xr:uid="{00000000-0005-0000-0000-000099200000}"/>
    <cellStyle name="Note 2 2 2 2 2 2 2" xfId="7463" xr:uid="{00000000-0005-0000-0000-00009A200000}"/>
    <cellStyle name="Note 2 2 2 2 2 2 2 2" xfId="15905" xr:uid="{346DE2E4-DE5B-4C82-AA8E-2130AF532691}"/>
    <cellStyle name="Note 2 2 2 2 2 2 2 3" xfId="24342" xr:uid="{50E9DEB9-D69C-417C-85D8-28CCF5983366}"/>
    <cellStyle name="Note 2 2 2 2 2 2 3" xfId="11687" xr:uid="{427B15AE-98F9-4E50-9B2C-3407DEA53FA7}"/>
    <cellStyle name="Note 2 2 2 2 2 2 4" xfId="20125" xr:uid="{21512531-BAA7-4E5E-97A9-DE6C01FFE82B}"/>
    <cellStyle name="Note 2 2 2 2 2 3" xfId="5318" xr:uid="{00000000-0005-0000-0000-00009B200000}"/>
    <cellStyle name="Note 2 2 2 2 2 3 2" xfId="13760" xr:uid="{F57E929F-2B55-43B9-865C-3D7A4FCE1A71}"/>
    <cellStyle name="Note 2 2 2 2 2 3 3" xfId="22197" xr:uid="{9E77E02E-4283-42B3-8595-23AFB2431D3A}"/>
    <cellStyle name="Note 2 2 2 2 2 4" xfId="9542" xr:uid="{49CF11DA-2D38-45A9-A08B-58C08682DFE7}"/>
    <cellStyle name="Note 2 2 2 2 2 5" xfId="17980" xr:uid="{BE4ACD82-D70D-465C-AC33-79AE46E73FF3}"/>
    <cellStyle name="Note 2 2 2 2 3" xfId="1423" xr:uid="{00000000-0005-0000-0000-00009C200000}"/>
    <cellStyle name="Note 2 2 2 2 3 2" xfId="3653" xr:uid="{00000000-0005-0000-0000-00009D200000}"/>
    <cellStyle name="Note 2 2 2 2 3 2 2" xfId="7876" xr:uid="{00000000-0005-0000-0000-00009E200000}"/>
    <cellStyle name="Note 2 2 2 2 3 2 2 2" xfId="16318" xr:uid="{F7A193B8-F719-49FA-A93E-9D2CFC906FA1}"/>
    <cellStyle name="Note 2 2 2 2 3 2 2 3" xfId="24755" xr:uid="{0C5D34A6-68E9-427B-B6AE-6E395E4DC4C1}"/>
    <cellStyle name="Note 2 2 2 2 3 2 3" xfId="12100" xr:uid="{B3DCCAAC-8EAD-47FC-87D1-6373B493AAC7}"/>
    <cellStyle name="Note 2 2 2 2 3 2 4" xfId="20538" xr:uid="{9AC424CC-54FE-4146-9B4C-9D4D95E117E6}"/>
    <cellStyle name="Note 2 2 2 2 3 3" xfId="5731" xr:uid="{00000000-0005-0000-0000-00009F200000}"/>
    <cellStyle name="Note 2 2 2 2 3 3 2" xfId="14173" xr:uid="{54A44707-C80E-4993-A770-298633843343}"/>
    <cellStyle name="Note 2 2 2 2 3 3 3" xfId="22610" xr:uid="{61CA31A0-8567-4DBC-BE41-BE5091AA698F}"/>
    <cellStyle name="Note 2 2 2 2 3 4" xfId="9955" xr:uid="{D216F316-E579-4DE2-AD46-E1A376F3A995}"/>
    <cellStyle name="Note 2 2 2 2 3 5" xfId="18393" xr:uid="{1AE82E6B-FB27-41B4-A291-37B1275EE680}"/>
    <cellStyle name="Note 2 2 2 2 4" xfId="1837" xr:uid="{00000000-0005-0000-0000-0000A0200000}"/>
    <cellStyle name="Note 2 2 2 2 4 2" xfId="4066" xr:uid="{00000000-0005-0000-0000-0000A1200000}"/>
    <cellStyle name="Note 2 2 2 2 4 2 2" xfId="8289" xr:uid="{00000000-0005-0000-0000-0000A2200000}"/>
    <cellStyle name="Note 2 2 2 2 4 2 2 2" xfId="16731" xr:uid="{8C6C94B5-D493-4D0A-BDBA-777B2008F4FC}"/>
    <cellStyle name="Note 2 2 2 2 4 2 2 3" xfId="25168" xr:uid="{347DCE9E-0627-4527-B7C4-65EFBF3EA1B1}"/>
    <cellStyle name="Note 2 2 2 2 4 2 3" xfId="12513" xr:uid="{480A43F2-30A7-4EB4-9DDF-164F9D463F41}"/>
    <cellStyle name="Note 2 2 2 2 4 2 4" xfId="20951" xr:uid="{F8D820E3-CDAE-4A0C-ACD9-0D1787669E3E}"/>
    <cellStyle name="Note 2 2 2 2 4 3" xfId="6144" xr:uid="{00000000-0005-0000-0000-0000A3200000}"/>
    <cellStyle name="Note 2 2 2 2 4 3 2" xfId="14586" xr:uid="{DC122ECD-BD36-4B9C-AAB3-694828B40E72}"/>
    <cellStyle name="Note 2 2 2 2 4 3 3" xfId="23023" xr:uid="{1EFD199D-2B65-43D0-8EFF-AD84F5B9C98B}"/>
    <cellStyle name="Note 2 2 2 2 4 4" xfId="10368" xr:uid="{1B4905BF-F0AF-4B63-AE02-1F6E9550016E}"/>
    <cellStyle name="Note 2 2 2 2 4 5" xfId="18806" xr:uid="{D746B91F-16FE-450F-9E56-00459651E05E}"/>
    <cellStyle name="Note 2 2 2 2 5" xfId="2250" xr:uid="{00000000-0005-0000-0000-0000A4200000}"/>
    <cellStyle name="Note 2 2 2 2 5 2" xfId="4479" xr:uid="{00000000-0005-0000-0000-0000A5200000}"/>
    <cellStyle name="Note 2 2 2 2 5 2 2" xfId="8702" xr:uid="{00000000-0005-0000-0000-0000A6200000}"/>
    <cellStyle name="Note 2 2 2 2 5 2 2 2" xfId="17144" xr:uid="{88F9EB19-B913-4847-8FE4-A55027C2D5B2}"/>
    <cellStyle name="Note 2 2 2 2 5 2 2 3" xfId="25581" xr:uid="{372BE621-45AC-4020-A684-D5F1BF1EC286}"/>
    <cellStyle name="Note 2 2 2 2 5 2 3" xfId="12926" xr:uid="{0AA05142-46D0-48F0-9932-F7C14B54BEF9}"/>
    <cellStyle name="Note 2 2 2 2 5 2 4" xfId="21364" xr:uid="{CC637BBA-98F6-45A8-91D4-844520A39089}"/>
    <cellStyle name="Note 2 2 2 2 5 3" xfId="6557" xr:uid="{00000000-0005-0000-0000-0000A7200000}"/>
    <cellStyle name="Note 2 2 2 2 5 3 2" xfId="14999" xr:uid="{6B0B6024-5D75-4A01-87CA-C62642AC7193}"/>
    <cellStyle name="Note 2 2 2 2 5 3 3" xfId="23436" xr:uid="{BECF4EDA-0398-4890-A707-6274C53AFBFF}"/>
    <cellStyle name="Note 2 2 2 2 5 4" xfId="10781" xr:uid="{FDE076E1-FD26-4840-8056-51B420867521}"/>
    <cellStyle name="Note 2 2 2 2 5 5" xfId="19219" xr:uid="{20571698-2693-45D0-8F9B-BEE10C35632D}"/>
    <cellStyle name="Note 2 2 2 2 6" xfId="2686" xr:uid="{00000000-0005-0000-0000-0000A8200000}"/>
    <cellStyle name="Note 2 2 2 2 6 2" xfId="6970" xr:uid="{00000000-0005-0000-0000-0000A9200000}"/>
    <cellStyle name="Note 2 2 2 2 6 2 2" xfId="15412" xr:uid="{678E449B-3D4D-402A-8BFC-D3DCBF039EAB}"/>
    <cellStyle name="Note 2 2 2 2 6 2 3" xfId="23849" xr:uid="{D7347370-0E9B-48C3-B483-8C920667E429}"/>
    <cellStyle name="Note 2 2 2 2 6 3" xfId="11194" xr:uid="{6459DDC2-0CCF-44A5-B193-4DDDBC4C3A92}"/>
    <cellStyle name="Note 2 2 2 2 6 4" xfId="19632" xr:uid="{36235648-A8C0-4BB0-80DA-1BC76EA9278D}"/>
    <cellStyle name="Note 2 2 2 2 7" xfId="2745" xr:uid="{00000000-0005-0000-0000-0000AA200000}"/>
    <cellStyle name="Note 2 2 2 2 8" xfId="2826" xr:uid="{00000000-0005-0000-0000-0000AB200000}"/>
    <cellStyle name="Note 2 2 2 2 8 2" xfId="7050" xr:uid="{00000000-0005-0000-0000-0000AC200000}"/>
    <cellStyle name="Note 2 2 2 2 8 2 2" xfId="15492" xr:uid="{B459063B-FEC6-4D14-AEB5-AD53FCCBB5BB}"/>
    <cellStyle name="Note 2 2 2 2 8 2 3" xfId="23929" xr:uid="{0E85F4D6-A5CF-4651-8E46-31175A5D93A2}"/>
    <cellStyle name="Note 2 2 2 2 8 3" xfId="11274" xr:uid="{60DC3CC4-F734-414B-8E87-CA53BAE11CB9}"/>
    <cellStyle name="Note 2 2 2 2 8 4" xfId="19712" xr:uid="{0B1BF886-7ADE-461D-88D1-C1BF715C3333}"/>
    <cellStyle name="Note 2 2 2 2 9" xfId="4905" xr:uid="{00000000-0005-0000-0000-0000AD200000}"/>
    <cellStyle name="Note 2 2 2 2 9 2" xfId="13347" xr:uid="{FBD748C4-4EFF-4C78-9BCA-64EE16D3B914}"/>
    <cellStyle name="Note 2 2 2 2 9 3" xfId="21784" xr:uid="{B7F575F3-D9D5-4017-96C1-8329565737B9}"/>
    <cellStyle name="Note 2 2 2 3" xfId="1007" xr:uid="{00000000-0005-0000-0000-0000AE200000}"/>
    <cellStyle name="Note 2 2 2 3 2" xfId="3239" xr:uid="{00000000-0005-0000-0000-0000AF200000}"/>
    <cellStyle name="Note 2 2 2 3 2 2" xfId="7462" xr:uid="{00000000-0005-0000-0000-0000B0200000}"/>
    <cellStyle name="Note 2 2 2 3 2 2 2" xfId="15904" xr:uid="{BBA48261-8331-4792-8841-363087162182}"/>
    <cellStyle name="Note 2 2 2 3 2 2 3" xfId="24341" xr:uid="{2EB87732-5ACE-4E12-9FE6-441AEC137121}"/>
    <cellStyle name="Note 2 2 2 3 2 3" xfId="11686" xr:uid="{898FA464-F0A3-45EB-B175-859D0E74734E}"/>
    <cellStyle name="Note 2 2 2 3 2 4" xfId="20124" xr:uid="{B7525509-B7B6-461C-9715-A70DEA9BF7DF}"/>
    <cellStyle name="Note 2 2 2 3 3" xfId="5317" xr:uid="{00000000-0005-0000-0000-0000B1200000}"/>
    <cellStyle name="Note 2 2 2 3 3 2" xfId="13759" xr:uid="{FA79AE69-DCDD-4B48-916A-8C2C49190307}"/>
    <cellStyle name="Note 2 2 2 3 3 3" xfId="22196" xr:uid="{227740A9-7AC7-4CF2-8C0C-73FB8CB53074}"/>
    <cellStyle name="Note 2 2 2 3 4" xfId="9541" xr:uid="{47001BF6-E808-41D4-BEEB-90008F7A7B60}"/>
    <cellStyle name="Note 2 2 2 3 5" xfId="17979" xr:uid="{4933BE89-DAB2-4677-BDFF-600B0691171B}"/>
    <cellStyle name="Note 2 2 2 4" xfId="1422" xr:uid="{00000000-0005-0000-0000-0000B2200000}"/>
    <cellStyle name="Note 2 2 2 4 2" xfId="3652" xr:uid="{00000000-0005-0000-0000-0000B3200000}"/>
    <cellStyle name="Note 2 2 2 4 2 2" xfId="7875" xr:uid="{00000000-0005-0000-0000-0000B4200000}"/>
    <cellStyle name="Note 2 2 2 4 2 2 2" xfId="16317" xr:uid="{E6D058D7-09E2-4D26-B6F7-1D46D5D3D629}"/>
    <cellStyle name="Note 2 2 2 4 2 2 3" xfId="24754" xr:uid="{21D75D85-606B-4D73-BB27-5A66915CD49D}"/>
    <cellStyle name="Note 2 2 2 4 2 3" xfId="12099" xr:uid="{50EE1D7D-7232-4DA6-BDD5-3250CFC01BA4}"/>
    <cellStyle name="Note 2 2 2 4 2 4" xfId="20537" xr:uid="{770251AD-C600-4F5D-8E54-2A0EC5D7556D}"/>
    <cellStyle name="Note 2 2 2 4 3" xfId="5730" xr:uid="{00000000-0005-0000-0000-0000B5200000}"/>
    <cellStyle name="Note 2 2 2 4 3 2" xfId="14172" xr:uid="{68D4AAB7-C09B-4CE0-8A35-1D4B1693043A}"/>
    <cellStyle name="Note 2 2 2 4 3 3" xfId="22609" xr:uid="{5A06ECB3-2C74-441A-9EEE-497543DA30A0}"/>
    <cellStyle name="Note 2 2 2 4 4" xfId="9954" xr:uid="{F1518608-E0EE-4032-B9A0-4CA2832BDA57}"/>
    <cellStyle name="Note 2 2 2 4 5" xfId="18392" xr:uid="{0791E635-3EF3-433E-A356-BA7153273CEA}"/>
    <cellStyle name="Note 2 2 2 5" xfId="1836" xr:uid="{00000000-0005-0000-0000-0000B6200000}"/>
    <cellStyle name="Note 2 2 2 5 2" xfId="4065" xr:uid="{00000000-0005-0000-0000-0000B7200000}"/>
    <cellStyle name="Note 2 2 2 5 2 2" xfId="8288" xr:uid="{00000000-0005-0000-0000-0000B8200000}"/>
    <cellStyle name="Note 2 2 2 5 2 2 2" xfId="16730" xr:uid="{91F67382-8EF7-4EBB-9359-1B70268C937F}"/>
    <cellStyle name="Note 2 2 2 5 2 2 3" xfId="25167" xr:uid="{F4D248BD-BE15-45BB-8866-00FCAC82740F}"/>
    <cellStyle name="Note 2 2 2 5 2 3" xfId="12512" xr:uid="{2E444D2C-7901-4F28-96EE-77596F64ED59}"/>
    <cellStyle name="Note 2 2 2 5 2 4" xfId="20950" xr:uid="{5AB4E9FB-200A-411A-BD9F-A1E6D6BA3C2C}"/>
    <cellStyle name="Note 2 2 2 5 3" xfId="6143" xr:uid="{00000000-0005-0000-0000-0000B9200000}"/>
    <cellStyle name="Note 2 2 2 5 3 2" xfId="14585" xr:uid="{65F9B6DF-05AB-4C40-9E1A-F70E5A747245}"/>
    <cellStyle name="Note 2 2 2 5 3 3" xfId="23022" xr:uid="{A2C8345F-C92D-4E25-8F9D-2791155341F3}"/>
    <cellStyle name="Note 2 2 2 5 4" xfId="10367" xr:uid="{0F3E79F8-6B1D-48A5-80A2-E503E02B6E6F}"/>
    <cellStyle name="Note 2 2 2 5 5" xfId="18805" xr:uid="{401E461C-916D-47D1-8EE6-204D03B3F49D}"/>
    <cellStyle name="Note 2 2 2 6" xfId="2249" xr:uid="{00000000-0005-0000-0000-0000BA200000}"/>
    <cellStyle name="Note 2 2 2 6 2" xfId="4478" xr:uid="{00000000-0005-0000-0000-0000BB200000}"/>
    <cellStyle name="Note 2 2 2 6 2 2" xfId="8701" xr:uid="{00000000-0005-0000-0000-0000BC200000}"/>
    <cellStyle name="Note 2 2 2 6 2 2 2" xfId="17143" xr:uid="{C665BD8B-2E32-4F1E-A0E2-734CE9DF57C9}"/>
    <cellStyle name="Note 2 2 2 6 2 2 3" xfId="25580" xr:uid="{A0E1A597-9611-4BBB-A5CB-B28E987ED501}"/>
    <cellStyle name="Note 2 2 2 6 2 3" xfId="12925" xr:uid="{DEA63D16-20B5-4ED0-A81D-F87B279CCD9F}"/>
    <cellStyle name="Note 2 2 2 6 2 4" xfId="21363" xr:uid="{AA212A90-7504-45E2-8194-FBE1B3D70217}"/>
    <cellStyle name="Note 2 2 2 6 3" xfId="6556" xr:uid="{00000000-0005-0000-0000-0000BD200000}"/>
    <cellStyle name="Note 2 2 2 6 3 2" xfId="14998" xr:uid="{2DE17E5B-BDDF-4B49-9A6A-01D005D864D3}"/>
    <cellStyle name="Note 2 2 2 6 3 3" xfId="23435" xr:uid="{CC24C2B1-BC6E-4845-98EB-BAF5E2CDD073}"/>
    <cellStyle name="Note 2 2 2 6 4" xfId="10780" xr:uid="{23595457-E05C-489E-BBE1-69A3B3DAA860}"/>
    <cellStyle name="Note 2 2 2 6 5" xfId="19218" xr:uid="{C23FAF42-FA36-48C4-9E98-48C7710D0BFD}"/>
    <cellStyle name="Note 2 2 2 7" xfId="2685" xr:uid="{00000000-0005-0000-0000-0000BE200000}"/>
    <cellStyle name="Note 2 2 2 7 2" xfId="6969" xr:uid="{00000000-0005-0000-0000-0000BF200000}"/>
    <cellStyle name="Note 2 2 2 7 2 2" xfId="15411" xr:uid="{F68D0706-0F67-4308-A7A1-3CF37F45E41B}"/>
    <cellStyle name="Note 2 2 2 7 2 3" xfId="23848" xr:uid="{F80977A6-65DD-4B0C-8F74-1DAF8A10675E}"/>
    <cellStyle name="Note 2 2 2 7 3" xfId="11193" xr:uid="{AA7426E8-D72D-49DF-9A8E-E32095AD1D99}"/>
    <cellStyle name="Note 2 2 2 7 4" xfId="19631" xr:uid="{944223E4-D1AD-45EC-BB89-022C42E62277}"/>
    <cellStyle name="Note 2 2 2 8" xfId="2744" xr:uid="{00000000-0005-0000-0000-0000C0200000}"/>
    <cellStyle name="Note 2 2 2 9" xfId="2825" xr:uid="{00000000-0005-0000-0000-0000C1200000}"/>
    <cellStyle name="Note 2 2 2 9 2" xfId="7049" xr:uid="{00000000-0005-0000-0000-0000C2200000}"/>
    <cellStyle name="Note 2 2 2 9 2 2" xfId="15491" xr:uid="{799EE88D-DD4B-4BC9-9F53-CB719DF523D5}"/>
    <cellStyle name="Note 2 2 2 9 2 3" xfId="23928" xr:uid="{2ED98066-2160-4780-ACAE-0B583AF81AE5}"/>
    <cellStyle name="Note 2 2 2 9 3" xfId="11273" xr:uid="{A157B31F-36A5-4ED6-89B9-A263F1EEAE7C}"/>
    <cellStyle name="Note 2 2 2 9 4" xfId="19711" xr:uid="{BD4C51CD-340F-48B2-BCCA-6F6CC6FF4E9C}"/>
    <cellStyle name="Note 2 2 3" xfId="548" xr:uid="{00000000-0005-0000-0000-0000C3200000}"/>
    <cellStyle name="Note 2 2 3 10" xfId="9130" xr:uid="{7B324303-9DAA-4F08-8950-E9F5A5A10F3C}"/>
    <cellStyle name="Note 2 2 3 11" xfId="17568" xr:uid="{A7B76928-2BDA-48F5-A448-751D8FB51D09}"/>
    <cellStyle name="Note 2 2 3 2" xfId="1009" xr:uid="{00000000-0005-0000-0000-0000C4200000}"/>
    <cellStyle name="Note 2 2 3 2 2" xfId="3241" xr:uid="{00000000-0005-0000-0000-0000C5200000}"/>
    <cellStyle name="Note 2 2 3 2 2 2" xfId="7464" xr:uid="{00000000-0005-0000-0000-0000C6200000}"/>
    <cellStyle name="Note 2 2 3 2 2 2 2" xfId="15906" xr:uid="{9801B79F-EA94-4ADF-AFD0-BD9C38AB0DCE}"/>
    <cellStyle name="Note 2 2 3 2 2 2 3" xfId="24343" xr:uid="{E9A9406C-E503-4093-9115-C117E30131B0}"/>
    <cellStyle name="Note 2 2 3 2 2 3" xfId="11688" xr:uid="{BD4B9946-545C-41B8-85E3-D98FB867623C}"/>
    <cellStyle name="Note 2 2 3 2 2 4" xfId="20126" xr:uid="{673B53BE-2028-4A25-B67F-92FFC43609AD}"/>
    <cellStyle name="Note 2 2 3 2 3" xfId="5319" xr:uid="{00000000-0005-0000-0000-0000C7200000}"/>
    <cellStyle name="Note 2 2 3 2 3 2" xfId="13761" xr:uid="{61CECFD1-5131-4565-9645-755B22EB78EF}"/>
    <cellStyle name="Note 2 2 3 2 3 3" xfId="22198" xr:uid="{73C0125A-6BBC-495A-849D-414D10A67624}"/>
    <cellStyle name="Note 2 2 3 2 4" xfId="9543" xr:uid="{56EA39A1-6261-4766-88E7-7B363025768E}"/>
    <cellStyle name="Note 2 2 3 2 5" xfId="17981" xr:uid="{A333F9EA-0C6F-42BD-99C2-A3803E26B675}"/>
    <cellStyle name="Note 2 2 3 3" xfId="1424" xr:uid="{00000000-0005-0000-0000-0000C8200000}"/>
    <cellStyle name="Note 2 2 3 3 2" xfId="3654" xr:uid="{00000000-0005-0000-0000-0000C9200000}"/>
    <cellStyle name="Note 2 2 3 3 2 2" xfId="7877" xr:uid="{00000000-0005-0000-0000-0000CA200000}"/>
    <cellStyle name="Note 2 2 3 3 2 2 2" xfId="16319" xr:uid="{2603BFFE-E32F-4077-9EAB-F7CB27AA87C9}"/>
    <cellStyle name="Note 2 2 3 3 2 2 3" xfId="24756" xr:uid="{447416AE-9E0B-42AA-AA5C-438F82C3F736}"/>
    <cellStyle name="Note 2 2 3 3 2 3" xfId="12101" xr:uid="{8233B5AA-6594-4B9C-A79C-5F0AF746514B}"/>
    <cellStyle name="Note 2 2 3 3 2 4" xfId="20539" xr:uid="{7A9E4B74-A920-4CE5-A3A6-A68C9C7E7392}"/>
    <cellStyle name="Note 2 2 3 3 3" xfId="5732" xr:uid="{00000000-0005-0000-0000-0000CB200000}"/>
    <cellStyle name="Note 2 2 3 3 3 2" xfId="14174" xr:uid="{DF6AFBA0-637D-4E69-A935-A05627C87DCF}"/>
    <cellStyle name="Note 2 2 3 3 3 3" xfId="22611" xr:uid="{D2C31E95-4C2D-4685-87DF-F7BCB69A9755}"/>
    <cellStyle name="Note 2 2 3 3 4" xfId="9956" xr:uid="{A4ACD685-8846-45E4-9845-2AA7E3FE7C86}"/>
    <cellStyle name="Note 2 2 3 3 5" xfId="18394" xr:uid="{1E81309E-0BE8-4DB4-84DD-6F27C16766FE}"/>
    <cellStyle name="Note 2 2 3 4" xfId="1838" xr:uid="{00000000-0005-0000-0000-0000CC200000}"/>
    <cellStyle name="Note 2 2 3 4 2" xfId="4067" xr:uid="{00000000-0005-0000-0000-0000CD200000}"/>
    <cellStyle name="Note 2 2 3 4 2 2" xfId="8290" xr:uid="{00000000-0005-0000-0000-0000CE200000}"/>
    <cellStyle name="Note 2 2 3 4 2 2 2" xfId="16732" xr:uid="{DED7996F-7971-4EF2-A553-BF7E35F185A1}"/>
    <cellStyle name="Note 2 2 3 4 2 2 3" xfId="25169" xr:uid="{D33D37BD-1559-4756-A17F-0791E3F1035A}"/>
    <cellStyle name="Note 2 2 3 4 2 3" xfId="12514" xr:uid="{49F414EF-8D70-4313-B901-C5F9133A8FA8}"/>
    <cellStyle name="Note 2 2 3 4 2 4" xfId="20952" xr:uid="{2CCB332E-E160-4079-88EA-93FC83C53595}"/>
    <cellStyle name="Note 2 2 3 4 3" xfId="6145" xr:uid="{00000000-0005-0000-0000-0000CF200000}"/>
    <cellStyle name="Note 2 2 3 4 3 2" xfId="14587" xr:uid="{D99564AE-EFEB-46C8-9F8E-39B3A0880EA0}"/>
    <cellStyle name="Note 2 2 3 4 3 3" xfId="23024" xr:uid="{EE22B978-7640-4C30-BBAF-91B8689142ED}"/>
    <cellStyle name="Note 2 2 3 4 4" xfId="10369" xr:uid="{6F553392-0B29-4BB1-8981-F017A13A61BD}"/>
    <cellStyle name="Note 2 2 3 4 5" xfId="18807" xr:uid="{456C2B29-323C-4A63-8BA9-971DE91E4F7B}"/>
    <cellStyle name="Note 2 2 3 5" xfId="2251" xr:uid="{00000000-0005-0000-0000-0000D0200000}"/>
    <cellStyle name="Note 2 2 3 5 2" xfId="4480" xr:uid="{00000000-0005-0000-0000-0000D1200000}"/>
    <cellStyle name="Note 2 2 3 5 2 2" xfId="8703" xr:uid="{00000000-0005-0000-0000-0000D2200000}"/>
    <cellStyle name="Note 2 2 3 5 2 2 2" xfId="17145" xr:uid="{86641B17-6FE5-4EDE-948C-146B534112A9}"/>
    <cellStyle name="Note 2 2 3 5 2 2 3" xfId="25582" xr:uid="{943368C6-B691-40C8-9556-28DAF3E03239}"/>
    <cellStyle name="Note 2 2 3 5 2 3" xfId="12927" xr:uid="{5ED7DC12-E373-4C8C-8AB8-6495FDD1B416}"/>
    <cellStyle name="Note 2 2 3 5 2 4" xfId="21365" xr:uid="{7FAC39C9-1D49-4579-99BC-7BCA3FE2CB0F}"/>
    <cellStyle name="Note 2 2 3 5 3" xfId="6558" xr:uid="{00000000-0005-0000-0000-0000D3200000}"/>
    <cellStyle name="Note 2 2 3 5 3 2" xfId="15000" xr:uid="{4C18580E-00ED-492D-A7EE-9380480F009B}"/>
    <cellStyle name="Note 2 2 3 5 3 3" xfId="23437" xr:uid="{2631431E-9DAB-48C5-A652-F04F430DE7AE}"/>
    <cellStyle name="Note 2 2 3 5 4" xfId="10782" xr:uid="{C8DC4A14-821D-451C-8FF2-7955CBD4E106}"/>
    <cellStyle name="Note 2 2 3 5 5" xfId="19220" xr:uid="{EDFFFA92-4490-4A6C-85C6-51BC05C131BB}"/>
    <cellStyle name="Note 2 2 3 6" xfId="2687" xr:uid="{00000000-0005-0000-0000-0000D4200000}"/>
    <cellStyle name="Note 2 2 3 6 2" xfId="6971" xr:uid="{00000000-0005-0000-0000-0000D5200000}"/>
    <cellStyle name="Note 2 2 3 6 2 2" xfId="15413" xr:uid="{1368B666-0C64-41DA-8414-D88C4D481F43}"/>
    <cellStyle name="Note 2 2 3 6 2 3" xfId="23850" xr:uid="{0886CE58-F41A-4978-B10A-EB5C0ACE8178}"/>
    <cellStyle name="Note 2 2 3 6 3" xfId="11195" xr:uid="{50B629E3-49FE-4809-A765-8DFDD04BF232}"/>
    <cellStyle name="Note 2 2 3 6 4" xfId="19633" xr:uid="{A1ADFA71-7246-44AA-A92E-FBAAAC94BDED}"/>
    <cellStyle name="Note 2 2 3 7" xfId="2746" xr:uid="{00000000-0005-0000-0000-0000D6200000}"/>
    <cellStyle name="Note 2 2 3 8" xfId="2827" xr:uid="{00000000-0005-0000-0000-0000D7200000}"/>
    <cellStyle name="Note 2 2 3 8 2" xfId="7051" xr:uid="{00000000-0005-0000-0000-0000D8200000}"/>
    <cellStyle name="Note 2 2 3 8 2 2" xfId="15493" xr:uid="{90605FFE-0FC4-48BA-8D7E-9F0A4B4C3AE1}"/>
    <cellStyle name="Note 2 2 3 8 2 3" xfId="23930" xr:uid="{F3A4229E-53F9-432C-8A6A-3D524FB03CD6}"/>
    <cellStyle name="Note 2 2 3 8 3" xfId="11275" xr:uid="{B2E3817D-2FB5-4C48-B249-3468166FC1F4}"/>
    <cellStyle name="Note 2 2 3 8 4" xfId="19713" xr:uid="{DE9CD9DE-1EB7-47B8-ADFB-4E706D9532AC}"/>
    <cellStyle name="Note 2 2 3 9" xfId="4906" xr:uid="{00000000-0005-0000-0000-0000D9200000}"/>
    <cellStyle name="Note 2 2 3 9 2" xfId="13348" xr:uid="{F84C0C74-A1CE-44DB-9D98-824F88B438FF}"/>
    <cellStyle name="Note 2 2 3 9 3" xfId="21785" xr:uid="{932209ED-F0A4-482A-BB38-676EBA02731E}"/>
    <cellStyle name="Note 2 2 4" xfId="1006" xr:uid="{00000000-0005-0000-0000-0000DA200000}"/>
    <cellStyle name="Note 2 2 4 2" xfId="3238" xr:uid="{00000000-0005-0000-0000-0000DB200000}"/>
    <cellStyle name="Note 2 2 4 2 2" xfId="7461" xr:uid="{00000000-0005-0000-0000-0000DC200000}"/>
    <cellStyle name="Note 2 2 4 2 2 2" xfId="15903" xr:uid="{7E0746AA-26E2-4E87-8980-19857243DCDD}"/>
    <cellStyle name="Note 2 2 4 2 2 3" xfId="24340" xr:uid="{FEF2D57D-D052-4B34-9BDC-C6F28E95DB79}"/>
    <cellStyle name="Note 2 2 4 2 3" xfId="11685" xr:uid="{2167C784-EB41-4636-8C7E-F916EF9CE0C4}"/>
    <cellStyle name="Note 2 2 4 2 4" xfId="20123" xr:uid="{08344120-56D5-411B-B737-ACC75C15899E}"/>
    <cellStyle name="Note 2 2 4 3" xfId="5316" xr:uid="{00000000-0005-0000-0000-0000DD200000}"/>
    <cellStyle name="Note 2 2 4 3 2" xfId="13758" xr:uid="{1821AA9C-9FC3-4873-AE9B-D7B65BE14691}"/>
    <cellStyle name="Note 2 2 4 3 3" xfId="22195" xr:uid="{4A9103C6-50AD-4693-8710-5F3901AA5990}"/>
    <cellStyle name="Note 2 2 4 4" xfId="9540" xr:uid="{EFB2AA44-8863-459C-9C9E-3C4064CB019E}"/>
    <cellStyle name="Note 2 2 4 5" xfId="17978" xr:uid="{55E050C1-94A3-4ED4-A929-16C948F6EE74}"/>
    <cellStyle name="Note 2 2 5" xfId="1421" xr:uid="{00000000-0005-0000-0000-0000DE200000}"/>
    <cellStyle name="Note 2 2 5 2" xfId="3651" xr:uid="{00000000-0005-0000-0000-0000DF200000}"/>
    <cellStyle name="Note 2 2 5 2 2" xfId="7874" xr:uid="{00000000-0005-0000-0000-0000E0200000}"/>
    <cellStyle name="Note 2 2 5 2 2 2" xfId="16316" xr:uid="{D604C566-18ED-4D25-8692-0FD073D1AAF1}"/>
    <cellStyle name="Note 2 2 5 2 2 3" xfId="24753" xr:uid="{0F5F6ACB-62D2-4F7D-A7F3-BC4963261A08}"/>
    <cellStyle name="Note 2 2 5 2 3" xfId="12098" xr:uid="{17B50F1C-4CEA-4619-80DC-AE5E5759EA46}"/>
    <cellStyle name="Note 2 2 5 2 4" xfId="20536" xr:uid="{4B15BCFA-3875-470B-BAB3-77D025C6E153}"/>
    <cellStyle name="Note 2 2 5 3" xfId="5729" xr:uid="{00000000-0005-0000-0000-0000E1200000}"/>
    <cellStyle name="Note 2 2 5 3 2" xfId="14171" xr:uid="{6BEFC5EF-0D82-474A-B84C-0AE3C846A4AF}"/>
    <cellStyle name="Note 2 2 5 3 3" xfId="22608" xr:uid="{A5D6C874-A305-44C3-ADE9-6038D0047480}"/>
    <cellStyle name="Note 2 2 5 4" xfId="9953" xr:uid="{2687E09D-FE46-42C6-8EC0-7F0305DAE698}"/>
    <cellStyle name="Note 2 2 5 5" xfId="18391" xr:uid="{DAB76474-AEE4-4C22-9806-8DF41EDBDE7E}"/>
    <cellStyle name="Note 2 2 6" xfId="1835" xr:uid="{00000000-0005-0000-0000-0000E2200000}"/>
    <cellStyle name="Note 2 2 6 2" xfId="4064" xr:uid="{00000000-0005-0000-0000-0000E3200000}"/>
    <cellStyle name="Note 2 2 6 2 2" xfId="8287" xr:uid="{00000000-0005-0000-0000-0000E4200000}"/>
    <cellStyle name="Note 2 2 6 2 2 2" xfId="16729" xr:uid="{CDF3E13C-A002-47A3-A63C-41F1F7D1C6D0}"/>
    <cellStyle name="Note 2 2 6 2 2 3" xfId="25166" xr:uid="{B403C49D-53A8-43FA-A1DB-B66B528E6804}"/>
    <cellStyle name="Note 2 2 6 2 3" xfId="12511" xr:uid="{12A22F64-55A2-4DDA-A7BE-88333A8DE837}"/>
    <cellStyle name="Note 2 2 6 2 4" xfId="20949" xr:uid="{DDFAAF9A-1F4B-4613-87A1-C19B0E2CF496}"/>
    <cellStyle name="Note 2 2 6 3" xfId="6142" xr:uid="{00000000-0005-0000-0000-0000E5200000}"/>
    <cellStyle name="Note 2 2 6 3 2" xfId="14584" xr:uid="{986ECEB6-B9B0-4FF2-B0F7-D0C7AFC7B3AA}"/>
    <cellStyle name="Note 2 2 6 3 3" xfId="23021" xr:uid="{584E3211-69BF-4858-AD11-4D48F2A65A11}"/>
    <cellStyle name="Note 2 2 6 4" xfId="10366" xr:uid="{002C7D20-D089-4A50-A3F7-6ED8C0113F15}"/>
    <cellStyle name="Note 2 2 6 5" xfId="18804" xr:uid="{7A52B94A-08E9-41C3-98EA-D1461BDAE0EA}"/>
    <cellStyle name="Note 2 2 7" xfId="2248" xr:uid="{00000000-0005-0000-0000-0000E6200000}"/>
    <cellStyle name="Note 2 2 7 2" xfId="4477" xr:uid="{00000000-0005-0000-0000-0000E7200000}"/>
    <cellStyle name="Note 2 2 7 2 2" xfId="8700" xr:uid="{00000000-0005-0000-0000-0000E8200000}"/>
    <cellStyle name="Note 2 2 7 2 2 2" xfId="17142" xr:uid="{D650AA57-CD48-4BDC-9D39-D031C970C49A}"/>
    <cellStyle name="Note 2 2 7 2 2 3" xfId="25579" xr:uid="{0E574F6C-3CF1-4453-9B44-2A5AED795A18}"/>
    <cellStyle name="Note 2 2 7 2 3" xfId="12924" xr:uid="{E27323C5-3820-41E3-A9CE-7C240C1EA5E9}"/>
    <cellStyle name="Note 2 2 7 2 4" xfId="21362" xr:uid="{52BA5551-AAFC-4A1B-BD20-EC510E57DD22}"/>
    <cellStyle name="Note 2 2 7 3" xfId="6555" xr:uid="{00000000-0005-0000-0000-0000E9200000}"/>
    <cellStyle name="Note 2 2 7 3 2" xfId="14997" xr:uid="{ABD335FC-82F4-46C7-A457-AC776A75C32E}"/>
    <cellStyle name="Note 2 2 7 3 3" xfId="23434" xr:uid="{FD033025-7086-4F16-B793-60FFF07F3181}"/>
    <cellStyle name="Note 2 2 7 4" xfId="10779" xr:uid="{365C85DE-C37F-41A1-8C0D-3B4914898AB4}"/>
    <cellStyle name="Note 2 2 7 5" xfId="19217" xr:uid="{667E505D-9793-4D80-B505-442C5008CC13}"/>
    <cellStyle name="Note 2 2 8" xfId="2684" xr:uid="{00000000-0005-0000-0000-0000EA200000}"/>
    <cellStyle name="Note 2 2 8 2" xfId="6968" xr:uid="{00000000-0005-0000-0000-0000EB200000}"/>
    <cellStyle name="Note 2 2 8 2 2" xfId="15410" xr:uid="{2FF2CA6A-10BE-4EB5-8829-B0DA3F7D836D}"/>
    <cellStyle name="Note 2 2 8 2 3" xfId="23847" xr:uid="{2F9EE825-CCAA-4C89-A9DA-E788A92069C8}"/>
    <cellStyle name="Note 2 2 8 3" xfId="11192" xr:uid="{7481FE93-3601-40D1-929D-C31B54D318D7}"/>
    <cellStyle name="Note 2 2 8 4" xfId="19630" xr:uid="{9D602F47-4F65-413B-8492-8117A93D94BD}"/>
    <cellStyle name="Note 2 2 9" xfId="2743" xr:uid="{00000000-0005-0000-0000-0000EC200000}"/>
    <cellStyle name="Note 2 3" xfId="549" xr:uid="{00000000-0005-0000-0000-0000ED200000}"/>
    <cellStyle name="Note 2 3 10" xfId="4907" xr:uid="{00000000-0005-0000-0000-0000EE200000}"/>
    <cellStyle name="Note 2 3 10 2" xfId="13349" xr:uid="{B4A4B288-B472-4AB1-B91F-2CE11302CD8E}"/>
    <cellStyle name="Note 2 3 10 3" xfId="21786" xr:uid="{95F08C52-492E-4C02-B956-C087469C3DC9}"/>
    <cellStyle name="Note 2 3 11" xfId="9131" xr:uid="{61D471E1-5C70-4BCD-9978-519E59DB2611}"/>
    <cellStyle name="Note 2 3 12" xfId="17569" xr:uid="{71484421-A483-41BB-839A-73120FE2FCFB}"/>
    <cellStyle name="Note 2 3 2" xfId="550" xr:uid="{00000000-0005-0000-0000-0000EF200000}"/>
    <cellStyle name="Note 2 3 2 10" xfId="9132" xr:uid="{426E08E7-5698-4786-A4EB-303833D44C01}"/>
    <cellStyle name="Note 2 3 2 11" xfId="17570" xr:uid="{F7B45C40-E12F-4BBC-8EA3-CDF9EC3A45F3}"/>
    <cellStyle name="Note 2 3 2 2" xfId="1011" xr:uid="{00000000-0005-0000-0000-0000F0200000}"/>
    <cellStyle name="Note 2 3 2 2 2" xfId="3243" xr:uid="{00000000-0005-0000-0000-0000F1200000}"/>
    <cellStyle name="Note 2 3 2 2 2 2" xfId="7466" xr:uid="{00000000-0005-0000-0000-0000F2200000}"/>
    <cellStyle name="Note 2 3 2 2 2 2 2" xfId="15908" xr:uid="{36EF50DC-48F6-4ADD-9A73-4E68E1682FF5}"/>
    <cellStyle name="Note 2 3 2 2 2 2 3" xfId="24345" xr:uid="{5C9841B1-A39A-458F-8F4B-B1E0B2D38A27}"/>
    <cellStyle name="Note 2 3 2 2 2 3" xfId="11690" xr:uid="{61FDCD76-652E-4EAB-8573-83CD095683FD}"/>
    <cellStyle name="Note 2 3 2 2 2 4" xfId="20128" xr:uid="{6214C63C-ED6F-458F-9E21-6936EBAA47E6}"/>
    <cellStyle name="Note 2 3 2 2 3" xfId="5321" xr:uid="{00000000-0005-0000-0000-0000F3200000}"/>
    <cellStyle name="Note 2 3 2 2 3 2" xfId="13763" xr:uid="{04D1190A-4729-4809-8DF4-6DCEC1E41CCC}"/>
    <cellStyle name="Note 2 3 2 2 3 3" xfId="22200" xr:uid="{10F3126F-ABDE-4FE6-B2AF-A69D21F8F582}"/>
    <cellStyle name="Note 2 3 2 2 4" xfId="9545" xr:uid="{78F59448-BC29-4133-B1E9-2B84AF1D64C8}"/>
    <cellStyle name="Note 2 3 2 2 5" xfId="17983" xr:uid="{6C7561FD-4831-4F75-B42C-FBED8006CABD}"/>
    <cellStyle name="Note 2 3 2 3" xfId="1426" xr:uid="{00000000-0005-0000-0000-0000F4200000}"/>
    <cellStyle name="Note 2 3 2 3 2" xfId="3656" xr:uid="{00000000-0005-0000-0000-0000F5200000}"/>
    <cellStyle name="Note 2 3 2 3 2 2" xfId="7879" xr:uid="{00000000-0005-0000-0000-0000F6200000}"/>
    <cellStyle name="Note 2 3 2 3 2 2 2" xfId="16321" xr:uid="{8E9E522E-A83D-48BE-8888-701B50FB370E}"/>
    <cellStyle name="Note 2 3 2 3 2 2 3" xfId="24758" xr:uid="{B9232BCE-5303-4243-B8E4-5C3BDF378D6D}"/>
    <cellStyle name="Note 2 3 2 3 2 3" xfId="12103" xr:uid="{73AB04BF-5C08-4B31-8652-DB78F7D2F520}"/>
    <cellStyle name="Note 2 3 2 3 2 4" xfId="20541" xr:uid="{832014AE-6111-4004-AFEC-47FA9832C660}"/>
    <cellStyle name="Note 2 3 2 3 3" xfId="5734" xr:uid="{00000000-0005-0000-0000-0000F7200000}"/>
    <cellStyle name="Note 2 3 2 3 3 2" xfId="14176" xr:uid="{7DCC720E-3D88-4014-A049-356657874D80}"/>
    <cellStyle name="Note 2 3 2 3 3 3" xfId="22613" xr:uid="{9C4CB876-0C0C-436E-8856-6FF8DD570226}"/>
    <cellStyle name="Note 2 3 2 3 4" xfId="9958" xr:uid="{C85B4C2B-072C-45F1-8E6E-84B98F888CA4}"/>
    <cellStyle name="Note 2 3 2 3 5" xfId="18396" xr:uid="{CF9E615D-04E0-472E-81DD-D8B050EE5614}"/>
    <cellStyle name="Note 2 3 2 4" xfId="1840" xr:uid="{00000000-0005-0000-0000-0000F8200000}"/>
    <cellStyle name="Note 2 3 2 4 2" xfId="4069" xr:uid="{00000000-0005-0000-0000-0000F9200000}"/>
    <cellStyle name="Note 2 3 2 4 2 2" xfId="8292" xr:uid="{00000000-0005-0000-0000-0000FA200000}"/>
    <cellStyle name="Note 2 3 2 4 2 2 2" xfId="16734" xr:uid="{1397709F-14BB-4F9D-84FE-B295BEA72DFB}"/>
    <cellStyle name="Note 2 3 2 4 2 2 3" xfId="25171" xr:uid="{7023C177-F04D-4723-83BC-00DBEE91C491}"/>
    <cellStyle name="Note 2 3 2 4 2 3" xfId="12516" xr:uid="{55FCA1E1-9369-45B1-92A4-73CC28B350AF}"/>
    <cellStyle name="Note 2 3 2 4 2 4" xfId="20954" xr:uid="{61AF432C-F098-4FAC-8EE8-54950313A2EE}"/>
    <cellStyle name="Note 2 3 2 4 3" xfId="6147" xr:uid="{00000000-0005-0000-0000-0000FB200000}"/>
    <cellStyle name="Note 2 3 2 4 3 2" xfId="14589" xr:uid="{60E5BEF5-BD67-448C-8E99-11AAB2A8AFD6}"/>
    <cellStyle name="Note 2 3 2 4 3 3" xfId="23026" xr:uid="{0663E51F-00D3-462A-912F-0BE79E06FCA9}"/>
    <cellStyle name="Note 2 3 2 4 4" xfId="10371" xr:uid="{9E775854-5DE3-4CE7-A298-44E3716C51AE}"/>
    <cellStyle name="Note 2 3 2 4 5" xfId="18809" xr:uid="{A8029356-3EEB-4FAD-AA7A-8B5CC17865C7}"/>
    <cellStyle name="Note 2 3 2 5" xfId="2253" xr:uid="{00000000-0005-0000-0000-0000FC200000}"/>
    <cellStyle name="Note 2 3 2 5 2" xfId="4482" xr:uid="{00000000-0005-0000-0000-0000FD200000}"/>
    <cellStyle name="Note 2 3 2 5 2 2" xfId="8705" xr:uid="{00000000-0005-0000-0000-0000FE200000}"/>
    <cellStyle name="Note 2 3 2 5 2 2 2" xfId="17147" xr:uid="{85B8B49D-2ACE-4711-B830-B882249E2111}"/>
    <cellStyle name="Note 2 3 2 5 2 2 3" xfId="25584" xr:uid="{47FACBDF-4465-4F73-9D38-B00FD19E184B}"/>
    <cellStyle name="Note 2 3 2 5 2 3" xfId="12929" xr:uid="{C60DF727-3934-4B6B-9941-3757CB0D303F}"/>
    <cellStyle name="Note 2 3 2 5 2 4" xfId="21367" xr:uid="{5D7BEE24-59AC-42B6-8186-D1D5C7422B3B}"/>
    <cellStyle name="Note 2 3 2 5 3" xfId="6560" xr:uid="{00000000-0005-0000-0000-0000FF200000}"/>
    <cellStyle name="Note 2 3 2 5 3 2" xfId="15002" xr:uid="{5A98D3F5-546B-4DC8-9508-9713AC18D69C}"/>
    <cellStyle name="Note 2 3 2 5 3 3" xfId="23439" xr:uid="{9DCD886D-3A70-435B-B328-B188176AD8F1}"/>
    <cellStyle name="Note 2 3 2 5 4" xfId="10784" xr:uid="{EFE7362C-A7A5-4B36-A9AC-ED705B8DA6BC}"/>
    <cellStyle name="Note 2 3 2 5 5" xfId="19222" xr:uid="{DF84CAC7-6E08-4768-8277-11D93803CC9B}"/>
    <cellStyle name="Note 2 3 2 6" xfId="2689" xr:uid="{00000000-0005-0000-0000-000000210000}"/>
    <cellStyle name="Note 2 3 2 6 2" xfId="6973" xr:uid="{00000000-0005-0000-0000-000001210000}"/>
    <cellStyle name="Note 2 3 2 6 2 2" xfId="15415" xr:uid="{4527DA1D-74E8-487E-8F92-EF22FD0CFB56}"/>
    <cellStyle name="Note 2 3 2 6 2 3" xfId="23852" xr:uid="{DDA0C4B9-8BEE-408D-B176-671549610021}"/>
    <cellStyle name="Note 2 3 2 6 3" xfId="11197" xr:uid="{FD4CC39E-C9D6-4212-96E4-1139A4FFF74A}"/>
    <cellStyle name="Note 2 3 2 6 4" xfId="19635" xr:uid="{CF60F7B6-9AC2-4769-A206-5967212DA740}"/>
    <cellStyle name="Note 2 3 2 7" xfId="2748" xr:uid="{00000000-0005-0000-0000-000002210000}"/>
    <cellStyle name="Note 2 3 2 8" xfId="2829" xr:uid="{00000000-0005-0000-0000-000003210000}"/>
    <cellStyle name="Note 2 3 2 8 2" xfId="7053" xr:uid="{00000000-0005-0000-0000-000004210000}"/>
    <cellStyle name="Note 2 3 2 8 2 2" xfId="15495" xr:uid="{BD89A3DC-2443-47C7-A550-83D1AD53D23D}"/>
    <cellStyle name="Note 2 3 2 8 2 3" xfId="23932" xr:uid="{8E55550A-1936-4620-B107-115DDB0EEF13}"/>
    <cellStyle name="Note 2 3 2 8 3" xfId="11277" xr:uid="{5C9499E7-33AE-490F-BA02-DA2D80BB2179}"/>
    <cellStyle name="Note 2 3 2 8 4" xfId="19715" xr:uid="{2F50CCA5-82A6-4101-B5A0-D12FF8F3E5B5}"/>
    <cellStyle name="Note 2 3 2 9" xfId="4908" xr:uid="{00000000-0005-0000-0000-000005210000}"/>
    <cellStyle name="Note 2 3 2 9 2" xfId="13350" xr:uid="{E4CBCA25-1D5E-4269-97DC-DAB1D13F7D71}"/>
    <cellStyle name="Note 2 3 2 9 3" xfId="21787" xr:uid="{3E2B5D1F-93DF-4E39-ADB9-669E1D301A05}"/>
    <cellStyle name="Note 2 3 3" xfId="1010" xr:uid="{00000000-0005-0000-0000-000006210000}"/>
    <cellStyle name="Note 2 3 3 2" xfId="3242" xr:uid="{00000000-0005-0000-0000-000007210000}"/>
    <cellStyle name="Note 2 3 3 2 2" xfId="7465" xr:uid="{00000000-0005-0000-0000-000008210000}"/>
    <cellStyle name="Note 2 3 3 2 2 2" xfId="15907" xr:uid="{93E57FC4-16FF-4E37-9B05-64A62EA15FC4}"/>
    <cellStyle name="Note 2 3 3 2 2 3" xfId="24344" xr:uid="{D1C4364C-6FCA-45E2-8BF7-E31980C9EC33}"/>
    <cellStyle name="Note 2 3 3 2 3" xfId="11689" xr:uid="{0CDC359B-5F17-47D6-9C40-905958DB401F}"/>
    <cellStyle name="Note 2 3 3 2 4" xfId="20127" xr:uid="{E8F55D04-593C-4377-A5F9-5091AEB9BE29}"/>
    <cellStyle name="Note 2 3 3 3" xfId="5320" xr:uid="{00000000-0005-0000-0000-000009210000}"/>
    <cellStyle name="Note 2 3 3 3 2" xfId="13762" xr:uid="{E6DEE020-AC28-47EC-9D8B-5401B3E65E5B}"/>
    <cellStyle name="Note 2 3 3 3 3" xfId="22199" xr:uid="{B9A79298-95C0-4819-BB46-6F5D685530EE}"/>
    <cellStyle name="Note 2 3 3 4" xfId="9544" xr:uid="{D6327BEB-D270-48A1-92E6-609AF344C0E9}"/>
    <cellStyle name="Note 2 3 3 5" xfId="17982" xr:uid="{1F19C849-5EF2-46C9-9458-975B7AA67828}"/>
    <cellStyle name="Note 2 3 4" xfId="1425" xr:uid="{00000000-0005-0000-0000-00000A210000}"/>
    <cellStyle name="Note 2 3 4 2" xfId="3655" xr:uid="{00000000-0005-0000-0000-00000B210000}"/>
    <cellStyle name="Note 2 3 4 2 2" xfId="7878" xr:uid="{00000000-0005-0000-0000-00000C210000}"/>
    <cellStyle name="Note 2 3 4 2 2 2" xfId="16320" xr:uid="{9DEA7F5D-2440-4884-8868-19FA6B7BC7F6}"/>
    <cellStyle name="Note 2 3 4 2 2 3" xfId="24757" xr:uid="{9A05EB26-7CA2-4D5E-A891-79E0CCE82BAA}"/>
    <cellStyle name="Note 2 3 4 2 3" xfId="12102" xr:uid="{07056468-EA3D-464C-BA7D-3D952CA0C59A}"/>
    <cellStyle name="Note 2 3 4 2 4" xfId="20540" xr:uid="{7384E776-30FB-48B1-A005-573C40920A30}"/>
    <cellStyle name="Note 2 3 4 3" xfId="5733" xr:uid="{00000000-0005-0000-0000-00000D210000}"/>
    <cellStyle name="Note 2 3 4 3 2" xfId="14175" xr:uid="{7BEFED79-8BFD-41E9-B05B-F3D0E9ADBDC5}"/>
    <cellStyle name="Note 2 3 4 3 3" xfId="22612" xr:uid="{27933978-4F5C-49C0-82A6-B39EADDFA3E2}"/>
    <cellStyle name="Note 2 3 4 4" xfId="9957" xr:uid="{1706A243-2F2F-4FC1-AE3B-BFE98C9F2DEF}"/>
    <cellStyle name="Note 2 3 4 5" xfId="18395" xr:uid="{3F11F312-9759-429B-A61F-12CDCE5DBE9D}"/>
    <cellStyle name="Note 2 3 5" xfId="1839" xr:uid="{00000000-0005-0000-0000-00000E210000}"/>
    <cellStyle name="Note 2 3 5 2" xfId="4068" xr:uid="{00000000-0005-0000-0000-00000F210000}"/>
    <cellStyle name="Note 2 3 5 2 2" xfId="8291" xr:uid="{00000000-0005-0000-0000-000010210000}"/>
    <cellStyle name="Note 2 3 5 2 2 2" xfId="16733" xr:uid="{39D7F5A8-F296-4AE5-B2FC-F8C2F581C69F}"/>
    <cellStyle name="Note 2 3 5 2 2 3" xfId="25170" xr:uid="{87621017-8DD8-4337-9B2D-899672E67A1F}"/>
    <cellStyle name="Note 2 3 5 2 3" xfId="12515" xr:uid="{8096E07C-CCF7-4D05-BCCC-EBA4257185E1}"/>
    <cellStyle name="Note 2 3 5 2 4" xfId="20953" xr:uid="{3BF54540-54BD-41E2-BB04-8EEC0AB4ACC9}"/>
    <cellStyle name="Note 2 3 5 3" xfId="6146" xr:uid="{00000000-0005-0000-0000-000011210000}"/>
    <cellStyle name="Note 2 3 5 3 2" xfId="14588" xr:uid="{49F2959C-A5F2-45E8-AFA3-DAB30D624F10}"/>
    <cellStyle name="Note 2 3 5 3 3" xfId="23025" xr:uid="{24DE7009-E484-4988-9321-A748142CD4D0}"/>
    <cellStyle name="Note 2 3 5 4" xfId="10370" xr:uid="{14C05E95-C68C-4AE6-B9CA-DE94B531675B}"/>
    <cellStyle name="Note 2 3 5 5" xfId="18808" xr:uid="{2251DAC5-79C8-463B-94E7-741A94B4A400}"/>
    <cellStyle name="Note 2 3 6" xfId="2252" xr:uid="{00000000-0005-0000-0000-000012210000}"/>
    <cellStyle name="Note 2 3 6 2" xfId="4481" xr:uid="{00000000-0005-0000-0000-000013210000}"/>
    <cellStyle name="Note 2 3 6 2 2" xfId="8704" xr:uid="{00000000-0005-0000-0000-000014210000}"/>
    <cellStyle name="Note 2 3 6 2 2 2" xfId="17146" xr:uid="{DA0520A1-9D6A-456F-8E5E-36EF2066BE12}"/>
    <cellStyle name="Note 2 3 6 2 2 3" xfId="25583" xr:uid="{CD1E9D8B-29AF-4EA7-AA7A-AFD55848EB71}"/>
    <cellStyle name="Note 2 3 6 2 3" xfId="12928" xr:uid="{DC7BD5B9-2AA0-4CB2-A96E-28C4433F9F37}"/>
    <cellStyle name="Note 2 3 6 2 4" xfId="21366" xr:uid="{183E9E2E-C1D4-4448-A3AB-6C6745854684}"/>
    <cellStyle name="Note 2 3 6 3" xfId="6559" xr:uid="{00000000-0005-0000-0000-000015210000}"/>
    <cellStyle name="Note 2 3 6 3 2" xfId="15001" xr:uid="{A2752689-025F-421A-8AA7-73922028F1AF}"/>
    <cellStyle name="Note 2 3 6 3 3" xfId="23438" xr:uid="{5C03BC66-E746-4B04-B7B2-25B73706E308}"/>
    <cellStyle name="Note 2 3 6 4" xfId="10783" xr:uid="{B668FCB9-1A39-4CE0-9BBF-772561879CAA}"/>
    <cellStyle name="Note 2 3 6 5" xfId="19221" xr:uid="{BD8ADF07-9907-4AA9-8645-5D7B43EA3D11}"/>
    <cellStyle name="Note 2 3 7" xfId="2688" xr:uid="{00000000-0005-0000-0000-000016210000}"/>
    <cellStyle name="Note 2 3 7 2" xfId="6972" xr:uid="{00000000-0005-0000-0000-000017210000}"/>
    <cellStyle name="Note 2 3 7 2 2" xfId="15414" xr:uid="{B535267A-7103-42FA-9517-4E97CF99B19D}"/>
    <cellStyle name="Note 2 3 7 2 3" xfId="23851" xr:uid="{CFC642EE-8D9A-47CF-ACE2-9BA9707E0C1D}"/>
    <cellStyle name="Note 2 3 7 3" xfId="11196" xr:uid="{FDE7084D-D18E-4C6E-85A1-15EE01321C32}"/>
    <cellStyle name="Note 2 3 7 4" xfId="19634" xr:uid="{4B3DEC95-ED39-4309-B8FA-F69C560A2FAE}"/>
    <cellStyle name="Note 2 3 8" xfId="2747" xr:uid="{00000000-0005-0000-0000-000018210000}"/>
    <cellStyle name="Note 2 3 9" xfId="2828" xr:uid="{00000000-0005-0000-0000-000019210000}"/>
    <cellStyle name="Note 2 3 9 2" xfId="7052" xr:uid="{00000000-0005-0000-0000-00001A210000}"/>
    <cellStyle name="Note 2 3 9 2 2" xfId="15494" xr:uid="{70A9E0B3-6841-4344-B8BB-E2D918AA8DC5}"/>
    <cellStyle name="Note 2 3 9 2 3" xfId="23931" xr:uid="{D9C23F54-5153-4CA3-817C-58F0C0F5BA08}"/>
    <cellStyle name="Note 2 3 9 3" xfId="11276" xr:uid="{E131E91D-8889-43A1-93E4-B016A9C08933}"/>
    <cellStyle name="Note 2 3 9 4" xfId="19714" xr:uid="{9266483C-62FF-497D-80A5-01D7DED60174}"/>
    <cellStyle name="Note 2 4" xfId="551" xr:uid="{00000000-0005-0000-0000-00001B210000}"/>
    <cellStyle name="Note 2 4 10" xfId="9133" xr:uid="{B88C06CD-1724-4432-89E1-969312579B53}"/>
    <cellStyle name="Note 2 4 11" xfId="17571" xr:uid="{1CB6D172-488F-4F21-8CBF-B3A866CBE990}"/>
    <cellStyle name="Note 2 4 2" xfId="1012" xr:uid="{00000000-0005-0000-0000-00001C210000}"/>
    <cellStyle name="Note 2 4 2 2" xfId="3244" xr:uid="{00000000-0005-0000-0000-00001D210000}"/>
    <cellStyle name="Note 2 4 2 2 2" xfId="7467" xr:uid="{00000000-0005-0000-0000-00001E210000}"/>
    <cellStyle name="Note 2 4 2 2 2 2" xfId="15909" xr:uid="{09513813-82F4-49D2-B9F3-FFC398B200BA}"/>
    <cellStyle name="Note 2 4 2 2 2 3" xfId="24346" xr:uid="{717D11C6-EDCF-43F4-AAE8-3C2EC0B24021}"/>
    <cellStyle name="Note 2 4 2 2 3" xfId="11691" xr:uid="{4A27D6D1-1B2E-4EF8-989E-7F10787C18A2}"/>
    <cellStyle name="Note 2 4 2 2 4" xfId="20129" xr:uid="{9B4E7031-2000-4A06-A0E0-F41845589F46}"/>
    <cellStyle name="Note 2 4 2 3" xfId="5322" xr:uid="{00000000-0005-0000-0000-00001F210000}"/>
    <cellStyle name="Note 2 4 2 3 2" xfId="13764" xr:uid="{60CA6816-5200-413F-85D5-66263AE7A3FD}"/>
    <cellStyle name="Note 2 4 2 3 3" xfId="22201" xr:uid="{40F8C23E-B8FE-4EB2-B759-553A8644577D}"/>
    <cellStyle name="Note 2 4 2 4" xfId="9546" xr:uid="{F3A0D052-7CF3-4DBA-8CB0-9ACC3E47B1E6}"/>
    <cellStyle name="Note 2 4 2 5" xfId="17984" xr:uid="{FCB8236B-D51F-4F4D-87CC-379A2AE08D25}"/>
    <cellStyle name="Note 2 4 3" xfId="1427" xr:uid="{00000000-0005-0000-0000-000020210000}"/>
    <cellStyle name="Note 2 4 3 2" xfId="3657" xr:uid="{00000000-0005-0000-0000-000021210000}"/>
    <cellStyle name="Note 2 4 3 2 2" xfId="7880" xr:uid="{00000000-0005-0000-0000-000022210000}"/>
    <cellStyle name="Note 2 4 3 2 2 2" xfId="16322" xr:uid="{8467158C-639E-46E7-AD0A-E5C48C1E75E2}"/>
    <cellStyle name="Note 2 4 3 2 2 3" xfId="24759" xr:uid="{7AB67791-B91D-4E92-9668-156E7B44911D}"/>
    <cellStyle name="Note 2 4 3 2 3" xfId="12104" xr:uid="{DF5C5282-AA7A-4B0F-A60A-3FB67EC4C10D}"/>
    <cellStyle name="Note 2 4 3 2 4" xfId="20542" xr:uid="{4B060A09-E3BA-4971-B7FA-996207CEB51D}"/>
    <cellStyle name="Note 2 4 3 3" xfId="5735" xr:uid="{00000000-0005-0000-0000-000023210000}"/>
    <cellStyle name="Note 2 4 3 3 2" xfId="14177" xr:uid="{9C8C5F53-CA11-4D38-8C52-DFBCFF974456}"/>
    <cellStyle name="Note 2 4 3 3 3" xfId="22614" xr:uid="{0CC0F094-B119-48E5-AA64-CB8DD6A82772}"/>
    <cellStyle name="Note 2 4 3 4" xfId="9959" xr:uid="{127E9828-B4BB-45A8-A39E-05F9A637E610}"/>
    <cellStyle name="Note 2 4 3 5" xfId="18397" xr:uid="{F04BFAE2-0738-4D52-9EE4-2077E46B7112}"/>
    <cellStyle name="Note 2 4 4" xfId="1841" xr:uid="{00000000-0005-0000-0000-000024210000}"/>
    <cellStyle name="Note 2 4 4 2" xfId="4070" xr:uid="{00000000-0005-0000-0000-000025210000}"/>
    <cellStyle name="Note 2 4 4 2 2" xfId="8293" xr:uid="{00000000-0005-0000-0000-000026210000}"/>
    <cellStyle name="Note 2 4 4 2 2 2" xfId="16735" xr:uid="{65302E7B-6179-4816-B100-E8C857C62A67}"/>
    <cellStyle name="Note 2 4 4 2 2 3" xfId="25172" xr:uid="{1D9F6579-7FC5-4F4D-BAB0-B20A93EBD39C}"/>
    <cellStyle name="Note 2 4 4 2 3" xfId="12517" xr:uid="{E404B35B-3FDB-41D9-B4BA-2390A9A4AD66}"/>
    <cellStyle name="Note 2 4 4 2 4" xfId="20955" xr:uid="{AE45C657-3F65-41EA-921D-5019E03D8F1A}"/>
    <cellStyle name="Note 2 4 4 3" xfId="6148" xr:uid="{00000000-0005-0000-0000-000027210000}"/>
    <cellStyle name="Note 2 4 4 3 2" xfId="14590" xr:uid="{94CA0B8A-7C0B-4028-BA10-8EB8C9120447}"/>
    <cellStyle name="Note 2 4 4 3 3" xfId="23027" xr:uid="{1DEE7396-8DFC-4142-8476-38C2A2B232FC}"/>
    <cellStyle name="Note 2 4 4 4" xfId="10372" xr:uid="{45B1FCC2-548B-44FD-BC97-E2B675FE962A}"/>
    <cellStyle name="Note 2 4 4 5" xfId="18810" xr:uid="{4574DB32-B1A1-40C6-8FCA-C562250A86DA}"/>
    <cellStyle name="Note 2 4 5" xfId="2254" xr:uid="{00000000-0005-0000-0000-000028210000}"/>
    <cellStyle name="Note 2 4 5 2" xfId="4483" xr:uid="{00000000-0005-0000-0000-000029210000}"/>
    <cellStyle name="Note 2 4 5 2 2" xfId="8706" xr:uid="{00000000-0005-0000-0000-00002A210000}"/>
    <cellStyle name="Note 2 4 5 2 2 2" xfId="17148" xr:uid="{4D541ED7-397C-47C4-9536-936D680DD3FC}"/>
    <cellStyle name="Note 2 4 5 2 2 3" xfId="25585" xr:uid="{D53C1E3D-21BB-44E5-9511-810369F3C85B}"/>
    <cellStyle name="Note 2 4 5 2 3" xfId="12930" xr:uid="{C8BEE176-51AF-4B92-A688-3EF58F8F8506}"/>
    <cellStyle name="Note 2 4 5 2 4" xfId="21368" xr:uid="{018CEE88-A68C-4258-9C0B-BDBCC5CF473B}"/>
    <cellStyle name="Note 2 4 5 3" xfId="6561" xr:uid="{00000000-0005-0000-0000-00002B210000}"/>
    <cellStyle name="Note 2 4 5 3 2" xfId="15003" xr:uid="{B3818585-5952-4E33-83D1-BBBC943F4071}"/>
    <cellStyle name="Note 2 4 5 3 3" xfId="23440" xr:uid="{7110BE3D-1E02-42C9-816B-9E3A8B5EB239}"/>
    <cellStyle name="Note 2 4 5 4" xfId="10785" xr:uid="{D9E579AE-2842-4489-864E-ECF63D0D4345}"/>
    <cellStyle name="Note 2 4 5 5" xfId="19223" xr:uid="{A4D45DDB-71FF-4798-A409-B7EDCCEDF983}"/>
    <cellStyle name="Note 2 4 6" xfId="2690" xr:uid="{00000000-0005-0000-0000-00002C210000}"/>
    <cellStyle name="Note 2 4 6 2" xfId="6974" xr:uid="{00000000-0005-0000-0000-00002D210000}"/>
    <cellStyle name="Note 2 4 6 2 2" xfId="15416" xr:uid="{C1F7A787-EDA0-4063-A55A-0C19D7229CBA}"/>
    <cellStyle name="Note 2 4 6 2 3" xfId="23853" xr:uid="{B288D51F-52F7-4127-AB3F-601DDCE26E62}"/>
    <cellStyle name="Note 2 4 6 3" xfId="11198" xr:uid="{8F378429-3A47-497C-8820-6570CD5FACBE}"/>
    <cellStyle name="Note 2 4 6 4" xfId="19636" xr:uid="{AE035321-27B9-4758-8EA1-B6678880CA03}"/>
    <cellStyle name="Note 2 4 7" xfId="2749" xr:uid="{00000000-0005-0000-0000-00002E210000}"/>
    <cellStyle name="Note 2 4 8" xfId="2830" xr:uid="{00000000-0005-0000-0000-00002F210000}"/>
    <cellStyle name="Note 2 4 8 2" xfId="7054" xr:uid="{00000000-0005-0000-0000-000030210000}"/>
    <cellStyle name="Note 2 4 8 2 2" xfId="15496" xr:uid="{C086E1CF-2CB7-4FD9-97D8-EA87F188841E}"/>
    <cellStyle name="Note 2 4 8 2 3" xfId="23933" xr:uid="{9B729213-B1C5-4BAF-A825-496434307128}"/>
    <cellStyle name="Note 2 4 8 3" xfId="11278" xr:uid="{4CE146AA-278B-4162-B594-E83091038C38}"/>
    <cellStyle name="Note 2 4 8 4" xfId="19716" xr:uid="{A9A3A995-CC49-46E9-8DC9-A3479B714E1D}"/>
    <cellStyle name="Note 2 4 9" xfId="4909" xr:uid="{00000000-0005-0000-0000-000031210000}"/>
    <cellStyle name="Note 2 4 9 2" xfId="13351" xr:uid="{3695EA55-13B5-4D89-8D98-6099152D565B}"/>
    <cellStyle name="Note 2 4 9 3" xfId="21788" xr:uid="{17BE2D14-1CD6-4C38-A736-36D570B07EA5}"/>
    <cellStyle name="Note 2 5" xfId="552" xr:uid="{00000000-0005-0000-0000-000032210000}"/>
    <cellStyle name="Note 2 5 10" xfId="9134" xr:uid="{23597ECE-9AF9-465E-B082-1B933208ABC8}"/>
    <cellStyle name="Note 2 5 11" xfId="17572" xr:uid="{4307BA0B-1BD4-42C2-B470-2CC0837452B2}"/>
    <cellStyle name="Note 2 5 2" xfId="1013" xr:uid="{00000000-0005-0000-0000-000033210000}"/>
    <cellStyle name="Note 2 5 2 2" xfId="3245" xr:uid="{00000000-0005-0000-0000-000034210000}"/>
    <cellStyle name="Note 2 5 2 2 2" xfId="7468" xr:uid="{00000000-0005-0000-0000-000035210000}"/>
    <cellStyle name="Note 2 5 2 2 2 2" xfId="15910" xr:uid="{CAB464E3-31D2-4809-A4E4-8B155B71DC5F}"/>
    <cellStyle name="Note 2 5 2 2 2 3" xfId="24347" xr:uid="{D4B20492-258E-4433-9ACE-46EFCED2BE12}"/>
    <cellStyle name="Note 2 5 2 2 3" xfId="11692" xr:uid="{82FD6279-16CD-420C-9E76-14493EF11C93}"/>
    <cellStyle name="Note 2 5 2 2 4" xfId="20130" xr:uid="{84DD86D9-F936-4E52-97D7-776D771039E1}"/>
    <cellStyle name="Note 2 5 2 3" xfId="5323" xr:uid="{00000000-0005-0000-0000-000036210000}"/>
    <cellStyle name="Note 2 5 2 3 2" xfId="13765" xr:uid="{3780BB5B-C2B2-4377-805A-4D9422BDCC62}"/>
    <cellStyle name="Note 2 5 2 3 3" xfId="22202" xr:uid="{CE5C20FD-D553-4972-B958-A813C9BF553D}"/>
    <cellStyle name="Note 2 5 2 4" xfId="9547" xr:uid="{3733ABCB-A74B-4D1F-A234-C62AD60BA5BD}"/>
    <cellStyle name="Note 2 5 2 5" xfId="17985" xr:uid="{EA4C2313-B109-47EA-9DCA-113854CE983A}"/>
    <cellStyle name="Note 2 5 3" xfId="1428" xr:uid="{00000000-0005-0000-0000-000037210000}"/>
    <cellStyle name="Note 2 5 3 2" xfId="3658" xr:uid="{00000000-0005-0000-0000-000038210000}"/>
    <cellStyle name="Note 2 5 3 2 2" xfId="7881" xr:uid="{00000000-0005-0000-0000-000039210000}"/>
    <cellStyle name="Note 2 5 3 2 2 2" xfId="16323" xr:uid="{B651E32B-2050-4A79-A767-E0AACF2A1964}"/>
    <cellStyle name="Note 2 5 3 2 2 3" xfId="24760" xr:uid="{95C853E2-AE69-44CF-A561-46CC3CFC7E45}"/>
    <cellStyle name="Note 2 5 3 2 3" xfId="12105" xr:uid="{81B774B8-FD11-4FAF-82CD-3D65839AB709}"/>
    <cellStyle name="Note 2 5 3 2 4" xfId="20543" xr:uid="{9A07ACCE-1C58-47E3-B0E6-42E64AE55D38}"/>
    <cellStyle name="Note 2 5 3 3" xfId="5736" xr:uid="{00000000-0005-0000-0000-00003A210000}"/>
    <cellStyle name="Note 2 5 3 3 2" xfId="14178" xr:uid="{0F786C90-A0A0-4E25-9A06-13C6773B1C89}"/>
    <cellStyle name="Note 2 5 3 3 3" xfId="22615" xr:uid="{220A10B9-62D2-4746-8766-F8CD8B867839}"/>
    <cellStyle name="Note 2 5 3 4" xfId="9960" xr:uid="{DCF2CA62-6B39-4AFD-A5C4-02FC2067E96E}"/>
    <cellStyle name="Note 2 5 3 5" xfId="18398" xr:uid="{8B028287-512E-4FFC-AF49-76520D01B7EA}"/>
    <cellStyle name="Note 2 5 4" xfId="1842" xr:uid="{00000000-0005-0000-0000-00003B210000}"/>
    <cellStyle name="Note 2 5 4 2" xfId="4071" xr:uid="{00000000-0005-0000-0000-00003C210000}"/>
    <cellStyle name="Note 2 5 4 2 2" xfId="8294" xr:uid="{00000000-0005-0000-0000-00003D210000}"/>
    <cellStyle name="Note 2 5 4 2 2 2" xfId="16736" xr:uid="{AD543D9E-B20A-495A-A3F3-B92CC7F6E559}"/>
    <cellStyle name="Note 2 5 4 2 2 3" xfId="25173" xr:uid="{1406D625-8D65-45DD-A6C6-B714A13B574A}"/>
    <cellStyle name="Note 2 5 4 2 3" xfId="12518" xr:uid="{EA5CEBF3-BE38-4BF3-9E3F-B3A701AB073B}"/>
    <cellStyle name="Note 2 5 4 2 4" xfId="20956" xr:uid="{D1396FB4-472E-4C58-9D53-75BA7EE67E23}"/>
    <cellStyle name="Note 2 5 4 3" xfId="6149" xr:uid="{00000000-0005-0000-0000-00003E210000}"/>
    <cellStyle name="Note 2 5 4 3 2" xfId="14591" xr:uid="{AE4C2AAA-5BC0-4E0A-A90B-6A755E52FE37}"/>
    <cellStyle name="Note 2 5 4 3 3" xfId="23028" xr:uid="{FAB3ED38-152F-4452-9C94-739C85C47ECB}"/>
    <cellStyle name="Note 2 5 4 4" xfId="10373" xr:uid="{24ABC16C-77EE-4AC9-9DAB-D4BBF72A17A6}"/>
    <cellStyle name="Note 2 5 4 5" xfId="18811" xr:uid="{BC0B877F-DF8A-4F6F-96A2-BC43FD23B9C0}"/>
    <cellStyle name="Note 2 5 5" xfId="2255" xr:uid="{00000000-0005-0000-0000-00003F210000}"/>
    <cellStyle name="Note 2 5 5 2" xfId="4484" xr:uid="{00000000-0005-0000-0000-000040210000}"/>
    <cellStyle name="Note 2 5 5 2 2" xfId="8707" xr:uid="{00000000-0005-0000-0000-000041210000}"/>
    <cellStyle name="Note 2 5 5 2 2 2" xfId="17149" xr:uid="{A502A92F-0281-4350-B2F3-D5595A9F86A9}"/>
    <cellStyle name="Note 2 5 5 2 2 3" xfId="25586" xr:uid="{6912176E-546E-4E00-97D7-EAFA8B3FDEB0}"/>
    <cellStyle name="Note 2 5 5 2 3" xfId="12931" xr:uid="{B80B6ABB-3EF9-4795-B1CF-6225EA63BF1E}"/>
    <cellStyle name="Note 2 5 5 2 4" xfId="21369" xr:uid="{8B37D6A5-04E1-4DD6-9E6C-E3BB6ED91E00}"/>
    <cellStyle name="Note 2 5 5 3" xfId="6562" xr:uid="{00000000-0005-0000-0000-000042210000}"/>
    <cellStyle name="Note 2 5 5 3 2" xfId="15004" xr:uid="{E25FC3EF-691F-4407-A1A5-D277420E12F6}"/>
    <cellStyle name="Note 2 5 5 3 3" xfId="23441" xr:uid="{FC2916CD-121E-4728-BC2E-B91B2CBE3064}"/>
    <cellStyle name="Note 2 5 5 4" xfId="10786" xr:uid="{FBFB4ECD-5DE1-4AE3-81EB-3DC5A46DA3C9}"/>
    <cellStyle name="Note 2 5 5 5" xfId="19224" xr:uid="{BE1C7CC2-A62A-4605-B35E-F45F4B5A7BD8}"/>
    <cellStyle name="Note 2 5 6" xfId="2691" xr:uid="{00000000-0005-0000-0000-000043210000}"/>
    <cellStyle name="Note 2 5 6 2" xfId="6975" xr:uid="{00000000-0005-0000-0000-000044210000}"/>
    <cellStyle name="Note 2 5 6 2 2" xfId="15417" xr:uid="{9326FB47-A425-4823-8EBA-32D7B3F01B29}"/>
    <cellStyle name="Note 2 5 6 2 3" xfId="23854" xr:uid="{9A10CD78-3AF0-4B38-8B34-3483C194327A}"/>
    <cellStyle name="Note 2 5 6 3" xfId="11199" xr:uid="{25203C0E-9F7F-4302-B35D-6FD67622E0BB}"/>
    <cellStyle name="Note 2 5 6 4" xfId="19637" xr:uid="{7AD8C6AC-F657-4131-BA84-2F48C0CA07FC}"/>
    <cellStyle name="Note 2 5 7" xfId="2750" xr:uid="{00000000-0005-0000-0000-000045210000}"/>
    <cellStyle name="Note 2 5 8" xfId="2831" xr:uid="{00000000-0005-0000-0000-000046210000}"/>
    <cellStyle name="Note 2 5 8 2" xfId="7055" xr:uid="{00000000-0005-0000-0000-000047210000}"/>
    <cellStyle name="Note 2 5 8 2 2" xfId="15497" xr:uid="{71BDA5E5-4B92-4842-868A-1798FFBCF38E}"/>
    <cellStyle name="Note 2 5 8 2 3" xfId="23934" xr:uid="{869D3DD6-D5CF-4189-B50B-E83B3D146136}"/>
    <cellStyle name="Note 2 5 8 3" xfId="11279" xr:uid="{19DA805D-DA61-4B8E-9D99-6A61CF7DDBB4}"/>
    <cellStyle name="Note 2 5 8 4" xfId="19717" xr:uid="{871B5AF7-E0F0-44E4-ADB0-FD342CB60C8B}"/>
    <cellStyle name="Note 2 5 9" xfId="4910" xr:uid="{00000000-0005-0000-0000-000048210000}"/>
    <cellStyle name="Note 2 5 9 2" xfId="13352" xr:uid="{C88BB06D-D35F-4CFD-B675-0D7C6B8789AD}"/>
    <cellStyle name="Note 2 5 9 3" xfId="21789" xr:uid="{889CBEA7-FAC3-408E-A487-DC62734DFFE9}"/>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0 2 2" xfId="15498" xr:uid="{AE302C96-7FB5-4417-BC2C-6B192191B3AB}"/>
    <cellStyle name="Note 3 2 10 2 3" xfId="23935" xr:uid="{746E493C-15E7-4336-844C-4C60AE8FC158}"/>
    <cellStyle name="Note 3 2 10 3" xfId="11280" xr:uid="{EE82AFEE-F7B2-490D-86C0-C7F530337B85}"/>
    <cellStyle name="Note 3 2 10 4" xfId="19718" xr:uid="{9AAAB705-FCB2-475C-8ACA-167F41F53ADE}"/>
    <cellStyle name="Note 3 2 11" xfId="4911" xr:uid="{00000000-0005-0000-0000-00004D210000}"/>
    <cellStyle name="Note 3 2 11 2" xfId="13353" xr:uid="{3B5311B1-7B5A-4126-BBB9-B6BDD17273F6}"/>
    <cellStyle name="Note 3 2 11 3" xfId="21790" xr:uid="{89FD2D42-49E9-4283-8E75-91AC5468EA44}"/>
    <cellStyle name="Note 3 2 12" xfId="9135" xr:uid="{3F53A933-AC8A-4B87-B5AA-A737EC26DA6F}"/>
    <cellStyle name="Note 3 2 13" xfId="17573" xr:uid="{D53D46EE-6426-4BAE-A2EA-1CCA01AA65F6}"/>
    <cellStyle name="Note 3 2 2" xfId="555" xr:uid="{00000000-0005-0000-0000-00004E210000}"/>
    <cellStyle name="Note 3 2 2 10" xfId="4912" xr:uid="{00000000-0005-0000-0000-00004F210000}"/>
    <cellStyle name="Note 3 2 2 10 2" xfId="13354" xr:uid="{E8DF4570-5604-45CF-855F-0917260BD584}"/>
    <cellStyle name="Note 3 2 2 10 3" xfId="21791" xr:uid="{0E20CC1F-3153-4644-B216-C547EC90AC01}"/>
    <cellStyle name="Note 3 2 2 11" xfId="9136" xr:uid="{102C9007-1B24-459B-A12E-88C8E0FDBE33}"/>
    <cellStyle name="Note 3 2 2 12" xfId="17574" xr:uid="{76F20A8F-EAD9-4FD2-B586-019B770868C1}"/>
    <cellStyle name="Note 3 2 2 2" xfId="556" xr:uid="{00000000-0005-0000-0000-000050210000}"/>
    <cellStyle name="Note 3 2 2 2 10" xfId="9137" xr:uid="{5D249D60-4D9D-4F78-9CE5-F199C3D0F77B}"/>
    <cellStyle name="Note 3 2 2 2 11" xfId="17575" xr:uid="{B6CE2166-3074-45E2-9948-3F140EF0F0F8}"/>
    <cellStyle name="Note 3 2 2 2 2" xfId="1016" xr:uid="{00000000-0005-0000-0000-000051210000}"/>
    <cellStyle name="Note 3 2 2 2 2 2" xfId="3248" xr:uid="{00000000-0005-0000-0000-000052210000}"/>
    <cellStyle name="Note 3 2 2 2 2 2 2" xfId="7471" xr:uid="{00000000-0005-0000-0000-000053210000}"/>
    <cellStyle name="Note 3 2 2 2 2 2 2 2" xfId="15913" xr:uid="{C06F5902-F604-4084-A2D7-7D905F32445D}"/>
    <cellStyle name="Note 3 2 2 2 2 2 2 3" xfId="24350" xr:uid="{A02BD749-4DCB-4E2D-817A-6F10B93701B7}"/>
    <cellStyle name="Note 3 2 2 2 2 2 3" xfId="11695" xr:uid="{2813A1A8-C46B-4651-9F27-BBE336C3996C}"/>
    <cellStyle name="Note 3 2 2 2 2 2 4" xfId="20133" xr:uid="{0A03D828-1D2A-405A-815D-1948FC519D55}"/>
    <cellStyle name="Note 3 2 2 2 2 3" xfId="5326" xr:uid="{00000000-0005-0000-0000-000054210000}"/>
    <cellStyle name="Note 3 2 2 2 2 3 2" xfId="13768" xr:uid="{53852B3A-CC6D-4BBD-922E-5BDBB7D98D04}"/>
    <cellStyle name="Note 3 2 2 2 2 3 3" xfId="22205" xr:uid="{7E94F09B-B9E2-4F72-9D1F-E4E7E2DE81AD}"/>
    <cellStyle name="Note 3 2 2 2 2 4" xfId="9550" xr:uid="{CD234854-54EA-4871-934C-6DD4AA615ECA}"/>
    <cellStyle name="Note 3 2 2 2 2 5" xfId="17988" xr:uid="{14677193-FC1F-469B-8322-274ECDBA2A1C}"/>
    <cellStyle name="Note 3 2 2 2 3" xfId="1431" xr:uid="{00000000-0005-0000-0000-000055210000}"/>
    <cellStyle name="Note 3 2 2 2 3 2" xfId="3661" xr:uid="{00000000-0005-0000-0000-000056210000}"/>
    <cellStyle name="Note 3 2 2 2 3 2 2" xfId="7884" xr:uid="{00000000-0005-0000-0000-000057210000}"/>
    <cellStyle name="Note 3 2 2 2 3 2 2 2" xfId="16326" xr:uid="{656D623E-5F7D-4A14-B28E-C59D59FCAD8D}"/>
    <cellStyle name="Note 3 2 2 2 3 2 2 3" xfId="24763" xr:uid="{EF9FC697-4061-42CF-98FE-707C135915B5}"/>
    <cellStyle name="Note 3 2 2 2 3 2 3" xfId="12108" xr:uid="{4CB2389D-161F-4F6E-A5D6-FDCF6DD3AE9B}"/>
    <cellStyle name="Note 3 2 2 2 3 2 4" xfId="20546" xr:uid="{A0D03469-95A1-4800-96D5-E8ADA0C36DC1}"/>
    <cellStyle name="Note 3 2 2 2 3 3" xfId="5739" xr:uid="{00000000-0005-0000-0000-000058210000}"/>
    <cellStyle name="Note 3 2 2 2 3 3 2" xfId="14181" xr:uid="{BB74F664-36A7-43D1-BCBE-7402B76883C9}"/>
    <cellStyle name="Note 3 2 2 2 3 3 3" xfId="22618" xr:uid="{308900F9-7925-4016-98D2-5FFACEE7FF76}"/>
    <cellStyle name="Note 3 2 2 2 3 4" xfId="9963" xr:uid="{5FBFD059-1C76-40E4-B602-ABC43001B50B}"/>
    <cellStyle name="Note 3 2 2 2 3 5" xfId="18401" xr:uid="{C52EC966-6704-408E-8D61-7980429BF0AC}"/>
    <cellStyle name="Note 3 2 2 2 4" xfId="1845" xr:uid="{00000000-0005-0000-0000-000059210000}"/>
    <cellStyle name="Note 3 2 2 2 4 2" xfId="4074" xr:uid="{00000000-0005-0000-0000-00005A210000}"/>
    <cellStyle name="Note 3 2 2 2 4 2 2" xfId="8297" xr:uid="{00000000-0005-0000-0000-00005B210000}"/>
    <cellStyle name="Note 3 2 2 2 4 2 2 2" xfId="16739" xr:uid="{33E8DA30-9355-4836-AD43-E97CB9302355}"/>
    <cellStyle name="Note 3 2 2 2 4 2 2 3" xfId="25176" xr:uid="{2B478500-D829-4061-97AA-406AC8480CD2}"/>
    <cellStyle name="Note 3 2 2 2 4 2 3" xfId="12521" xr:uid="{174E9E01-9A0C-4B13-A3A3-EC7A74E3FEBD}"/>
    <cellStyle name="Note 3 2 2 2 4 2 4" xfId="20959" xr:uid="{82933AC9-E50A-44CE-AEC6-1EBE7D530029}"/>
    <cellStyle name="Note 3 2 2 2 4 3" xfId="6152" xr:uid="{00000000-0005-0000-0000-00005C210000}"/>
    <cellStyle name="Note 3 2 2 2 4 3 2" xfId="14594" xr:uid="{27C96502-85A8-4E15-974D-F2434B639A28}"/>
    <cellStyle name="Note 3 2 2 2 4 3 3" xfId="23031" xr:uid="{9B74CE50-81D9-4394-AF0B-352A7979726A}"/>
    <cellStyle name="Note 3 2 2 2 4 4" xfId="10376" xr:uid="{CEEDC0E0-EDE1-449A-9337-B6303B66D83B}"/>
    <cellStyle name="Note 3 2 2 2 4 5" xfId="18814" xr:uid="{4258300E-8B1D-4271-AC53-1CB75F1C54A0}"/>
    <cellStyle name="Note 3 2 2 2 5" xfId="2258" xr:uid="{00000000-0005-0000-0000-00005D210000}"/>
    <cellStyle name="Note 3 2 2 2 5 2" xfId="4487" xr:uid="{00000000-0005-0000-0000-00005E210000}"/>
    <cellStyle name="Note 3 2 2 2 5 2 2" xfId="8710" xr:uid="{00000000-0005-0000-0000-00005F210000}"/>
    <cellStyle name="Note 3 2 2 2 5 2 2 2" xfId="17152" xr:uid="{04347ECF-3E83-4DA3-AA25-16B32C96C0C9}"/>
    <cellStyle name="Note 3 2 2 2 5 2 2 3" xfId="25589" xr:uid="{576A78FF-E8A7-490D-BE34-4D6336039058}"/>
    <cellStyle name="Note 3 2 2 2 5 2 3" xfId="12934" xr:uid="{770DB7A9-4C21-47ED-9F11-837054C90455}"/>
    <cellStyle name="Note 3 2 2 2 5 2 4" xfId="21372" xr:uid="{2535B195-9534-4B8C-864E-E90E72737D2A}"/>
    <cellStyle name="Note 3 2 2 2 5 3" xfId="6565" xr:uid="{00000000-0005-0000-0000-000060210000}"/>
    <cellStyle name="Note 3 2 2 2 5 3 2" xfId="15007" xr:uid="{979C6706-8E27-4389-A77F-8472631CD542}"/>
    <cellStyle name="Note 3 2 2 2 5 3 3" xfId="23444" xr:uid="{7861B5C7-1332-409E-8CB4-6A3037EB5664}"/>
    <cellStyle name="Note 3 2 2 2 5 4" xfId="10789" xr:uid="{03217DDE-EF2A-4645-AD70-7688E6DE23F3}"/>
    <cellStyle name="Note 3 2 2 2 5 5" xfId="19227" xr:uid="{DE6916EE-0591-49A6-B18B-91FDB27BFEDA}"/>
    <cellStyle name="Note 3 2 2 2 6" xfId="2694" xr:uid="{00000000-0005-0000-0000-000061210000}"/>
    <cellStyle name="Note 3 2 2 2 6 2" xfId="6978" xr:uid="{00000000-0005-0000-0000-000062210000}"/>
    <cellStyle name="Note 3 2 2 2 6 2 2" xfId="15420" xr:uid="{E5C6C53D-EE46-414B-83B8-CC77FE288F3F}"/>
    <cellStyle name="Note 3 2 2 2 6 2 3" xfId="23857" xr:uid="{195626FF-B30B-47A8-A776-E4F78E933E2A}"/>
    <cellStyle name="Note 3 2 2 2 6 3" xfId="11202" xr:uid="{8109C90F-E8AB-455E-A03D-55D3030F0BE0}"/>
    <cellStyle name="Note 3 2 2 2 6 4" xfId="19640" xr:uid="{378E2D10-67A7-45E3-82D6-13F821487F8A}"/>
    <cellStyle name="Note 3 2 2 2 7" xfId="2753" xr:uid="{00000000-0005-0000-0000-000063210000}"/>
    <cellStyle name="Note 3 2 2 2 8" xfId="2834" xr:uid="{00000000-0005-0000-0000-000064210000}"/>
    <cellStyle name="Note 3 2 2 2 8 2" xfId="7058" xr:uid="{00000000-0005-0000-0000-000065210000}"/>
    <cellStyle name="Note 3 2 2 2 8 2 2" xfId="15500" xr:uid="{7F52CF7C-3ABF-4025-B085-E5E5978953A1}"/>
    <cellStyle name="Note 3 2 2 2 8 2 3" xfId="23937" xr:uid="{F7997C4A-B016-4598-872E-41B22F3D37DB}"/>
    <cellStyle name="Note 3 2 2 2 8 3" xfId="11282" xr:uid="{F1F3CC3F-3C67-4EB2-AD2D-A300543FC19B}"/>
    <cellStyle name="Note 3 2 2 2 8 4" xfId="19720" xr:uid="{5D7E3421-9054-49D6-86CB-EA3CDE29EE92}"/>
    <cellStyle name="Note 3 2 2 2 9" xfId="4913" xr:uid="{00000000-0005-0000-0000-000066210000}"/>
    <cellStyle name="Note 3 2 2 2 9 2" xfId="13355" xr:uid="{3D6BA856-FD34-4479-812A-1E32A1FFB710}"/>
    <cellStyle name="Note 3 2 2 2 9 3" xfId="21792" xr:uid="{7CB30C5F-6227-4D36-8399-843C1AA24D84}"/>
    <cellStyle name="Note 3 2 2 3" xfId="1015" xr:uid="{00000000-0005-0000-0000-000067210000}"/>
    <cellStyle name="Note 3 2 2 3 2" xfId="3247" xr:uid="{00000000-0005-0000-0000-000068210000}"/>
    <cellStyle name="Note 3 2 2 3 2 2" xfId="7470" xr:uid="{00000000-0005-0000-0000-000069210000}"/>
    <cellStyle name="Note 3 2 2 3 2 2 2" xfId="15912" xr:uid="{87ACB522-096E-49EB-AB9B-9F65CF229ABF}"/>
    <cellStyle name="Note 3 2 2 3 2 2 3" xfId="24349" xr:uid="{53C47565-6C25-4B43-BC07-D5CD9169FDE8}"/>
    <cellStyle name="Note 3 2 2 3 2 3" xfId="11694" xr:uid="{0F469C0E-7983-48FB-96F9-0E680A6105A5}"/>
    <cellStyle name="Note 3 2 2 3 2 4" xfId="20132" xr:uid="{E725C91F-B822-47C7-A123-9C49EA8D3540}"/>
    <cellStyle name="Note 3 2 2 3 3" xfId="5325" xr:uid="{00000000-0005-0000-0000-00006A210000}"/>
    <cellStyle name="Note 3 2 2 3 3 2" xfId="13767" xr:uid="{2DD01FDD-A4D5-4FF1-BB2B-C0B8DA3E2527}"/>
    <cellStyle name="Note 3 2 2 3 3 3" xfId="22204" xr:uid="{4C7F04C1-8A65-49C9-A1E6-9EDE358289F6}"/>
    <cellStyle name="Note 3 2 2 3 4" xfId="9549" xr:uid="{0102C245-B579-4F99-B41F-147878947AF9}"/>
    <cellStyle name="Note 3 2 2 3 5" xfId="17987" xr:uid="{8111E614-3186-4562-9E18-AAB6CABAD629}"/>
    <cellStyle name="Note 3 2 2 4" xfId="1430" xr:uid="{00000000-0005-0000-0000-00006B210000}"/>
    <cellStyle name="Note 3 2 2 4 2" xfId="3660" xr:uid="{00000000-0005-0000-0000-00006C210000}"/>
    <cellStyle name="Note 3 2 2 4 2 2" xfId="7883" xr:uid="{00000000-0005-0000-0000-00006D210000}"/>
    <cellStyle name="Note 3 2 2 4 2 2 2" xfId="16325" xr:uid="{9A6CF321-6D09-4BC3-85BD-87816AC9E83A}"/>
    <cellStyle name="Note 3 2 2 4 2 2 3" xfId="24762" xr:uid="{796A96E0-1854-4014-9AA9-7F778847E706}"/>
    <cellStyle name="Note 3 2 2 4 2 3" xfId="12107" xr:uid="{1648CE4F-F1E8-4758-BB2D-73ED0E35F08B}"/>
    <cellStyle name="Note 3 2 2 4 2 4" xfId="20545" xr:uid="{26836050-9B1F-4E24-A3DC-D775A9151A08}"/>
    <cellStyle name="Note 3 2 2 4 3" xfId="5738" xr:uid="{00000000-0005-0000-0000-00006E210000}"/>
    <cellStyle name="Note 3 2 2 4 3 2" xfId="14180" xr:uid="{F98C7D52-EB86-4BA1-B42A-D52658B7421B}"/>
    <cellStyle name="Note 3 2 2 4 3 3" xfId="22617" xr:uid="{AB372E6F-1264-449B-BFF0-79FDE19E3F40}"/>
    <cellStyle name="Note 3 2 2 4 4" xfId="9962" xr:uid="{E20DA5A3-A5C7-4A8B-AAEE-3272CF56630D}"/>
    <cellStyle name="Note 3 2 2 4 5" xfId="18400" xr:uid="{571FB099-57AA-458A-A1B4-50EA36B55A91}"/>
    <cellStyle name="Note 3 2 2 5" xfId="1844" xr:uid="{00000000-0005-0000-0000-00006F210000}"/>
    <cellStyle name="Note 3 2 2 5 2" xfId="4073" xr:uid="{00000000-0005-0000-0000-000070210000}"/>
    <cellStyle name="Note 3 2 2 5 2 2" xfId="8296" xr:uid="{00000000-0005-0000-0000-000071210000}"/>
    <cellStyle name="Note 3 2 2 5 2 2 2" xfId="16738" xr:uid="{362E38CC-EBBC-4C23-8FE6-776B957ABE4D}"/>
    <cellStyle name="Note 3 2 2 5 2 2 3" xfId="25175" xr:uid="{E3AFAE61-DC6D-442C-B019-F319FB3DB4B9}"/>
    <cellStyle name="Note 3 2 2 5 2 3" xfId="12520" xr:uid="{58EA0AB8-C92F-4BCD-A6B2-008D34FEE3CB}"/>
    <cellStyle name="Note 3 2 2 5 2 4" xfId="20958" xr:uid="{ECFD963D-23CE-4640-8048-6C61E6EE480C}"/>
    <cellStyle name="Note 3 2 2 5 3" xfId="6151" xr:uid="{00000000-0005-0000-0000-000072210000}"/>
    <cellStyle name="Note 3 2 2 5 3 2" xfId="14593" xr:uid="{B01F187A-2C88-42AF-B642-9335098F6EFC}"/>
    <cellStyle name="Note 3 2 2 5 3 3" xfId="23030" xr:uid="{F1952E50-5C37-43DB-BA3A-338931052F4D}"/>
    <cellStyle name="Note 3 2 2 5 4" xfId="10375" xr:uid="{5510AB6A-C242-4952-BE80-93D5690328FF}"/>
    <cellStyle name="Note 3 2 2 5 5" xfId="18813" xr:uid="{4AEE96C8-3A18-47F6-A1CE-A3A6BA72C8E1}"/>
    <cellStyle name="Note 3 2 2 6" xfId="2257" xr:uid="{00000000-0005-0000-0000-000073210000}"/>
    <cellStyle name="Note 3 2 2 6 2" xfId="4486" xr:uid="{00000000-0005-0000-0000-000074210000}"/>
    <cellStyle name="Note 3 2 2 6 2 2" xfId="8709" xr:uid="{00000000-0005-0000-0000-000075210000}"/>
    <cellStyle name="Note 3 2 2 6 2 2 2" xfId="17151" xr:uid="{38BF1067-001F-440E-8E9D-ECDC4AD86ED8}"/>
    <cellStyle name="Note 3 2 2 6 2 2 3" xfId="25588" xr:uid="{BB6F5982-BE8C-4F81-B9EF-617534B82067}"/>
    <cellStyle name="Note 3 2 2 6 2 3" xfId="12933" xr:uid="{92AE5C27-35BD-4E04-AAE3-86DD0F1A3729}"/>
    <cellStyle name="Note 3 2 2 6 2 4" xfId="21371" xr:uid="{F27BC6DB-8A51-419A-A50D-65D7F67A5A31}"/>
    <cellStyle name="Note 3 2 2 6 3" xfId="6564" xr:uid="{00000000-0005-0000-0000-000076210000}"/>
    <cellStyle name="Note 3 2 2 6 3 2" xfId="15006" xr:uid="{769F8A22-D93B-4518-A3AD-C60A82C26A24}"/>
    <cellStyle name="Note 3 2 2 6 3 3" xfId="23443" xr:uid="{8F21E0F6-2602-4255-A916-693BEBE734FE}"/>
    <cellStyle name="Note 3 2 2 6 4" xfId="10788" xr:uid="{2C6F4F0B-B0E0-4B4D-A956-07C3E88404EA}"/>
    <cellStyle name="Note 3 2 2 6 5" xfId="19226" xr:uid="{23ACCE1A-4207-408B-A15A-41425D1165BB}"/>
    <cellStyle name="Note 3 2 2 7" xfId="2693" xr:uid="{00000000-0005-0000-0000-000077210000}"/>
    <cellStyle name="Note 3 2 2 7 2" xfId="6977" xr:uid="{00000000-0005-0000-0000-000078210000}"/>
    <cellStyle name="Note 3 2 2 7 2 2" xfId="15419" xr:uid="{E0E5E00C-1809-43C0-9F99-75DEBB6EBDD2}"/>
    <cellStyle name="Note 3 2 2 7 2 3" xfId="23856" xr:uid="{1EEF7F24-A039-4B9E-A8DD-F38E0FE2055F}"/>
    <cellStyle name="Note 3 2 2 7 3" xfId="11201" xr:uid="{6D305657-4AEA-4E2D-81C6-AAFA76650518}"/>
    <cellStyle name="Note 3 2 2 7 4" xfId="19639" xr:uid="{975CFEDA-2284-4E80-B3A3-B302643EBB5C}"/>
    <cellStyle name="Note 3 2 2 8" xfId="2752" xr:uid="{00000000-0005-0000-0000-000079210000}"/>
    <cellStyle name="Note 3 2 2 9" xfId="2833" xr:uid="{00000000-0005-0000-0000-00007A210000}"/>
    <cellStyle name="Note 3 2 2 9 2" xfId="7057" xr:uid="{00000000-0005-0000-0000-00007B210000}"/>
    <cellStyle name="Note 3 2 2 9 2 2" xfId="15499" xr:uid="{75523A05-F918-4BCA-AD71-6B91F7483226}"/>
    <cellStyle name="Note 3 2 2 9 2 3" xfId="23936" xr:uid="{95348647-4C7F-420E-B8C3-4A47984ADEFD}"/>
    <cellStyle name="Note 3 2 2 9 3" xfId="11281" xr:uid="{1610426A-D891-4D98-8B6A-387945FEF2FB}"/>
    <cellStyle name="Note 3 2 2 9 4" xfId="19719" xr:uid="{4301DDE0-7F5F-461B-9F5E-AD3ED14FDFEC}"/>
    <cellStyle name="Note 3 2 3" xfId="557" xr:uid="{00000000-0005-0000-0000-00007C210000}"/>
    <cellStyle name="Note 3 2 3 10" xfId="9138" xr:uid="{FF0B4E29-A413-462B-896B-4ADF510E7C7D}"/>
    <cellStyle name="Note 3 2 3 11" xfId="17576" xr:uid="{E5C715E0-3467-4A17-B333-5836B7BF0C35}"/>
    <cellStyle name="Note 3 2 3 2" xfId="1017" xr:uid="{00000000-0005-0000-0000-00007D210000}"/>
    <cellStyle name="Note 3 2 3 2 2" xfId="3249" xr:uid="{00000000-0005-0000-0000-00007E210000}"/>
    <cellStyle name="Note 3 2 3 2 2 2" xfId="7472" xr:uid="{00000000-0005-0000-0000-00007F210000}"/>
    <cellStyle name="Note 3 2 3 2 2 2 2" xfId="15914" xr:uid="{5717C323-679B-4334-97CA-83480BC7EC22}"/>
    <cellStyle name="Note 3 2 3 2 2 2 3" xfId="24351" xr:uid="{28FFB178-5B0A-4316-98A2-E92E4E73EBB3}"/>
    <cellStyle name="Note 3 2 3 2 2 3" xfId="11696" xr:uid="{16C77A76-496A-4F55-BAE7-64B550277A39}"/>
    <cellStyle name="Note 3 2 3 2 2 4" xfId="20134" xr:uid="{C7DE9C8F-73FE-4D7A-B37A-33CF34470726}"/>
    <cellStyle name="Note 3 2 3 2 3" xfId="5327" xr:uid="{00000000-0005-0000-0000-000080210000}"/>
    <cellStyle name="Note 3 2 3 2 3 2" xfId="13769" xr:uid="{113F51C2-9B00-4F08-9893-83913E8F4DAD}"/>
    <cellStyle name="Note 3 2 3 2 3 3" xfId="22206" xr:uid="{2D4A3138-6E00-4633-A129-0F8C368711D8}"/>
    <cellStyle name="Note 3 2 3 2 4" xfId="9551" xr:uid="{B615F304-9B98-488E-B840-ED1B7914E497}"/>
    <cellStyle name="Note 3 2 3 2 5" xfId="17989" xr:uid="{516567FA-3436-43E7-ABA1-E3290E6913AD}"/>
    <cellStyle name="Note 3 2 3 3" xfId="1432" xr:uid="{00000000-0005-0000-0000-000081210000}"/>
    <cellStyle name="Note 3 2 3 3 2" xfId="3662" xr:uid="{00000000-0005-0000-0000-000082210000}"/>
    <cellStyle name="Note 3 2 3 3 2 2" xfId="7885" xr:uid="{00000000-0005-0000-0000-000083210000}"/>
    <cellStyle name="Note 3 2 3 3 2 2 2" xfId="16327" xr:uid="{3AE9FB12-888C-4D18-82B4-C41386A42881}"/>
    <cellStyle name="Note 3 2 3 3 2 2 3" xfId="24764" xr:uid="{8264A523-1D41-4E1C-99BE-CDF0FCED5E7F}"/>
    <cellStyle name="Note 3 2 3 3 2 3" xfId="12109" xr:uid="{11771A2E-2376-4B1A-A6EA-E8256A5279DE}"/>
    <cellStyle name="Note 3 2 3 3 2 4" xfId="20547" xr:uid="{AD5819DA-2206-463D-89E4-D21BE3344027}"/>
    <cellStyle name="Note 3 2 3 3 3" xfId="5740" xr:uid="{00000000-0005-0000-0000-000084210000}"/>
    <cellStyle name="Note 3 2 3 3 3 2" xfId="14182" xr:uid="{806C1404-813C-4912-8F0E-9F5F5F23EDC1}"/>
    <cellStyle name="Note 3 2 3 3 3 3" xfId="22619" xr:uid="{606A785B-261A-41B8-8B4A-D4E8503DAB45}"/>
    <cellStyle name="Note 3 2 3 3 4" xfId="9964" xr:uid="{F0C28793-202C-445D-871C-E904DD0D2978}"/>
    <cellStyle name="Note 3 2 3 3 5" xfId="18402" xr:uid="{4D1AA8DA-7797-41C5-9B18-CE703D97526B}"/>
    <cellStyle name="Note 3 2 3 4" xfId="1846" xr:uid="{00000000-0005-0000-0000-000085210000}"/>
    <cellStyle name="Note 3 2 3 4 2" xfId="4075" xr:uid="{00000000-0005-0000-0000-000086210000}"/>
    <cellStyle name="Note 3 2 3 4 2 2" xfId="8298" xr:uid="{00000000-0005-0000-0000-000087210000}"/>
    <cellStyle name="Note 3 2 3 4 2 2 2" xfId="16740" xr:uid="{E37DE1BE-A9B4-49A4-80DE-04A140DF0CE4}"/>
    <cellStyle name="Note 3 2 3 4 2 2 3" xfId="25177" xr:uid="{224F5204-8EBB-4ABD-A906-BC2E96A5CFF0}"/>
    <cellStyle name="Note 3 2 3 4 2 3" xfId="12522" xr:uid="{2FECC39F-53E7-4CF2-910F-F55A6A6BED2E}"/>
    <cellStyle name="Note 3 2 3 4 2 4" xfId="20960" xr:uid="{8260C73E-8656-4ABE-8C1D-2368CC360F7D}"/>
    <cellStyle name="Note 3 2 3 4 3" xfId="6153" xr:uid="{00000000-0005-0000-0000-000088210000}"/>
    <cellStyle name="Note 3 2 3 4 3 2" xfId="14595" xr:uid="{03287226-80FD-4EDB-AF7D-3C7CDD9808F4}"/>
    <cellStyle name="Note 3 2 3 4 3 3" xfId="23032" xr:uid="{7078D265-721E-4DAA-9B62-97478C2E3374}"/>
    <cellStyle name="Note 3 2 3 4 4" xfId="10377" xr:uid="{5A8D048E-E8E0-4210-98B3-07F66349A5B0}"/>
    <cellStyle name="Note 3 2 3 4 5" xfId="18815" xr:uid="{E51A1550-E7F5-441A-BFAF-BF821D27A435}"/>
    <cellStyle name="Note 3 2 3 5" xfId="2259" xr:uid="{00000000-0005-0000-0000-000089210000}"/>
    <cellStyle name="Note 3 2 3 5 2" xfId="4488" xr:uid="{00000000-0005-0000-0000-00008A210000}"/>
    <cellStyle name="Note 3 2 3 5 2 2" xfId="8711" xr:uid="{00000000-0005-0000-0000-00008B210000}"/>
    <cellStyle name="Note 3 2 3 5 2 2 2" xfId="17153" xr:uid="{8EFD8E2D-026F-4D3D-BEEA-0B24A6614817}"/>
    <cellStyle name="Note 3 2 3 5 2 2 3" xfId="25590" xr:uid="{135D7699-766B-4305-8953-015862B7E41E}"/>
    <cellStyle name="Note 3 2 3 5 2 3" xfId="12935" xr:uid="{7A81C360-90EC-4BDB-9FF6-665AACD8B806}"/>
    <cellStyle name="Note 3 2 3 5 2 4" xfId="21373" xr:uid="{29F575E4-198B-4625-801E-112766E93E6F}"/>
    <cellStyle name="Note 3 2 3 5 3" xfId="6566" xr:uid="{00000000-0005-0000-0000-00008C210000}"/>
    <cellStyle name="Note 3 2 3 5 3 2" xfId="15008" xr:uid="{746D2AB8-A3F0-4D0D-9316-43B13D7DD2DC}"/>
    <cellStyle name="Note 3 2 3 5 3 3" xfId="23445" xr:uid="{D19A8EF5-0009-4237-B4A9-244966B5B7BC}"/>
    <cellStyle name="Note 3 2 3 5 4" xfId="10790" xr:uid="{C7CF687C-F24A-4120-AAF7-F791909CE2B3}"/>
    <cellStyle name="Note 3 2 3 5 5" xfId="19228" xr:uid="{F63739C8-23AF-4E39-BA05-78AB645C4623}"/>
    <cellStyle name="Note 3 2 3 6" xfId="2695" xr:uid="{00000000-0005-0000-0000-00008D210000}"/>
    <cellStyle name="Note 3 2 3 6 2" xfId="6979" xr:uid="{00000000-0005-0000-0000-00008E210000}"/>
    <cellStyle name="Note 3 2 3 6 2 2" xfId="15421" xr:uid="{9E55BB1B-6042-44D0-9C37-53EFD08DE413}"/>
    <cellStyle name="Note 3 2 3 6 2 3" xfId="23858" xr:uid="{EEE2EFDF-016C-4BFD-BC42-88168A867506}"/>
    <cellStyle name="Note 3 2 3 6 3" xfId="11203" xr:uid="{E8D89313-0134-4E9F-9568-DACEFF51CC25}"/>
    <cellStyle name="Note 3 2 3 6 4" xfId="19641" xr:uid="{8D322BDC-C4EC-479C-B591-9F86A24BD92F}"/>
    <cellStyle name="Note 3 2 3 7" xfId="2754" xr:uid="{00000000-0005-0000-0000-00008F210000}"/>
    <cellStyle name="Note 3 2 3 8" xfId="2835" xr:uid="{00000000-0005-0000-0000-000090210000}"/>
    <cellStyle name="Note 3 2 3 8 2" xfId="7059" xr:uid="{00000000-0005-0000-0000-000091210000}"/>
    <cellStyle name="Note 3 2 3 8 2 2" xfId="15501" xr:uid="{04724790-E6EE-427E-A3FB-87332995F980}"/>
    <cellStyle name="Note 3 2 3 8 2 3" xfId="23938" xr:uid="{1F17D509-2FD1-4572-9C83-D6A194BC5C36}"/>
    <cellStyle name="Note 3 2 3 8 3" xfId="11283" xr:uid="{7930A89E-CB6E-42C9-A82A-BDD24EA3FE3A}"/>
    <cellStyle name="Note 3 2 3 8 4" xfId="19721" xr:uid="{1AF172D6-4CC5-4C0D-ACA8-C08F03130ED4}"/>
    <cellStyle name="Note 3 2 3 9" xfId="4914" xr:uid="{00000000-0005-0000-0000-000092210000}"/>
    <cellStyle name="Note 3 2 3 9 2" xfId="13356" xr:uid="{B9B59A32-4FF0-4B23-8AA9-FAB02FD6555E}"/>
    <cellStyle name="Note 3 2 3 9 3" xfId="21793" xr:uid="{B10464D2-E2B6-4676-923A-8A23E2E3D47D}"/>
    <cellStyle name="Note 3 2 4" xfId="1014" xr:uid="{00000000-0005-0000-0000-000093210000}"/>
    <cellStyle name="Note 3 2 4 2" xfId="3246" xr:uid="{00000000-0005-0000-0000-000094210000}"/>
    <cellStyle name="Note 3 2 4 2 2" xfId="7469" xr:uid="{00000000-0005-0000-0000-000095210000}"/>
    <cellStyle name="Note 3 2 4 2 2 2" xfId="15911" xr:uid="{5037A2E0-FFC1-4FB3-8E12-20CC5D9909EB}"/>
    <cellStyle name="Note 3 2 4 2 2 3" xfId="24348" xr:uid="{67885B30-D258-4CB0-B751-C1D65DA550E2}"/>
    <cellStyle name="Note 3 2 4 2 3" xfId="11693" xr:uid="{148C77E5-C5D6-4362-93A8-8EB4495058C9}"/>
    <cellStyle name="Note 3 2 4 2 4" xfId="20131" xr:uid="{97B22A9A-4416-42B6-B6F7-7A3126107DB5}"/>
    <cellStyle name="Note 3 2 4 3" xfId="5324" xr:uid="{00000000-0005-0000-0000-000096210000}"/>
    <cellStyle name="Note 3 2 4 3 2" xfId="13766" xr:uid="{BC978E2B-9FC6-4E7A-A62D-A8A45F2C27DB}"/>
    <cellStyle name="Note 3 2 4 3 3" xfId="22203" xr:uid="{EF3D41C7-5EC4-45BA-99AD-D8482BDB6FDF}"/>
    <cellStyle name="Note 3 2 4 4" xfId="9548" xr:uid="{5EEA7FAF-1CB7-4B47-A605-C97785934C9B}"/>
    <cellStyle name="Note 3 2 4 5" xfId="17986" xr:uid="{32D8019D-9D82-4CFC-B99E-6547F36AA591}"/>
    <cellStyle name="Note 3 2 5" xfId="1429" xr:uid="{00000000-0005-0000-0000-000097210000}"/>
    <cellStyle name="Note 3 2 5 2" xfId="3659" xr:uid="{00000000-0005-0000-0000-000098210000}"/>
    <cellStyle name="Note 3 2 5 2 2" xfId="7882" xr:uid="{00000000-0005-0000-0000-000099210000}"/>
    <cellStyle name="Note 3 2 5 2 2 2" xfId="16324" xr:uid="{D3B2FC90-430B-4A9B-B291-A7CDF84C176C}"/>
    <cellStyle name="Note 3 2 5 2 2 3" xfId="24761" xr:uid="{94B2CCEA-C2AF-4E6E-828C-CF76AC2F2A79}"/>
    <cellStyle name="Note 3 2 5 2 3" xfId="12106" xr:uid="{F5F8B037-59DA-445E-8ADA-F8AFE6111DE0}"/>
    <cellStyle name="Note 3 2 5 2 4" xfId="20544" xr:uid="{F6BEAB88-C6BA-4D1B-A5FC-00ADF3255041}"/>
    <cellStyle name="Note 3 2 5 3" xfId="5737" xr:uid="{00000000-0005-0000-0000-00009A210000}"/>
    <cellStyle name="Note 3 2 5 3 2" xfId="14179" xr:uid="{531ED0F0-CF27-4A54-83A4-8133B9667472}"/>
    <cellStyle name="Note 3 2 5 3 3" xfId="22616" xr:uid="{6C104640-F979-4E23-9684-A3EF4E072E28}"/>
    <cellStyle name="Note 3 2 5 4" xfId="9961" xr:uid="{A55B25CF-2230-433A-87C1-52A4F2538F9D}"/>
    <cellStyle name="Note 3 2 5 5" xfId="18399" xr:uid="{F6B337B8-3C8E-49AA-80FC-9220A206D610}"/>
    <cellStyle name="Note 3 2 6" xfId="1843" xr:uid="{00000000-0005-0000-0000-00009B210000}"/>
    <cellStyle name="Note 3 2 6 2" xfId="4072" xr:uid="{00000000-0005-0000-0000-00009C210000}"/>
    <cellStyle name="Note 3 2 6 2 2" xfId="8295" xr:uid="{00000000-0005-0000-0000-00009D210000}"/>
    <cellStyle name="Note 3 2 6 2 2 2" xfId="16737" xr:uid="{1C0CB09E-852D-4A37-A5FF-B130C1420789}"/>
    <cellStyle name="Note 3 2 6 2 2 3" xfId="25174" xr:uid="{C4015583-0577-4D8C-AD37-6857E063F236}"/>
    <cellStyle name="Note 3 2 6 2 3" xfId="12519" xr:uid="{94A04580-2A1D-4319-8781-831A12090C77}"/>
    <cellStyle name="Note 3 2 6 2 4" xfId="20957" xr:uid="{9517E824-3FA2-4516-B080-B26C868689CE}"/>
    <cellStyle name="Note 3 2 6 3" xfId="6150" xr:uid="{00000000-0005-0000-0000-00009E210000}"/>
    <cellStyle name="Note 3 2 6 3 2" xfId="14592" xr:uid="{B9E44FAA-EE3D-4889-BD41-03AF15BA45E2}"/>
    <cellStyle name="Note 3 2 6 3 3" xfId="23029" xr:uid="{CBF62FEC-20A0-4A8C-ADD2-E4BAB10B20E9}"/>
    <cellStyle name="Note 3 2 6 4" xfId="10374" xr:uid="{2111F78D-AB55-4EE4-AC4C-A6A8926A39AB}"/>
    <cellStyle name="Note 3 2 6 5" xfId="18812" xr:uid="{F9340F00-210D-4BEA-AC36-402B33B70431}"/>
    <cellStyle name="Note 3 2 7" xfId="2256" xr:uid="{00000000-0005-0000-0000-00009F210000}"/>
    <cellStyle name="Note 3 2 7 2" xfId="4485" xr:uid="{00000000-0005-0000-0000-0000A0210000}"/>
    <cellStyle name="Note 3 2 7 2 2" xfId="8708" xr:uid="{00000000-0005-0000-0000-0000A1210000}"/>
    <cellStyle name="Note 3 2 7 2 2 2" xfId="17150" xr:uid="{ED129C15-0A46-4624-84D7-F58420A2CE37}"/>
    <cellStyle name="Note 3 2 7 2 2 3" xfId="25587" xr:uid="{35EEC91D-45C9-416D-A0F7-4F8939B31A50}"/>
    <cellStyle name="Note 3 2 7 2 3" xfId="12932" xr:uid="{4F4250E5-3CA1-4704-A8B5-D50BE20C3CC4}"/>
    <cellStyle name="Note 3 2 7 2 4" xfId="21370" xr:uid="{2F981B87-938F-4FDB-97EE-5D64115951DF}"/>
    <cellStyle name="Note 3 2 7 3" xfId="6563" xr:uid="{00000000-0005-0000-0000-0000A2210000}"/>
    <cellStyle name="Note 3 2 7 3 2" xfId="15005" xr:uid="{8054F5E9-7295-476E-BB22-79E487A9C58A}"/>
    <cellStyle name="Note 3 2 7 3 3" xfId="23442" xr:uid="{914043E9-E0F1-46D1-82EA-20FAF4EE8770}"/>
    <cellStyle name="Note 3 2 7 4" xfId="10787" xr:uid="{45F4824C-E106-47B2-BA05-2054FEC01221}"/>
    <cellStyle name="Note 3 2 7 5" xfId="19225" xr:uid="{7DF95E6D-8695-4661-A2CB-7AFF2A82F4F5}"/>
    <cellStyle name="Note 3 2 8" xfId="2692" xr:uid="{00000000-0005-0000-0000-0000A3210000}"/>
    <cellStyle name="Note 3 2 8 2" xfId="6976" xr:uid="{00000000-0005-0000-0000-0000A4210000}"/>
    <cellStyle name="Note 3 2 8 2 2" xfId="15418" xr:uid="{3D32E0B4-5682-4195-93AB-2DE6375CED42}"/>
    <cellStyle name="Note 3 2 8 2 3" xfId="23855" xr:uid="{2176DC17-7408-4C87-A0D8-0CE8F88C306E}"/>
    <cellStyle name="Note 3 2 8 3" xfId="11200" xr:uid="{3087BB31-3D08-44A4-82FE-4C88FD53FE3A}"/>
    <cellStyle name="Note 3 2 8 4" xfId="19638" xr:uid="{A5688F7D-55DF-4AE0-960B-41222742B9E5}"/>
    <cellStyle name="Note 3 2 9" xfId="2751" xr:uid="{00000000-0005-0000-0000-0000A5210000}"/>
    <cellStyle name="Note 3 3" xfId="558" xr:uid="{00000000-0005-0000-0000-0000A6210000}"/>
    <cellStyle name="Note 3 3 10" xfId="4915" xr:uid="{00000000-0005-0000-0000-0000A7210000}"/>
    <cellStyle name="Note 3 3 10 2" xfId="13357" xr:uid="{FADDB8F0-2559-43EC-876F-C4EC164D003E}"/>
    <cellStyle name="Note 3 3 10 3" xfId="21794" xr:uid="{1C22AE72-9FAE-4AF4-BB5D-31FF4876FACB}"/>
    <cellStyle name="Note 3 3 11" xfId="9139" xr:uid="{E13A5336-7F18-45F3-9DC1-68C2E6AE30B0}"/>
    <cellStyle name="Note 3 3 12" xfId="17577" xr:uid="{1C23DA97-BDB1-4D4E-B8F0-9196749F9F82}"/>
    <cellStyle name="Note 3 3 2" xfId="559" xr:uid="{00000000-0005-0000-0000-0000A8210000}"/>
    <cellStyle name="Note 3 3 2 10" xfId="9140" xr:uid="{171AAF5A-133D-4BBE-A933-CCF28AFF57BE}"/>
    <cellStyle name="Note 3 3 2 11" xfId="17578" xr:uid="{13C81606-9793-4C57-A4A4-D9DA9A191819}"/>
    <cellStyle name="Note 3 3 2 2" xfId="1019" xr:uid="{00000000-0005-0000-0000-0000A9210000}"/>
    <cellStyle name="Note 3 3 2 2 2" xfId="3251" xr:uid="{00000000-0005-0000-0000-0000AA210000}"/>
    <cellStyle name="Note 3 3 2 2 2 2" xfId="7474" xr:uid="{00000000-0005-0000-0000-0000AB210000}"/>
    <cellStyle name="Note 3 3 2 2 2 2 2" xfId="15916" xr:uid="{C28EE042-4215-4831-8538-4971A46737E2}"/>
    <cellStyle name="Note 3 3 2 2 2 2 3" xfId="24353" xr:uid="{33ED5357-A49F-4DC3-8660-E247050197AB}"/>
    <cellStyle name="Note 3 3 2 2 2 3" xfId="11698" xr:uid="{BE874D89-430D-42D8-B0E7-79DFF98F5186}"/>
    <cellStyle name="Note 3 3 2 2 2 4" xfId="20136" xr:uid="{8E3FB4F6-BCF5-45E0-BE45-85458D811A2D}"/>
    <cellStyle name="Note 3 3 2 2 3" xfId="5329" xr:uid="{00000000-0005-0000-0000-0000AC210000}"/>
    <cellStyle name="Note 3 3 2 2 3 2" xfId="13771" xr:uid="{702897F8-49ED-4AC5-A167-5BFCDC871759}"/>
    <cellStyle name="Note 3 3 2 2 3 3" xfId="22208" xr:uid="{6EE84E70-EBC3-4DC9-9ADB-6BDDF4F36B4C}"/>
    <cellStyle name="Note 3 3 2 2 4" xfId="9553" xr:uid="{B0283987-334D-4FA4-B157-1E62F092C13E}"/>
    <cellStyle name="Note 3 3 2 2 5" xfId="17991" xr:uid="{AB862C7A-EEEC-4D42-9E55-53D88B937E11}"/>
    <cellStyle name="Note 3 3 2 3" xfId="1434" xr:uid="{00000000-0005-0000-0000-0000AD210000}"/>
    <cellStyle name="Note 3 3 2 3 2" xfId="3664" xr:uid="{00000000-0005-0000-0000-0000AE210000}"/>
    <cellStyle name="Note 3 3 2 3 2 2" xfId="7887" xr:uid="{00000000-0005-0000-0000-0000AF210000}"/>
    <cellStyle name="Note 3 3 2 3 2 2 2" xfId="16329" xr:uid="{F0537459-7EBD-450E-9DA3-F7B91559A476}"/>
    <cellStyle name="Note 3 3 2 3 2 2 3" xfId="24766" xr:uid="{FD2F5FF9-D38F-483E-BD78-4929FA61C6C6}"/>
    <cellStyle name="Note 3 3 2 3 2 3" xfId="12111" xr:uid="{20E6A72F-DE24-431F-A6D4-4306DB172FB6}"/>
    <cellStyle name="Note 3 3 2 3 2 4" xfId="20549" xr:uid="{B2898E74-195D-43F9-A0AB-10C93A624237}"/>
    <cellStyle name="Note 3 3 2 3 3" xfId="5742" xr:uid="{00000000-0005-0000-0000-0000B0210000}"/>
    <cellStyle name="Note 3 3 2 3 3 2" xfId="14184" xr:uid="{A4064849-E36B-406B-9250-03490DF28F88}"/>
    <cellStyle name="Note 3 3 2 3 3 3" xfId="22621" xr:uid="{B50F55C3-2A11-432F-9693-17A8C3E3BD26}"/>
    <cellStyle name="Note 3 3 2 3 4" xfId="9966" xr:uid="{5C632A02-2AFC-4FF9-AF78-EA16A92BC10A}"/>
    <cellStyle name="Note 3 3 2 3 5" xfId="18404" xr:uid="{CF47F7E1-83E7-4780-A370-7F01C2DF6340}"/>
    <cellStyle name="Note 3 3 2 4" xfId="1848" xr:uid="{00000000-0005-0000-0000-0000B1210000}"/>
    <cellStyle name="Note 3 3 2 4 2" xfId="4077" xr:uid="{00000000-0005-0000-0000-0000B2210000}"/>
    <cellStyle name="Note 3 3 2 4 2 2" xfId="8300" xr:uid="{00000000-0005-0000-0000-0000B3210000}"/>
    <cellStyle name="Note 3 3 2 4 2 2 2" xfId="16742" xr:uid="{5C6C8620-0F04-4803-AE8C-B21F16EE5C79}"/>
    <cellStyle name="Note 3 3 2 4 2 2 3" xfId="25179" xr:uid="{01C1F413-4D13-42DC-9A9C-855DC4017EA8}"/>
    <cellStyle name="Note 3 3 2 4 2 3" xfId="12524" xr:uid="{5E39CFD7-A7EF-4C3D-BABF-C1B8F95653DD}"/>
    <cellStyle name="Note 3 3 2 4 2 4" xfId="20962" xr:uid="{DA292472-8BBA-4577-9CF7-5E472E660CC3}"/>
    <cellStyle name="Note 3 3 2 4 3" xfId="6155" xr:uid="{00000000-0005-0000-0000-0000B4210000}"/>
    <cellStyle name="Note 3 3 2 4 3 2" xfId="14597" xr:uid="{347EB32B-E4B2-4395-893A-CBB5D0651DA8}"/>
    <cellStyle name="Note 3 3 2 4 3 3" xfId="23034" xr:uid="{4BDCF962-A7CD-4233-96D8-E8DE674A5D90}"/>
    <cellStyle name="Note 3 3 2 4 4" xfId="10379" xr:uid="{0D2C6552-9D6E-425F-81BF-41E9AC83F3CD}"/>
    <cellStyle name="Note 3 3 2 4 5" xfId="18817" xr:uid="{D3AEB354-6AE4-4ACA-AC66-CFDCB3D503BF}"/>
    <cellStyle name="Note 3 3 2 5" xfId="2261" xr:uid="{00000000-0005-0000-0000-0000B5210000}"/>
    <cellStyle name="Note 3 3 2 5 2" xfId="4490" xr:uid="{00000000-0005-0000-0000-0000B6210000}"/>
    <cellStyle name="Note 3 3 2 5 2 2" xfId="8713" xr:uid="{00000000-0005-0000-0000-0000B7210000}"/>
    <cellStyle name="Note 3 3 2 5 2 2 2" xfId="17155" xr:uid="{2FDE881D-2C5B-471F-A524-AC6DA5B94D41}"/>
    <cellStyle name="Note 3 3 2 5 2 2 3" xfId="25592" xr:uid="{B3665FE1-AAF0-4C62-9012-20B6D206BFA6}"/>
    <cellStyle name="Note 3 3 2 5 2 3" xfId="12937" xr:uid="{D6B50582-2A1B-4C72-8058-275D81D8AB27}"/>
    <cellStyle name="Note 3 3 2 5 2 4" xfId="21375" xr:uid="{504DDBAF-2D10-4B24-B08B-A43C1CB345FA}"/>
    <cellStyle name="Note 3 3 2 5 3" xfId="6568" xr:uid="{00000000-0005-0000-0000-0000B8210000}"/>
    <cellStyle name="Note 3 3 2 5 3 2" xfId="15010" xr:uid="{8EC6F9B6-0C8D-410A-83DE-DDB00DD2C89D}"/>
    <cellStyle name="Note 3 3 2 5 3 3" xfId="23447" xr:uid="{6B649C16-F2E8-4ED2-A569-E19DEE718634}"/>
    <cellStyle name="Note 3 3 2 5 4" xfId="10792" xr:uid="{4098795B-33AD-41A2-9F57-0B6AE63FC83C}"/>
    <cellStyle name="Note 3 3 2 5 5" xfId="19230" xr:uid="{C2A4F4D0-3209-4D94-995E-8ABEC94C5ABF}"/>
    <cellStyle name="Note 3 3 2 6" xfId="2697" xr:uid="{00000000-0005-0000-0000-0000B9210000}"/>
    <cellStyle name="Note 3 3 2 6 2" xfId="6981" xr:uid="{00000000-0005-0000-0000-0000BA210000}"/>
    <cellStyle name="Note 3 3 2 6 2 2" xfId="15423" xr:uid="{7527C1CF-9AE8-464A-98A5-59BAC2734E5A}"/>
    <cellStyle name="Note 3 3 2 6 2 3" xfId="23860" xr:uid="{46BEEAEA-5F22-49E4-9FF1-D1AE2E5CFA3C}"/>
    <cellStyle name="Note 3 3 2 6 3" xfId="11205" xr:uid="{4F9E89FC-AE0A-42F3-BDC6-1732A9A7246B}"/>
    <cellStyle name="Note 3 3 2 6 4" xfId="19643" xr:uid="{36506317-8D16-47E0-AA22-3C046355E4BD}"/>
    <cellStyle name="Note 3 3 2 7" xfId="2756" xr:uid="{00000000-0005-0000-0000-0000BB210000}"/>
    <cellStyle name="Note 3 3 2 8" xfId="2837" xr:uid="{00000000-0005-0000-0000-0000BC210000}"/>
    <cellStyle name="Note 3 3 2 8 2" xfId="7061" xr:uid="{00000000-0005-0000-0000-0000BD210000}"/>
    <cellStyle name="Note 3 3 2 8 2 2" xfId="15503" xr:uid="{53307893-B294-40F7-8A0F-02E4F9F6920C}"/>
    <cellStyle name="Note 3 3 2 8 2 3" xfId="23940" xr:uid="{167D4CB3-41C7-477B-8D1D-5856077F8332}"/>
    <cellStyle name="Note 3 3 2 8 3" xfId="11285" xr:uid="{6428C9E2-EB17-4878-87CA-9D017D297C41}"/>
    <cellStyle name="Note 3 3 2 8 4" xfId="19723" xr:uid="{3AFA2C3F-7E01-48BF-8DAB-B037FEAC3B92}"/>
    <cellStyle name="Note 3 3 2 9" xfId="4916" xr:uid="{00000000-0005-0000-0000-0000BE210000}"/>
    <cellStyle name="Note 3 3 2 9 2" xfId="13358" xr:uid="{E4DAFAB5-6594-419C-B87D-9EFB108974F0}"/>
    <cellStyle name="Note 3 3 2 9 3" xfId="21795" xr:uid="{B4271027-6AE7-4DB8-BA8B-C9449339EFBD}"/>
    <cellStyle name="Note 3 3 3" xfId="1018" xr:uid="{00000000-0005-0000-0000-0000BF210000}"/>
    <cellStyle name="Note 3 3 3 2" xfId="3250" xr:uid="{00000000-0005-0000-0000-0000C0210000}"/>
    <cellStyle name="Note 3 3 3 2 2" xfId="7473" xr:uid="{00000000-0005-0000-0000-0000C1210000}"/>
    <cellStyle name="Note 3 3 3 2 2 2" xfId="15915" xr:uid="{97EB33C4-118F-4D9A-BBCD-6EC1B5D011A7}"/>
    <cellStyle name="Note 3 3 3 2 2 3" xfId="24352" xr:uid="{CAAF973A-B055-4E27-BB29-05DDF2A5B068}"/>
    <cellStyle name="Note 3 3 3 2 3" xfId="11697" xr:uid="{7B6354AD-D04A-4AB5-9313-11D2F16A4D56}"/>
    <cellStyle name="Note 3 3 3 2 4" xfId="20135" xr:uid="{789DE084-60D4-4F0A-ADB5-6A2F4A8BAD50}"/>
    <cellStyle name="Note 3 3 3 3" xfId="5328" xr:uid="{00000000-0005-0000-0000-0000C2210000}"/>
    <cellStyle name="Note 3 3 3 3 2" xfId="13770" xr:uid="{BFA324B8-51E6-451A-9DE3-D92F99DFC4D6}"/>
    <cellStyle name="Note 3 3 3 3 3" xfId="22207" xr:uid="{C5F5F543-54C1-4C76-8017-F55C1CC3DF2F}"/>
    <cellStyle name="Note 3 3 3 4" xfId="9552" xr:uid="{E219E2AD-8122-4E94-962F-CD72188CDF2E}"/>
    <cellStyle name="Note 3 3 3 5" xfId="17990" xr:uid="{D8F9148B-4F0F-4302-BDE5-64D34CBBA3D6}"/>
    <cellStyle name="Note 3 3 4" xfId="1433" xr:uid="{00000000-0005-0000-0000-0000C3210000}"/>
    <cellStyle name="Note 3 3 4 2" xfId="3663" xr:uid="{00000000-0005-0000-0000-0000C4210000}"/>
    <cellStyle name="Note 3 3 4 2 2" xfId="7886" xr:uid="{00000000-0005-0000-0000-0000C5210000}"/>
    <cellStyle name="Note 3 3 4 2 2 2" xfId="16328" xr:uid="{FCAFB800-10F9-4B7E-92A3-B4F9D592795C}"/>
    <cellStyle name="Note 3 3 4 2 2 3" xfId="24765" xr:uid="{7D5E0605-3865-436C-990A-05646166C0EA}"/>
    <cellStyle name="Note 3 3 4 2 3" xfId="12110" xr:uid="{8CADC9AE-568C-4A48-BD4D-5EC8D5DDFD7E}"/>
    <cellStyle name="Note 3 3 4 2 4" xfId="20548" xr:uid="{E0552A23-0761-41AE-805B-F1DEF31F6696}"/>
    <cellStyle name="Note 3 3 4 3" xfId="5741" xr:uid="{00000000-0005-0000-0000-0000C6210000}"/>
    <cellStyle name="Note 3 3 4 3 2" xfId="14183" xr:uid="{55E42FBB-708B-4A96-B865-214A092825CB}"/>
    <cellStyle name="Note 3 3 4 3 3" xfId="22620" xr:uid="{7FE0A52A-8117-416C-93A7-F1FF4772C10F}"/>
    <cellStyle name="Note 3 3 4 4" xfId="9965" xr:uid="{8565C66A-C940-47C1-8B13-A3DB5215507E}"/>
    <cellStyle name="Note 3 3 4 5" xfId="18403" xr:uid="{04A49FFF-F241-44D0-89D9-DDD886BCC44F}"/>
    <cellStyle name="Note 3 3 5" xfId="1847" xr:uid="{00000000-0005-0000-0000-0000C7210000}"/>
    <cellStyle name="Note 3 3 5 2" xfId="4076" xr:uid="{00000000-0005-0000-0000-0000C8210000}"/>
    <cellStyle name="Note 3 3 5 2 2" xfId="8299" xr:uid="{00000000-0005-0000-0000-0000C9210000}"/>
    <cellStyle name="Note 3 3 5 2 2 2" xfId="16741" xr:uid="{20ABC72D-EE57-4F9B-9ED7-0E130DE43BA9}"/>
    <cellStyle name="Note 3 3 5 2 2 3" xfId="25178" xr:uid="{E1EABB9E-C327-48ED-BD9C-90F415057EAD}"/>
    <cellStyle name="Note 3 3 5 2 3" xfId="12523" xr:uid="{75D9B7C8-559A-4925-B707-34DA5130EAEF}"/>
    <cellStyle name="Note 3 3 5 2 4" xfId="20961" xr:uid="{66FD39B3-938E-4C0F-B9BC-E92A2A48C11F}"/>
    <cellStyle name="Note 3 3 5 3" xfId="6154" xr:uid="{00000000-0005-0000-0000-0000CA210000}"/>
    <cellStyle name="Note 3 3 5 3 2" xfId="14596" xr:uid="{AF7614C2-F3E3-4B6A-A9FC-9BE0F0C8069C}"/>
    <cellStyle name="Note 3 3 5 3 3" xfId="23033" xr:uid="{C65092D5-A207-4A36-9D99-73EB79040C8A}"/>
    <cellStyle name="Note 3 3 5 4" xfId="10378" xr:uid="{D6B039E6-89BC-4598-B669-3F4CDDF65C6C}"/>
    <cellStyle name="Note 3 3 5 5" xfId="18816" xr:uid="{829A6B0A-5B1F-4C3D-B437-FDB8BED77CBD}"/>
    <cellStyle name="Note 3 3 6" xfId="2260" xr:uid="{00000000-0005-0000-0000-0000CB210000}"/>
    <cellStyle name="Note 3 3 6 2" xfId="4489" xr:uid="{00000000-0005-0000-0000-0000CC210000}"/>
    <cellStyle name="Note 3 3 6 2 2" xfId="8712" xr:uid="{00000000-0005-0000-0000-0000CD210000}"/>
    <cellStyle name="Note 3 3 6 2 2 2" xfId="17154" xr:uid="{83E69D68-670E-4E8D-907A-63F806A29F08}"/>
    <cellStyle name="Note 3 3 6 2 2 3" xfId="25591" xr:uid="{FBDE7956-8A1B-423F-84D0-89340C0BE8D8}"/>
    <cellStyle name="Note 3 3 6 2 3" xfId="12936" xr:uid="{79138859-2B61-49A0-A106-C55E5A4DEF96}"/>
    <cellStyle name="Note 3 3 6 2 4" xfId="21374" xr:uid="{A54F9878-F20E-4BBE-9462-435122AE8E03}"/>
    <cellStyle name="Note 3 3 6 3" xfId="6567" xr:uid="{00000000-0005-0000-0000-0000CE210000}"/>
    <cellStyle name="Note 3 3 6 3 2" xfId="15009" xr:uid="{5A6BB3C6-87D8-4343-A186-B95D2308645E}"/>
    <cellStyle name="Note 3 3 6 3 3" xfId="23446" xr:uid="{9F4C1D92-65AF-47E4-B55E-6D7DBC624154}"/>
    <cellStyle name="Note 3 3 6 4" xfId="10791" xr:uid="{46916E46-2000-4240-9221-41AF60B18508}"/>
    <cellStyle name="Note 3 3 6 5" xfId="19229" xr:uid="{560A4EDF-FFA2-4BA1-85B0-E51166C327F3}"/>
    <cellStyle name="Note 3 3 7" xfId="2696" xr:uid="{00000000-0005-0000-0000-0000CF210000}"/>
    <cellStyle name="Note 3 3 7 2" xfId="6980" xr:uid="{00000000-0005-0000-0000-0000D0210000}"/>
    <cellStyle name="Note 3 3 7 2 2" xfId="15422" xr:uid="{81CC2EFA-6B9F-4CC8-B6A8-4FCC82A3DBB3}"/>
    <cellStyle name="Note 3 3 7 2 3" xfId="23859" xr:uid="{53ABAE8E-B68F-491A-8C8A-D1F7774A31E0}"/>
    <cellStyle name="Note 3 3 7 3" xfId="11204" xr:uid="{256D5D1F-4A83-447B-AC5D-12F53839377E}"/>
    <cellStyle name="Note 3 3 7 4" xfId="19642" xr:uid="{ED1CADF6-8A7A-4202-AB5B-1ABDCA64C7C2}"/>
    <cellStyle name="Note 3 3 8" xfId="2755" xr:uid="{00000000-0005-0000-0000-0000D1210000}"/>
    <cellStyle name="Note 3 3 9" xfId="2836" xr:uid="{00000000-0005-0000-0000-0000D2210000}"/>
    <cellStyle name="Note 3 3 9 2" xfId="7060" xr:uid="{00000000-0005-0000-0000-0000D3210000}"/>
    <cellStyle name="Note 3 3 9 2 2" xfId="15502" xr:uid="{91023877-E1F2-44BF-A0D6-9BFA7B5F675D}"/>
    <cellStyle name="Note 3 3 9 2 3" xfId="23939" xr:uid="{77007637-04DB-4779-AA9A-51E85B399129}"/>
    <cellStyle name="Note 3 3 9 3" xfId="11284" xr:uid="{191292EF-B919-4EC8-A356-9990666A9558}"/>
    <cellStyle name="Note 3 3 9 4" xfId="19722" xr:uid="{6FB702E9-EF36-4A57-8E22-096C324AC2B2}"/>
    <cellStyle name="Note 3 4" xfId="560" xr:uid="{00000000-0005-0000-0000-0000D4210000}"/>
    <cellStyle name="Note 3 4 10" xfId="9141" xr:uid="{1E8B1DE7-E554-403B-8D49-1037FAC292B9}"/>
    <cellStyle name="Note 3 4 11" xfId="17579" xr:uid="{113D772A-BAAE-4587-A34C-9FE07B99333D}"/>
    <cellStyle name="Note 3 4 2" xfId="1020" xr:uid="{00000000-0005-0000-0000-0000D5210000}"/>
    <cellStyle name="Note 3 4 2 2" xfId="3252" xr:uid="{00000000-0005-0000-0000-0000D6210000}"/>
    <cellStyle name="Note 3 4 2 2 2" xfId="7475" xr:uid="{00000000-0005-0000-0000-0000D7210000}"/>
    <cellStyle name="Note 3 4 2 2 2 2" xfId="15917" xr:uid="{C4E96A01-48A2-468F-863C-ABAEA4D5105D}"/>
    <cellStyle name="Note 3 4 2 2 2 3" xfId="24354" xr:uid="{57A81FBB-3B16-4361-A93C-6A683982DAFB}"/>
    <cellStyle name="Note 3 4 2 2 3" xfId="11699" xr:uid="{68ED05D5-0F15-46F4-9CDD-6E9F1A3BD916}"/>
    <cellStyle name="Note 3 4 2 2 4" xfId="20137" xr:uid="{65389ED7-E357-485A-90A0-5A1A8A82B3B0}"/>
    <cellStyle name="Note 3 4 2 3" xfId="5330" xr:uid="{00000000-0005-0000-0000-0000D8210000}"/>
    <cellStyle name="Note 3 4 2 3 2" xfId="13772" xr:uid="{269F96D9-10FD-483F-92CB-C5F6EA43A666}"/>
    <cellStyle name="Note 3 4 2 3 3" xfId="22209" xr:uid="{C002B890-17AA-4E3A-94E0-E8B7E6207535}"/>
    <cellStyle name="Note 3 4 2 4" xfId="9554" xr:uid="{1E9D98D5-5DFD-4804-B862-616AF5EB94A2}"/>
    <cellStyle name="Note 3 4 2 5" xfId="17992" xr:uid="{2067DF6A-0139-46EB-B380-640320FBA726}"/>
    <cellStyle name="Note 3 4 3" xfId="1435" xr:uid="{00000000-0005-0000-0000-0000D9210000}"/>
    <cellStyle name="Note 3 4 3 2" xfId="3665" xr:uid="{00000000-0005-0000-0000-0000DA210000}"/>
    <cellStyle name="Note 3 4 3 2 2" xfId="7888" xr:uid="{00000000-0005-0000-0000-0000DB210000}"/>
    <cellStyle name="Note 3 4 3 2 2 2" xfId="16330" xr:uid="{8056CDD4-26D9-41E6-915D-A082F13306CC}"/>
    <cellStyle name="Note 3 4 3 2 2 3" xfId="24767" xr:uid="{3DBAA915-C061-4D28-83F4-8D09409A4E92}"/>
    <cellStyle name="Note 3 4 3 2 3" xfId="12112" xr:uid="{827D985F-E3CC-4B2A-9734-60A4B7363A23}"/>
    <cellStyle name="Note 3 4 3 2 4" xfId="20550" xr:uid="{A679964E-DDF4-4EAF-8639-02FBE4BC9A06}"/>
    <cellStyle name="Note 3 4 3 3" xfId="5743" xr:uid="{00000000-0005-0000-0000-0000DC210000}"/>
    <cellStyle name="Note 3 4 3 3 2" xfId="14185" xr:uid="{1B2A2F88-CA4B-4820-B1F6-8B9AFA3203A4}"/>
    <cellStyle name="Note 3 4 3 3 3" xfId="22622" xr:uid="{D7F12E1D-86D3-42EB-9C22-93107287B497}"/>
    <cellStyle name="Note 3 4 3 4" xfId="9967" xr:uid="{18FC0E69-9B02-4AD0-8C6D-C9BC1A6E83C3}"/>
    <cellStyle name="Note 3 4 3 5" xfId="18405" xr:uid="{D66EA9CC-0B9C-4B7F-A553-267AC5283A16}"/>
    <cellStyle name="Note 3 4 4" xfId="1849" xr:uid="{00000000-0005-0000-0000-0000DD210000}"/>
    <cellStyle name="Note 3 4 4 2" xfId="4078" xr:uid="{00000000-0005-0000-0000-0000DE210000}"/>
    <cellStyle name="Note 3 4 4 2 2" xfId="8301" xr:uid="{00000000-0005-0000-0000-0000DF210000}"/>
    <cellStyle name="Note 3 4 4 2 2 2" xfId="16743" xr:uid="{94781A30-510D-4EDC-988C-6D43FADFEC8B}"/>
    <cellStyle name="Note 3 4 4 2 2 3" xfId="25180" xr:uid="{320F621D-2B81-4221-B60B-4D6C3E9A4996}"/>
    <cellStyle name="Note 3 4 4 2 3" xfId="12525" xr:uid="{738B56B5-1D8C-46C6-B484-3431F5212713}"/>
    <cellStyle name="Note 3 4 4 2 4" xfId="20963" xr:uid="{AFAE0BA1-BAE2-4C8D-9A22-DA5449C06A84}"/>
    <cellStyle name="Note 3 4 4 3" xfId="6156" xr:uid="{00000000-0005-0000-0000-0000E0210000}"/>
    <cellStyle name="Note 3 4 4 3 2" xfId="14598" xr:uid="{7187FED2-4557-4AC3-8E29-7F28CDC40ACA}"/>
    <cellStyle name="Note 3 4 4 3 3" xfId="23035" xr:uid="{E627737E-9DCE-47F3-B933-7410A7773CAD}"/>
    <cellStyle name="Note 3 4 4 4" xfId="10380" xr:uid="{15B11460-2CD5-453E-889C-AC479F51827E}"/>
    <cellStyle name="Note 3 4 4 5" xfId="18818" xr:uid="{C2C80B4E-538B-46A3-9099-6B1165291CC9}"/>
    <cellStyle name="Note 3 4 5" xfId="2262" xr:uid="{00000000-0005-0000-0000-0000E1210000}"/>
    <cellStyle name="Note 3 4 5 2" xfId="4491" xr:uid="{00000000-0005-0000-0000-0000E2210000}"/>
    <cellStyle name="Note 3 4 5 2 2" xfId="8714" xr:uid="{00000000-0005-0000-0000-0000E3210000}"/>
    <cellStyle name="Note 3 4 5 2 2 2" xfId="17156" xr:uid="{F032A901-B66C-4250-A078-C010534A083B}"/>
    <cellStyle name="Note 3 4 5 2 2 3" xfId="25593" xr:uid="{FE56A087-424E-45F4-89C8-7EAF1867B499}"/>
    <cellStyle name="Note 3 4 5 2 3" xfId="12938" xr:uid="{8943DA74-9CAD-4663-BD22-4B94925B23F8}"/>
    <cellStyle name="Note 3 4 5 2 4" xfId="21376" xr:uid="{ECBFBA54-A1B1-4338-8AA0-031B15D49A2C}"/>
    <cellStyle name="Note 3 4 5 3" xfId="6569" xr:uid="{00000000-0005-0000-0000-0000E4210000}"/>
    <cellStyle name="Note 3 4 5 3 2" xfId="15011" xr:uid="{0AB0F8C6-3780-4AEC-A0D7-D314555A2BC3}"/>
    <cellStyle name="Note 3 4 5 3 3" xfId="23448" xr:uid="{5839C852-535C-40A7-8DC1-47F921CCA280}"/>
    <cellStyle name="Note 3 4 5 4" xfId="10793" xr:uid="{022A2066-74E7-4650-91B2-5C21C7B37E28}"/>
    <cellStyle name="Note 3 4 5 5" xfId="19231" xr:uid="{74D24E10-7D8E-4BD0-AB92-C0D31C64C9C8}"/>
    <cellStyle name="Note 3 4 6" xfId="2698" xr:uid="{00000000-0005-0000-0000-0000E5210000}"/>
    <cellStyle name="Note 3 4 6 2" xfId="6982" xr:uid="{00000000-0005-0000-0000-0000E6210000}"/>
    <cellStyle name="Note 3 4 6 2 2" xfId="15424" xr:uid="{F8C81C0D-2564-406E-A60C-19DBEA55ACE1}"/>
    <cellStyle name="Note 3 4 6 2 3" xfId="23861" xr:uid="{951D063E-84F0-48EB-9D8B-F0F5EBFE2108}"/>
    <cellStyle name="Note 3 4 6 3" xfId="11206" xr:uid="{43BBCEA9-6B82-4BBA-90F4-CA84C49FA3E0}"/>
    <cellStyle name="Note 3 4 6 4" xfId="19644" xr:uid="{51A47D47-2680-4970-BDB5-2A2929121107}"/>
    <cellStyle name="Note 3 4 7" xfId="2757" xr:uid="{00000000-0005-0000-0000-0000E7210000}"/>
    <cellStyle name="Note 3 4 8" xfId="2838" xr:uid="{00000000-0005-0000-0000-0000E8210000}"/>
    <cellStyle name="Note 3 4 8 2" xfId="7062" xr:uid="{00000000-0005-0000-0000-0000E9210000}"/>
    <cellStyle name="Note 3 4 8 2 2" xfId="15504" xr:uid="{417B5DC8-C837-4FF7-B4D2-EE15AF5F3256}"/>
    <cellStyle name="Note 3 4 8 2 3" xfId="23941" xr:uid="{C2769E2C-EEBB-4203-84FA-8C9CCDAE1836}"/>
    <cellStyle name="Note 3 4 8 3" xfId="11286" xr:uid="{1A1BDBB6-2B0F-4F49-8F5E-149A2006FF6B}"/>
    <cellStyle name="Note 3 4 8 4" xfId="19724" xr:uid="{70CA33D4-465C-425D-B9D0-D67CCED09A5D}"/>
    <cellStyle name="Note 3 4 9" xfId="4917" xr:uid="{00000000-0005-0000-0000-0000EA210000}"/>
    <cellStyle name="Note 3 4 9 2" xfId="13359" xr:uid="{3F65DE52-4B87-41F9-B899-999880EF598E}"/>
    <cellStyle name="Note 3 4 9 3" xfId="21796" xr:uid="{00D0F129-4700-4044-823F-4B03613E30A2}"/>
    <cellStyle name="Note 3 5" xfId="561" xr:uid="{00000000-0005-0000-0000-0000EB210000}"/>
    <cellStyle name="Note 3 5 10" xfId="9142" xr:uid="{72769595-9FA8-4369-9766-A864D0A922B7}"/>
    <cellStyle name="Note 3 5 11" xfId="17580" xr:uid="{0E194F45-22BA-4658-B7C0-B0B26F211CC9}"/>
    <cellStyle name="Note 3 5 2" xfId="1021" xr:uid="{00000000-0005-0000-0000-0000EC210000}"/>
    <cellStyle name="Note 3 5 2 2" xfId="3253" xr:uid="{00000000-0005-0000-0000-0000ED210000}"/>
    <cellStyle name="Note 3 5 2 2 2" xfId="7476" xr:uid="{00000000-0005-0000-0000-0000EE210000}"/>
    <cellStyle name="Note 3 5 2 2 2 2" xfId="15918" xr:uid="{33C1AC91-0B3F-427B-8582-DB9D17DFF98A}"/>
    <cellStyle name="Note 3 5 2 2 2 3" xfId="24355" xr:uid="{B2031DD6-652E-4B33-954B-6321005D9A45}"/>
    <cellStyle name="Note 3 5 2 2 3" xfId="11700" xr:uid="{3FCD9D02-6880-450A-940F-C8D36BB8E48D}"/>
    <cellStyle name="Note 3 5 2 2 4" xfId="20138" xr:uid="{8E7AE168-321F-46AE-A5DF-7DFB791E384A}"/>
    <cellStyle name="Note 3 5 2 3" xfId="5331" xr:uid="{00000000-0005-0000-0000-0000EF210000}"/>
    <cellStyle name="Note 3 5 2 3 2" xfId="13773" xr:uid="{EE59982F-9EB1-405F-85C3-5062A1FBD757}"/>
    <cellStyle name="Note 3 5 2 3 3" xfId="22210" xr:uid="{3EAC3341-A8C5-4E80-950D-7737B472017F}"/>
    <cellStyle name="Note 3 5 2 4" xfId="9555" xr:uid="{F4E3265B-ED66-4238-9162-9FE1BAF08EBA}"/>
    <cellStyle name="Note 3 5 2 5" xfId="17993" xr:uid="{F8D41684-E25B-41E8-9DDC-F54F55FF2206}"/>
    <cellStyle name="Note 3 5 3" xfId="1436" xr:uid="{00000000-0005-0000-0000-0000F0210000}"/>
    <cellStyle name="Note 3 5 3 2" xfId="3666" xr:uid="{00000000-0005-0000-0000-0000F1210000}"/>
    <cellStyle name="Note 3 5 3 2 2" xfId="7889" xr:uid="{00000000-0005-0000-0000-0000F2210000}"/>
    <cellStyle name="Note 3 5 3 2 2 2" xfId="16331" xr:uid="{8E89A6A1-DACA-4151-969F-6C7DCDC1BD2B}"/>
    <cellStyle name="Note 3 5 3 2 2 3" xfId="24768" xr:uid="{94BCCD37-80BD-4E17-AF04-1A8031B52D1F}"/>
    <cellStyle name="Note 3 5 3 2 3" xfId="12113" xr:uid="{03DDAD63-BF69-4309-AA7E-AB7C1BC348FB}"/>
    <cellStyle name="Note 3 5 3 2 4" xfId="20551" xr:uid="{F504119D-FBBD-49D3-985D-78442C71DDD5}"/>
    <cellStyle name="Note 3 5 3 3" xfId="5744" xr:uid="{00000000-0005-0000-0000-0000F3210000}"/>
    <cellStyle name="Note 3 5 3 3 2" xfId="14186" xr:uid="{D14C67DA-EDF1-492E-9A01-8654897BF8F3}"/>
    <cellStyle name="Note 3 5 3 3 3" xfId="22623" xr:uid="{7D4A70EF-2D1C-4FAF-889D-6D6246B9D62E}"/>
    <cellStyle name="Note 3 5 3 4" xfId="9968" xr:uid="{949E66AA-8280-417F-BC25-7D808CEF0B8C}"/>
    <cellStyle name="Note 3 5 3 5" xfId="18406" xr:uid="{4A4328A2-893A-4334-82C0-6B5106DDD96A}"/>
    <cellStyle name="Note 3 5 4" xfId="1850" xr:uid="{00000000-0005-0000-0000-0000F4210000}"/>
    <cellStyle name="Note 3 5 4 2" xfId="4079" xr:uid="{00000000-0005-0000-0000-0000F5210000}"/>
    <cellStyle name="Note 3 5 4 2 2" xfId="8302" xr:uid="{00000000-0005-0000-0000-0000F6210000}"/>
    <cellStyle name="Note 3 5 4 2 2 2" xfId="16744" xr:uid="{4A34D8EE-220B-4E42-A260-8A6B54EF5832}"/>
    <cellStyle name="Note 3 5 4 2 2 3" xfId="25181" xr:uid="{75C1E897-56E2-4578-99D6-23A2B43E96C2}"/>
    <cellStyle name="Note 3 5 4 2 3" xfId="12526" xr:uid="{AB504595-2978-449B-86CA-4C44F3E78987}"/>
    <cellStyle name="Note 3 5 4 2 4" xfId="20964" xr:uid="{465F4FFE-C823-4688-B436-474CA986DF33}"/>
    <cellStyle name="Note 3 5 4 3" xfId="6157" xr:uid="{00000000-0005-0000-0000-0000F7210000}"/>
    <cellStyle name="Note 3 5 4 3 2" xfId="14599" xr:uid="{3593B35B-78A7-45C9-8F02-D0B385924A4D}"/>
    <cellStyle name="Note 3 5 4 3 3" xfId="23036" xr:uid="{68BB83E5-C3FC-4423-B36B-4DA1733F31C5}"/>
    <cellStyle name="Note 3 5 4 4" xfId="10381" xr:uid="{38D432F9-EB35-4331-825F-7E918956C561}"/>
    <cellStyle name="Note 3 5 4 5" xfId="18819" xr:uid="{33BBE7AD-47BD-4BC8-A108-A3157FECA446}"/>
    <cellStyle name="Note 3 5 5" xfId="2263" xr:uid="{00000000-0005-0000-0000-0000F8210000}"/>
    <cellStyle name="Note 3 5 5 2" xfId="4492" xr:uid="{00000000-0005-0000-0000-0000F9210000}"/>
    <cellStyle name="Note 3 5 5 2 2" xfId="8715" xr:uid="{00000000-0005-0000-0000-0000FA210000}"/>
    <cellStyle name="Note 3 5 5 2 2 2" xfId="17157" xr:uid="{338E048F-22BD-44AB-8432-CAA9BD73BA2D}"/>
    <cellStyle name="Note 3 5 5 2 2 3" xfId="25594" xr:uid="{2848FAA1-BEE9-41BF-9968-2CF6122A3FB1}"/>
    <cellStyle name="Note 3 5 5 2 3" xfId="12939" xr:uid="{9CB976D3-A310-4014-8BBD-48F89D537ADF}"/>
    <cellStyle name="Note 3 5 5 2 4" xfId="21377" xr:uid="{A06C4A51-8C55-4C92-A622-D0D68B9A0AD9}"/>
    <cellStyle name="Note 3 5 5 3" xfId="6570" xr:uid="{00000000-0005-0000-0000-0000FB210000}"/>
    <cellStyle name="Note 3 5 5 3 2" xfId="15012" xr:uid="{F3BE3E7C-50DB-407C-8BAE-14DA506AEAEF}"/>
    <cellStyle name="Note 3 5 5 3 3" xfId="23449" xr:uid="{9B4FAE2C-30B1-4343-BDB5-478FEF2D9192}"/>
    <cellStyle name="Note 3 5 5 4" xfId="10794" xr:uid="{B5AFB7F4-543A-4671-AA79-26CC4AFA224B}"/>
    <cellStyle name="Note 3 5 5 5" xfId="19232" xr:uid="{5DE60EEC-69CA-476F-9D92-3FE43EB182C6}"/>
    <cellStyle name="Note 3 5 6" xfId="2699" xr:uid="{00000000-0005-0000-0000-0000FC210000}"/>
    <cellStyle name="Note 3 5 6 2" xfId="6983" xr:uid="{00000000-0005-0000-0000-0000FD210000}"/>
    <cellStyle name="Note 3 5 6 2 2" xfId="15425" xr:uid="{E40DBE1E-4712-485F-A771-7377D88AF05C}"/>
    <cellStyle name="Note 3 5 6 2 3" xfId="23862" xr:uid="{E36C2FCB-3E32-4B30-90BA-FDC6B53615DC}"/>
    <cellStyle name="Note 3 5 6 3" xfId="11207" xr:uid="{CE162D52-28D2-4F98-9BAB-854347B29E6C}"/>
    <cellStyle name="Note 3 5 6 4" xfId="19645" xr:uid="{E3A4EF19-8424-4258-8CC3-BDFE24B6709B}"/>
    <cellStyle name="Note 3 5 7" xfId="2758" xr:uid="{00000000-0005-0000-0000-0000FE210000}"/>
    <cellStyle name="Note 3 5 8" xfId="2839" xr:uid="{00000000-0005-0000-0000-0000FF210000}"/>
    <cellStyle name="Note 3 5 8 2" xfId="7063" xr:uid="{00000000-0005-0000-0000-000000220000}"/>
    <cellStyle name="Note 3 5 8 2 2" xfId="15505" xr:uid="{91328DFE-03F0-4270-9BB8-34A68F6949FD}"/>
    <cellStyle name="Note 3 5 8 2 3" xfId="23942" xr:uid="{478223B1-A52F-4270-9A90-04F4662CC3DA}"/>
    <cellStyle name="Note 3 5 8 3" xfId="11287" xr:uid="{0AE9D7F8-9A02-4B19-A0FE-D9429C227548}"/>
    <cellStyle name="Note 3 5 8 4" xfId="19725" xr:uid="{74AF12C8-A88A-406C-B632-7986EE4EC6BE}"/>
    <cellStyle name="Note 3 5 9" xfId="4918" xr:uid="{00000000-0005-0000-0000-000001220000}"/>
    <cellStyle name="Note 3 5 9 2" xfId="13360" xr:uid="{39D72B20-B278-417E-AA73-7636C19565D4}"/>
    <cellStyle name="Note 3 5 9 3" xfId="21797" xr:uid="{7B7610FB-4CE6-422E-A6FA-1D580780CFEE}"/>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43" xr:uid="{D89C2F3B-57BF-463E-A272-9BFE81845E97}"/>
    <cellStyle name="Percent 3 3" xfId="21380" xr:uid="{9D2C566B-99BA-4081-BC78-9CC1DA68966F}"/>
    <cellStyle name="Percent 4" xfId="4502" xr:uid="{00000000-0005-0000-0000-000007220000}"/>
    <cellStyle name="Percent 4 2" xfId="8718" xr:uid="{00000000-0005-0000-0000-000008220000}"/>
    <cellStyle name="Percent 4 2 2" xfId="17160" xr:uid="{2112A311-C274-42C2-B900-0C8FAE9DABE9}"/>
    <cellStyle name="Percent 4 2 3" xfId="25597" xr:uid="{F14B0CA2-A2A9-4288-9B3A-89EED08518D1}"/>
    <cellStyle name="Percent 4 3" xfId="8721" xr:uid="{D09CD3FC-D632-4B66-A68A-5CC92F993799}"/>
    <cellStyle name="Percent 4 3 2" xfId="8725" xr:uid="{D57AE941-8E59-43F0-AB73-09B3BCCFA234}"/>
    <cellStyle name="Percent 4 3 2 2" xfId="8728" xr:uid="{D24D76A7-D076-4554-9944-551B122393DE}"/>
    <cellStyle name="Percent 4 3 2 3" xfId="17166" xr:uid="{C9023CEC-9FDD-4085-91E0-6CEBEC40FB0F}"/>
    <cellStyle name="Percent 4 3 2 4" xfId="25603" xr:uid="{C70C7CA9-CB02-4469-87FD-B17C0902CBC3}"/>
    <cellStyle name="Percent 4 3 3" xfId="17163" xr:uid="{A75207C2-C9A3-4E5E-ADBD-0BE62AE3F14A}"/>
    <cellStyle name="Percent 4 3 4" xfId="25600" xr:uid="{498D0753-B4FE-46F1-BEE0-E8012C6B6DE8}"/>
    <cellStyle name="Percent 4 4" xfId="12946" xr:uid="{4777E18E-70EB-4D95-9DA0-0F4B7731847E}"/>
    <cellStyle name="Percent 4 5" xfId="21383" xr:uid="{2211DE18-786B-400E-B2AB-C3028A29ABD6}"/>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8" t="s">
        <v>558</v>
      </c>
      <c r="B1" s="1268"/>
      <c r="C1" s="1268"/>
      <c r="D1" s="1268"/>
      <c r="E1" s="1268"/>
      <c r="F1" s="1268"/>
      <c r="G1" s="1268"/>
      <c r="H1" s="1268"/>
      <c r="I1" s="1268"/>
      <c r="J1" s="1268"/>
      <c r="K1" s="1268"/>
      <c r="L1" s="1268"/>
      <c r="M1" s="1268"/>
      <c r="N1" s="1268"/>
      <c r="O1" s="1268"/>
      <c r="P1" s="1268"/>
      <c r="Q1" s="1268"/>
      <c r="R1" s="1268"/>
      <c r="S1" s="1268"/>
      <c r="T1" s="1268"/>
      <c r="U1" s="1268"/>
      <c r="V1" s="1268"/>
      <c r="W1" s="1268"/>
      <c r="X1" s="1268"/>
      <c r="Y1" s="1268"/>
      <c r="Z1" s="1268"/>
      <c r="AA1" s="1268"/>
      <c r="AB1" s="1268"/>
      <c r="AC1" s="1268"/>
      <c r="AD1" s="1268"/>
      <c r="AE1" s="1268"/>
      <c r="AF1" s="1268"/>
      <c r="AG1" s="1268"/>
      <c r="AH1" s="1268"/>
      <c r="AI1" s="1268"/>
      <c r="AJ1" s="1268"/>
      <c r="AK1" s="1268"/>
      <c r="AL1" s="1268"/>
    </row>
    <row r="2" spans="1:38" ht="13.5" thickBot="1">
      <c r="A2" s="1269"/>
      <c r="B2" s="1269"/>
      <c r="C2" s="1269"/>
      <c r="D2" s="1269"/>
      <c r="E2" s="1269"/>
      <c r="F2" s="1269"/>
      <c r="G2" s="1269"/>
      <c r="H2" s="1269"/>
      <c r="I2" s="1269"/>
      <c r="J2" s="1269"/>
      <c r="K2" s="1269"/>
      <c r="L2" s="1269"/>
      <c r="M2" s="1269"/>
      <c r="N2" s="1269"/>
      <c r="O2" s="1269"/>
      <c r="P2" s="1269"/>
      <c r="Q2" s="1269"/>
      <c r="R2" s="1269"/>
      <c r="S2" s="1269"/>
      <c r="T2" s="1269"/>
      <c r="U2" s="1269"/>
      <c r="V2" s="1269"/>
      <c r="W2" s="1269"/>
      <c r="X2" s="1269"/>
      <c r="Y2" s="1269"/>
      <c r="Z2" s="1269"/>
      <c r="AA2" s="1269"/>
      <c r="AB2" s="1269"/>
      <c r="AC2" s="1269"/>
      <c r="AD2" s="1269"/>
      <c r="AE2" s="1269"/>
      <c r="AF2" s="1269"/>
      <c r="AG2" s="1269"/>
      <c r="AH2" s="1269"/>
      <c r="AI2" s="1269"/>
      <c r="AJ2" s="1269"/>
      <c r="AK2" s="1269"/>
      <c r="AL2" s="1269"/>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70" t="s">
        <v>2349</v>
      </c>
      <c r="E7" s="1270"/>
      <c r="F7" s="1270"/>
      <c r="G7" s="1270"/>
      <c r="H7" s="1270"/>
      <c r="I7" s="1270"/>
      <c r="J7" s="1270"/>
      <c r="K7" s="1270"/>
      <c r="L7" s="1270"/>
      <c r="M7" s="1270"/>
      <c r="N7" s="1270"/>
      <c r="O7" s="1270"/>
      <c r="P7" s="1270"/>
      <c r="Q7" s="1270"/>
      <c r="R7" s="1270"/>
      <c r="S7" s="1270"/>
      <c r="T7" s="1270"/>
      <c r="U7" s="1270"/>
      <c r="V7" s="1270"/>
      <c r="W7" s="1270"/>
      <c r="X7" s="1270"/>
      <c r="Y7" s="1270"/>
      <c r="Z7" s="1270"/>
      <c r="AA7" s="1270"/>
      <c r="AB7" s="1270"/>
      <c r="AC7" s="1270"/>
      <c r="AD7" s="1270"/>
      <c r="AE7" s="1270"/>
      <c r="AF7" s="1270"/>
      <c r="AG7" s="1270"/>
      <c r="AH7" s="1270"/>
      <c r="AI7" s="1270"/>
      <c r="AJ7" s="1270"/>
      <c r="AK7" s="1270"/>
      <c r="AL7" s="489"/>
    </row>
    <row r="8" spans="1:38">
      <c r="A8" s="218"/>
      <c r="B8" s="218"/>
      <c r="C8" s="219"/>
      <c r="D8" s="1270"/>
      <c r="E8" s="1270"/>
      <c r="F8" s="1270"/>
      <c r="G8" s="1270"/>
      <c r="H8" s="1270"/>
      <c r="I8" s="1270"/>
      <c r="J8" s="1270"/>
      <c r="K8" s="1270"/>
      <c r="L8" s="1270"/>
      <c r="M8" s="1270"/>
      <c r="N8" s="1270"/>
      <c r="O8" s="1270"/>
      <c r="P8" s="1270"/>
      <c r="Q8" s="1270"/>
      <c r="R8" s="1270"/>
      <c r="S8" s="1270"/>
      <c r="T8" s="1270"/>
      <c r="U8" s="1270"/>
      <c r="V8" s="1270"/>
      <c r="W8" s="1270"/>
      <c r="X8" s="1270"/>
      <c r="Y8" s="1270"/>
      <c r="Z8" s="1270"/>
      <c r="AA8" s="1270"/>
      <c r="AB8" s="1270"/>
      <c r="AC8" s="1270"/>
      <c r="AD8" s="1270"/>
      <c r="AE8" s="1270"/>
      <c r="AF8" s="1270"/>
      <c r="AG8" s="1270"/>
      <c r="AH8" s="1270"/>
      <c r="AI8" s="1270"/>
      <c r="AJ8" s="1270"/>
      <c r="AK8" s="1270"/>
      <c r="AL8" s="489"/>
    </row>
    <row r="9" spans="1:38">
      <c r="A9" s="218"/>
      <c r="B9" s="218"/>
      <c r="C9" s="219"/>
      <c r="D9" s="1270"/>
      <c r="E9" s="1270"/>
      <c r="F9" s="1270"/>
      <c r="G9" s="1270"/>
      <c r="H9" s="1270"/>
      <c r="I9" s="1270"/>
      <c r="J9" s="1270"/>
      <c r="K9" s="1270"/>
      <c r="L9" s="1270"/>
      <c r="M9" s="1270"/>
      <c r="N9" s="1270"/>
      <c r="O9" s="1270"/>
      <c r="P9" s="1270"/>
      <c r="Q9" s="1270"/>
      <c r="R9" s="1270"/>
      <c r="S9" s="1270"/>
      <c r="T9" s="1270"/>
      <c r="U9" s="1270"/>
      <c r="V9" s="1270"/>
      <c r="W9" s="1270"/>
      <c r="X9" s="1270"/>
      <c r="Y9" s="1270"/>
      <c r="Z9" s="1270"/>
      <c r="AA9" s="1270"/>
      <c r="AB9" s="1270"/>
      <c r="AC9" s="1270"/>
      <c r="AD9" s="1270"/>
      <c r="AE9" s="1270"/>
      <c r="AF9" s="1270"/>
      <c r="AG9" s="1270"/>
      <c r="AH9" s="1270"/>
      <c r="AI9" s="1270"/>
      <c r="AJ9" s="1270"/>
      <c r="AK9" s="1270"/>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70" t="s">
        <v>2350</v>
      </c>
      <c r="E11" s="1270"/>
      <c r="F11" s="1270"/>
      <c r="G11" s="1270"/>
      <c r="H11" s="1270"/>
      <c r="I11" s="1270"/>
      <c r="J11" s="1270"/>
      <c r="K11" s="1270"/>
      <c r="L11" s="1270"/>
      <c r="M11" s="1270"/>
      <c r="N11" s="1270"/>
      <c r="O11" s="1270"/>
      <c r="P11" s="1270"/>
      <c r="Q11" s="1270"/>
      <c r="R11" s="1270"/>
      <c r="S11" s="1270"/>
      <c r="T11" s="1270"/>
      <c r="U11" s="1270"/>
      <c r="V11" s="1270"/>
      <c r="W11" s="1270"/>
      <c r="X11" s="1270"/>
      <c r="Y11" s="1270"/>
      <c r="Z11" s="1270"/>
      <c r="AA11" s="1270"/>
      <c r="AB11" s="1270"/>
      <c r="AC11" s="1270"/>
      <c r="AD11" s="1270"/>
      <c r="AE11" s="1270"/>
      <c r="AF11" s="1270"/>
      <c r="AG11" s="1270"/>
      <c r="AH11" s="1270"/>
      <c r="AI11" s="1270"/>
      <c r="AJ11" s="1270"/>
      <c r="AK11" s="1270"/>
      <c r="AL11" s="489"/>
    </row>
    <row r="12" spans="1:38">
      <c r="A12" s="218"/>
      <c r="B12" s="218"/>
      <c r="C12" s="219"/>
      <c r="D12" s="1270"/>
      <c r="E12" s="1270"/>
      <c r="F12" s="1270"/>
      <c r="G12" s="1270"/>
      <c r="H12" s="1270"/>
      <c r="I12" s="1270"/>
      <c r="J12" s="1270"/>
      <c r="K12" s="1270"/>
      <c r="L12" s="1270"/>
      <c r="M12" s="1270"/>
      <c r="N12" s="1270"/>
      <c r="O12" s="1270"/>
      <c r="P12" s="1270"/>
      <c r="Q12" s="1270"/>
      <c r="R12" s="1270"/>
      <c r="S12" s="1270"/>
      <c r="T12" s="1270"/>
      <c r="U12" s="1270"/>
      <c r="V12" s="1270"/>
      <c r="W12" s="1270"/>
      <c r="X12" s="1270"/>
      <c r="Y12" s="1270"/>
      <c r="Z12" s="1270"/>
      <c r="AA12" s="1270"/>
      <c r="AB12" s="1270"/>
      <c r="AC12" s="1270"/>
      <c r="AD12" s="1270"/>
      <c r="AE12" s="1270"/>
      <c r="AF12" s="1270"/>
      <c r="AG12" s="1270"/>
      <c r="AH12" s="1270"/>
      <c r="AI12" s="1270"/>
      <c r="AJ12" s="1270"/>
      <c r="AK12" s="1270"/>
      <c r="AL12" s="489"/>
    </row>
    <row r="13" spans="1:38">
      <c r="A13" s="218"/>
      <c r="B13" s="218"/>
      <c r="C13" s="219"/>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489"/>
    </row>
    <row r="14" spans="1:38" ht="13.15" customHeight="1">
      <c r="A14" s="218"/>
      <c r="B14" s="218"/>
      <c r="C14" s="219"/>
      <c r="E14" s="1270" t="s">
        <v>2579</v>
      </c>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489"/>
    </row>
    <row r="15" spans="1:38" ht="13.15" customHeight="1">
      <c r="A15" s="218"/>
      <c r="B15" s="218"/>
      <c r="C15" s="219"/>
      <c r="E15" s="1270"/>
      <c r="F15" s="1270"/>
      <c r="G15" s="1270"/>
      <c r="H15" s="1270"/>
      <c r="I15" s="1270"/>
      <c r="J15" s="1270"/>
      <c r="K15" s="1270"/>
      <c r="L15" s="1270"/>
      <c r="M15" s="1270"/>
      <c r="N15" s="1270"/>
      <c r="O15" s="1270"/>
      <c r="P15" s="1270"/>
      <c r="Q15" s="1270"/>
      <c r="R15" s="1270"/>
      <c r="S15" s="1270"/>
      <c r="T15" s="1270"/>
      <c r="U15" s="1270"/>
      <c r="V15" s="1270"/>
      <c r="W15" s="1270"/>
      <c r="X15" s="1270"/>
      <c r="Y15" s="1270"/>
      <c r="Z15" s="1270"/>
      <c r="AA15" s="1270"/>
      <c r="AB15" s="1270"/>
      <c r="AC15" s="1270"/>
      <c r="AD15" s="1270"/>
      <c r="AE15" s="1270"/>
      <c r="AF15" s="1270"/>
      <c r="AG15" s="1270"/>
      <c r="AH15" s="1270"/>
      <c r="AI15" s="1270"/>
      <c r="AJ15" s="1270"/>
      <c r="AK15" s="1270"/>
      <c r="AL15" s="489"/>
    </row>
    <row r="16" spans="1:38">
      <c r="A16" s="218"/>
      <c r="B16" s="218"/>
      <c r="C16" s="219"/>
      <c r="D16" s="489"/>
      <c r="E16" s="1270"/>
      <c r="F16" s="1270"/>
      <c r="G16" s="1270"/>
      <c r="H16" s="1270"/>
      <c r="I16" s="1270"/>
      <c r="J16" s="1270"/>
      <c r="K16" s="1270"/>
      <c r="L16" s="1270"/>
      <c r="M16" s="1270"/>
      <c r="N16" s="1270"/>
      <c r="O16" s="1270"/>
      <c r="P16" s="1270"/>
      <c r="Q16" s="1270"/>
      <c r="R16" s="1270"/>
      <c r="S16" s="1270"/>
      <c r="T16" s="1270"/>
      <c r="U16" s="1270"/>
      <c r="V16" s="1270"/>
      <c r="W16" s="1270"/>
      <c r="X16" s="1270"/>
      <c r="Y16" s="1270"/>
      <c r="Z16" s="1270"/>
      <c r="AA16" s="1270"/>
      <c r="AB16" s="1270"/>
      <c r="AC16" s="1270"/>
      <c r="AD16" s="1270"/>
      <c r="AE16" s="1270"/>
      <c r="AF16" s="1270"/>
      <c r="AG16" s="1270"/>
      <c r="AH16" s="1270"/>
      <c r="AI16" s="1270"/>
      <c r="AJ16" s="1270"/>
      <c r="AK16" s="1270"/>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70" t="s">
        <v>2351</v>
      </c>
      <c r="E18" s="1270"/>
      <c r="F18" s="1270"/>
      <c r="G18" s="1270"/>
      <c r="H18" s="1270"/>
      <c r="I18" s="1270"/>
      <c r="J18" s="1270"/>
      <c r="K18" s="1270"/>
      <c r="L18" s="1270"/>
      <c r="M18" s="1270"/>
      <c r="N18" s="1270"/>
      <c r="O18" s="1270"/>
      <c r="P18" s="1270"/>
      <c r="Q18" s="1270"/>
      <c r="R18" s="1270"/>
      <c r="S18" s="1270"/>
      <c r="T18" s="1270"/>
      <c r="U18" s="1270"/>
      <c r="V18" s="1270"/>
      <c r="W18" s="1270"/>
      <c r="X18" s="1270"/>
      <c r="Y18" s="1270"/>
      <c r="Z18" s="1270"/>
      <c r="AA18" s="1270"/>
      <c r="AB18" s="1270"/>
      <c r="AC18" s="1270"/>
      <c r="AD18" s="1270"/>
      <c r="AE18" s="1270"/>
      <c r="AF18" s="1270"/>
      <c r="AG18" s="1270"/>
      <c r="AH18" s="1270"/>
      <c r="AI18" s="1270"/>
      <c r="AJ18" s="1270"/>
      <c r="AK18" s="1270"/>
      <c r="AL18" s="218"/>
    </row>
    <row r="19" spans="1:38">
      <c r="A19" s="218"/>
      <c r="B19" s="218"/>
      <c r="C19" s="219"/>
      <c r="D19" s="1270"/>
      <c r="E19" s="1270"/>
      <c r="F19" s="1270"/>
      <c r="G19" s="1270"/>
      <c r="H19" s="1270"/>
      <c r="I19" s="1270"/>
      <c r="J19" s="1270"/>
      <c r="K19" s="1270"/>
      <c r="L19" s="1270"/>
      <c r="M19" s="1270"/>
      <c r="N19" s="1270"/>
      <c r="O19" s="1270"/>
      <c r="P19" s="1270"/>
      <c r="Q19" s="1270"/>
      <c r="R19" s="1270"/>
      <c r="S19" s="1270"/>
      <c r="T19" s="1270"/>
      <c r="U19" s="1270"/>
      <c r="V19" s="1270"/>
      <c r="W19" s="1270"/>
      <c r="X19" s="1270"/>
      <c r="Y19" s="1270"/>
      <c r="Z19" s="1270"/>
      <c r="AA19" s="1270"/>
      <c r="AB19" s="1270"/>
      <c r="AC19" s="1270"/>
      <c r="AD19" s="1270"/>
      <c r="AE19" s="1270"/>
      <c r="AF19" s="1270"/>
      <c r="AG19" s="1270"/>
      <c r="AH19" s="1270"/>
      <c r="AI19" s="1270"/>
      <c r="AJ19" s="1270"/>
      <c r="AK19" s="1270"/>
      <c r="AL19" s="218"/>
    </row>
    <row r="20" spans="1:38">
      <c r="A20" s="218"/>
      <c r="B20" s="218"/>
      <c r="C20" s="219"/>
      <c r="D20" s="1270"/>
      <c r="E20" s="1270"/>
      <c r="F20" s="1270"/>
      <c r="G20" s="1270"/>
      <c r="H20" s="1270"/>
      <c r="I20" s="1270"/>
      <c r="J20" s="1270"/>
      <c r="K20" s="1270"/>
      <c r="L20" s="1270"/>
      <c r="M20" s="1270"/>
      <c r="N20" s="1270"/>
      <c r="O20" s="1270"/>
      <c r="P20" s="1270"/>
      <c r="Q20" s="1270"/>
      <c r="R20" s="1270"/>
      <c r="S20" s="1270"/>
      <c r="T20" s="1270"/>
      <c r="U20" s="1270"/>
      <c r="V20" s="1270"/>
      <c r="W20" s="1270"/>
      <c r="X20" s="1270"/>
      <c r="Y20" s="1270"/>
      <c r="Z20" s="1270"/>
      <c r="AA20" s="1270"/>
      <c r="AB20" s="1270"/>
      <c r="AC20" s="1270"/>
      <c r="AD20" s="1270"/>
      <c r="AE20" s="1270"/>
      <c r="AF20" s="1270"/>
      <c r="AG20" s="1270"/>
      <c r="AH20" s="1270"/>
      <c r="AI20" s="1270"/>
      <c r="AJ20" s="1270"/>
      <c r="AK20" s="1270"/>
      <c r="AL20" s="218"/>
    </row>
    <row r="21" spans="1:38" ht="13.15" customHeight="1">
      <c r="A21" s="218"/>
      <c r="B21" s="218"/>
      <c r="C21" s="219"/>
      <c r="D21" s="1270"/>
      <c r="E21" s="1270"/>
      <c r="F21" s="1270"/>
      <c r="G21" s="1270"/>
      <c r="H21" s="1270"/>
      <c r="I21" s="1270"/>
      <c r="J21" s="1270"/>
      <c r="K21" s="1270"/>
      <c r="L21" s="1270"/>
      <c r="M21" s="1270"/>
      <c r="N21" s="1270"/>
      <c r="O21" s="1270"/>
      <c r="P21" s="1270"/>
      <c r="Q21" s="1270"/>
      <c r="R21" s="1270"/>
      <c r="S21" s="1270"/>
      <c r="T21" s="1270"/>
      <c r="U21" s="1270"/>
      <c r="V21" s="1270"/>
      <c r="W21" s="1270"/>
      <c r="X21" s="1270"/>
      <c r="Y21" s="1270"/>
      <c r="Z21" s="1270"/>
      <c r="AA21" s="1270"/>
      <c r="AB21" s="1270"/>
      <c r="AC21" s="1270"/>
      <c r="AD21" s="1270"/>
      <c r="AE21" s="1270"/>
      <c r="AF21" s="1270"/>
      <c r="AG21" s="1270"/>
      <c r="AH21" s="1270"/>
      <c r="AI21" s="1270"/>
      <c r="AJ21" s="1270"/>
      <c r="AK21" s="1270"/>
      <c r="AL21" s="218"/>
    </row>
    <row r="22" spans="1:38">
      <c r="A22" s="218"/>
      <c r="B22" s="218"/>
      <c r="C22" s="219"/>
      <c r="D22" s="1270"/>
      <c r="E22" s="1270"/>
      <c r="F22" s="1270"/>
      <c r="G22" s="1270"/>
      <c r="H22" s="1270"/>
      <c r="I22" s="1270"/>
      <c r="J22" s="1270"/>
      <c r="K22" s="1270"/>
      <c r="L22" s="1270"/>
      <c r="M22" s="1270"/>
      <c r="N22" s="1270"/>
      <c r="O22" s="1270"/>
      <c r="P22" s="1270"/>
      <c r="Q22" s="1270"/>
      <c r="R22" s="1270"/>
      <c r="S22" s="1270"/>
      <c r="T22" s="1270"/>
      <c r="U22" s="1270"/>
      <c r="V22" s="1270"/>
      <c r="W22" s="1270"/>
      <c r="X22" s="1270"/>
      <c r="Y22" s="1270"/>
      <c r="Z22" s="1270"/>
      <c r="AA22" s="1270"/>
      <c r="AB22" s="1270"/>
      <c r="AC22" s="1270"/>
      <c r="AD22" s="1270"/>
      <c r="AE22" s="1270"/>
      <c r="AF22" s="1270"/>
      <c r="AG22" s="1270"/>
      <c r="AH22" s="1270"/>
      <c r="AI22" s="1270"/>
      <c r="AJ22" s="1270"/>
      <c r="AK22" s="1270"/>
      <c r="AL22" s="218"/>
    </row>
    <row r="23" spans="1:38">
      <c r="A23" s="218"/>
      <c r="B23" s="218"/>
      <c r="C23" s="219"/>
      <c r="D23" s="1270"/>
      <c r="E23" s="1270"/>
      <c r="F23" s="1270"/>
      <c r="G23" s="1270"/>
      <c r="H23" s="1270"/>
      <c r="I23" s="1270"/>
      <c r="J23" s="1270"/>
      <c r="K23" s="1270"/>
      <c r="L23" s="1270"/>
      <c r="M23" s="1270"/>
      <c r="N23" s="1270"/>
      <c r="O23" s="1270"/>
      <c r="P23" s="1270"/>
      <c r="Q23" s="1270"/>
      <c r="R23" s="1270"/>
      <c r="S23" s="1270"/>
      <c r="T23" s="1270"/>
      <c r="U23" s="1270"/>
      <c r="V23" s="1270"/>
      <c r="W23" s="1270"/>
      <c r="X23" s="1270"/>
      <c r="Y23" s="1270"/>
      <c r="Z23" s="1270"/>
      <c r="AA23" s="1270"/>
      <c r="AB23" s="1270"/>
      <c r="AC23" s="1270"/>
      <c r="AD23" s="1270"/>
      <c r="AE23" s="1270"/>
      <c r="AF23" s="1270"/>
      <c r="AG23" s="1270"/>
      <c r="AH23" s="1270"/>
      <c r="AI23" s="1270"/>
      <c r="AJ23" s="1270"/>
      <c r="AK23" s="1270"/>
      <c r="AL23" s="218"/>
    </row>
    <row r="24" spans="1:38">
      <c r="A24" s="218"/>
      <c r="B24" s="218"/>
      <c r="C24" s="219"/>
      <c r="D24" s="1270"/>
      <c r="E24" s="1270"/>
      <c r="F24" s="1270"/>
      <c r="G24" s="1270"/>
      <c r="H24" s="1270"/>
      <c r="I24" s="1270"/>
      <c r="J24" s="1270"/>
      <c r="K24" s="1270"/>
      <c r="L24" s="1270"/>
      <c r="M24" s="1270"/>
      <c r="N24" s="1270"/>
      <c r="O24" s="1270"/>
      <c r="P24" s="1270"/>
      <c r="Q24" s="1270"/>
      <c r="R24" s="1270"/>
      <c r="S24" s="1270"/>
      <c r="T24" s="1270"/>
      <c r="U24" s="1270"/>
      <c r="V24" s="1270"/>
      <c r="W24" s="1270"/>
      <c r="X24" s="1270"/>
      <c r="Y24" s="1270"/>
      <c r="Z24" s="1270"/>
      <c r="AA24" s="1270"/>
      <c r="AB24" s="1270"/>
      <c r="AC24" s="1270"/>
      <c r="AD24" s="1270"/>
      <c r="AE24" s="1270"/>
      <c r="AF24" s="1270"/>
      <c r="AG24" s="1270"/>
      <c r="AH24" s="1270"/>
      <c r="AI24" s="1270"/>
      <c r="AJ24" s="1270"/>
      <c r="AK24" s="1270"/>
      <c r="AL24" s="218"/>
    </row>
    <row r="25" spans="1:38">
      <c r="A25" s="218"/>
      <c r="B25" s="218"/>
      <c r="C25" s="219"/>
      <c r="D25" s="1270"/>
      <c r="E25" s="1270"/>
      <c r="F25" s="1270"/>
      <c r="G25" s="1270"/>
      <c r="H25" s="1270"/>
      <c r="I25" s="1270"/>
      <c r="J25" s="1270"/>
      <c r="K25" s="1270"/>
      <c r="L25" s="1270"/>
      <c r="M25" s="1270"/>
      <c r="N25" s="1270"/>
      <c r="O25" s="1270"/>
      <c r="P25" s="1270"/>
      <c r="Q25" s="1270"/>
      <c r="R25" s="1270"/>
      <c r="S25" s="1270"/>
      <c r="T25" s="1270"/>
      <c r="U25" s="1270"/>
      <c r="V25" s="1270"/>
      <c r="W25" s="1270"/>
      <c r="X25" s="1270"/>
      <c r="Y25" s="1270"/>
      <c r="Z25" s="1270"/>
      <c r="AA25" s="1270"/>
      <c r="AB25" s="1270"/>
      <c r="AC25" s="1270"/>
      <c r="AD25" s="1270"/>
      <c r="AE25" s="1270"/>
      <c r="AF25" s="1270"/>
      <c r="AG25" s="1270"/>
      <c r="AH25" s="1270"/>
      <c r="AI25" s="1270"/>
      <c r="AJ25" s="1270"/>
      <c r="AK25" s="1270"/>
      <c r="AL25" s="218"/>
    </row>
    <row r="26" spans="1:38">
      <c r="A26" s="218"/>
      <c r="B26" s="218"/>
      <c r="C26" s="219"/>
      <c r="D26" s="1270"/>
      <c r="E26" s="1270"/>
      <c r="F26" s="1270"/>
      <c r="G26" s="1270"/>
      <c r="H26" s="1270"/>
      <c r="I26" s="1270"/>
      <c r="J26" s="1270"/>
      <c r="K26" s="1270"/>
      <c r="L26" s="1270"/>
      <c r="M26" s="1270"/>
      <c r="N26" s="1270"/>
      <c r="O26" s="1270"/>
      <c r="P26" s="1270"/>
      <c r="Q26" s="1270"/>
      <c r="R26" s="1270"/>
      <c r="S26" s="1270"/>
      <c r="T26" s="1270"/>
      <c r="U26" s="1270"/>
      <c r="V26" s="1270"/>
      <c r="W26" s="1270"/>
      <c r="X26" s="1270"/>
      <c r="Y26" s="1270"/>
      <c r="Z26" s="1270"/>
      <c r="AA26" s="1270"/>
      <c r="AB26" s="1270"/>
      <c r="AC26" s="1270"/>
      <c r="AD26" s="1270"/>
      <c r="AE26" s="1270"/>
      <c r="AF26" s="1270"/>
      <c r="AG26" s="1270"/>
      <c r="AH26" s="1270"/>
      <c r="AI26" s="1270"/>
      <c r="AJ26" s="1270"/>
      <c r="AK26" s="1270"/>
      <c r="AL26" s="218"/>
    </row>
    <row r="27" spans="1:38" ht="11.85" customHeight="1">
      <c r="A27" s="218"/>
      <c r="B27" s="218"/>
      <c r="C27" s="219"/>
      <c r="D27" s="1270"/>
      <c r="E27" s="1270"/>
      <c r="F27" s="1270"/>
      <c r="G27" s="1270"/>
      <c r="H27" s="1270"/>
      <c r="I27" s="1270"/>
      <c r="J27" s="1270"/>
      <c r="K27" s="1270"/>
      <c r="L27" s="1270"/>
      <c r="M27" s="1270"/>
      <c r="N27" s="1270"/>
      <c r="O27" s="1270"/>
      <c r="P27" s="1270"/>
      <c r="Q27" s="1270"/>
      <c r="R27" s="1270"/>
      <c r="S27" s="1270"/>
      <c r="T27" s="1270"/>
      <c r="U27" s="1270"/>
      <c r="V27" s="1270"/>
      <c r="W27" s="1270"/>
      <c r="X27" s="1270"/>
      <c r="Y27" s="1270"/>
      <c r="Z27" s="1270"/>
      <c r="AA27" s="1270"/>
      <c r="AB27" s="1270"/>
      <c r="AC27" s="1270"/>
      <c r="AD27" s="1270"/>
      <c r="AE27" s="1270"/>
      <c r="AF27" s="1270"/>
      <c r="AG27" s="1270"/>
      <c r="AH27" s="1270"/>
      <c r="AI27" s="1270"/>
      <c r="AJ27" s="1270"/>
      <c r="AK27" s="1270"/>
      <c r="AL27" s="218"/>
    </row>
    <row r="28" spans="1:38" ht="13.15" hidden="1" customHeight="1">
      <c r="A28" s="218"/>
      <c r="B28" s="218"/>
      <c r="C28" s="219"/>
      <c r="E28" s="1270" t="s">
        <v>2506</v>
      </c>
      <c r="F28" s="1270"/>
      <c r="G28" s="1270"/>
      <c r="H28" s="1270"/>
      <c r="I28" s="1270"/>
      <c r="J28" s="1270"/>
      <c r="K28" s="1270"/>
      <c r="L28" s="1270"/>
      <c r="M28" s="1270"/>
      <c r="N28" s="1270"/>
      <c r="O28" s="1270"/>
      <c r="P28" s="1270"/>
      <c r="Q28" s="1270"/>
      <c r="R28" s="1270"/>
      <c r="S28" s="1270"/>
      <c r="T28" s="1270"/>
      <c r="U28" s="1270"/>
      <c r="V28" s="1270"/>
      <c r="W28" s="1270"/>
      <c r="X28" s="1270"/>
      <c r="Y28" s="1270"/>
      <c r="Z28" s="1270"/>
      <c r="AA28" s="1270"/>
      <c r="AB28" s="1270"/>
      <c r="AC28" s="1270"/>
      <c r="AD28" s="1270"/>
      <c r="AE28" s="1270"/>
      <c r="AF28" s="1270"/>
      <c r="AG28" s="1270"/>
      <c r="AH28" s="1270"/>
      <c r="AI28" s="1270"/>
      <c r="AJ28" s="1270"/>
      <c r="AK28" s="1270"/>
      <c r="AL28" s="218"/>
    </row>
    <row r="29" spans="1:38" ht="13.15" hidden="1" customHeight="1">
      <c r="A29" s="218"/>
      <c r="B29" s="218"/>
      <c r="C29" s="219"/>
      <c r="E29" s="1270"/>
      <c r="F29" s="1270"/>
      <c r="G29" s="1270"/>
      <c r="H29" s="1270"/>
      <c r="I29" s="1270"/>
      <c r="J29" s="1270"/>
      <c r="K29" s="1270"/>
      <c r="L29" s="1270"/>
      <c r="M29" s="1270"/>
      <c r="N29" s="1270"/>
      <c r="O29" s="1270"/>
      <c r="P29" s="1270"/>
      <c r="Q29" s="1270"/>
      <c r="R29" s="1270"/>
      <c r="S29" s="1270"/>
      <c r="T29" s="1270"/>
      <c r="U29" s="1270"/>
      <c r="V29" s="1270"/>
      <c r="W29" s="1270"/>
      <c r="X29" s="1270"/>
      <c r="Y29" s="1270"/>
      <c r="Z29" s="1270"/>
      <c r="AA29" s="1270"/>
      <c r="AB29" s="1270"/>
      <c r="AC29" s="1270"/>
      <c r="AD29" s="1270"/>
      <c r="AE29" s="1270"/>
      <c r="AF29" s="1270"/>
      <c r="AG29" s="1270"/>
      <c r="AH29" s="1270"/>
      <c r="AI29" s="1270"/>
      <c r="AJ29" s="1270"/>
      <c r="AK29" s="1270"/>
      <c r="AL29" s="218"/>
    </row>
    <row r="30" spans="1:38" hidden="1">
      <c r="A30" s="218"/>
      <c r="B30" s="218"/>
      <c r="C30" s="219"/>
      <c r="D30" s="489"/>
      <c r="E30" s="1270"/>
      <c r="F30" s="1270"/>
      <c r="G30" s="1270"/>
      <c r="H30" s="1270"/>
      <c r="I30" s="1270"/>
      <c r="J30" s="1270"/>
      <c r="K30" s="1270"/>
      <c r="L30" s="1270"/>
      <c r="M30" s="1270"/>
      <c r="N30" s="1270"/>
      <c r="O30" s="1270"/>
      <c r="P30" s="1270"/>
      <c r="Q30" s="1270"/>
      <c r="R30" s="1270"/>
      <c r="S30" s="1270"/>
      <c r="T30" s="1270"/>
      <c r="U30" s="1270"/>
      <c r="V30" s="1270"/>
      <c r="W30" s="1270"/>
      <c r="X30" s="1270"/>
      <c r="Y30" s="1270"/>
      <c r="Z30" s="1270"/>
      <c r="AA30" s="1270"/>
      <c r="AB30" s="1270"/>
      <c r="AC30" s="1270"/>
      <c r="AD30" s="1270"/>
      <c r="AE30" s="1270"/>
      <c r="AF30" s="1270"/>
      <c r="AG30" s="1270"/>
      <c r="AH30" s="1270"/>
      <c r="AI30" s="1270"/>
      <c r="AJ30" s="1270"/>
      <c r="AK30" s="1270"/>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70" t="s">
        <v>2352</v>
      </c>
      <c r="E32" s="1270"/>
      <c r="F32" s="1270"/>
      <c r="G32" s="1270"/>
      <c r="H32" s="1270"/>
      <c r="I32" s="1270"/>
      <c r="J32" s="1270"/>
      <c r="K32" s="1270"/>
      <c r="L32" s="1270"/>
      <c r="M32" s="1270"/>
      <c r="N32" s="1270"/>
      <c r="O32" s="1270"/>
      <c r="P32" s="1270"/>
      <c r="Q32" s="1270"/>
      <c r="R32" s="1270"/>
      <c r="S32" s="1270"/>
      <c r="T32" s="1270"/>
      <c r="U32" s="1270"/>
      <c r="V32" s="1270"/>
      <c r="W32" s="1270"/>
      <c r="X32" s="1270"/>
      <c r="Y32" s="1270"/>
      <c r="Z32" s="1270"/>
      <c r="AA32" s="1270"/>
      <c r="AB32" s="1270"/>
      <c r="AC32" s="1270"/>
      <c r="AD32" s="1270"/>
      <c r="AE32" s="1270"/>
      <c r="AF32" s="1270"/>
      <c r="AG32" s="1270"/>
      <c r="AH32" s="1270"/>
      <c r="AI32" s="1270"/>
      <c r="AJ32" s="1270"/>
      <c r="AK32" s="1270"/>
      <c r="AL32" s="218"/>
    </row>
    <row r="33" spans="1:38">
      <c r="A33" s="218"/>
      <c r="B33" s="218"/>
      <c r="C33" s="219"/>
      <c r="D33" s="489"/>
      <c r="E33" s="1277" t="s">
        <v>2585</v>
      </c>
      <c r="F33" s="1278"/>
      <c r="G33" s="1278"/>
      <c r="H33" s="1278"/>
      <c r="I33" s="1278"/>
      <c r="J33" s="1278"/>
      <c r="K33" s="1278"/>
      <c r="L33" s="1278"/>
      <c r="M33" s="1278"/>
      <c r="N33" s="1278"/>
      <c r="O33" s="1278"/>
      <c r="P33" s="1278"/>
      <c r="Q33" s="1278"/>
      <c r="R33" s="1278"/>
      <c r="S33" s="1278"/>
      <c r="T33" s="1278"/>
      <c r="U33" s="1278"/>
      <c r="V33" s="1278"/>
      <c r="W33" s="1278"/>
      <c r="X33" s="1278"/>
      <c r="Y33" s="1278"/>
      <c r="Z33" s="1278"/>
      <c r="AA33" s="1278"/>
      <c r="AB33" s="1278"/>
      <c r="AC33" s="1278"/>
      <c r="AD33" s="1278"/>
      <c r="AE33" s="1278"/>
      <c r="AF33" s="1278"/>
      <c r="AG33" s="1278"/>
      <c r="AH33" s="1278"/>
      <c r="AI33" s="1278"/>
      <c r="AJ33" s="1278"/>
      <c r="AK33" s="1278"/>
      <c r="AL33" s="218"/>
    </row>
    <row r="34" spans="1:38">
      <c r="A34" s="4"/>
      <c r="C34" s="2"/>
    </row>
    <row r="35" spans="1:38">
      <c r="A35" s="4"/>
      <c r="D35" s="1271" t="s">
        <v>2501</v>
      </c>
      <c r="E35" s="1271"/>
      <c r="F35" s="1271"/>
      <c r="G35" s="1271"/>
      <c r="H35" s="1271"/>
      <c r="I35" s="1271"/>
      <c r="J35" s="1271"/>
      <c r="K35" s="1271"/>
      <c r="L35" s="1271"/>
      <c r="M35" s="1271"/>
      <c r="N35" s="1271"/>
      <c r="O35" s="1271"/>
      <c r="P35" s="1271"/>
      <c r="Q35" s="1271"/>
      <c r="R35" s="1271"/>
      <c r="S35" s="1271"/>
      <c r="T35" s="1271"/>
      <c r="U35" s="1271"/>
      <c r="V35" s="1271"/>
      <c r="W35" s="1271"/>
      <c r="X35" s="1271"/>
      <c r="Y35" s="1271"/>
      <c r="Z35" s="1271"/>
      <c r="AA35" s="1271"/>
      <c r="AB35" s="1271"/>
      <c r="AC35" s="1271"/>
      <c r="AD35" s="1271"/>
      <c r="AE35" s="1271"/>
      <c r="AF35" s="1271"/>
      <c r="AG35" s="1271"/>
      <c r="AH35" s="1271"/>
      <c r="AI35" s="1271"/>
      <c r="AJ35" s="1271"/>
      <c r="AK35" s="1271"/>
    </row>
    <row r="36" spans="1:38">
      <c r="A36" s="4"/>
      <c r="D36" s="1271"/>
      <c r="E36" s="1271"/>
      <c r="F36" s="1271"/>
      <c r="G36" s="1271"/>
      <c r="H36" s="1271"/>
      <c r="I36" s="1271"/>
      <c r="J36" s="1271"/>
      <c r="K36" s="1271"/>
      <c r="L36" s="1271"/>
      <c r="M36" s="1271"/>
      <c r="N36" s="1271"/>
      <c r="O36" s="1271"/>
      <c r="P36" s="1271"/>
      <c r="Q36" s="1271"/>
      <c r="R36" s="1271"/>
      <c r="S36" s="1271"/>
      <c r="T36" s="1271"/>
      <c r="U36" s="1271"/>
      <c r="V36" s="1271"/>
      <c r="W36" s="1271"/>
      <c r="X36" s="1271"/>
      <c r="Y36" s="1271"/>
      <c r="Z36" s="1271"/>
      <c r="AA36" s="1271"/>
      <c r="AB36" s="1271"/>
      <c r="AC36" s="1271"/>
      <c r="AD36" s="1271"/>
      <c r="AE36" s="1271"/>
      <c r="AF36" s="1271"/>
      <c r="AG36" s="1271"/>
      <c r="AH36" s="1271"/>
      <c r="AI36" s="1271"/>
      <c r="AJ36" s="1271"/>
      <c r="AK36" s="1271"/>
    </row>
    <row r="37" spans="1:38">
      <c r="A37" s="4"/>
      <c r="D37" s="120"/>
      <c r="E37" s="1276" t="s">
        <v>2359</v>
      </c>
      <c r="F37" s="1276"/>
      <c r="G37" s="1276"/>
      <c r="H37" s="1276"/>
      <c r="I37" s="1276"/>
      <c r="J37" s="1276"/>
      <c r="K37" s="1276"/>
      <c r="L37" s="1276"/>
      <c r="M37" s="1276"/>
      <c r="N37" s="1276"/>
      <c r="O37" s="1276"/>
      <c r="P37" s="1276"/>
      <c r="Q37" s="1276"/>
      <c r="R37" s="1276"/>
      <c r="S37" s="1276"/>
      <c r="T37" s="1276"/>
      <c r="U37" s="1276"/>
      <c r="V37" s="1276"/>
      <c r="W37" s="1276"/>
      <c r="X37" s="1276"/>
      <c r="Y37" s="1276"/>
      <c r="Z37" s="1276"/>
      <c r="AA37" s="1276"/>
      <c r="AB37" s="1276"/>
      <c r="AC37" s="1276"/>
      <c r="AD37" s="1276"/>
      <c r="AE37" s="1276"/>
      <c r="AF37" s="1276"/>
      <c r="AG37" s="1276"/>
      <c r="AH37" s="1276"/>
      <c r="AI37" s="1276"/>
      <c r="AJ37" s="1276"/>
      <c r="AK37" s="1276"/>
    </row>
    <row r="38" spans="1:38">
      <c r="A38" s="4"/>
      <c r="D38" s="120"/>
      <c r="E38" s="1276" t="s">
        <v>2360</v>
      </c>
      <c r="F38" s="1276"/>
      <c r="G38" s="1276"/>
      <c r="H38" s="1276"/>
      <c r="I38" s="1276"/>
      <c r="J38" s="1276"/>
      <c r="K38" s="1276"/>
      <c r="L38" s="1276"/>
      <c r="M38" s="1276"/>
      <c r="N38" s="1276"/>
      <c r="O38" s="1276"/>
      <c r="P38" s="1276"/>
      <c r="Q38" s="1276"/>
      <c r="R38" s="1276"/>
      <c r="S38" s="1276"/>
      <c r="T38" s="1276"/>
      <c r="U38" s="1276"/>
      <c r="V38" s="1276"/>
      <c r="W38" s="1276"/>
      <c r="X38" s="1276"/>
      <c r="Y38" s="1276"/>
      <c r="Z38" s="1276"/>
      <c r="AA38" s="1276"/>
      <c r="AB38" s="1276"/>
      <c r="AC38" s="1276"/>
      <c r="AD38" s="1276"/>
      <c r="AE38" s="1276"/>
      <c r="AF38" s="1276"/>
      <c r="AG38" s="1276"/>
      <c r="AH38" s="1276"/>
      <c r="AI38" s="1276"/>
      <c r="AJ38" s="1276"/>
      <c r="AK38" s="1276"/>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70" customFormat="1" ht="13.15" customHeight="1">
      <c r="A42" s="4"/>
      <c r="B42"/>
      <c r="C42" s="2"/>
      <c r="D42" s="4"/>
      <c r="E42" s="4" t="s">
        <v>661</v>
      </c>
      <c r="F42" s="1270" t="s">
        <v>1270</v>
      </c>
    </row>
    <row r="43" spans="1:38" s="1270" customFormat="1" ht="13.15" customHeight="1">
      <c r="A43" s="4"/>
      <c r="B43"/>
      <c r="C43" s="2"/>
      <c r="D43" s="4"/>
      <c r="E43" s="4"/>
    </row>
    <row r="44" spans="1:38">
      <c r="A44" s="4"/>
      <c r="C44" s="2"/>
      <c r="D44" s="4"/>
      <c r="E44" s="4"/>
      <c r="F44" s="35" t="s">
        <v>696</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4" t="s">
        <v>1354</v>
      </c>
      <c r="G45" s="1274"/>
      <c r="H45" s="1274"/>
      <c r="I45" s="1274"/>
      <c r="J45" s="1274"/>
      <c r="K45" s="1274"/>
      <c r="L45" s="1274"/>
      <c r="M45" s="1274"/>
      <c r="N45" s="1274"/>
      <c r="O45" s="1274"/>
      <c r="P45" s="1274"/>
      <c r="Q45" s="1274"/>
      <c r="R45" s="1274"/>
      <c r="S45" s="1274"/>
      <c r="T45" s="1274"/>
      <c r="U45" s="1274"/>
      <c r="V45" s="1274"/>
      <c r="W45" s="1274"/>
      <c r="X45" s="1274"/>
      <c r="Y45" s="1274"/>
      <c r="Z45" s="1274"/>
      <c r="AA45" s="1274"/>
      <c r="AB45" s="1274"/>
      <c r="AC45" s="1274"/>
      <c r="AD45" s="1274"/>
      <c r="AE45" s="1274"/>
      <c r="AF45" s="1274"/>
      <c r="AG45" s="1274"/>
      <c r="AH45" s="1274"/>
      <c r="AI45" s="1274"/>
      <c r="AJ45" s="1274"/>
      <c r="AK45" s="1274"/>
      <c r="AL45" s="1274"/>
    </row>
    <row r="46" spans="1:38" s="118" customFormat="1">
      <c r="A46" s="4"/>
      <c r="B46"/>
      <c r="C46" s="2"/>
      <c r="D46" s="4"/>
      <c r="E46" s="4"/>
      <c r="F46" s="1274"/>
      <c r="G46" s="1274"/>
      <c r="H46" s="1274"/>
      <c r="I46" s="1274"/>
      <c r="J46" s="1274"/>
      <c r="K46" s="1274"/>
      <c r="L46" s="1274"/>
      <c r="M46" s="1274"/>
      <c r="N46" s="1274"/>
      <c r="O46" s="1274"/>
      <c r="P46" s="1274"/>
      <c r="Q46" s="1274"/>
      <c r="R46" s="1274"/>
      <c r="S46" s="1274"/>
      <c r="T46" s="1274"/>
      <c r="U46" s="1274"/>
      <c r="V46" s="1274"/>
      <c r="W46" s="1274"/>
      <c r="X46" s="1274"/>
      <c r="Y46" s="1274"/>
      <c r="Z46" s="1274"/>
      <c r="AA46" s="1274"/>
      <c r="AB46" s="1274"/>
      <c r="AC46" s="1274"/>
      <c r="AD46" s="1274"/>
      <c r="AE46" s="1274"/>
      <c r="AF46" s="1274"/>
      <c r="AG46" s="1274"/>
      <c r="AH46" s="1274"/>
      <c r="AI46" s="1274"/>
      <c r="AJ46" s="1274"/>
      <c r="AK46" s="1274"/>
      <c r="AL46" s="1274"/>
    </row>
    <row r="47" spans="1:38" s="118" customFormat="1" ht="13.15" customHeight="1">
      <c r="A47" s="4"/>
      <c r="B47"/>
      <c r="C47" s="2"/>
      <c r="D47" s="4"/>
      <c r="E47" s="4"/>
      <c r="F47" s="1274"/>
      <c r="G47" s="1274"/>
      <c r="H47" s="1274"/>
      <c r="I47" s="1274"/>
      <c r="J47" s="1274"/>
      <c r="K47" s="1274"/>
      <c r="L47" s="1274"/>
      <c r="M47" s="1274"/>
      <c r="N47" s="1274"/>
      <c r="O47" s="1274"/>
      <c r="P47" s="1274"/>
      <c r="Q47" s="1274"/>
      <c r="R47" s="1274"/>
      <c r="S47" s="1274"/>
      <c r="T47" s="1274"/>
      <c r="U47" s="1274"/>
      <c r="V47" s="1274"/>
      <c r="W47" s="1274"/>
      <c r="X47" s="1274"/>
      <c r="Y47" s="1274"/>
      <c r="Z47" s="1274"/>
      <c r="AA47" s="1274"/>
      <c r="AB47" s="1274"/>
      <c r="AC47" s="1274"/>
      <c r="AD47" s="1274"/>
      <c r="AE47" s="1274"/>
      <c r="AF47" s="1274"/>
      <c r="AG47" s="1274"/>
      <c r="AH47" s="1274"/>
      <c r="AI47" s="1274"/>
      <c r="AJ47" s="1274"/>
      <c r="AK47" s="1274"/>
      <c r="AL47" s="1274"/>
    </row>
    <row r="48" spans="1:38">
      <c r="A48" s="4"/>
      <c r="C48" s="2"/>
      <c r="D48" s="4"/>
      <c r="E48" s="4"/>
      <c r="F48" s="118" t="s">
        <v>696</v>
      </c>
      <c r="G48" s="3" t="s">
        <v>2353</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350</v>
      </c>
      <c r="F50" s="1270" t="s">
        <v>2354</v>
      </c>
      <c r="G50" s="1270"/>
      <c r="H50" s="1270"/>
      <c r="I50" s="1270"/>
      <c r="J50" s="1270"/>
      <c r="K50" s="1270"/>
      <c r="L50" s="1270"/>
      <c r="M50" s="1270"/>
      <c r="N50" s="1270"/>
      <c r="O50" s="1270"/>
      <c r="P50" s="1270"/>
      <c r="Q50" s="1270"/>
      <c r="R50" s="1270"/>
      <c r="S50" s="1270"/>
      <c r="T50" s="1270"/>
      <c r="U50" s="1270"/>
      <c r="V50" s="1270"/>
      <c r="W50" s="1270"/>
      <c r="X50" s="1270"/>
      <c r="Y50" s="1270"/>
      <c r="Z50" s="1270"/>
      <c r="AA50" s="1270"/>
      <c r="AB50" s="1270"/>
      <c r="AC50" s="1270"/>
      <c r="AD50" s="1270"/>
      <c r="AE50" s="1270"/>
      <c r="AF50" s="1270"/>
      <c r="AG50" s="1270"/>
      <c r="AH50" s="1270"/>
      <c r="AI50" s="1270"/>
      <c r="AJ50" s="1270"/>
      <c r="AK50" s="1270"/>
    </row>
    <row r="51" spans="1:38">
      <c r="A51" s="4"/>
      <c r="C51" s="2"/>
      <c r="D51" s="4"/>
      <c r="E51" s="4"/>
      <c r="F51" s="1270"/>
      <c r="G51" s="1270"/>
      <c r="H51" s="1270"/>
      <c r="I51" s="1270"/>
      <c r="J51" s="1270"/>
      <c r="K51" s="1270"/>
      <c r="L51" s="1270"/>
      <c r="M51" s="1270"/>
      <c r="N51" s="1270"/>
      <c r="O51" s="1270"/>
      <c r="P51" s="1270"/>
      <c r="Q51" s="1270"/>
      <c r="R51" s="1270"/>
      <c r="S51" s="1270"/>
      <c r="T51" s="1270"/>
      <c r="U51" s="1270"/>
      <c r="V51" s="1270"/>
      <c r="W51" s="1270"/>
      <c r="X51" s="1270"/>
      <c r="Y51" s="1270"/>
      <c r="Z51" s="1270"/>
      <c r="AA51" s="1270"/>
      <c r="AB51" s="1270"/>
      <c r="AC51" s="1270"/>
      <c r="AD51" s="1270"/>
      <c r="AE51" s="1270"/>
      <c r="AF51" s="1270"/>
      <c r="AG51" s="1270"/>
      <c r="AH51" s="1270"/>
      <c r="AI51" s="1270"/>
      <c r="AJ51" s="1270"/>
      <c r="AK51" s="1270"/>
    </row>
    <row r="52" spans="1:38">
      <c r="A52" s="4"/>
      <c r="C52" s="2"/>
      <c r="D52" s="4"/>
      <c r="F52" s="1270"/>
      <c r="G52" s="1270"/>
      <c r="H52" s="1270"/>
      <c r="I52" s="1270"/>
      <c r="J52" s="1270"/>
      <c r="K52" s="1270"/>
      <c r="L52" s="1270"/>
      <c r="M52" s="1270"/>
      <c r="N52" s="1270"/>
      <c r="O52" s="1270"/>
      <c r="P52" s="1270"/>
      <c r="Q52" s="1270"/>
      <c r="R52" s="1270"/>
      <c r="S52" s="1270"/>
      <c r="T52" s="1270"/>
      <c r="U52" s="1270"/>
      <c r="V52" s="1270"/>
      <c r="W52" s="1270"/>
      <c r="X52" s="1270"/>
      <c r="Y52" s="1270"/>
      <c r="Z52" s="1270"/>
      <c r="AA52" s="1270"/>
      <c r="AB52" s="1270"/>
      <c r="AC52" s="1270"/>
      <c r="AD52" s="1270"/>
      <c r="AE52" s="1270"/>
      <c r="AF52" s="1270"/>
      <c r="AG52" s="1270"/>
      <c r="AH52" s="1270"/>
      <c r="AI52" s="1270"/>
      <c r="AJ52" s="1270"/>
      <c r="AK52" s="1270"/>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696</v>
      </c>
      <c r="G56" s="1272" t="s">
        <v>1297</v>
      </c>
      <c r="H56" s="1272"/>
      <c r="I56" s="1272"/>
      <c r="J56" s="1272"/>
      <c r="K56" s="1272"/>
      <c r="L56" s="1272"/>
      <c r="M56" s="1272"/>
      <c r="N56" s="1272"/>
      <c r="O56" s="1272"/>
      <c r="P56" s="1272"/>
      <c r="Q56" s="1272"/>
      <c r="R56" s="1272"/>
      <c r="S56" s="1272"/>
      <c r="T56" s="1272"/>
      <c r="U56" s="1272"/>
      <c r="V56" s="1272"/>
      <c r="W56" s="1272"/>
      <c r="X56" s="1272"/>
      <c r="Y56" s="1272"/>
      <c r="Z56" s="1272"/>
      <c r="AA56" s="1272"/>
      <c r="AB56" s="1272"/>
      <c r="AC56" s="1272"/>
      <c r="AD56" s="1272"/>
      <c r="AE56" s="1272"/>
      <c r="AF56" s="1272"/>
      <c r="AG56" s="1272"/>
      <c r="AH56" s="1272"/>
      <c r="AI56" s="1272"/>
      <c r="AJ56" s="1272"/>
      <c r="AK56" s="1272"/>
      <c r="AL56" s="218"/>
    </row>
    <row r="57" spans="1:38" ht="13.1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2" t="s">
        <v>583</v>
      </c>
      <c r="H58" s="1272"/>
      <c r="I58" s="1272"/>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517</v>
      </c>
      <c r="G59" s="1272" t="s">
        <v>2355</v>
      </c>
      <c r="H59" s="1272"/>
      <c r="I59" s="1272"/>
      <c r="J59" s="1272"/>
      <c r="K59" s="1272"/>
      <c r="L59" s="1272"/>
      <c r="M59" s="1272"/>
      <c r="N59" s="1272"/>
      <c r="O59" s="1272"/>
      <c r="P59" s="1272"/>
      <c r="Q59" s="1272"/>
      <c r="R59" s="1272"/>
      <c r="S59" s="1272"/>
      <c r="T59" s="1272"/>
      <c r="U59" s="1272"/>
      <c r="V59" s="1272"/>
      <c r="W59" s="1272"/>
      <c r="X59" s="1272"/>
      <c r="Y59" s="1272"/>
      <c r="Z59" s="1272"/>
      <c r="AA59" s="1272"/>
      <c r="AB59" s="1272"/>
      <c r="AC59" s="1272"/>
      <c r="AD59" s="1272"/>
      <c r="AE59" s="1272"/>
      <c r="AF59" s="1272"/>
      <c r="AG59" s="1272"/>
      <c r="AH59" s="1272"/>
      <c r="AI59" s="1272"/>
      <c r="AJ59" s="1272"/>
      <c r="AK59" s="1272"/>
      <c r="AL59" s="1272"/>
    </row>
    <row r="60" spans="1:38">
      <c r="A60" s="218"/>
      <c r="B60" s="218"/>
      <c r="C60" s="219"/>
      <c r="D60" s="219"/>
      <c r="E60" s="218"/>
      <c r="F60" s="220"/>
      <c r="G60" s="1272"/>
      <c r="H60" s="1272"/>
      <c r="I60" s="1272"/>
      <c r="J60" s="1272"/>
      <c r="K60" s="1272"/>
      <c r="L60" s="1272"/>
      <c r="M60" s="1272"/>
      <c r="N60" s="1272"/>
      <c r="O60" s="1272"/>
      <c r="P60" s="1272"/>
      <c r="Q60" s="1272"/>
      <c r="R60" s="1272"/>
      <c r="S60" s="1272"/>
      <c r="T60" s="1272"/>
      <c r="U60" s="1272"/>
      <c r="V60" s="1272"/>
      <c r="W60" s="1272"/>
      <c r="X60" s="1272"/>
      <c r="Y60" s="1272"/>
      <c r="Z60" s="1272"/>
      <c r="AA60" s="1272"/>
      <c r="AB60" s="1272"/>
      <c r="AC60" s="1272"/>
      <c r="AD60" s="1272"/>
      <c r="AE60" s="1272"/>
      <c r="AF60" s="1272"/>
      <c r="AG60" s="1272"/>
      <c r="AH60" s="1272"/>
      <c r="AI60" s="1272"/>
      <c r="AJ60" s="1272"/>
      <c r="AK60" s="1272"/>
      <c r="AL60" s="1272"/>
    </row>
    <row r="61" spans="1:38">
      <c r="A61" s="218"/>
      <c r="B61" s="218"/>
      <c r="C61" s="219"/>
      <c r="D61" s="219"/>
      <c r="E61" s="218"/>
      <c r="F61" s="220"/>
      <c r="G61" s="513" t="s">
        <v>1389</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70" t="s">
        <v>1272</v>
      </c>
      <c r="H66" s="1270"/>
      <c r="I66" s="1270"/>
      <c r="J66" s="1270"/>
      <c r="K66" s="1270"/>
      <c r="L66" s="1270"/>
      <c r="M66" s="1270"/>
      <c r="N66" s="1270"/>
      <c r="O66" s="1270"/>
      <c r="P66" s="1270"/>
      <c r="Q66" s="1270"/>
      <c r="R66" s="1270"/>
      <c r="S66" s="1270"/>
      <c r="T66" s="1270"/>
      <c r="U66" s="1270"/>
      <c r="V66" s="1270"/>
      <c r="W66" s="1270"/>
      <c r="X66" s="1270"/>
      <c r="Y66" s="1270"/>
      <c r="Z66" s="1270"/>
      <c r="AA66" s="1270"/>
      <c r="AB66" s="1270"/>
      <c r="AC66" s="1270"/>
      <c r="AD66" s="1270"/>
      <c r="AE66" s="1270"/>
      <c r="AF66" s="1270"/>
      <c r="AG66" s="1270"/>
      <c r="AH66" s="1270"/>
      <c r="AI66" s="1270"/>
      <c r="AJ66" s="1270"/>
      <c r="AK66" s="1270"/>
    </row>
    <row r="67" spans="1:37">
      <c r="A67" s="4"/>
      <c r="C67" s="2"/>
      <c r="D67" s="4"/>
      <c r="E67" s="4"/>
      <c r="G67" s="1270"/>
      <c r="H67" s="1270"/>
      <c r="I67" s="1270"/>
      <c r="J67" s="1270"/>
      <c r="K67" s="1270"/>
      <c r="L67" s="1270"/>
      <c r="M67" s="1270"/>
      <c r="N67" s="1270"/>
      <c r="O67" s="1270"/>
      <c r="P67" s="1270"/>
      <c r="Q67" s="1270"/>
      <c r="R67" s="1270"/>
      <c r="S67" s="1270"/>
      <c r="T67" s="1270"/>
      <c r="U67" s="1270"/>
      <c r="V67" s="1270"/>
      <c r="W67" s="1270"/>
      <c r="X67" s="1270"/>
      <c r="Y67" s="1270"/>
      <c r="Z67" s="1270"/>
      <c r="AA67" s="1270"/>
      <c r="AB67" s="1270"/>
      <c r="AC67" s="1270"/>
      <c r="AD67" s="1270"/>
      <c r="AE67" s="1270"/>
      <c r="AF67" s="1270"/>
      <c r="AG67" s="1270"/>
      <c r="AH67" s="1270"/>
      <c r="AI67" s="1270"/>
      <c r="AJ67" s="1270"/>
      <c r="AK67" s="1270"/>
    </row>
    <row r="68" spans="1:37">
      <c r="A68" s="4"/>
      <c r="C68" s="2"/>
      <c r="D68" s="4"/>
      <c r="E68" s="4"/>
      <c r="G68" s="1270"/>
      <c r="H68" s="1270"/>
      <c r="I68" s="1270"/>
      <c r="J68" s="1270"/>
      <c r="K68" s="1270"/>
      <c r="L68" s="1270"/>
      <c r="M68" s="1270"/>
      <c r="N68" s="1270"/>
      <c r="O68" s="1270"/>
      <c r="P68" s="1270"/>
      <c r="Q68" s="1270"/>
      <c r="R68" s="1270"/>
      <c r="S68" s="1270"/>
      <c r="T68" s="1270"/>
      <c r="U68" s="1270"/>
      <c r="V68" s="1270"/>
      <c r="W68" s="1270"/>
      <c r="X68" s="1270"/>
      <c r="Y68" s="1270"/>
      <c r="Z68" s="1270"/>
      <c r="AA68" s="1270"/>
      <c r="AB68" s="1270"/>
      <c r="AC68" s="1270"/>
      <c r="AD68" s="1270"/>
      <c r="AE68" s="1270"/>
      <c r="AF68" s="1270"/>
      <c r="AG68" s="1270"/>
      <c r="AH68" s="1270"/>
      <c r="AI68" s="1270"/>
      <c r="AJ68" s="1270"/>
      <c r="AK68" s="1270"/>
    </row>
    <row r="69" spans="1:37" ht="13.15" customHeight="1">
      <c r="A69" s="4"/>
      <c r="C69" s="2"/>
      <c r="D69" s="4"/>
      <c r="E69" s="4"/>
      <c r="F69" t="s">
        <v>517</v>
      </c>
      <c r="G69" s="1270" t="s">
        <v>1273</v>
      </c>
      <c r="H69" s="1270"/>
      <c r="I69" s="1270"/>
      <c r="J69" s="1270"/>
      <c r="K69" s="1270"/>
      <c r="L69" s="1270"/>
      <c r="M69" s="1270"/>
      <c r="N69" s="1270"/>
      <c r="O69" s="1270"/>
      <c r="P69" s="1270"/>
      <c r="Q69" s="1270"/>
      <c r="R69" s="1270"/>
      <c r="S69" s="1270"/>
      <c r="T69" s="1270"/>
      <c r="U69" s="1270"/>
      <c r="V69" s="1270"/>
      <c r="W69" s="1270"/>
      <c r="X69" s="1270"/>
      <c r="Y69" s="1270"/>
      <c r="Z69" s="1270"/>
      <c r="AA69" s="1270"/>
      <c r="AB69" s="1270"/>
      <c r="AC69" s="1270"/>
      <c r="AD69" s="1270"/>
      <c r="AE69" s="1270"/>
      <c r="AF69" s="1270"/>
      <c r="AG69" s="1270"/>
      <c r="AH69" s="1270"/>
      <c r="AI69" s="1270"/>
      <c r="AJ69" s="1270"/>
      <c r="AK69" s="1270"/>
    </row>
    <row r="70" spans="1:37">
      <c r="A70" s="4"/>
      <c r="C70" s="2"/>
      <c r="D70" s="4"/>
      <c r="E70" s="4"/>
      <c r="F70" s="27"/>
      <c r="G70" s="1270"/>
      <c r="H70" s="1270"/>
      <c r="I70" s="1270"/>
      <c r="J70" s="1270"/>
      <c r="K70" s="1270"/>
      <c r="L70" s="1270"/>
      <c r="M70" s="1270"/>
      <c r="N70" s="1270"/>
      <c r="O70" s="1270"/>
      <c r="P70" s="1270"/>
      <c r="Q70" s="1270"/>
      <c r="R70" s="1270"/>
      <c r="S70" s="1270"/>
      <c r="T70" s="1270"/>
      <c r="U70" s="1270"/>
      <c r="V70" s="1270"/>
      <c r="W70" s="1270"/>
      <c r="X70" s="1270"/>
      <c r="Y70" s="1270"/>
      <c r="Z70" s="1270"/>
      <c r="AA70" s="1270"/>
      <c r="AB70" s="1270"/>
      <c r="AC70" s="1270"/>
      <c r="AD70" s="1270"/>
      <c r="AE70" s="1270"/>
      <c r="AF70" s="1270"/>
      <c r="AG70" s="1270"/>
      <c r="AH70" s="1270"/>
      <c r="AI70" s="1270"/>
      <c r="AJ70" s="1270"/>
      <c r="AK70" s="1270"/>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70" t="s">
        <v>1274</v>
      </c>
      <c r="H72" s="1270"/>
      <c r="I72" s="1270"/>
      <c r="J72" s="1270"/>
      <c r="K72" s="1270"/>
      <c r="L72" s="1270"/>
      <c r="M72" s="1270"/>
      <c r="N72" s="1270"/>
      <c r="O72" s="1270"/>
      <c r="P72" s="1270"/>
      <c r="Q72" s="1270"/>
      <c r="R72" s="1270"/>
      <c r="S72" s="1270"/>
      <c r="T72" s="1270"/>
      <c r="U72" s="1270"/>
      <c r="V72" s="1270"/>
      <c r="W72" s="1270"/>
      <c r="X72" s="1270"/>
      <c r="Y72" s="1270"/>
      <c r="Z72" s="1270"/>
      <c r="AA72" s="1270"/>
      <c r="AB72" s="1270"/>
      <c r="AC72" s="1270"/>
      <c r="AD72" s="1270"/>
      <c r="AE72" s="1270"/>
      <c r="AF72" s="1270"/>
      <c r="AG72" s="1270"/>
      <c r="AH72" s="1270"/>
      <c r="AI72" s="1270"/>
      <c r="AJ72" s="1270"/>
      <c r="AK72" s="1270"/>
    </row>
    <row r="73" spans="1:37">
      <c r="A73" s="4"/>
      <c r="C73" s="2"/>
      <c r="D73" s="4"/>
      <c r="E73" s="4"/>
      <c r="F73" s="8"/>
      <c r="G73" s="1270"/>
      <c r="H73" s="1270"/>
      <c r="I73" s="1270"/>
      <c r="J73" s="1270"/>
      <c r="K73" s="1270"/>
      <c r="L73" s="1270"/>
      <c r="M73" s="1270"/>
      <c r="N73" s="1270"/>
      <c r="O73" s="1270"/>
      <c r="P73" s="1270"/>
      <c r="Q73" s="1270"/>
      <c r="R73" s="1270"/>
      <c r="S73" s="1270"/>
      <c r="T73" s="1270"/>
      <c r="U73" s="1270"/>
      <c r="V73" s="1270"/>
      <c r="W73" s="1270"/>
      <c r="X73" s="1270"/>
      <c r="Y73" s="1270"/>
      <c r="Z73" s="1270"/>
      <c r="AA73" s="1270"/>
      <c r="AB73" s="1270"/>
      <c r="AC73" s="1270"/>
      <c r="AD73" s="1270"/>
      <c r="AE73" s="1270"/>
      <c r="AF73" s="1270"/>
      <c r="AG73" s="1270"/>
      <c r="AH73" s="1270"/>
      <c r="AI73" s="1270"/>
      <c r="AJ73" s="1270"/>
      <c r="AK73" s="1270"/>
    </row>
    <row r="74" spans="1:37">
      <c r="A74" s="4"/>
      <c r="C74" s="2"/>
      <c r="D74" s="4"/>
      <c r="E74" s="4"/>
      <c r="F74" s="8" t="s">
        <v>517</v>
      </c>
      <c r="G74" s="1270" t="s">
        <v>1275</v>
      </c>
      <c r="H74" s="1270"/>
      <c r="I74" s="1270"/>
      <c r="J74" s="1270"/>
      <c r="K74" s="1270"/>
      <c r="L74" s="1270"/>
      <c r="M74" s="1270"/>
      <c r="N74" s="1270"/>
      <c r="O74" s="1270"/>
      <c r="P74" s="1270"/>
      <c r="Q74" s="1270"/>
      <c r="R74" s="1270"/>
      <c r="S74" s="1270"/>
      <c r="T74" s="1270"/>
      <c r="U74" s="1270"/>
      <c r="V74" s="1270"/>
      <c r="W74" s="1270"/>
      <c r="X74" s="1270"/>
      <c r="Y74" s="1270"/>
      <c r="Z74" s="1270"/>
      <c r="AA74" s="1270"/>
      <c r="AB74" s="1270"/>
      <c r="AC74" s="1270"/>
      <c r="AD74" s="1270"/>
      <c r="AE74" s="1270"/>
      <c r="AF74" s="1270"/>
      <c r="AG74" s="1270"/>
      <c r="AH74" s="1270"/>
      <c r="AI74" s="1270"/>
      <c r="AJ74" s="1270"/>
      <c r="AK74" s="1270"/>
    </row>
    <row r="75" spans="1:37">
      <c r="A75" s="4"/>
      <c r="C75" s="2"/>
      <c r="D75" s="4"/>
      <c r="E75" s="4"/>
      <c r="F75" s="8"/>
      <c r="G75" s="1270"/>
      <c r="H75" s="1270"/>
      <c r="I75" s="1270"/>
      <c r="J75" s="1270"/>
      <c r="K75" s="1270"/>
      <c r="L75" s="1270"/>
      <c r="M75" s="1270"/>
      <c r="N75" s="1270"/>
      <c r="O75" s="1270"/>
      <c r="P75" s="1270"/>
      <c r="Q75" s="1270"/>
      <c r="R75" s="1270"/>
      <c r="S75" s="1270"/>
      <c r="T75" s="1270"/>
      <c r="U75" s="1270"/>
      <c r="V75" s="1270"/>
      <c r="W75" s="1270"/>
      <c r="X75" s="1270"/>
      <c r="Y75" s="1270"/>
      <c r="Z75" s="1270"/>
      <c r="AA75" s="1270"/>
      <c r="AB75" s="1270"/>
      <c r="AC75" s="1270"/>
      <c r="AD75" s="1270"/>
      <c r="AE75" s="1270"/>
      <c r="AF75" s="1270"/>
      <c r="AG75" s="1270"/>
      <c r="AH75" s="1270"/>
      <c r="AI75" s="1270"/>
      <c r="AJ75" s="1270"/>
      <c r="AK75" s="1270"/>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279</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70" t="s">
        <v>1276</v>
      </c>
      <c r="H82" s="1270"/>
      <c r="I82" s="1270"/>
      <c r="J82" s="1270"/>
      <c r="K82" s="1270"/>
      <c r="L82" s="1270"/>
      <c r="M82" s="1270"/>
      <c r="N82" s="1270"/>
      <c r="O82" s="1270"/>
      <c r="P82" s="1270"/>
      <c r="Q82" s="1270"/>
      <c r="R82" s="1270"/>
      <c r="S82" s="1270"/>
      <c r="T82" s="1270"/>
      <c r="U82" s="1270"/>
      <c r="V82" s="1270"/>
      <c r="W82" s="1270"/>
      <c r="X82" s="1270"/>
      <c r="Y82" s="1270"/>
      <c r="Z82" s="1270"/>
      <c r="AA82" s="1270"/>
      <c r="AB82" s="1270"/>
      <c r="AC82" s="1270"/>
      <c r="AD82" s="1270"/>
      <c r="AE82" s="1270"/>
      <c r="AF82" s="1270"/>
      <c r="AG82" s="1270"/>
      <c r="AH82" s="1270"/>
      <c r="AI82" s="1270"/>
      <c r="AJ82" s="1270"/>
      <c r="AK82" s="1270"/>
    </row>
    <row r="83" spans="1:37">
      <c r="A83" s="4"/>
      <c r="C83" s="2"/>
      <c r="D83" s="4"/>
      <c r="E83" s="4"/>
      <c r="F83" s="4"/>
      <c r="G83" s="1270"/>
      <c r="H83" s="1270"/>
      <c r="I83" s="1270"/>
      <c r="J83" s="1270"/>
      <c r="K83" s="1270"/>
      <c r="L83" s="1270"/>
      <c r="M83" s="1270"/>
      <c r="N83" s="1270"/>
      <c r="O83" s="1270"/>
      <c r="P83" s="1270"/>
      <c r="Q83" s="1270"/>
      <c r="R83" s="1270"/>
      <c r="S83" s="1270"/>
      <c r="T83" s="1270"/>
      <c r="U83" s="1270"/>
      <c r="V83" s="1270"/>
      <c r="W83" s="1270"/>
      <c r="X83" s="1270"/>
      <c r="Y83" s="1270"/>
      <c r="Z83" s="1270"/>
      <c r="AA83" s="1270"/>
      <c r="AB83" s="1270"/>
      <c r="AC83" s="1270"/>
      <c r="AD83" s="1270"/>
      <c r="AE83" s="1270"/>
      <c r="AF83" s="1270"/>
      <c r="AG83" s="1270"/>
      <c r="AH83" s="1270"/>
      <c r="AI83" s="1270"/>
      <c r="AJ83" s="1270"/>
      <c r="AK83" s="1270"/>
    </row>
    <row r="84" spans="1:37">
      <c r="A84" s="4"/>
      <c r="C84" s="2"/>
      <c r="D84" s="4"/>
      <c r="E84" s="4"/>
      <c r="F84" s="4"/>
      <c r="G84" s="1270"/>
      <c r="H84" s="1270"/>
      <c r="I84" s="1270"/>
      <c r="J84" s="1270"/>
      <c r="K84" s="1270"/>
      <c r="L84" s="1270"/>
      <c r="M84" s="1270"/>
      <c r="N84" s="1270"/>
      <c r="O84" s="1270"/>
      <c r="P84" s="1270"/>
      <c r="Q84" s="1270"/>
      <c r="R84" s="1270"/>
      <c r="S84" s="1270"/>
      <c r="T84" s="1270"/>
      <c r="U84" s="1270"/>
      <c r="V84" s="1270"/>
      <c r="W84" s="1270"/>
      <c r="X84" s="1270"/>
      <c r="Y84" s="1270"/>
      <c r="Z84" s="1270"/>
      <c r="AA84" s="1270"/>
      <c r="AB84" s="1270"/>
      <c r="AC84" s="1270"/>
      <c r="AD84" s="1270"/>
      <c r="AE84" s="1270"/>
      <c r="AF84" s="1270"/>
      <c r="AG84" s="1270"/>
      <c r="AH84" s="1270"/>
      <c r="AI84" s="1270"/>
      <c r="AJ84" s="1270"/>
      <c r="AK84" s="1270"/>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70" t="s">
        <v>1277</v>
      </c>
      <c r="H86" s="1270"/>
      <c r="I86" s="1270"/>
      <c r="J86" s="1270"/>
      <c r="K86" s="1270"/>
      <c r="L86" s="1270"/>
      <c r="M86" s="1270"/>
      <c r="N86" s="1270"/>
      <c r="O86" s="1270"/>
      <c r="P86" s="1270"/>
      <c r="Q86" s="1270"/>
      <c r="R86" s="1270"/>
      <c r="S86" s="1270"/>
      <c r="T86" s="1270"/>
      <c r="U86" s="1270"/>
      <c r="V86" s="1270"/>
      <c r="W86" s="1270"/>
      <c r="X86" s="1270"/>
      <c r="Y86" s="1270"/>
      <c r="Z86" s="1270"/>
      <c r="AA86" s="1270"/>
      <c r="AB86" s="1270"/>
      <c r="AC86" s="1270"/>
      <c r="AD86" s="1270"/>
      <c r="AE86" s="1270"/>
      <c r="AF86" s="1270"/>
      <c r="AG86" s="1270"/>
      <c r="AH86" s="1270"/>
      <c r="AI86" s="1270"/>
      <c r="AJ86" s="1270"/>
      <c r="AK86" s="1270"/>
    </row>
    <row r="87" spans="1:37">
      <c r="A87" s="4"/>
      <c r="C87" s="2"/>
      <c r="D87" s="4"/>
      <c r="E87" s="4"/>
      <c r="F87" s="4"/>
      <c r="G87" s="1270"/>
      <c r="H87" s="1270"/>
      <c r="I87" s="1270"/>
      <c r="J87" s="1270"/>
      <c r="K87" s="1270"/>
      <c r="L87" s="1270"/>
      <c r="M87" s="1270"/>
      <c r="N87" s="1270"/>
      <c r="O87" s="1270"/>
      <c r="P87" s="1270"/>
      <c r="Q87" s="1270"/>
      <c r="R87" s="1270"/>
      <c r="S87" s="1270"/>
      <c r="T87" s="1270"/>
      <c r="U87" s="1270"/>
      <c r="V87" s="1270"/>
      <c r="W87" s="1270"/>
      <c r="X87" s="1270"/>
      <c r="Y87" s="1270"/>
      <c r="Z87" s="1270"/>
      <c r="AA87" s="1270"/>
      <c r="AB87" s="1270"/>
      <c r="AC87" s="1270"/>
      <c r="AD87" s="1270"/>
      <c r="AE87" s="1270"/>
      <c r="AF87" s="1270"/>
      <c r="AG87" s="1270"/>
      <c r="AH87" s="1270"/>
      <c r="AI87" s="1270"/>
      <c r="AJ87" s="1270"/>
      <c r="AK87" s="1270"/>
    </row>
    <row r="88" spans="1:37">
      <c r="A88" s="4"/>
      <c r="C88" s="2"/>
      <c r="D88" s="4"/>
      <c r="E88" s="4"/>
      <c r="G88" s="1270"/>
      <c r="H88" s="1270"/>
      <c r="I88" s="1270"/>
      <c r="J88" s="1270"/>
      <c r="K88" s="1270"/>
      <c r="L88" s="1270"/>
      <c r="M88" s="1270"/>
      <c r="N88" s="1270"/>
      <c r="O88" s="1270"/>
      <c r="P88" s="1270"/>
      <c r="Q88" s="1270"/>
      <c r="R88" s="1270"/>
      <c r="S88" s="1270"/>
      <c r="T88" s="1270"/>
      <c r="U88" s="1270"/>
      <c r="V88" s="1270"/>
      <c r="W88" s="1270"/>
      <c r="X88" s="1270"/>
      <c r="Y88" s="1270"/>
      <c r="Z88" s="1270"/>
      <c r="AA88" s="1270"/>
      <c r="AB88" s="1270"/>
      <c r="AC88" s="1270"/>
      <c r="AD88" s="1270"/>
      <c r="AE88" s="1270"/>
      <c r="AF88" s="1270"/>
      <c r="AG88" s="1270"/>
      <c r="AH88" s="1270"/>
      <c r="AI88" s="1270"/>
      <c r="AJ88" s="1270"/>
      <c r="AK88" s="1270"/>
    </row>
    <row r="89" spans="1:37">
      <c r="A89" s="4"/>
      <c r="C89" s="2"/>
      <c r="D89" s="4"/>
      <c r="E89" s="4" t="s">
        <v>263</v>
      </c>
      <c r="F89" t="s">
        <v>877</v>
      </c>
      <c r="G89" s="4"/>
      <c r="L89" s="4"/>
      <c r="M89" s="4"/>
      <c r="P89" s="4"/>
      <c r="Q89" s="4"/>
      <c r="R89" s="4"/>
      <c r="S89" s="4"/>
      <c r="T89" s="4"/>
      <c r="U89" s="4"/>
      <c r="V89" s="4"/>
      <c r="W89" s="4"/>
      <c r="X89" s="4"/>
      <c r="Y89" s="4"/>
      <c r="Z89" s="4"/>
      <c r="AA89" s="4"/>
      <c r="AB89" s="4"/>
    </row>
    <row r="90" spans="1:37">
      <c r="A90" s="4"/>
      <c r="C90" s="2"/>
      <c r="D90" s="4"/>
      <c r="E90" s="4"/>
      <c r="G90" s="1279" t="s">
        <v>1278</v>
      </c>
      <c r="H90" s="1279"/>
      <c r="I90" s="1279"/>
      <c r="J90" s="1279"/>
      <c r="K90" s="1279"/>
      <c r="L90" s="1279"/>
      <c r="M90" s="1279"/>
      <c r="N90" s="1279"/>
      <c r="O90" s="1279"/>
      <c r="P90" s="1279"/>
      <c r="Q90" s="1279"/>
      <c r="R90" s="1279"/>
      <c r="S90" s="1279"/>
      <c r="T90" s="1279"/>
      <c r="U90" s="1279"/>
      <c r="V90" s="1279"/>
      <c r="W90" s="1279"/>
      <c r="X90" s="1279"/>
      <c r="Y90" s="1279"/>
      <c r="Z90" s="1279"/>
      <c r="AA90" s="1279"/>
      <c r="AB90" s="1279"/>
      <c r="AC90" s="1279"/>
      <c r="AD90" s="1279"/>
      <c r="AE90" s="1279"/>
      <c r="AF90" s="1279"/>
      <c r="AG90" s="1279"/>
      <c r="AH90" s="1279"/>
      <c r="AI90" s="1279"/>
      <c r="AJ90" s="1279"/>
      <c r="AK90" s="1279"/>
    </row>
    <row r="91" spans="1:37">
      <c r="A91" s="4"/>
      <c r="C91" s="2"/>
      <c r="D91" s="4"/>
      <c r="E91" s="4"/>
      <c r="G91" s="1279"/>
      <c r="H91" s="1279"/>
      <c r="I91" s="1279"/>
      <c r="J91" s="1279"/>
      <c r="K91" s="1279"/>
      <c r="L91" s="1279"/>
      <c r="M91" s="1279"/>
      <c r="N91" s="1279"/>
      <c r="O91" s="1279"/>
      <c r="P91" s="1279"/>
      <c r="Q91" s="1279"/>
      <c r="R91" s="1279"/>
      <c r="S91" s="1279"/>
      <c r="T91" s="1279"/>
      <c r="U91" s="1279"/>
      <c r="V91" s="1279"/>
      <c r="W91" s="1279"/>
      <c r="X91" s="1279"/>
      <c r="Y91" s="1279"/>
      <c r="Z91" s="1279"/>
      <c r="AA91" s="1279"/>
      <c r="AB91" s="1279"/>
      <c r="AC91" s="1279"/>
      <c r="AD91" s="1279"/>
      <c r="AE91" s="1279"/>
      <c r="AF91" s="1279"/>
      <c r="AG91" s="1279"/>
      <c r="AH91" s="1279"/>
      <c r="AI91" s="1279"/>
      <c r="AJ91" s="1279"/>
      <c r="AK91" s="1279"/>
    </row>
    <row r="92" spans="1:37">
      <c r="A92" s="4"/>
      <c r="C92" s="2"/>
      <c r="D92" s="4"/>
      <c r="E92" s="4"/>
      <c r="G92" s="1279"/>
      <c r="H92" s="1279"/>
      <c r="I92" s="1279"/>
      <c r="J92" s="1279"/>
      <c r="K92" s="1279"/>
      <c r="L92" s="1279"/>
      <c r="M92" s="1279"/>
      <c r="N92" s="1279"/>
      <c r="O92" s="1279"/>
      <c r="P92" s="1279"/>
      <c r="Q92" s="1279"/>
      <c r="R92" s="1279"/>
      <c r="S92" s="1279"/>
      <c r="T92" s="1279"/>
      <c r="U92" s="1279"/>
      <c r="V92" s="1279"/>
      <c r="W92" s="1279"/>
      <c r="X92" s="1279"/>
      <c r="Y92" s="1279"/>
      <c r="Z92" s="1279"/>
      <c r="AA92" s="1279"/>
      <c r="AB92" s="1279"/>
      <c r="AC92" s="1279"/>
      <c r="AD92" s="1279"/>
      <c r="AE92" s="1279"/>
      <c r="AF92" s="1279"/>
      <c r="AG92" s="1279"/>
      <c r="AH92" s="1279"/>
      <c r="AI92" s="1279"/>
      <c r="AJ92" s="1279"/>
      <c r="AK92" s="1279"/>
    </row>
    <row r="93" spans="1:37">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70" t="s">
        <v>1279</v>
      </c>
      <c r="H94" s="1270"/>
      <c r="I94" s="1270"/>
      <c r="J94" s="1270"/>
      <c r="K94" s="1270"/>
      <c r="L94" s="1270"/>
      <c r="M94" s="1270"/>
      <c r="N94" s="1270"/>
      <c r="O94" s="1270"/>
      <c r="P94" s="1270"/>
      <c r="Q94" s="1270"/>
      <c r="R94" s="1270"/>
      <c r="S94" s="1270"/>
      <c r="T94" s="1270"/>
      <c r="U94" s="1270"/>
      <c r="V94" s="1270"/>
      <c r="W94" s="1270"/>
      <c r="X94" s="1270"/>
      <c r="Y94" s="1270"/>
      <c r="Z94" s="1270"/>
      <c r="AA94" s="1270"/>
      <c r="AB94" s="1270"/>
      <c r="AC94" s="1270"/>
      <c r="AD94" s="1270"/>
      <c r="AE94" s="1270"/>
      <c r="AF94" s="1270"/>
      <c r="AG94" s="1270"/>
      <c r="AH94" s="1270"/>
      <c r="AI94" s="1270"/>
      <c r="AJ94" s="1270"/>
      <c r="AK94" s="1270"/>
    </row>
    <row r="95" spans="1:37">
      <c r="A95" s="4"/>
      <c r="C95" s="2"/>
      <c r="D95" s="4"/>
      <c r="E95" s="4"/>
      <c r="G95" s="1270"/>
      <c r="H95" s="1270"/>
      <c r="I95" s="1270"/>
      <c r="J95" s="1270"/>
      <c r="K95" s="1270"/>
      <c r="L95" s="1270"/>
      <c r="M95" s="1270"/>
      <c r="N95" s="1270"/>
      <c r="O95" s="1270"/>
      <c r="P95" s="1270"/>
      <c r="Q95" s="1270"/>
      <c r="R95" s="1270"/>
      <c r="S95" s="1270"/>
      <c r="T95" s="1270"/>
      <c r="U95" s="1270"/>
      <c r="V95" s="1270"/>
      <c r="W95" s="1270"/>
      <c r="X95" s="1270"/>
      <c r="Y95" s="1270"/>
      <c r="Z95" s="1270"/>
      <c r="AA95" s="1270"/>
      <c r="AB95" s="1270"/>
      <c r="AC95" s="1270"/>
      <c r="AD95" s="1270"/>
      <c r="AE95" s="1270"/>
      <c r="AF95" s="1270"/>
      <c r="AG95" s="1270"/>
      <c r="AH95" s="1270"/>
      <c r="AI95" s="1270"/>
      <c r="AJ95" s="1270"/>
      <c r="AK95" s="1270"/>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70" t="s">
        <v>1280</v>
      </c>
      <c r="H97" s="1270"/>
      <c r="I97" s="1270"/>
      <c r="J97" s="1270"/>
      <c r="K97" s="1270"/>
      <c r="L97" s="1270"/>
      <c r="M97" s="1270"/>
      <c r="N97" s="1270"/>
      <c r="O97" s="1270"/>
      <c r="P97" s="1270"/>
      <c r="Q97" s="1270"/>
      <c r="R97" s="1270"/>
      <c r="S97" s="1270"/>
      <c r="T97" s="1270"/>
      <c r="U97" s="1270"/>
      <c r="V97" s="1270"/>
      <c r="W97" s="1270"/>
      <c r="X97" s="1270"/>
      <c r="Y97" s="1270"/>
      <c r="Z97" s="1270"/>
      <c r="AA97" s="1270"/>
      <c r="AB97" s="1270"/>
      <c r="AC97" s="1270"/>
      <c r="AD97" s="1270"/>
      <c r="AE97" s="1270"/>
      <c r="AF97" s="1270"/>
      <c r="AG97" s="1270"/>
      <c r="AH97" s="1270"/>
      <c r="AI97" s="1270"/>
      <c r="AJ97" s="1270"/>
      <c r="AK97" s="1270"/>
    </row>
    <row r="98" spans="1:38">
      <c r="A98" s="4"/>
      <c r="C98" s="2"/>
      <c r="D98" s="4"/>
      <c r="E98" s="4"/>
      <c r="G98" s="1270"/>
      <c r="H98" s="1270"/>
      <c r="I98" s="1270"/>
      <c r="J98" s="1270"/>
      <c r="K98" s="1270"/>
      <c r="L98" s="1270"/>
      <c r="M98" s="1270"/>
      <c r="N98" s="1270"/>
      <c r="O98" s="1270"/>
      <c r="P98" s="1270"/>
      <c r="Q98" s="1270"/>
      <c r="R98" s="1270"/>
      <c r="S98" s="1270"/>
      <c r="T98" s="1270"/>
      <c r="U98" s="1270"/>
      <c r="V98" s="1270"/>
      <c r="W98" s="1270"/>
      <c r="X98" s="1270"/>
      <c r="Y98" s="1270"/>
      <c r="Z98" s="1270"/>
      <c r="AA98" s="1270"/>
      <c r="AB98" s="1270"/>
      <c r="AC98" s="1270"/>
      <c r="AD98" s="1270"/>
      <c r="AE98" s="1270"/>
      <c r="AF98" s="1270"/>
      <c r="AG98" s="1270"/>
      <c r="AH98" s="1270"/>
      <c r="AI98" s="1270"/>
      <c r="AJ98" s="1270"/>
      <c r="AK98" s="1270"/>
    </row>
    <row r="99" spans="1:38">
      <c r="A99" s="4"/>
      <c r="C99" s="2"/>
      <c r="D99" s="4"/>
      <c r="E99" s="4"/>
      <c r="G99" s="1270"/>
      <c r="H99" s="1270"/>
      <c r="I99" s="1270"/>
      <c r="J99" s="1270"/>
      <c r="K99" s="1270"/>
      <c r="L99" s="1270"/>
      <c r="M99" s="1270"/>
      <c r="N99" s="1270"/>
      <c r="O99" s="1270"/>
      <c r="P99" s="1270"/>
      <c r="Q99" s="1270"/>
      <c r="R99" s="1270"/>
      <c r="S99" s="1270"/>
      <c r="T99" s="1270"/>
      <c r="U99" s="1270"/>
      <c r="V99" s="1270"/>
      <c r="W99" s="1270"/>
      <c r="X99" s="1270"/>
      <c r="Y99" s="1270"/>
      <c r="Z99" s="1270"/>
      <c r="AA99" s="1270"/>
      <c r="AB99" s="1270"/>
      <c r="AC99" s="1270"/>
      <c r="AD99" s="1270"/>
      <c r="AE99" s="1270"/>
      <c r="AF99" s="1270"/>
      <c r="AG99" s="1270"/>
      <c r="AH99" s="1270"/>
      <c r="AI99" s="1270"/>
      <c r="AJ99" s="1270"/>
      <c r="AK99" s="1270"/>
    </row>
    <row r="100" spans="1:38">
      <c r="A100" s="4"/>
      <c r="D100" s="99"/>
      <c r="E100" s="1280" t="s">
        <v>1281</v>
      </c>
      <c r="F100" s="1280"/>
      <c r="G100" s="1280"/>
      <c r="H100" s="1280"/>
      <c r="I100" s="1280"/>
      <c r="J100" s="1280"/>
      <c r="K100" s="1280"/>
      <c r="L100" s="1280"/>
      <c r="M100" s="1280"/>
      <c r="N100" s="1280"/>
      <c r="O100" s="1280"/>
      <c r="P100" s="1280"/>
      <c r="Q100" s="1280"/>
      <c r="R100" s="1280"/>
      <c r="S100" s="1280"/>
      <c r="T100" s="1280"/>
      <c r="U100" s="1280"/>
      <c r="V100" s="1280"/>
      <c r="W100" s="1280"/>
      <c r="X100" s="1280"/>
      <c r="Y100" s="1280"/>
      <c r="Z100" s="1280"/>
      <c r="AA100" s="1280"/>
      <c r="AB100" s="1280"/>
      <c r="AC100" s="1280"/>
      <c r="AD100" s="1280"/>
      <c r="AE100" s="1280"/>
      <c r="AF100" s="1280"/>
      <c r="AG100" s="1280"/>
      <c r="AH100" s="1280"/>
      <c r="AI100" s="1280"/>
      <c r="AJ100" s="1280"/>
      <c r="AK100" s="1280"/>
    </row>
    <row r="101" spans="1:38">
      <c r="A101" s="4"/>
      <c r="D101" s="99"/>
      <c r="E101" s="1280"/>
      <c r="F101" s="1280"/>
      <c r="G101" s="1280"/>
      <c r="H101" s="1280"/>
      <c r="I101" s="1280"/>
      <c r="J101" s="1280"/>
      <c r="K101" s="1280"/>
      <c r="L101" s="1280"/>
      <c r="M101" s="1280"/>
      <c r="N101" s="1280"/>
      <c r="O101" s="1280"/>
      <c r="P101" s="1280"/>
      <c r="Q101" s="1280"/>
      <c r="R101" s="1280"/>
      <c r="S101" s="1280"/>
      <c r="T101" s="1280"/>
      <c r="U101" s="1280"/>
      <c r="V101" s="1280"/>
      <c r="W101" s="1280"/>
      <c r="X101" s="1280"/>
      <c r="Y101" s="1280"/>
      <c r="Z101" s="1280"/>
      <c r="AA101" s="1280"/>
      <c r="AB101" s="1280"/>
      <c r="AC101" s="1280"/>
      <c r="AD101" s="1280"/>
      <c r="AE101" s="1280"/>
      <c r="AF101" s="1280"/>
      <c r="AG101" s="1280"/>
      <c r="AH101" s="1280"/>
      <c r="AI101" s="1280"/>
      <c r="AJ101" s="1280"/>
      <c r="AK101" s="1280"/>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1292</v>
      </c>
      <c r="H105" s="2"/>
      <c r="I105" s="2"/>
      <c r="K105" s="2"/>
    </row>
    <row r="106" spans="1:38">
      <c r="B106" s="2"/>
      <c r="C106" s="2"/>
      <c r="D106" s="2" t="s">
        <v>208</v>
      </c>
      <c r="E106" s="2" t="s">
        <v>1294</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1039</v>
      </c>
      <c r="G119" s="4"/>
    </row>
    <row r="120" spans="2:16">
      <c r="F120" s="99" t="s">
        <v>1293</v>
      </c>
      <c r="G120" s="99"/>
    </row>
    <row r="121" spans="2:16">
      <c r="G121" s="99"/>
    </row>
    <row r="122" spans="2:16">
      <c r="E122" s="4" t="s">
        <v>772</v>
      </c>
      <c r="F122" s="98" t="s">
        <v>379</v>
      </c>
    </row>
    <row r="123" spans="2:16">
      <c r="E123" s="4"/>
      <c r="F123" s="4" t="s">
        <v>1031</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942</v>
      </c>
      <c r="F127" s="4"/>
    </row>
    <row r="128" spans="2:16"/>
    <row r="129" spans="4:37">
      <c r="D129" s="2" t="s">
        <v>342</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1367</v>
      </c>
      <c r="G133" s="2"/>
      <c r="H133" s="2"/>
      <c r="I133" s="2"/>
      <c r="J133" s="2"/>
      <c r="K133" s="2"/>
      <c r="L133" s="2"/>
      <c r="M133" s="2"/>
      <c r="N133" s="2"/>
    </row>
    <row r="134" spans="4:37" ht="12.75" customHeight="1">
      <c r="E134" s="119" t="s">
        <v>1365</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1366</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1319</v>
      </c>
      <c r="F138" s="4"/>
    </row>
    <row r="139" spans="4:37">
      <c r="F139" s="4"/>
    </row>
    <row r="140" spans="4:37">
      <c r="D140" s="2" t="s">
        <v>304</v>
      </c>
      <c r="E140" s="2" t="s">
        <v>2356</v>
      </c>
      <c r="F140" s="2"/>
      <c r="G140" s="2"/>
      <c r="H140" s="2"/>
    </row>
    <row r="141" spans="4:37">
      <c r="E141" t="s">
        <v>112</v>
      </c>
      <c r="F141" t="s">
        <v>52</v>
      </c>
    </row>
    <row r="142" spans="4:37">
      <c r="E142" t="s">
        <v>113</v>
      </c>
      <c r="F142" t="s">
        <v>474</v>
      </c>
    </row>
    <row r="143" spans="4:37"/>
    <row r="144" spans="4:37">
      <c r="D144" s="2" t="s">
        <v>430</v>
      </c>
      <c r="E144" s="2" t="s">
        <v>2357</v>
      </c>
    </row>
    <row r="145" spans="3:7">
      <c r="E145" s="218" t="s">
        <v>2358</v>
      </c>
      <c r="F145" s="218"/>
    </row>
    <row r="146" spans="3:7"/>
    <row r="147" spans="3:7">
      <c r="C147" s="2" t="s">
        <v>6</v>
      </c>
      <c r="G147" s="2" t="s">
        <v>381</v>
      </c>
    </row>
    <row r="148" spans="3:7">
      <c r="D148" s="2" t="s">
        <v>208</v>
      </c>
      <c r="E148" s="2" t="s">
        <v>135</v>
      </c>
    </row>
    <row r="149" spans="3:7">
      <c r="E149" t="s">
        <v>806</v>
      </c>
    </row>
    <row r="150" spans="3:7"/>
    <row r="151" spans="3:7">
      <c r="D151" s="2" t="s">
        <v>342</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304</v>
      </c>
      <c r="E163" s="2" t="s">
        <v>382</v>
      </c>
    </row>
    <row r="164" spans="3:20">
      <c r="E164" s="4" t="s">
        <v>948</v>
      </c>
      <c r="F164" s="4"/>
    </row>
    <row r="165" spans="3:20"/>
    <row r="166" spans="3:20">
      <c r="D166" s="2" t="s">
        <v>430</v>
      </c>
      <c r="E166" s="2" t="s">
        <v>172</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298</v>
      </c>
    </row>
    <row r="173" spans="3:20">
      <c r="F173" s="4"/>
    </row>
    <row r="174" spans="3:20">
      <c r="C174" s="2" t="s">
        <v>7</v>
      </c>
      <c r="E174" s="4"/>
      <c r="G174" s="2" t="s">
        <v>383</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208</v>
      </c>
      <c r="E178" s="2" t="s">
        <v>299</v>
      </c>
      <c r="G178" s="4"/>
      <c r="H178" s="4"/>
      <c r="I178" s="4"/>
      <c r="J178" s="4"/>
      <c r="K178" s="4"/>
      <c r="L178" s="4"/>
      <c r="M178" s="4"/>
      <c r="N178" s="4"/>
    </row>
    <row r="179" spans="2:19">
      <c r="E179" t="s">
        <v>112</v>
      </c>
      <c r="F179" s="4" t="s">
        <v>951</v>
      </c>
    </row>
    <row r="180" spans="2:19">
      <c r="F180" s="120" t="s">
        <v>1250</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342</v>
      </c>
      <c r="E185" s="2" t="s">
        <v>1032</v>
      </c>
    </row>
    <row r="186" spans="2:19">
      <c r="B186" s="4"/>
      <c r="C186" s="4"/>
      <c r="E186" s="4" t="s">
        <v>718</v>
      </c>
      <c r="F186" s="4"/>
      <c r="I186" s="4"/>
    </row>
    <row r="187" spans="2:19">
      <c r="B187" s="4"/>
      <c r="C187" s="4"/>
      <c r="E187" s="4" t="s">
        <v>1030</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522</v>
      </c>
      <c r="E192" s="2" t="s">
        <v>111</v>
      </c>
    </row>
    <row r="193" spans="2:37">
      <c r="B193" s="4"/>
      <c r="C193" s="2"/>
      <c r="E193" t="s">
        <v>112</v>
      </c>
      <c r="F193" s="4" t="s">
        <v>1040</v>
      </c>
      <c r="G193" s="4"/>
      <c r="H193" s="4"/>
      <c r="I193" s="4"/>
    </row>
    <row r="194" spans="2:37">
      <c r="B194" s="4"/>
      <c r="C194" s="2"/>
      <c r="F194" s="4" t="s">
        <v>661</v>
      </c>
      <c r="G194" s="3" t="s">
        <v>1313</v>
      </c>
    </row>
    <row r="195" spans="2:37">
      <c r="B195" s="4"/>
      <c r="C195" s="4"/>
      <c r="F195" s="4" t="s">
        <v>349</v>
      </c>
      <c r="G195" s="3" t="s">
        <v>1314</v>
      </c>
      <c r="I195" s="4"/>
      <c r="J195" s="4"/>
      <c r="M195" s="4"/>
      <c r="N195" s="4"/>
      <c r="O195" s="4"/>
      <c r="P195" s="4"/>
      <c r="Q195" s="4"/>
      <c r="R195" s="4"/>
      <c r="S195" s="4"/>
    </row>
    <row r="196" spans="2:37">
      <c r="B196" s="4"/>
      <c r="C196" s="4"/>
      <c r="F196" s="4" t="s">
        <v>350</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70" t="s">
        <v>1282</v>
      </c>
      <c r="H207" s="1270"/>
      <c r="I207" s="1270"/>
      <c r="J207" s="1270"/>
      <c r="K207" s="1270"/>
      <c r="L207" s="1270"/>
      <c r="M207" s="1270"/>
      <c r="N207" s="1270"/>
      <c r="O207" s="1270"/>
      <c r="P207" s="1270"/>
      <c r="Q207" s="1270"/>
      <c r="R207" s="1270"/>
      <c r="S207" s="1270"/>
      <c r="T207" s="1270"/>
      <c r="U207" s="1270"/>
      <c r="V207" s="1270"/>
      <c r="W207" s="1270"/>
      <c r="X207" s="1270"/>
      <c r="Y207" s="1270"/>
      <c r="Z207" s="1270"/>
      <c r="AA207" s="1270"/>
      <c r="AB207" s="1270"/>
      <c r="AC207" s="1270"/>
      <c r="AD207" s="1270"/>
      <c r="AE207" s="1270"/>
      <c r="AF207" s="1270"/>
      <c r="AG207" s="1270"/>
      <c r="AH207" s="1270"/>
      <c r="AI207" s="1270"/>
      <c r="AJ207" s="1270"/>
      <c r="AK207" s="1270"/>
    </row>
    <row r="208" spans="2:37">
      <c r="B208" s="4"/>
      <c r="C208" s="4"/>
      <c r="D208" s="2"/>
      <c r="G208" s="1270"/>
      <c r="H208" s="1270"/>
      <c r="I208" s="1270"/>
      <c r="J208" s="1270"/>
      <c r="K208" s="1270"/>
      <c r="L208" s="1270"/>
      <c r="M208" s="1270"/>
      <c r="N208" s="1270"/>
      <c r="O208" s="1270"/>
      <c r="P208" s="1270"/>
      <c r="Q208" s="1270"/>
      <c r="R208" s="1270"/>
      <c r="S208" s="1270"/>
      <c r="T208" s="1270"/>
      <c r="U208" s="1270"/>
      <c r="V208" s="1270"/>
      <c r="W208" s="1270"/>
      <c r="X208" s="1270"/>
      <c r="Y208" s="1270"/>
      <c r="Z208" s="1270"/>
      <c r="AA208" s="1270"/>
      <c r="AB208" s="1270"/>
      <c r="AC208" s="1270"/>
      <c r="AD208" s="1270"/>
      <c r="AE208" s="1270"/>
      <c r="AF208" s="1270"/>
      <c r="AG208" s="1270"/>
      <c r="AH208" s="1270"/>
      <c r="AI208" s="1270"/>
      <c r="AJ208" s="1270"/>
      <c r="AK208" s="1270"/>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349</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349</v>
      </c>
      <c r="G244" s="136" t="s">
        <v>962</v>
      </c>
      <c r="I244" s="4"/>
      <c r="M244" s="4"/>
      <c r="N244" s="4"/>
      <c r="O244" s="4"/>
      <c r="P244" s="4"/>
      <c r="Q244" s="4"/>
      <c r="R244" s="4"/>
      <c r="S244" s="4"/>
    </row>
    <row r="245" spans="2:21">
      <c r="B245" s="4"/>
      <c r="C245" s="4"/>
      <c r="F245" s="4" t="s">
        <v>350</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661</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349</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288</v>
      </c>
      <c r="G270" s="4"/>
    </row>
    <row r="271" spans="2:21">
      <c r="B271" s="2"/>
      <c r="C271" s="2"/>
      <c r="E271" s="4" t="s">
        <v>256</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661</v>
      </c>
      <c r="G293" s="4" t="s">
        <v>261</v>
      </c>
      <c r="K293" s="4"/>
      <c r="L293" s="4"/>
      <c r="M293" s="4"/>
      <c r="N293" s="4"/>
      <c r="O293" s="4"/>
      <c r="P293" s="4"/>
      <c r="Q293" s="4"/>
      <c r="R293" s="4"/>
      <c r="S293" s="4"/>
      <c r="T293" s="4"/>
      <c r="U293" s="4"/>
      <c r="V293" s="4"/>
      <c r="W293" s="4"/>
    </row>
    <row r="294" spans="2:23">
      <c r="B294" s="2"/>
      <c r="D294" s="4"/>
      <c r="E294" s="4"/>
      <c r="F294" s="4" t="s">
        <v>349</v>
      </c>
      <c r="G294" s="4" t="s">
        <v>959</v>
      </c>
      <c r="H294" s="4"/>
      <c r="K294" s="4"/>
      <c r="L294" s="4"/>
      <c r="M294" s="4"/>
      <c r="N294" s="4"/>
      <c r="O294" s="4"/>
      <c r="P294" s="4"/>
      <c r="Q294" s="4"/>
      <c r="R294" s="4"/>
      <c r="S294" s="4"/>
      <c r="T294" s="4"/>
      <c r="U294" s="4"/>
      <c r="V294" s="4"/>
      <c r="W294" s="4"/>
    </row>
    <row r="295" spans="2:23">
      <c r="B295" s="2"/>
      <c r="D295" s="4"/>
      <c r="E295" s="4"/>
      <c r="F295" s="4" t="s">
        <v>350</v>
      </c>
      <c r="G295" s="4" t="s">
        <v>569</v>
      </c>
      <c r="K295" s="4"/>
      <c r="L295" s="4"/>
      <c r="M295" s="4"/>
      <c r="N295" s="4"/>
      <c r="O295" s="4"/>
      <c r="P295" s="4"/>
      <c r="Q295" s="4"/>
      <c r="R295" s="4"/>
      <c r="S295" s="4"/>
      <c r="T295" s="4"/>
      <c r="U295" s="4"/>
      <c r="V295" s="4"/>
      <c r="W295" s="4"/>
    </row>
    <row r="296" spans="2:23">
      <c r="B296" s="2"/>
      <c r="D296" s="4"/>
      <c r="E296" s="4"/>
      <c r="F296" s="4" t="s">
        <v>446</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290</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342</v>
      </c>
      <c r="E316" s="2" t="s">
        <v>760</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251</v>
      </c>
      <c r="D325" s="2" t="s">
        <v>208</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70" t="s">
        <v>1257</v>
      </c>
      <c r="G338" s="1270"/>
      <c r="H338" s="1270"/>
      <c r="I338" s="1270"/>
      <c r="J338" s="1270"/>
      <c r="K338" s="1270"/>
      <c r="L338" s="1270"/>
      <c r="M338" s="1270"/>
      <c r="N338" s="1270"/>
      <c r="O338" s="1270"/>
      <c r="P338" s="1270"/>
      <c r="Q338" s="1270"/>
      <c r="R338" s="1270"/>
      <c r="S338" s="1270"/>
      <c r="T338" s="1270"/>
      <c r="U338" s="1270"/>
      <c r="V338" s="1270"/>
      <c r="W338" s="1270"/>
      <c r="X338" s="1270"/>
      <c r="Y338" s="1270"/>
      <c r="Z338" s="1270"/>
      <c r="AA338" s="1270"/>
      <c r="AB338" s="1270"/>
      <c r="AC338" s="1270"/>
      <c r="AD338" s="1270"/>
      <c r="AE338" s="1270"/>
      <c r="AF338" s="1270"/>
      <c r="AG338" s="1270"/>
      <c r="AH338" s="1270"/>
      <c r="AI338" s="1270"/>
      <c r="AJ338" s="1270"/>
      <c r="AK338" s="1270"/>
    </row>
    <row r="339" spans="2:37">
      <c r="B339" s="2"/>
      <c r="E339" s="4"/>
      <c r="F339" s="1270"/>
      <c r="G339" s="1270"/>
      <c r="H339" s="1270"/>
      <c r="I339" s="1270"/>
      <c r="J339" s="1270"/>
      <c r="K339" s="1270"/>
      <c r="L339" s="1270"/>
      <c r="M339" s="1270"/>
      <c r="N339" s="1270"/>
      <c r="O339" s="1270"/>
      <c r="P339" s="1270"/>
      <c r="Q339" s="1270"/>
      <c r="R339" s="1270"/>
      <c r="S339" s="1270"/>
      <c r="T339" s="1270"/>
      <c r="U339" s="1270"/>
      <c r="V339" s="1270"/>
      <c r="W339" s="1270"/>
      <c r="X339" s="1270"/>
      <c r="Y339" s="1270"/>
      <c r="Z339" s="1270"/>
      <c r="AA339" s="1270"/>
      <c r="AB339" s="1270"/>
      <c r="AC339" s="1270"/>
      <c r="AD339" s="1270"/>
      <c r="AE339" s="1270"/>
      <c r="AF339" s="1270"/>
      <c r="AG339" s="1270"/>
      <c r="AH339" s="1270"/>
      <c r="AI339" s="1270"/>
      <c r="AJ339" s="1270"/>
      <c r="AK339" s="1270"/>
    </row>
    <row r="340" spans="2:37">
      <c r="B340" s="2"/>
      <c r="E340" s="4"/>
      <c r="F340" s="1270"/>
      <c r="G340" s="1270"/>
      <c r="H340" s="1270"/>
      <c r="I340" s="1270"/>
      <c r="J340" s="1270"/>
      <c r="K340" s="1270"/>
      <c r="L340" s="1270"/>
      <c r="M340" s="1270"/>
      <c r="N340" s="1270"/>
      <c r="O340" s="1270"/>
      <c r="P340" s="1270"/>
      <c r="Q340" s="1270"/>
      <c r="R340" s="1270"/>
      <c r="S340" s="1270"/>
      <c r="T340" s="1270"/>
      <c r="U340" s="1270"/>
      <c r="V340" s="1270"/>
      <c r="W340" s="1270"/>
      <c r="X340" s="1270"/>
      <c r="Y340" s="1270"/>
      <c r="Z340" s="1270"/>
      <c r="AA340" s="1270"/>
      <c r="AB340" s="1270"/>
      <c r="AC340" s="1270"/>
      <c r="AD340" s="1270"/>
      <c r="AE340" s="1270"/>
      <c r="AF340" s="1270"/>
      <c r="AG340" s="1270"/>
      <c r="AH340" s="1270"/>
      <c r="AI340" s="1270"/>
      <c r="AJ340" s="1270"/>
      <c r="AK340" s="1270"/>
    </row>
    <row r="341" spans="2:37">
      <c r="B341" s="2"/>
      <c r="F341" s="4"/>
      <c r="H341" s="4"/>
      <c r="I341" s="4"/>
      <c r="J341" s="4"/>
      <c r="K341" s="4"/>
      <c r="L341" s="4"/>
      <c r="M341" s="4"/>
      <c r="N341" s="4"/>
      <c r="O341" s="4"/>
      <c r="P341" s="4"/>
      <c r="Q341" s="4"/>
      <c r="R341" s="4"/>
      <c r="S341" s="4"/>
    </row>
    <row r="342" spans="2:37">
      <c r="B342" s="2"/>
      <c r="C342" s="2" t="s">
        <v>432</v>
      </c>
      <c r="G342" s="2" t="s">
        <v>1335</v>
      </c>
      <c r="I342" s="2"/>
      <c r="J342" s="4"/>
      <c r="K342" s="4"/>
      <c r="L342" s="4"/>
      <c r="M342" s="4"/>
      <c r="N342" s="4"/>
      <c r="O342" s="4"/>
      <c r="P342" s="4"/>
      <c r="Q342" s="4"/>
      <c r="R342" s="4"/>
      <c r="S342" s="4"/>
    </row>
    <row r="343" spans="2:37" ht="13.15" customHeight="1">
      <c r="B343" s="2"/>
      <c r="E343" s="1272" t="s">
        <v>1342</v>
      </c>
      <c r="F343" s="1272"/>
      <c r="G343" s="1272"/>
      <c r="H343" s="1272"/>
      <c r="I343" s="1272"/>
      <c r="J343" s="1272"/>
      <c r="K343" s="1272"/>
      <c r="L343" s="1272"/>
      <c r="M343" s="1272"/>
      <c r="N343" s="1272"/>
      <c r="O343" s="1272"/>
      <c r="P343" s="1272"/>
      <c r="Q343" s="1272"/>
      <c r="R343" s="1272"/>
      <c r="S343" s="1272"/>
      <c r="T343" s="1272"/>
      <c r="U343" s="1272"/>
      <c r="V343" s="1272"/>
      <c r="W343" s="1272"/>
      <c r="X343" s="1272"/>
      <c r="Y343" s="1272"/>
      <c r="Z343" s="1272"/>
      <c r="AA343" s="1272"/>
      <c r="AB343" s="1272"/>
      <c r="AC343" s="1272"/>
      <c r="AD343" s="1272"/>
      <c r="AE343" s="1272"/>
      <c r="AF343" s="1272"/>
      <c r="AG343" s="1272"/>
      <c r="AH343" s="1272"/>
      <c r="AI343" s="1272"/>
      <c r="AJ343" s="1272"/>
      <c r="AK343" s="1272"/>
    </row>
    <row r="344" spans="2:37">
      <c r="B344" s="2"/>
      <c r="E344" s="1272"/>
      <c r="F344" s="1272"/>
      <c r="G344" s="1272"/>
      <c r="H344" s="1272"/>
      <c r="I344" s="1272"/>
      <c r="J344" s="1272"/>
      <c r="K344" s="1272"/>
      <c r="L344" s="1272"/>
      <c r="M344" s="1272"/>
      <c r="N344" s="1272"/>
      <c r="O344" s="1272"/>
      <c r="P344" s="1272"/>
      <c r="Q344" s="1272"/>
      <c r="R344" s="1272"/>
      <c r="S344" s="1272"/>
      <c r="T344" s="1272"/>
      <c r="U344" s="1272"/>
      <c r="V344" s="1272"/>
      <c r="W344" s="1272"/>
      <c r="X344" s="1272"/>
      <c r="Y344" s="1272"/>
      <c r="Z344" s="1272"/>
      <c r="AA344" s="1272"/>
      <c r="AB344" s="1272"/>
      <c r="AC344" s="1272"/>
      <c r="AD344" s="1272"/>
      <c r="AE344" s="1272"/>
      <c r="AF344" s="1272"/>
      <c r="AG344" s="1272"/>
      <c r="AH344" s="1272"/>
      <c r="AI344" s="1272"/>
      <c r="AJ344" s="1272"/>
      <c r="AK344" s="1272"/>
    </row>
    <row r="345" spans="2:37">
      <c r="B345" s="2"/>
      <c r="E345" s="1272"/>
      <c r="F345" s="1272"/>
      <c r="G345" s="1272"/>
      <c r="H345" s="1272"/>
      <c r="I345" s="1272"/>
      <c r="J345" s="1272"/>
      <c r="K345" s="1272"/>
      <c r="L345" s="1272"/>
      <c r="M345" s="1272"/>
      <c r="N345" s="1272"/>
      <c r="O345" s="1272"/>
      <c r="P345" s="1272"/>
      <c r="Q345" s="1272"/>
      <c r="R345" s="1272"/>
      <c r="S345" s="1272"/>
      <c r="T345" s="1272"/>
      <c r="U345" s="1272"/>
      <c r="V345" s="1272"/>
      <c r="W345" s="1272"/>
      <c r="X345" s="1272"/>
      <c r="Y345" s="1272"/>
      <c r="Z345" s="1272"/>
      <c r="AA345" s="1272"/>
      <c r="AB345" s="1272"/>
      <c r="AC345" s="1272"/>
      <c r="AD345" s="1272"/>
      <c r="AE345" s="1272"/>
      <c r="AF345" s="1272"/>
      <c r="AG345" s="1272"/>
      <c r="AH345" s="1272"/>
      <c r="AI345" s="1272"/>
      <c r="AJ345" s="1272"/>
      <c r="AK345" s="1272"/>
    </row>
    <row r="346" spans="2:37">
      <c r="B346" s="2"/>
      <c r="E346" s="1272"/>
      <c r="F346" s="1272"/>
      <c r="G346" s="1272"/>
      <c r="H346" s="1272"/>
      <c r="I346" s="1272"/>
      <c r="J346" s="1272"/>
      <c r="K346" s="1272"/>
      <c r="L346" s="1272"/>
      <c r="M346" s="1272"/>
      <c r="N346" s="1272"/>
      <c r="O346" s="1272"/>
      <c r="P346" s="1272"/>
      <c r="Q346" s="1272"/>
      <c r="R346" s="1272"/>
      <c r="S346" s="1272"/>
      <c r="T346" s="1272"/>
      <c r="U346" s="1272"/>
      <c r="V346" s="1272"/>
      <c r="W346" s="1272"/>
      <c r="X346" s="1272"/>
      <c r="Y346" s="1272"/>
      <c r="Z346" s="1272"/>
      <c r="AA346" s="1272"/>
      <c r="AB346" s="1272"/>
      <c r="AC346" s="1272"/>
      <c r="AD346" s="1272"/>
      <c r="AE346" s="1272"/>
      <c r="AF346" s="1272"/>
      <c r="AG346" s="1272"/>
      <c r="AH346" s="1272"/>
      <c r="AI346" s="1272"/>
      <c r="AJ346" s="1272"/>
      <c r="AK346" s="1272"/>
    </row>
    <row r="347" spans="2:37">
      <c r="B347" s="2"/>
      <c r="E347" s="1272"/>
      <c r="F347" s="1272"/>
      <c r="G347" s="1272"/>
      <c r="H347" s="1272"/>
      <c r="I347" s="1272"/>
      <c r="J347" s="1272"/>
      <c r="K347" s="1272"/>
      <c r="L347" s="1272"/>
      <c r="M347" s="1272"/>
      <c r="N347" s="1272"/>
      <c r="O347" s="1272"/>
      <c r="P347" s="1272"/>
      <c r="Q347" s="1272"/>
      <c r="R347" s="1272"/>
      <c r="S347" s="1272"/>
      <c r="T347" s="1272"/>
      <c r="U347" s="1272"/>
      <c r="V347" s="1272"/>
      <c r="W347" s="1272"/>
      <c r="X347" s="1272"/>
      <c r="Y347" s="1272"/>
      <c r="Z347" s="1272"/>
      <c r="AA347" s="1272"/>
      <c r="AB347" s="1272"/>
      <c r="AC347" s="1272"/>
      <c r="AD347" s="1272"/>
      <c r="AE347" s="1272"/>
      <c r="AF347" s="1272"/>
      <c r="AG347" s="1272"/>
      <c r="AH347" s="1272"/>
      <c r="AI347" s="1272"/>
      <c r="AJ347" s="1272"/>
      <c r="AK347" s="1272"/>
    </row>
    <row r="348" spans="2:37">
      <c r="B348" s="2"/>
      <c r="E348" s="3" t="s">
        <v>112</v>
      </c>
      <c r="F348" s="1270" t="s">
        <v>1344</v>
      </c>
      <c r="G348" s="1270"/>
      <c r="H348" s="1270"/>
      <c r="I348" s="1270"/>
      <c r="J348" s="1270"/>
      <c r="K348" s="1270"/>
      <c r="L348" s="1270"/>
      <c r="M348" s="1270"/>
      <c r="N348" s="1270"/>
      <c r="O348" s="1270"/>
      <c r="P348" s="1270"/>
      <c r="Q348" s="1270"/>
      <c r="R348" s="1270"/>
      <c r="S348" s="1270"/>
      <c r="T348" s="1270"/>
      <c r="U348" s="1270"/>
      <c r="V348" s="1270"/>
      <c r="W348" s="1270"/>
      <c r="X348" s="1270"/>
      <c r="Y348" s="1270"/>
      <c r="Z348" s="1270"/>
      <c r="AA348" s="1270"/>
      <c r="AB348" s="1270"/>
      <c r="AC348" s="1270"/>
      <c r="AD348" s="1270"/>
      <c r="AE348" s="1270"/>
      <c r="AF348" s="1270"/>
      <c r="AG348" s="1270"/>
      <c r="AH348" s="1270"/>
      <c r="AI348" s="1270"/>
      <c r="AJ348" s="1270"/>
      <c r="AK348" s="1270"/>
    </row>
    <row r="349" spans="2:37">
      <c r="B349" s="2"/>
      <c r="E349" s="3"/>
      <c r="F349" s="1270"/>
      <c r="G349" s="1270"/>
      <c r="H349" s="1270"/>
      <c r="I349" s="1270"/>
      <c r="J349" s="1270"/>
      <c r="K349" s="1270"/>
      <c r="L349" s="1270"/>
      <c r="M349" s="1270"/>
      <c r="N349" s="1270"/>
      <c r="O349" s="1270"/>
      <c r="P349" s="1270"/>
      <c r="Q349" s="1270"/>
      <c r="R349" s="1270"/>
      <c r="S349" s="1270"/>
      <c r="T349" s="1270"/>
      <c r="U349" s="1270"/>
      <c r="V349" s="1270"/>
      <c r="W349" s="1270"/>
      <c r="X349" s="1270"/>
      <c r="Y349" s="1270"/>
      <c r="Z349" s="1270"/>
      <c r="AA349" s="1270"/>
      <c r="AB349" s="1270"/>
      <c r="AC349" s="1270"/>
      <c r="AD349" s="1270"/>
      <c r="AE349" s="1270"/>
      <c r="AF349" s="1270"/>
      <c r="AG349" s="1270"/>
      <c r="AH349" s="1270"/>
      <c r="AI349" s="1270"/>
      <c r="AJ349" s="1270"/>
      <c r="AK349" s="1270"/>
    </row>
    <row r="350" spans="2:37">
      <c r="B350" s="2"/>
      <c r="E350" s="3"/>
      <c r="F350" s="1270"/>
      <c r="G350" s="1270"/>
      <c r="H350" s="1270"/>
      <c r="I350" s="1270"/>
      <c r="J350" s="1270"/>
      <c r="K350" s="1270"/>
      <c r="L350" s="1270"/>
      <c r="M350" s="1270"/>
      <c r="N350" s="1270"/>
      <c r="O350" s="1270"/>
      <c r="P350" s="1270"/>
      <c r="Q350" s="1270"/>
      <c r="R350" s="1270"/>
      <c r="S350" s="1270"/>
      <c r="T350" s="1270"/>
      <c r="U350" s="1270"/>
      <c r="V350" s="1270"/>
      <c r="W350" s="1270"/>
      <c r="X350" s="1270"/>
      <c r="Y350" s="1270"/>
      <c r="Z350" s="1270"/>
      <c r="AA350" s="1270"/>
      <c r="AB350" s="1270"/>
      <c r="AC350" s="1270"/>
      <c r="AD350" s="1270"/>
      <c r="AE350" s="1270"/>
      <c r="AF350" s="1270"/>
      <c r="AG350" s="1270"/>
      <c r="AH350" s="1270"/>
      <c r="AI350" s="1270"/>
      <c r="AJ350" s="1270"/>
      <c r="AK350" s="1270"/>
    </row>
    <row r="351" spans="2:37">
      <c r="B351" s="2"/>
      <c r="E351" s="3"/>
      <c r="F351" s="1270"/>
      <c r="G351" s="1270"/>
      <c r="H351" s="1270"/>
      <c r="I351" s="1270"/>
      <c r="J351" s="1270"/>
      <c r="K351" s="1270"/>
      <c r="L351" s="1270"/>
      <c r="M351" s="1270"/>
      <c r="N351" s="1270"/>
      <c r="O351" s="1270"/>
      <c r="P351" s="1270"/>
      <c r="Q351" s="1270"/>
      <c r="R351" s="1270"/>
      <c r="S351" s="1270"/>
      <c r="T351" s="1270"/>
      <c r="U351" s="1270"/>
      <c r="V351" s="1270"/>
      <c r="W351" s="1270"/>
      <c r="X351" s="1270"/>
      <c r="Y351" s="1270"/>
      <c r="Z351" s="1270"/>
      <c r="AA351" s="1270"/>
      <c r="AB351" s="1270"/>
      <c r="AC351" s="1270"/>
      <c r="AD351" s="1270"/>
      <c r="AE351" s="1270"/>
      <c r="AF351" s="1270"/>
      <c r="AG351" s="1270"/>
      <c r="AH351" s="1270"/>
      <c r="AI351" s="1270"/>
      <c r="AJ351" s="1270"/>
      <c r="AK351" s="1270"/>
    </row>
    <row r="352" spans="2:37">
      <c r="B352" s="2"/>
      <c r="E352" s="3" t="s">
        <v>113</v>
      </c>
      <c r="F352" s="1270" t="s">
        <v>1343</v>
      </c>
      <c r="G352" s="1270"/>
      <c r="H352" s="1270"/>
      <c r="I352" s="1270"/>
      <c r="J352" s="1270"/>
      <c r="K352" s="1270"/>
      <c r="L352" s="1270"/>
      <c r="M352" s="1270"/>
      <c r="N352" s="1270"/>
      <c r="O352" s="1270"/>
      <c r="P352" s="1270"/>
      <c r="Q352" s="1270"/>
      <c r="R352" s="1270"/>
      <c r="S352" s="1270"/>
      <c r="T352" s="1270"/>
      <c r="U352" s="1270"/>
      <c r="V352" s="1270"/>
      <c r="W352" s="1270"/>
      <c r="X352" s="1270"/>
      <c r="Y352" s="1270"/>
      <c r="Z352" s="1270"/>
      <c r="AA352" s="1270"/>
      <c r="AB352" s="1270"/>
      <c r="AC352" s="1270"/>
      <c r="AD352" s="1270"/>
      <c r="AE352" s="1270"/>
      <c r="AF352" s="1270"/>
      <c r="AG352" s="1270"/>
      <c r="AH352" s="1270"/>
      <c r="AI352" s="1270"/>
      <c r="AJ352" s="1270"/>
      <c r="AK352" s="1270"/>
    </row>
    <row r="353" spans="1:38">
      <c r="B353" s="2"/>
      <c r="F353" s="1270"/>
      <c r="G353" s="1270"/>
      <c r="H353" s="1270"/>
      <c r="I353" s="1270"/>
      <c r="J353" s="1270"/>
      <c r="K353" s="1270"/>
      <c r="L353" s="1270"/>
      <c r="M353" s="1270"/>
      <c r="N353" s="1270"/>
      <c r="O353" s="1270"/>
      <c r="P353" s="1270"/>
      <c r="Q353" s="1270"/>
      <c r="R353" s="1270"/>
      <c r="S353" s="1270"/>
      <c r="T353" s="1270"/>
      <c r="U353" s="1270"/>
      <c r="V353" s="1270"/>
      <c r="W353" s="1270"/>
      <c r="X353" s="1270"/>
      <c r="Y353" s="1270"/>
      <c r="Z353" s="1270"/>
      <c r="AA353" s="1270"/>
      <c r="AB353" s="1270"/>
      <c r="AC353" s="1270"/>
      <c r="AD353" s="1270"/>
      <c r="AE353" s="1270"/>
      <c r="AF353" s="1270"/>
      <c r="AG353" s="1270"/>
      <c r="AH353" s="1270"/>
      <c r="AI353" s="1270"/>
      <c r="AJ353" s="1270"/>
      <c r="AK353" s="1270"/>
    </row>
    <row r="354" spans="1:38">
      <c r="B354" s="2"/>
      <c r="F354" s="1270"/>
      <c r="G354" s="1270"/>
      <c r="H354" s="1270"/>
      <c r="I354" s="1270"/>
      <c r="J354" s="1270"/>
      <c r="K354" s="1270"/>
      <c r="L354" s="1270"/>
      <c r="M354" s="1270"/>
      <c r="N354" s="1270"/>
      <c r="O354" s="1270"/>
      <c r="P354" s="1270"/>
      <c r="Q354" s="1270"/>
      <c r="R354" s="1270"/>
      <c r="S354" s="1270"/>
      <c r="T354" s="1270"/>
      <c r="U354" s="1270"/>
      <c r="V354" s="1270"/>
      <c r="W354" s="1270"/>
      <c r="X354" s="1270"/>
      <c r="Y354" s="1270"/>
      <c r="Z354" s="1270"/>
      <c r="AA354" s="1270"/>
      <c r="AB354" s="1270"/>
      <c r="AC354" s="1270"/>
      <c r="AD354" s="1270"/>
      <c r="AE354" s="1270"/>
      <c r="AF354" s="1270"/>
      <c r="AG354" s="1270"/>
      <c r="AH354" s="1270"/>
      <c r="AI354" s="1270"/>
      <c r="AJ354" s="1270"/>
      <c r="AK354" s="1270"/>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3" t="s">
        <v>1333</v>
      </c>
      <c r="F367" s="1273"/>
      <c r="G367" s="1273"/>
      <c r="H367" s="1273"/>
      <c r="I367" s="1273"/>
      <c r="J367" s="1273"/>
      <c r="K367" s="1273"/>
      <c r="L367" s="1273"/>
      <c r="M367" s="1273"/>
      <c r="N367" s="1273"/>
      <c r="O367" s="1273"/>
      <c r="P367" s="1273"/>
      <c r="Q367" s="1273"/>
      <c r="R367" s="1273"/>
      <c r="S367" s="1273"/>
      <c r="T367" s="1273"/>
      <c r="U367" s="1273"/>
      <c r="V367" s="1273"/>
      <c r="W367" s="1273"/>
      <c r="X367" s="1273"/>
      <c r="Y367" s="1273"/>
      <c r="Z367" s="1273"/>
      <c r="AA367" s="1273"/>
      <c r="AB367" s="1273"/>
      <c r="AC367" s="1273"/>
      <c r="AD367" s="1273"/>
      <c r="AE367" s="1273"/>
      <c r="AF367" s="1273"/>
      <c r="AG367" s="1273"/>
      <c r="AH367" s="1273"/>
      <c r="AI367" s="1273"/>
      <c r="AJ367" s="1273"/>
      <c r="AK367" s="1273"/>
      <c r="AL367" s="1273"/>
    </row>
    <row r="368" spans="1:38">
      <c r="B368" s="2"/>
      <c r="E368" s="1273"/>
      <c r="F368" s="1273"/>
      <c r="G368" s="1273"/>
      <c r="H368" s="1273"/>
      <c r="I368" s="1273"/>
      <c r="J368" s="1273"/>
      <c r="K368" s="1273"/>
      <c r="L368" s="1273"/>
      <c r="M368" s="1273"/>
      <c r="N368" s="1273"/>
      <c r="O368" s="1273"/>
      <c r="P368" s="1273"/>
      <c r="Q368" s="1273"/>
      <c r="R368" s="1273"/>
      <c r="S368" s="1273"/>
      <c r="T368" s="1273"/>
      <c r="U368" s="1273"/>
      <c r="V368" s="1273"/>
      <c r="W368" s="1273"/>
      <c r="X368" s="1273"/>
      <c r="Y368" s="1273"/>
      <c r="Z368" s="1273"/>
      <c r="AA368" s="1273"/>
      <c r="AB368" s="1273"/>
      <c r="AC368" s="1273"/>
      <c r="AD368" s="1273"/>
      <c r="AE368" s="1273"/>
      <c r="AF368" s="1273"/>
      <c r="AG368" s="1273"/>
      <c r="AH368" s="1273"/>
      <c r="AI368" s="1273"/>
      <c r="AJ368" s="1273"/>
      <c r="AK368" s="1273"/>
      <c r="AL368" s="1273"/>
    </row>
    <row r="369" spans="1:37" s="1275" customFormat="1">
      <c r="A369"/>
      <c r="B369" s="2"/>
      <c r="C369"/>
      <c r="D369"/>
      <c r="E369" s="1274" t="s">
        <v>1368</v>
      </c>
    </row>
    <row r="370" spans="1:37" s="1275"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1369</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70" t="s">
        <v>1379</v>
      </c>
      <c r="G388" s="1270"/>
      <c r="H388" s="1270"/>
      <c r="I388" s="1270"/>
      <c r="J388" s="1270"/>
      <c r="K388" s="1270"/>
      <c r="L388" s="1270"/>
      <c r="M388" s="1270"/>
      <c r="N388" s="1270"/>
      <c r="O388" s="1270"/>
      <c r="P388" s="1270"/>
      <c r="Q388" s="1270"/>
      <c r="R388" s="1270"/>
      <c r="S388" s="1270"/>
      <c r="T388" s="1270"/>
      <c r="U388" s="1270"/>
      <c r="V388" s="1270"/>
      <c r="W388" s="1270"/>
      <c r="X388" s="1270"/>
      <c r="Y388" s="1270"/>
      <c r="Z388" s="1270"/>
      <c r="AA388" s="1270"/>
      <c r="AB388" s="1270"/>
      <c r="AC388" s="1270"/>
      <c r="AD388" s="1270"/>
      <c r="AE388" s="1270"/>
      <c r="AF388" s="1270"/>
      <c r="AG388" s="1270"/>
      <c r="AH388" s="1270"/>
      <c r="AI388" s="1270"/>
      <c r="AJ388" s="1270"/>
      <c r="AK388" s="1270"/>
    </row>
    <row r="389" spans="1:38">
      <c r="B389" s="2"/>
      <c r="E389" s="3"/>
      <c r="F389" s="1270"/>
      <c r="G389" s="1270"/>
      <c r="H389" s="1270"/>
      <c r="I389" s="1270"/>
      <c r="J389" s="1270"/>
      <c r="K389" s="1270"/>
      <c r="L389" s="1270"/>
      <c r="M389" s="1270"/>
      <c r="N389" s="1270"/>
      <c r="O389" s="1270"/>
      <c r="P389" s="1270"/>
      <c r="Q389" s="1270"/>
      <c r="R389" s="1270"/>
      <c r="S389" s="1270"/>
      <c r="T389" s="1270"/>
      <c r="U389" s="1270"/>
      <c r="V389" s="1270"/>
      <c r="W389" s="1270"/>
      <c r="X389" s="1270"/>
      <c r="Y389" s="1270"/>
      <c r="Z389" s="1270"/>
      <c r="AA389" s="1270"/>
      <c r="AB389" s="1270"/>
      <c r="AC389" s="1270"/>
      <c r="AD389" s="1270"/>
      <c r="AE389" s="1270"/>
      <c r="AF389" s="1270"/>
      <c r="AG389" s="1270"/>
      <c r="AH389" s="1270"/>
      <c r="AI389" s="1270"/>
      <c r="AJ389" s="1270"/>
      <c r="AK389" s="1270"/>
    </row>
    <row r="390" spans="1:38">
      <c r="B390" s="2"/>
      <c r="E390" s="3"/>
      <c r="F390" s="1270"/>
      <c r="G390" s="1270"/>
      <c r="H390" s="1270"/>
      <c r="I390" s="1270"/>
      <c r="J390" s="1270"/>
      <c r="K390" s="1270"/>
      <c r="L390" s="1270"/>
      <c r="M390" s="1270"/>
      <c r="N390" s="1270"/>
      <c r="O390" s="1270"/>
      <c r="P390" s="1270"/>
      <c r="Q390" s="1270"/>
      <c r="R390" s="1270"/>
      <c r="S390" s="1270"/>
      <c r="T390" s="1270"/>
      <c r="U390" s="1270"/>
      <c r="V390" s="1270"/>
      <c r="W390" s="1270"/>
      <c r="X390" s="1270"/>
      <c r="Y390" s="1270"/>
      <c r="Z390" s="1270"/>
      <c r="AA390" s="1270"/>
      <c r="AB390" s="1270"/>
      <c r="AC390" s="1270"/>
      <c r="AD390" s="1270"/>
      <c r="AE390" s="1270"/>
      <c r="AF390" s="1270"/>
      <c r="AG390" s="1270"/>
      <c r="AH390" s="1270"/>
      <c r="AI390" s="1270"/>
      <c r="AJ390" s="1270"/>
      <c r="AK390" s="1270"/>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1385</v>
      </c>
      <c r="F392" s="3"/>
      <c r="G392" s="2"/>
      <c r="I392" s="120"/>
      <c r="J392" s="3"/>
      <c r="K392" s="3"/>
      <c r="L392" s="3"/>
      <c r="M392" s="3"/>
      <c r="N392" s="3"/>
      <c r="O392" s="3"/>
      <c r="P392" s="3"/>
      <c r="Q392" s="3"/>
      <c r="R392" s="3"/>
      <c r="S392" s="3"/>
    </row>
    <row r="393" spans="1:38" ht="13.15" customHeight="1">
      <c r="B393" s="2"/>
      <c r="D393" s="2"/>
      <c r="E393" s="3" t="s">
        <v>1384</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workbookViewId="0">
      <selection sqref="A1:BE1"/>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5703125" style="1200" bestFit="1" customWidth="1"/>
    <col min="71" max="71" width="6.140625" style="1200" bestFit="1" customWidth="1"/>
    <col min="72" max="76" width="5.5703125" style="1200" bestFit="1" customWidth="1"/>
    <col min="77" max="77" width="6.140625" style="1200" bestFit="1" customWidth="1"/>
    <col min="78" max="78" width="5.5703125" style="1200" bestFit="1" customWidth="1"/>
    <col min="79" max="16384" width="2.7109375" style="1200"/>
  </cols>
  <sheetData>
    <row r="1" spans="1:65" ht="15.75" customHeight="1">
      <c r="A1" s="2235" t="s">
        <v>2413</v>
      </c>
      <c r="B1" s="2236"/>
      <c r="C1" s="2236"/>
      <c r="D1" s="2236"/>
      <c r="E1" s="2236"/>
      <c r="F1" s="2236"/>
      <c r="G1" s="2236"/>
      <c r="H1" s="2236"/>
      <c r="I1" s="2236"/>
      <c r="J1" s="2236"/>
      <c r="K1" s="2236"/>
      <c r="L1" s="2236"/>
      <c r="M1" s="2236"/>
      <c r="N1" s="2236"/>
      <c r="O1" s="2236"/>
      <c r="P1" s="2236"/>
      <c r="Q1" s="2236"/>
      <c r="R1" s="2236"/>
      <c r="S1" s="2236"/>
      <c r="T1" s="2236"/>
      <c r="U1" s="2236"/>
      <c r="V1" s="2236"/>
      <c r="W1" s="2236"/>
      <c r="X1" s="2236"/>
      <c r="Y1" s="2236"/>
      <c r="Z1" s="2236"/>
      <c r="AA1" s="2236"/>
      <c r="AB1" s="2236"/>
      <c r="AC1" s="2236"/>
      <c r="AD1" s="2236"/>
      <c r="AE1" s="2236"/>
      <c r="AF1" s="2236"/>
      <c r="AG1" s="2236"/>
      <c r="AH1" s="2236"/>
      <c r="AI1" s="2236"/>
      <c r="AJ1" s="2236"/>
      <c r="AK1" s="2236"/>
      <c r="AL1" s="2236"/>
      <c r="AM1" s="2236"/>
      <c r="AN1" s="2236"/>
      <c r="AO1" s="2236"/>
      <c r="AP1" s="2236"/>
      <c r="AQ1" s="2236"/>
      <c r="AR1" s="2236"/>
      <c r="AS1" s="2236"/>
      <c r="AT1" s="2236"/>
      <c r="AU1" s="2236"/>
      <c r="AV1" s="2236"/>
      <c r="AW1" s="2236"/>
      <c r="AX1" s="2236"/>
      <c r="AY1" s="2236"/>
      <c r="AZ1" s="2236"/>
      <c r="BA1" s="2236"/>
      <c r="BB1" s="2236"/>
      <c r="BC1" s="2236"/>
      <c r="BD1" s="2236"/>
      <c r="BE1" s="2237"/>
    </row>
    <row r="2" spans="1:65" ht="15.75" customHeight="1">
      <c r="A2" s="2238" t="s">
        <v>2460</v>
      </c>
      <c r="B2" s="2239"/>
      <c r="C2" s="2239"/>
      <c r="D2" s="2239"/>
      <c r="E2" s="2239"/>
      <c r="F2" s="2239"/>
      <c r="G2" s="2239"/>
      <c r="H2" s="2239"/>
      <c r="I2" s="2239"/>
      <c r="J2" s="2239"/>
      <c r="K2" s="2239"/>
      <c r="L2" s="2239"/>
      <c r="M2" s="2239"/>
      <c r="N2" s="2239"/>
      <c r="O2" s="2239"/>
      <c r="P2" s="2239"/>
      <c r="Q2" s="2239"/>
      <c r="R2" s="2239"/>
      <c r="S2" s="2239"/>
      <c r="T2" s="2239"/>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c r="AT2" s="2239"/>
      <c r="AU2" s="2239"/>
      <c r="AV2" s="2239"/>
      <c r="AW2" s="2239"/>
      <c r="AX2" s="2239"/>
      <c r="AY2" s="2239"/>
      <c r="AZ2" s="2239"/>
      <c r="BA2" s="2239"/>
      <c r="BB2" s="2239"/>
      <c r="BC2" s="2239"/>
      <c r="BD2" s="2239"/>
      <c r="BE2" s="2240"/>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664</v>
      </c>
      <c r="C4" s="1217"/>
      <c r="D4" s="1217"/>
      <c r="E4" s="1217"/>
      <c r="F4" s="1217"/>
      <c r="G4" s="1209"/>
      <c r="H4" s="1209"/>
      <c r="I4" s="1209"/>
      <c r="J4" s="1209"/>
      <c r="K4" s="1209"/>
      <c r="L4" s="2241" t="str">
        <f>IF(Application!H18="","",Application!H18)</f>
        <v>525 N Capitol</v>
      </c>
      <c r="M4" s="2242"/>
      <c r="N4" s="2242"/>
      <c r="O4" s="2242"/>
      <c r="P4" s="2242"/>
      <c r="Q4" s="2242"/>
      <c r="R4" s="2242"/>
      <c r="S4" s="2242"/>
      <c r="T4" s="2242"/>
      <c r="U4" s="2242"/>
      <c r="V4" s="2242"/>
      <c r="W4" s="2242"/>
      <c r="X4" s="2242"/>
      <c r="Y4" s="2242"/>
      <c r="Z4" s="2242"/>
      <c r="AA4" s="2242"/>
      <c r="AB4" s="2242"/>
      <c r="AC4" s="2243"/>
      <c r="AD4" s="1209"/>
      <c r="AE4" s="1209"/>
      <c r="AF4" s="2244" t="s">
        <v>2461</v>
      </c>
      <c r="AG4" s="2244"/>
      <c r="AH4" s="2244"/>
      <c r="AI4" s="2244"/>
      <c r="AJ4" s="2244"/>
      <c r="AK4" s="2244"/>
      <c r="AL4" s="2244"/>
      <c r="AM4" s="2244"/>
      <c r="AN4" s="2244"/>
      <c r="AO4" s="2244"/>
      <c r="AP4" s="2245"/>
      <c r="AQ4" s="2246"/>
      <c r="AR4" s="2246"/>
      <c r="AS4" s="2246"/>
      <c r="AT4" s="2246"/>
      <c r="AU4" s="2246"/>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44" t="s">
        <v>2462</v>
      </c>
      <c r="AG5" s="2244"/>
      <c r="AH5" s="2244"/>
      <c r="AI5" s="2244"/>
      <c r="AJ5" s="2244"/>
      <c r="AK5" s="2244"/>
      <c r="AL5" s="2244"/>
      <c r="AM5" s="2244"/>
      <c r="AN5" s="2244"/>
      <c r="AO5" s="2244"/>
      <c r="AP5" s="2245"/>
      <c r="AQ5" s="2246"/>
      <c r="AR5" s="2246"/>
      <c r="AS5" s="2246"/>
      <c r="AT5" s="2246"/>
      <c r="AU5" s="2246"/>
      <c r="AV5" s="1209"/>
      <c r="AW5" s="1209"/>
      <c r="AX5" s="1209"/>
      <c r="AY5" s="1209"/>
      <c r="AZ5" s="1209"/>
      <c r="BA5" s="1209"/>
      <c r="BB5" s="1209"/>
      <c r="BC5" s="1209"/>
      <c r="BD5" s="1209"/>
      <c r="BE5" s="1219"/>
    </row>
    <row r="6" spans="1:65" ht="15.75" customHeight="1" thickBot="1">
      <c r="A6" s="1215"/>
      <c r="B6" s="1217" t="s">
        <v>1790</v>
      </c>
      <c r="C6" s="1209"/>
      <c r="D6" s="1209"/>
      <c r="E6" s="1209"/>
      <c r="F6" s="1209"/>
      <c r="G6" s="1209"/>
      <c r="H6" s="1209"/>
      <c r="I6" s="1209"/>
      <c r="J6" s="1209"/>
      <c r="K6" s="1209"/>
      <c r="L6" s="2241" t="str">
        <f>IF(Application!H16="","",Application!H16)</f>
        <v>525 Capitol LP</v>
      </c>
      <c r="M6" s="2242"/>
      <c r="N6" s="2242"/>
      <c r="O6" s="2242"/>
      <c r="P6" s="2242"/>
      <c r="Q6" s="2242"/>
      <c r="R6" s="2242"/>
      <c r="S6" s="2242"/>
      <c r="T6" s="2242"/>
      <c r="U6" s="2242"/>
      <c r="V6" s="2242"/>
      <c r="W6" s="2242"/>
      <c r="X6" s="2242"/>
      <c r="Y6" s="2242"/>
      <c r="Z6" s="2242"/>
      <c r="AA6" s="2242"/>
      <c r="AB6" s="2242"/>
      <c r="AC6" s="2243"/>
      <c r="AD6" s="1209"/>
      <c r="AE6" s="1209"/>
      <c r="AF6" s="2247" t="s">
        <v>2463</v>
      </c>
      <c r="AG6" s="2247"/>
      <c r="AH6" s="2247"/>
      <c r="AI6" s="2247"/>
      <c r="AJ6" s="2247"/>
      <c r="AK6" s="2247"/>
      <c r="AL6" s="2247"/>
      <c r="AM6" s="2247"/>
      <c r="AN6" s="2247"/>
      <c r="AO6" s="2247"/>
      <c r="AP6" s="2234">
        <v>0</v>
      </c>
      <c r="AQ6" s="2234"/>
      <c r="AR6" s="2234"/>
      <c r="AS6" s="2234"/>
      <c r="AT6" s="2234"/>
      <c r="AU6" s="2234"/>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247" t="s">
        <v>2464</v>
      </c>
      <c r="AG7" s="2247"/>
      <c r="AH7" s="2247"/>
      <c r="AI7" s="2247"/>
      <c r="AJ7" s="2247"/>
      <c r="AK7" s="2247"/>
      <c r="AL7" s="2247"/>
      <c r="AM7" s="2247"/>
      <c r="AN7" s="2247"/>
      <c r="AO7" s="2247"/>
      <c r="AP7" s="2234">
        <v>0</v>
      </c>
      <c r="AQ7" s="2234"/>
      <c r="AR7" s="2234"/>
      <c r="AS7" s="2234"/>
      <c r="AT7" s="2234"/>
      <c r="AU7" s="2234"/>
      <c r="AV7" s="1209"/>
      <c r="AW7" s="1209"/>
      <c r="AX7" s="1209"/>
      <c r="AY7" s="1209"/>
      <c r="AZ7" s="1209"/>
      <c r="BA7" s="1209"/>
      <c r="BB7" s="1209"/>
      <c r="BC7" s="1209"/>
      <c r="BD7" s="1209"/>
      <c r="BE7" s="1219"/>
    </row>
    <row r="8" spans="1:65" thickBot="1">
      <c r="A8" s="1215"/>
      <c r="B8" s="1217" t="s">
        <v>1791</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248" t="str">
        <f>Application!T197</f>
        <v>No</v>
      </c>
      <c r="AC8" s="2249"/>
      <c r="AD8" s="2250"/>
      <c r="AE8" s="1209"/>
      <c r="AF8" s="2247" t="s">
        <v>2465</v>
      </c>
      <c r="AG8" s="2247"/>
      <c r="AH8" s="2247"/>
      <c r="AI8" s="2247"/>
      <c r="AJ8" s="2247"/>
      <c r="AK8" s="2247"/>
      <c r="AL8" s="2247"/>
      <c r="AM8" s="2247"/>
      <c r="AN8" s="2247"/>
      <c r="AO8" s="2247"/>
      <c r="AP8" s="2234" t="s">
        <v>2417</v>
      </c>
      <c r="AQ8" s="2234"/>
      <c r="AR8" s="2234"/>
      <c r="AS8" s="2234"/>
      <c r="AT8" s="2234"/>
      <c r="AU8" s="2234"/>
      <c r="AV8" s="1209"/>
      <c r="AW8" s="1209"/>
      <c r="AX8" s="1209"/>
      <c r="AY8" s="1209"/>
      <c r="AZ8" s="1209"/>
      <c r="BA8" s="1209"/>
      <c r="BB8" s="1209"/>
      <c r="BC8" s="1209"/>
      <c r="BD8" s="1209"/>
      <c r="BE8" s="1219"/>
      <c r="BM8" s="1200" t="s">
        <v>2293</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44" t="s">
        <v>2625</v>
      </c>
      <c r="AG9" s="2244"/>
      <c r="AH9" s="2244"/>
      <c r="AI9" s="2244"/>
      <c r="AJ9" s="2244"/>
      <c r="AK9" s="2244"/>
      <c r="AL9" s="2244"/>
      <c r="AM9" s="2244"/>
      <c r="AN9" s="2244"/>
      <c r="AO9" s="2244"/>
      <c r="AP9" s="2245"/>
      <c r="AQ9" s="2246"/>
      <c r="AR9" s="2246"/>
      <c r="AS9" s="2246"/>
      <c r="AT9" s="2246"/>
      <c r="AU9" s="2246"/>
      <c r="AV9" s="1209"/>
      <c r="AW9" s="1209"/>
      <c r="AX9" s="1209"/>
      <c r="AY9" s="1209"/>
      <c r="AZ9" s="1209"/>
      <c r="BA9" s="1209"/>
      <c r="BB9" s="1209"/>
      <c r="BC9" s="1209"/>
      <c r="BD9" s="1209"/>
      <c r="BE9" s="1219"/>
      <c r="BM9" s="1200" t="s">
        <v>2466</v>
      </c>
    </row>
    <row r="10" spans="1:65" ht="15">
      <c r="A10" s="1215"/>
      <c r="B10" s="1217" t="s">
        <v>1792</v>
      </c>
      <c r="C10" s="1217"/>
      <c r="D10" s="1217"/>
      <c r="E10" s="1217"/>
      <c r="F10" s="1217"/>
      <c r="G10" s="1217"/>
      <c r="H10" s="1217"/>
      <c r="I10" s="1217"/>
      <c r="J10" s="1217"/>
      <c r="K10" s="1217"/>
      <c r="L10" s="1217"/>
      <c r="M10" s="1209"/>
      <c r="N10" s="2259">
        <f>Application!AO627</f>
        <v>27580000</v>
      </c>
      <c r="O10" s="2259"/>
      <c r="P10" s="2259"/>
      <c r="Q10" s="2259"/>
      <c r="R10" s="2259"/>
      <c r="S10" s="2259"/>
      <c r="T10" s="2259"/>
      <c r="U10" s="1209"/>
      <c r="V10" s="1209"/>
      <c r="W10" s="1209"/>
      <c r="X10" s="1258"/>
      <c r="Y10" s="1258"/>
      <c r="Z10" s="1258"/>
      <c r="AA10" s="1258"/>
      <c r="AB10" s="1258"/>
      <c r="AC10" s="1258"/>
      <c r="AD10" s="1258"/>
      <c r="AE10" s="1258"/>
      <c r="AF10" s="2244" t="s">
        <v>2624</v>
      </c>
      <c r="AG10" s="2244"/>
      <c r="AH10" s="2244"/>
      <c r="AI10" s="2244"/>
      <c r="AJ10" s="2244"/>
      <c r="AK10" s="2244"/>
      <c r="AL10" s="2244"/>
      <c r="AM10" s="2244"/>
      <c r="AN10" s="2244"/>
      <c r="AO10" s="2244"/>
      <c r="AP10" s="2245"/>
      <c r="AQ10" s="2246"/>
      <c r="AR10" s="2246"/>
      <c r="AS10" s="2246"/>
      <c r="AT10" s="2246"/>
      <c r="AU10" s="2246"/>
      <c r="AV10" s="1258"/>
      <c r="AW10" s="1258"/>
      <c r="AX10" s="1209"/>
      <c r="AY10" s="1209"/>
      <c r="AZ10" s="1209"/>
      <c r="BA10" s="1209"/>
      <c r="BB10" s="1209"/>
      <c r="BC10" s="1209"/>
      <c r="BD10" s="1209"/>
      <c r="BE10" s="1219"/>
      <c r="BM10" s="1200" t="s">
        <v>2468</v>
      </c>
    </row>
    <row r="11" spans="1:65" ht="15">
      <c r="A11" s="1215"/>
      <c r="B11" s="1217" t="s">
        <v>1793</v>
      </c>
      <c r="C11" s="1217"/>
      <c r="D11" s="1217"/>
      <c r="E11" s="1217"/>
      <c r="F11" s="1217"/>
      <c r="G11" s="1217"/>
      <c r="H11" s="1217"/>
      <c r="I11" s="1217"/>
      <c r="J11" s="1217"/>
      <c r="K11" s="1217"/>
      <c r="L11" s="1217"/>
      <c r="M11" s="1209"/>
      <c r="N11" s="2259">
        <f>Application!AA933</f>
        <v>0</v>
      </c>
      <c r="O11" s="2259"/>
      <c r="P11" s="2259"/>
      <c r="Q11" s="2259"/>
      <c r="R11" s="2259"/>
      <c r="S11" s="2259"/>
      <c r="T11" s="2259"/>
      <c r="U11" s="1209"/>
      <c r="V11" s="1209"/>
      <c r="W11" s="1209"/>
      <c r="X11" s="1258"/>
      <c r="Y11" s="1258"/>
      <c r="Z11" s="1258"/>
      <c r="AA11" s="1258"/>
      <c r="AB11" s="1258"/>
      <c r="AC11" s="1258"/>
      <c r="AD11" s="1258"/>
      <c r="AE11" s="1258"/>
      <c r="AF11" s="2244" t="s">
        <v>2623</v>
      </c>
      <c r="AG11" s="2244"/>
      <c r="AH11" s="2244"/>
      <c r="AI11" s="2244"/>
      <c r="AJ11" s="2244"/>
      <c r="AK11" s="2244"/>
      <c r="AL11" s="2244"/>
      <c r="AM11" s="2244"/>
      <c r="AN11" s="2244"/>
      <c r="AO11" s="2244"/>
      <c r="AP11" s="2245"/>
      <c r="AQ11" s="2246"/>
      <c r="AR11" s="2246"/>
      <c r="AS11" s="2246"/>
      <c r="AT11" s="2246"/>
      <c r="AU11" s="2246"/>
      <c r="AV11" s="1258"/>
      <c r="AW11" s="1258"/>
      <c r="AX11" s="1209"/>
      <c r="AY11" s="1209"/>
      <c r="AZ11" s="1209"/>
      <c r="BA11" s="1209"/>
      <c r="BB11" s="1209"/>
      <c r="BC11" s="1209"/>
      <c r="BD11" s="1209"/>
      <c r="BE11" s="1219"/>
      <c r="BM11" s="1200" t="s">
        <v>2417</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2471</v>
      </c>
    </row>
    <row r="13" spans="1:65" thickBot="1">
      <c r="A13" s="1209"/>
      <c r="B13" s="2266" t="s">
        <v>1794</v>
      </c>
      <c r="C13" s="2267"/>
      <c r="D13" s="2267"/>
      <c r="E13" s="2267"/>
      <c r="F13" s="2267"/>
      <c r="G13" s="2267"/>
      <c r="H13" s="2267"/>
      <c r="I13" s="2267"/>
      <c r="J13" s="2267"/>
      <c r="K13" s="2267"/>
      <c r="L13" s="2267"/>
      <c r="M13" s="2267"/>
      <c r="N13" s="2267"/>
      <c r="O13" s="2267"/>
      <c r="P13" s="2268"/>
      <c r="Q13" s="2269" t="s">
        <v>677</v>
      </c>
      <c r="R13" s="2270"/>
      <c r="S13" s="2270"/>
      <c r="T13" s="2271"/>
      <c r="U13" s="1258"/>
      <c r="V13" s="1209"/>
      <c r="W13" s="1209"/>
      <c r="X13" s="1209"/>
      <c r="Y13" s="1209"/>
      <c r="Z13" s="1209"/>
      <c r="AA13" s="2260" t="s">
        <v>2467</v>
      </c>
      <c r="AB13" s="2260"/>
      <c r="AC13" s="2260"/>
      <c r="AD13" s="2260"/>
      <c r="AE13" s="2260"/>
      <c r="AF13" s="2260"/>
      <c r="AG13" s="2260"/>
      <c r="AH13" s="2260"/>
      <c r="AI13" s="2260"/>
      <c r="AJ13" s="2260"/>
      <c r="AK13" s="2260"/>
      <c r="AL13" s="2260"/>
      <c r="AM13" s="2260"/>
      <c r="AN13" s="2260"/>
      <c r="AO13" s="2261">
        <f>Application!W473</f>
        <v>0</v>
      </c>
      <c r="AP13" s="2262"/>
      <c r="AQ13" s="2262"/>
      <c r="AR13" s="2262"/>
      <c r="AS13" s="2262"/>
      <c r="AT13" s="1258"/>
      <c r="AU13" s="1258"/>
      <c r="AV13" s="1258"/>
      <c r="AW13" s="1258"/>
      <c r="AX13" s="1258"/>
      <c r="AY13" s="1258"/>
      <c r="AZ13" s="1258"/>
      <c r="BA13" s="1258"/>
      <c r="BB13" s="1258"/>
      <c r="BC13" s="1258"/>
      <c r="BD13" s="1258"/>
      <c r="BE13" s="1205"/>
      <c r="BM13" s="1200" t="s">
        <v>2472</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263" t="s">
        <v>2469</v>
      </c>
      <c r="AB14" s="2263"/>
      <c r="AC14" s="2263"/>
      <c r="AD14" s="2263"/>
      <c r="AE14" s="2263"/>
      <c r="AF14" s="2263"/>
      <c r="AG14" s="2263"/>
      <c r="AH14" s="2263"/>
      <c r="AI14" s="2263"/>
      <c r="AJ14" s="2263"/>
      <c r="AK14" s="2263"/>
      <c r="AL14" s="2263"/>
      <c r="AM14" s="2263"/>
      <c r="AN14" s="2263"/>
      <c r="AO14" s="2264"/>
      <c r="AP14" s="2265"/>
      <c r="AQ14" s="2265"/>
      <c r="AR14" s="2265"/>
      <c r="AS14" s="2265"/>
      <c r="AT14" s="1258"/>
      <c r="AU14" s="1258"/>
      <c r="AV14" s="1258"/>
      <c r="AW14" s="1258"/>
      <c r="AX14" s="1258"/>
      <c r="AY14" s="1258"/>
      <c r="AZ14" s="1258"/>
      <c r="BA14" s="1258"/>
      <c r="BB14" s="1258"/>
      <c r="BC14" s="1258"/>
      <c r="BD14" s="1258"/>
      <c r="BE14" s="1205"/>
    </row>
    <row r="15" spans="1:65" thickBot="1">
      <c r="A15" s="1209"/>
      <c r="B15" s="2272" t="s">
        <v>1795</v>
      </c>
      <c r="C15" s="2273"/>
      <c r="D15" s="2273"/>
      <c r="E15" s="2273"/>
      <c r="F15" s="2273"/>
      <c r="G15" s="2273"/>
      <c r="H15" s="2273"/>
      <c r="I15" s="2273"/>
      <c r="J15" s="2273"/>
      <c r="K15" s="2273"/>
      <c r="L15" s="2273"/>
      <c r="M15" s="2273"/>
      <c r="N15" s="2273"/>
      <c r="O15" s="2273"/>
      <c r="P15" s="2273"/>
      <c r="Q15" s="2273"/>
      <c r="R15" s="2274"/>
      <c r="S15" s="2275" t="str">
        <f>IF(Application!AB214="","",Application!AB214)</f>
        <v/>
      </c>
      <c r="T15" s="2275"/>
      <c r="U15" s="2275"/>
      <c r="V15" s="2275"/>
      <c r="W15" s="2276"/>
      <c r="X15" s="1258"/>
      <c r="Y15" s="1209"/>
      <c r="Z15" s="1209"/>
      <c r="AA15" s="2260" t="s">
        <v>2470</v>
      </c>
      <c r="AB15" s="2260"/>
      <c r="AC15" s="2260"/>
      <c r="AD15" s="2260"/>
      <c r="AE15" s="2260"/>
      <c r="AF15" s="2260"/>
      <c r="AG15" s="2260"/>
      <c r="AH15" s="2260"/>
      <c r="AI15" s="2260"/>
      <c r="AJ15" s="2260"/>
      <c r="AK15" s="2260"/>
      <c r="AL15" s="2260"/>
      <c r="AM15" s="2260"/>
      <c r="AN15" s="2260"/>
      <c r="AO15" s="2264"/>
      <c r="AP15" s="2265"/>
      <c r="AQ15" s="2265"/>
      <c r="AR15" s="2265"/>
      <c r="AS15" s="2265"/>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277" t="s">
        <v>1796</v>
      </c>
      <c r="C17" s="2278"/>
      <c r="D17" s="2278"/>
      <c r="E17" s="2278"/>
      <c r="F17" s="2278"/>
      <c r="G17" s="2278"/>
      <c r="H17" s="2278"/>
      <c r="I17" s="2278"/>
      <c r="J17" s="2278"/>
      <c r="K17" s="2278"/>
      <c r="L17" s="2278"/>
      <c r="M17" s="2278"/>
      <c r="N17" s="2278"/>
      <c r="O17" s="2278"/>
      <c r="P17" s="2278"/>
      <c r="Q17" s="2278"/>
      <c r="R17" s="2278"/>
      <c r="S17" s="2278"/>
      <c r="T17" s="2278"/>
      <c r="U17" s="2278"/>
      <c r="V17" s="2278"/>
      <c r="W17" s="2278"/>
      <c r="X17" s="2278"/>
      <c r="Y17" s="2278"/>
      <c r="Z17" s="2278"/>
      <c r="AA17" s="2278"/>
      <c r="AB17" s="2278"/>
      <c r="AC17" s="2278"/>
      <c r="AD17" s="2278"/>
      <c r="AE17" s="2278"/>
      <c r="AF17" s="2278"/>
      <c r="AG17" s="2278"/>
      <c r="AH17" s="2278"/>
      <c r="AI17" s="2278"/>
      <c r="AJ17" s="2278"/>
      <c r="AK17" s="2278"/>
      <c r="AL17" s="2278"/>
      <c r="AM17" s="2278"/>
      <c r="AN17" s="2278"/>
      <c r="AO17" s="2278"/>
      <c r="AP17" s="2278"/>
      <c r="AQ17" s="2278"/>
      <c r="AR17" s="2278"/>
      <c r="AS17" s="2278"/>
      <c r="AT17" s="2278"/>
      <c r="AU17" s="2278"/>
      <c r="AV17" s="2278"/>
      <c r="AW17" s="2278"/>
      <c r="AX17" s="2278"/>
      <c r="AY17" s="2279"/>
      <c r="AZ17" s="1209"/>
      <c r="BA17" s="1209"/>
      <c r="BB17" s="1209"/>
      <c r="BC17" s="1209"/>
      <c r="BD17" s="1209"/>
      <c r="BE17" s="1205"/>
      <c r="BF17" s="1201"/>
    </row>
    <row r="18" spans="1:58" ht="15.75" customHeight="1">
      <c r="A18" s="1209"/>
      <c r="B18" s="2280" t="s">
        <v>1797</v>
      </c>
      <c r="C18" s="2281"/>
      <c r="D18" s="2281"/>
      <c r="E18" s="2281"/>
      <c r="F18" s="2281"/>
      <c r="G18" s="2281"/>
      <c r="H18" s="2281"/>
      <c r="I18" s="2282"/>
      <c r="J18" s="2283" t="s">
        <v>1698</v>
      </c>
      <c r="K18" s="2284"/>
      <c r="L18" s="2284"/>
      <c r="M18" s="2284"/>
      <c r="N18" s="2284"/>
      <c r="O18" s="2285"/>
      <c r="P18" s="2283" t="s">
        <v>325</v>
      </c>
      <c r="Q18" s="2284"/>
      <c r="R18" s="2284"/>
      <c r="S18" s="2284"/>
      <c r="T18" s="2284"/>
      <c r="U18" s="2285"/>
      <c r="V18" s="2283" t="s">
        <v>326</v>
      </c>
      <c r="W18" s="2284"/>
      <c r="X18" s="2284"/>
      <c r="Y18" s="2284"/>
      <c r="Z18" s="2284"/>
      <c r="AA18" s="2285"/>
      <c r="AB18" s="2283" t="s">
        <v>163</v>
      </c>
      <c r="AC18" s="2284"/>
      <c r="AD18" s="2284"/>
      <c r="AE18" s="2284"/>
      <c r="AF18" s="2284"/>
      <c r="AG18" s="2285"/>
      <c r="AH18" s="2283" t="s">
        <v>164</v>
      </c>
      <c r="AI18" s="2284"/>
      <c r="AJ18" s="2284"/>
      <c r="AK18" s="2284"/>
      <c r="AL18" s="2284"/>
      <c r="AM18" s="2285"/>
      <c r="AN18" s="2283" t="s">
        <v>165</v>
      </c>
      <c r="AO18" s="2284"/>
      <c r="AP18" s="2284"/>
      <c r="AQ18" s="2284"/>
      <c r="AR18" s="2284"/>
      <c r="AS18" s="2285"/>
      <c r="AT18" s="2283" t="s">
        <v>1798</v>
      </c>
      <c r="AU18" s="2284"/>
      <c r="AV18" s="2284"/>
      <c r="AW18" s="2284"/>
      <c r="AX18" s="2284"/>
      <c r="AY18" s="2286"/>
      <c r="AZ18" s="1209"/>
      <c r="BA18" s="1209"/>
      <c r="BB18" s="1209"/>
      <c r="BC18" s="1209"/>
      <c r="BD18" s="1209"/>
      <c r="BE18" s="1205"/>
    </row>
    <row r="19" spans="1:58" ht="15">
      <c r="A19" s="1209"/>
      <c r="B19" s="2287">
        <v>0.3</v>
      </c>
      <c r="C19" s="2288"/>
      <c r="D19" s="2288"/>
      <c r="E19" s="2288"/>
      <c r="F19" s="2288"/>
      <c r="G19" s="2288"/>
      <c r="H19" s="2288"/>
      <c r="I19" s="2289"/>
      <c r="J19" s="2290">
        <f t="shared" ref="J19:J28" si="0">SUM(P19:AS19)</f>
        <v>71</v>
      </c>
      <c r="K19" s="2291"/>
      <c r="L19" s="2291"/>
      <c r="M19" s="2291"/>
      <c r="N19" s="2291"/>
      <c r="O19" s="2292"/>
      <c r="P19" s="2290" cm="1">
        <f t="array" ref="P19">SUMPRODUCT((Application!$B$718:$B$752 = 'CalHFA Addendum'!P$18)*(Application!$AC$718:$AC$752 = 'CalHFA Addendum'!$B19),Application!$G$718:$G$752)</f>
        <v>31</v>
      </c>
      <c r="Q19" s="2291"/>
      <c r="R19" s="2291"/>
      <c r="S19" s="2291"/>
      <c r="T19" s="2291"/>
      <c r="U19" s="2292"/>
      <c r="V19" s="2290" cm="1">
        <f t="array" ref="V19">SUMPRODUCT((Application!$B$714:$B$738 = 'CalHFA Addendum'!V$18)*(Application!$AC$714:$AC$738 = 'CalHFA Addendum'!$B19),Application!$G$714:$G$738)</f>
        <v>11</v>
      </c>
      <c r="W19" s="2291"/>
      <c r="X19" s="2291"/>
      <c r="Y19" s="2291"/>
      <c r="Z19" s="2291"/>
      <c r="AA19" s="2292"/>
      <c r="AB19" s="2290" cm="1">
        <f t="array" ref="AB19">SUMPRODUCT((Application!$B$714:$B$738 = 'CalHFA Addendum'!AB$18)*(Application!$AC$714:$AC$738 = 'CalHFA Addendum'!$B19),Application!$G$714:$G$738)</f>
        <v>21</v>
      </c>
      <c r="AC19" s="2291"/>
      <c r="AD19" s="2291"/>
      <c r="AE19" s="2291"/>
      <c r="AF19" s="2291"/>
      <c r="AG19" s="2292"/>
      <c r="AH19" s="2290" cm="1">
        <f t="array" ref="AH19">SUMPRODUCT((Application!$B$714:$B$738 = 'CalHFA Addendum'!AH$18)*(Application!$AC$714:$AC$738 = 'CalHFA Addendum'!$B19),Application!$G$714:$G$738)</f>
        <v>8</v>
      </c>
      <c r="AI19" s="2291"/>
      <c r="AJ19" s="2291"/>
      <c r="AK19" s="2291"/>
      <c r="AL19" s="2291"/>
      <c r="AM19" s="2292"/>
      <c r="AN19" s="2290" cm="1">
        <f t="array" ref="AN19">SUMPRODUCT((Application!$B$714:$B$738 = 'CalHFA Addendum'!AN$18)*(Application!$AC$714:$AC$738 = 'CalHFA Addendum'!$B19),Application!$G$714:$G$738)</f>
        <v>0</v>
      </c>
      <c r="AO19" s="2291"/>
      <c r="AP19" s="2291"/>
      <c r="AQ19" s="2291"/>
      <c r="AR19" s="2291"/>
      <c r="AS19" s="2292"/>
      <c r="AT19" s="2293">
        <f t="shared" ref="AT19:AT29" si="1">J19/$J$29</f>
        <v>0.44936708860759494</v>
      </c>
      <c r="AU19" s="2294"/>
      <c r="AV19" s="2294"/>
      <c r="AW19" s="2294"/>
      <c r="AX19" s="2294"/>
      <c r="AY19" s="2295"/>
      <c r="AZ19" s="1220"/>
      <c r="BA19" s="1209"/>
      <c r="BB19" s="1209"/>
      <c r="BC19" s="1209"/>
      <c r="BD19" s="1209"/>
      <c r="BE19" s="1205"/>
    </row>
    <row r="20" spans="1:58" ht="15" customHeight="1">
      <c r="A20" s="1209"/>
      <c r="B20" s="2287">
        <v>0.4</v>
      </c>
      <c r="C20" s="2288"/>
      <c r="D20" s="2288"/>
      <c r="E20" s="2288"/>
      <c r="F20" s="2288"/>
      <c r="G20" s="2288"/>
      <c r="H20" s="2288"/>
      <c r="I20" s="2289"/>
      <c r="J20" s="2290">
        <f t="shared" si="0"/>
        <v>0</v>
      </c>
      <c r="K20" s="2291"/>
      <c r="L20" s="2291"/>
      <c r="M20" s="2291"/>
      <c r="N20" s="2291"/>
      <c r="O20" s="2292"/>
      <c r="P20" s="2290" cm="1">
        <f t="array" ref="P20">SUMPRODUCT((Application!$B$718:$B$752 = 'CalHFA Addendum'!P$18)*(Application!$AC$718:$AC$752 = 'CalHFA Addendum'!$B20),Application!$G$718:$G$752)</f>
        <v>0</v>
      </c>
      <c r="Q20" s="2291"/>
      <c r="R20" s="2291"/>
      <c r="S20" s="2291"/>
      <c r="T20" s="2291"/>
      <c r="U20" s="2292"/>
      <c r="V20" s="2290" cm="1">
        <f t="array" ref="V20">SUMPRODUCT((Application!$B$714:$B$738 = 'CalHFA Addendum'!V$18)*(Application!$AC$714:$AC$738 = 'CalHFA Addendum'!$B20),Application!$G$714:$G$738)</f>
        <v>0</v>
      </c>
      <c r="W20" s="2291"/>
      <c r="X20" s="2291"/>
      <c r="Y20" s="2291"/>
      <c r="Z20" s="2291"/>
      <c r="AA20" s="2292"/>
      <c r="AB20" s="2290" cm="1">
        <f t="array" ref="AB20">SUMPRODUCT((Application!$B$714:$B$738 = 'CalHFA Addendum'!AB$18)*(Application!$AC$714:$AC$738 = 'CalHFA Addendum'!$B20),Application!$G$714:$G$738)</f>
        <v>0</v>
      </c>
      <c r="AC20" s="2291"/>
      <c r="AD20" s="2291"/>
      <c r="AE20" s="2291"/>
      <c r="AF20" s="2291"/>
      <c r="AG20" s="2292"/>
      <c r="AH20" s="2290" cm="1">
        <f t="array" ref="AH20">SUMPRODUCT((Application!$B$714:$B$738 = 'CalHFA Addendum'!AH$18)*(Application!$AC$714:$AC$738 = 'CalHFA Addendum'!$B20),Application!$G$714:$G$738)</f>
        <v>0</v>
      </c>
      <c r="AI20" s="2291"/>
      <c r="AJ20" s="2291"/>
      <c r="AK20" s="2291"/>
      <c r="AL20" s="2291"/>
      <c r="AM20" s="2292"/>
      <c r="AN20" s="2290" cm="1">
        <f t="array" ref="AN20">SUMPRODUCT((Application!$B$714:$B$738 = 'CalHFA Addendum'!AN$18)*(Application!$AC$714:$AC$738 = 'CalHFA Addendum'!$B20),Application!$G$714:$G$738)</f>
        <v>0</v>
      </c>
      <c r="AO20" s="2291"/>
      <c r="AP20" s="2291"/>
      <c r="AQ20" s="2291"/>
      <c r="AR20" s="2291"/>
      <c r="AS20" s="2292"/>
      <c r="AT20" s="2293">
        <f t="shared" si="1"/>
        <v>0</v>
      </c>
      <c r="AU20" s="2294"/>
      <c r="AV20" s="2294"/>
      <c r="AW20" s="2294"/>
      <c r="AX20" s="2294"/>
      <c r="AY20" s="2295"/>
      <c r="AZ20" s="1209"/>
      <c r="BA20" s="1209"/>
      <c r="BB20" s="1209"/>
      <c r="BC20" s="1209"/>
      <c r="BD20" s="1209"/>
      <c r="BE20" s="1205"/>
    </row>
    <row r="21" spans="1:58" ht="15">
      <c r="A21" s="1209"/>
      <c r="B21" s="2287">
        <v>0.5</v>
      </c>
      <c r="C21" s="2288"/>
      <c r="D21" s="2288"/>
      <c r="E21" s="2288"/>
      <c r="F21" s="2288"/>
      <c r="G21" s="2288"/>
      <c r="H21" s="2288"/>
      <c r="I21" s="2289"/>
      <c r="J21" s="2290">
        <f t="shared" si="0"/>
        <v>25</v>
      </c>
      <c r="K21" s="2291"/>
      <c r="L21" s="2291"/>
      <c r="M21" s="2291"/>
      <c r="N21" s="2291"/>
      <c r="O21" s="2292"/>
      <c r="P21" s="2290" cm="1">
        <f t="array" ref="P21">SUMPRODUCT((Application!$B$714:$B$738 = 'CalHFA Addendum'!P$18)*(Application!$AC$714:$AC$738 = 'CalHFA Addendum'!$B21),Application!$G$714:$G$738)</f>
        <v>0</v>
      </c>
      <c r="Q21" s="2291"/>
      <c r="R21" s="2291"/>
      <c r="S21" s="2291"/>
      <c r="T21" s="2291"/>
      <c r="U21" s="2292"/>
      <c r="V21" s="2290" cm="1">
        <f t="array" ref="V21">SUMPRODUCT((Application!$B$714:$B$738 = 'CalHFA Addendum'!V$18)*(Application!$AC$714:$AC$738 = 'CalHFA Addendum'!$B21),Application!$G$714:$G$738)</f>
        <v>25</v>
      </c>
      <c r="W21" s="2291"/>
      <c r="X21" s="2291"/>
      <c r="Y21" s="2291"/>
      <c r="Z21" s="2291"/>
      <c r="AA21" s="2292"/>
      <c r="AB21" s="2290" cm="1">
        <f t="array" ref="AB21">SUMPRODUCT((Application!$B$714:$B$738 = 'CalHFA Addendum'!AB$18)*(Application!$AC$714:$AC$738 = 'CalHFA Addendum'!$B21),Application!$G$714:$G$738)</f>
        <v>0</v>
      </c>
      <c r="AC21" s="2291"/>
      <c r="AD21" s="2291"/>
      <c r="AE21" s="2291"/>
      <c r="AF21" s="2291"/>
      <c r="AG21" s="2292"/>
      <c r="AH21" s="2290" cm="1">
        <f t="array" ref="AH21">SUMPRODUCT((Application!$B$714:$B$738 = 'CalHFA Addendum'!AH$18)*(Application!$AC$714:$AC$738 = 'CalHFA Addendum'!$B21),Application!$G$714:$G$738)</f>
        <v>0</v>
      </c>
      <c r="AI21" s="2291"/>
      <c r="AJ21" s="2291"/>
      <c r="AK21" s="2291"/>
      <c r="AL21" s="2291"/>
      <c r="AM21" s="2292"/>
      <c r="AN21" s="2290" cm="1">
        <f t="array" ref="AN21">SUMPRODUCT((Application!$B$714:$B$738 = 'CalHFA Addendum'!AN$18)*(Application!$AC$714:$AC$738 = 'CalHFA Addendum'!$B21),Application!$G$714:$G$738)</f>
        <v>0</v>
      </c>
      <c r="AO21" s="2291"/>
      <c r="AP21" s="2291"/>
      <c r="AQ21" s="2291"/>
      <c r="AR21" s="2291"/>
      <c r="AS21" s="2292"/>
      <c r="AT21" s="2293">
        <f t="shared" si="1"/>
        <v>0.15822784810126583</v>
      </c>
      <c r="AU21" s="2294"/>
      <c r="AV21" s="2294"/>
      <c r="AW21" s="2294"/>
      <c r="AX21" s="2294"/>
      <c r="AY21" s="2295"/>
      <c r="AZ21" s="1209"/>
      <c r="BA21" s="1209"/>
      <c r="BB21" s="1209"/>
      <c r="BC21" s="1209"/>
      <c r="BD21" s="1209"/>
      <c r="BE21" s="1205"/>
    </row>
    <row r="22" spans="1:58" ht="15">
      <c r="A22" s="1209"/>
      <c r="B22" s="2287">
        <v>0.6</v>
      </c>
      <c r="C22" s="2288"/>
      <c r="D22" s="2288"/>
      <c r="E22" s="2288"/>
      <c r="F22" s="2288"/>
      <c r="G22" s="2288"/>
      <c r="H22" s="2288"/>
      <c r="I22" s="2289"/>
      <c r="J22" s="2290">
        <f t="shared" si="0"/>
        <v>62</v>
      </c>
      <c r="K22" s="2291"/>
      <c r="L22" s="2291"/>
      <c r="M22" s="2291"/>
      <c r="N22" s="2291"/>
      <c r="O22" s="2292"/>
      <c r="P22" s="2290" cm="1">
        <f t="array" ref="P22">SUMPRODUCT((Application!$B$714:$B$738 = 'CalHFA Addendum'!P$18)*(Application!$AC$714:$AC$738 = 'CalHFA Addendum'!$B22),Application!$G$714:$G$738)</f>
        <v>29</v>
      </c>
      <c r="Q22" s="2291"/>
      <c r="R22" s="2291"/>
      <c r="S22" s="2291"/>
      <c r="T22" s="2291"/>
      <c r="U22" s="2292"/>
      <c r="V22" s="2290" cm="1">
        <f t="array" ref="V22">SUMPRODUCT((Application!$B$714:$B$738 = 'CalHFA Addendum'!V$18)*(Application!$AC$714:$AC$738 = 'CalHFA Addendum'!$B22),Application!$G$714:$G$738)</f>
        <v>28</v>
      </c>
      <c r="W22" s="2291"/>
      <c r="X22" s="2291"/>
      <c r="Y22" s="2291"/>
      <c r="Z22" s="2291"/>
      <c r="AA22" s="2292"/>
      <c r="AB22" s="2290" cm="1">
        <f t="array" ref="AB22">SUMPRODUCT((Application!$B$714:$B$738 = 'CalHFA Addendum'!AB$18)*(Application!$AC$714:$AC$738 = 'CalHFA Addendum'!$B22),Application!$G$714:$G$738)</f>
        <v>5</v>
      </c>
      <c r="AC22" s="2291"/>
      <c r="AD22" s="2291"/>
      <c r="AE22" s="2291"/>
      <c r="AF22" s="2291"/>
      <c r="AG22" s="2292"/>
      <c r="AH22" s="2290" cm="1">
        <f t="array" ref="AH22">SUMPRODUCT((Application!$B$714:$B$738 = 'CalHFA Addendum'!AH$18)*(Application!$AC$714:$AC$738 = 'CalHFA Addendum'!$B22),Application!$G$714:$G$738)</f>
        <v>0</v>
      </c>
      <c r="AI22" s="2291"/>
      <c r="AJ22" s="2291"/>
      <c r="AK22" s="2291"/>
      <c r="AL22" s="2291"/>
      <c r="AM22" s="2292"/>
      <c r="AN22" s="2290" cm="1">
        <f t="array" ref="AN22">SUMPRODUCT((Application!$B$714:$B$738 = 'CalHFA Addendum'!AN$18)*(Application!$AC$714:$AC$738 = 'CalHFA Addendum'!$B22),Application!$G$714:$G$738)</f>
        <v>0</v>
      </c>
      <c r="AO22" s="2291"/>
      <c r="AP22" s="2291"/>
      <c r="AQ22" s="2291"/>
      <c r="AR22" s="2291"/>
      <c r="AS22" s="2292"/>
      <c r="AT22" s="2293">
        <f t="shared" si="1"/>
        <v>0.39240506329113922</v>
      </c>
      <c r="AU22" s="2294"/>
      <c r="AV22" s="2294"/>
      <c r="AW22" s="2294"/>
      <c r="AX22" s="2294"/>
      <c r="AY22" s="2295"/>
      <c r="AZ22" s="1209"/>
      <c r="BA22" s="1209"/>
      <c r="BB22" s="1209"/>
      <c r="BC22" s="1209"/>
      <c r="BD22" s="1209"/>
      <c r="BE22" s="1205"/>
    </row>
    <row r="23" spans="1:58" ht="15">
      <c r="A23" s="1209"/>
      <c r="B23" s="2287">
        <v>0.7</v>
      </c>
      <c r="C23" s="2288"/>
      <c r="D23" s="2288"/>
      <c r="E23" s="2288"/>
      <c r="F23" s="2288"/>
      <c r="G23" s="2288"/>
      <c r="H23" s="2288"/>
      <c r="I23" s="2289"/>
      <c r="J23" s="2290">
        <f t="shared" si="0"/>
        <v>0</v>
      </c>
      <c r="K23" s="2291"/>
      <c r="L23" s="2291"/>
      <c r="M23" s="2291"/>
      <c r="N23" s="2291"/>
      <c r="O23" s="2292"/>
      <c r="P23" s="2290" cm="1">
        <f t="array" ref="P23">SUMPRODUCT((Application!$B$714:$B$738 = 'CalHFA Addendum'!P$18)*(Application!$AC$714:$AC$738 = 'CalHFA Addendum'!$B23),Application!$G$714:$G$738)</f>
        <v>0</v>
      </c>
      <c r="Q23" s="2291"/>
      <c r="R23" s="2291"/>
      <c r="S23" s="2291"/>
      <c r="T23" s="2291"/>
      <c r="U23" s="2292"/>
      <c r="V23" s="2290" cm="1">
        <f t="array" ref="V23">SUMPRODUCT((Application!$B$714:$B$738 = 'CalHFA Addendum'!V$18)*(Application!$AC$714:$AC$738 = 'CalHFA Addendum'!$B23),Application!$G$714:$G$738)</f>
        <v>0</v>
      </c>
      <c r="W23" s="2291"/>
      <c r="X23" s="2291"/>
      <c r="Y23" s="2291"/>
      <c r="Z23" s="2291"/>
      <c r="AA23" s="2292"/>
      <c r="AB23" s="2290" cm="1">
        <f t="array" ref="AB23">SUMPRODUCT((Application!$B$714:$B$738 = 'CalHFA Addendum'!AB$18)*(Application!$AC$714:$AC$738 = 'CalHFA Addendum'!$B23),Application!$G$714:$G$738)</f>
        <v>0</v>
      </c>
      <c r="AC23" s="2291"/>
      <c r="AD23" s="2291"/>
      <c r="AE23" s="2291"/>
      <c r="AF23" s="2291"/>
      <c r="AG23" s="2292"/>
      <c r="AH23" s="2290" cm="1">
        <f t="array" ref="AH23">SUMPRODUCT((Application!$B$714:$B$738 = 'CalHFA Addendum'!AH$18)*(Application!$AC$714:$AC$738 = 'CalHFA Addendum'!$B23),Application!$G$714:$G$738)</f>
        <v>0</v>
      </c>
      <c r="AI23" s="2291"/>
      <c r="AJ23" s="2291"/>
      <c r="AK23" s="2291"/>
      <c r="AL23" s="2291"/>
      <c r="AM23" s="2292"/>
      <c r="AN23" s="2290" cm="1">
        <f t="array" ref="AN23">SUMPRODUCT((Application!$B$714:$B$738 = 'CalHFA Addendum'!AN$18)*(Application!$AC$714:$AC$738 = 'CalHFA Addendum'!$B23),Application!$G$714:$G$738)</f>
        <v>0</v>
      </c>
      <c r="AO23" s="2291"/>
      <c r="AP23" s="2291"/>
      <c r="AQ23" s="2291"/>
      <c r="AR23" s="2291"/>
      <c r="AS23" s="2292"/>
      <c r="AT23" s="2293">
        <f t="shared" si="1"/>
        <v>0</v>
      </c>
      <c r="AU23" s="2294"/>
      <c r="AV23" s="2294"/>
      <c r="AW23" s="2294"/>
      <c r="AX23" s="2294"/>
      <c r="AY23" s="2295"/>
      <c r="AZ23" s="1209"/>
      <c r="BA23" s="1209"/>
      <c r="BB23" s="1209"/>
      <c r="BC23" s="1209"/>
      <c r="BD23" s="1209"/>
      <c r="BE23" s="1205"/>
    </row>
    <row r="24" spans="1:58" ht="15">
      <c r="A24" s="1209"/>
      <c r="B24" s="2287">
        <v>0.8</v>
      </c>
      <c r="C24" s="2288"/>
      <c r="D24" s="2288"/>
      <c r="E24" s="2288"/>
      <c r="F24" s="2288"/>
      <c r="G24" s="2288"/>
      <c r="H24" s="2288"/>
      <c r="I24" s="2289"/>
      <c r="J24" s="2290">
        <f t="shared" si="0"/>
        <v>0</v>
      </c>
      <c r="K24" s="2291"/>
      <c r="L24" s="2291"/>
      <c r="M24" s="2291"/>
      <c r="N24" s="2291"/>
      <c r="O24" s="2292"/>
      <c r="P24" s="2290" cm="1">
        <f t="array" ref="P24">SUMPRODUCT((Application!$B$714:$B$738 = 'CalHFA Addendum'!P$18)*(Application!$AC$714:$AC$738 = 'CalHFA Addendum'!$B24),Application!$G$714:$G$738)</f>
        <v>0</v>
      </c>
      <c r="Q24" s="2291"/>
      <c r="R24" s="2291"/>
      <c r="S24" s="2291"/>
      <c r="T24" s="2291"/>
      <c r="U24" s="2292"/>
      <c r="V24" s="2290" cm="1">
        <f t="array" ref="V24">SUMPRODUCT((Application!$B$714:$B$738 = 'CalHFA Addendum'!V$18)*(Application!$AC$714:$AC$738 = 'CalHFA Addendum'!$B24),Application!$G$714:$G$738)</f>
        <v>0</v>
      </c>
      <c r="W24" s="2291"/>
      <c r="X24" s="2291"/>
      <c r="Y24" s="2291"/>
      <c r="Z24" s="2291"/>
      <c r="AA24" s="2292"/>
      <c r="AB24" s="2290" cm="1">
        <f t="array" ref="AB24">SUMPRODUCT((Application!$B$714:$B$738 = 'CalHFA Addendum'!AB$18)*(Application!$AC$714:$AC$738 = 'CalHFA Addendum'!$B24),Application!$G$714:$G$738)</f>
        <v>0</v>
      </c>
      <c r="AC24" s="2291"/>
      <c r="AD24" s="2291"/>
      <c r="AE24" s="2291"/>
      <c r="AF24" s="2291"/>
      <c r="AG24" s="2292"/>
      <c r="AH24" s="2290" cm="1">
        <f t="array" ref="AH24">SUMPRODUCT((Application!$B$714:$B$738 = 'CalHFA Addendum'!AH$18)*(Application!$AC$714:$AC$738 = 'CalHFA Addendum'!$B24),Application!$G$714:$G$738)</f>
        <v>0</v>
      </c>
      <c r="AI24" s="2291"/>
      <c r="AJ24" s="2291"/>
      <c r="AK24" s="2291"/>
      <c r="AL24" s="2291"/>
      <c r="AM24" s="2292"/>
      <c r="AN24" s="2290" cm="1">
        <f t="array" ref="AN24">SUMPRODUCT((Application!$B$714:$B$738 = 'CalHFA Addendum'!AN$18)*(Application!$AC$714:$AC$738 = 'CalHFA Addendum'!$B24),Application!$G$714:$G$738)</f>
        <v>0</v>
      </c>
      <c r="AO24" s="2291"/>
      <c r="AP24" s="2291"/>
      <c r="AQ24" s="2291"/>
      <c r="AR24" s="2291"/>
      <c r="AS24" s="2292"/>
      <c r="AT24" s="2293">
        <f t="shared" si="1"/>
        <v>0</v>
      </c>
      <c r="AU24" s="2294"/>
      <c r="AV24" s="2294"/>
      <c r="AW24" s="2294"/>
      <c r="AX24" s="2294"/>
      <c r="AY24" s="2295"/>
      <c r="AZ24" s="1209"/>
      <c r="BA24" s="1209"/>
      <c r="BB24" s="1209"/>
      <c r="BC24" s="1209"/>
      <c r="BD24" s="1209"/>
      <c r="BE24" s="1205"/>
    </row>
    <row r="25" spans="1:58" ht="15">
      <c r="A25" s="1209"/>
      <c r="B25" s="2287">
        <v>0.9</v>
      </c>
      <c r="C25" s="2288"/>
      <c r="D25" s="2288"/>
      <c r="E25" s="2288"/>
      <c r="F25" s="2288"/>
      <c r="G25" s="2288"/>
      <c r="H25" s="2288"/>
      <c r="I25" s="2289"/>
      <c r="J25" s="2290">
        <f t="shared" si="0"/>
        <v>0</v>
      </c>
      <c r="K25" s="2291"/>
      <c r="L25" s="2291"/>
      <c r="M25" s="2291"/>
      <c r="N25" s="2291"/>
      <c r="O25" s="2292"/>
      <c r="P25" s="2290" cm="1">
        <f t="array" ref="P25">SUMPRODUCT((Application!$B$714:$B$738 = 'CalHFA Addendum'!P$18)*(Application!$AC$714:$AC$738 = 'CalHFA Addendum'!$B25),Application!$G$714:$G$738)</f>
        <v>0</v>
      </c>
      <c r="Q25" s="2291"/>
      <c r="R25" s="2291"/>
      <c r="S25" s="2291"/>
      <c r="T25" s="2291"/>
      <c r="U25" s="2292"/>
      <c r="V25" s="2290" cm="1">
        <f t="array" ref="V25">SUMPRODUCT((Application!$B$714:$B$738 = 'CalHFA Addendum'!V$18)*(Application!$AC$714:$AC$738 = 'CalHFA Addendum'!$B25),Application!$G$714:$G$738)</f>
        <v>0</v>
      </c>
      <c r="W25" s="2291"/>
      <c r="X25" s="2291"/>
      <c r="Y25" s="2291"/>
      <c r="Z25" s="2291"/>
      <c r="AA25" s="2292"/>
      <c r="AB25" s="2290" cm="1">
        <f t="array" ref="AB25">SUMPRODUCT((Application!$B$714:$B$738 = 'CalHFA Addendum'!AB$18)*(Application!$AC$714:$AC$738 = 'CalHFA Addendum'!$B25),Application!$G$714:$G$738)</f>
        <v>0</v>
      </c>
      <c r="AC25" s="2291"/>
      <c r="AD25" s="2291"/>
      <c r="AE25" s="2291"/>
      <c r="AF25" s="2291"/>
      <c r="AG25" s="2292"/>
      <c r="AH25" s="2290" cm="1">
        <f t="array" ref="AH25">SUMPRODUCT((Application!$B$714:$B$738 = 'CalHFA Addendum'!AH$18)*(Application!$AC$714:$AC$738 = 'CalHFA Addendum'!$B25),Application!$G$714:$G$738)</f>
        <v>0</v>
      </c>
      <c r="AI25" s="2291"/>
      <c r="AJ25" s="2291"/>
      <c r="AK25" s="2291"/>
      <c r="AL25" s="2291"/>
      <c r="AM25" s="2292"/>
      <c r="AN25" s="2290" cm="1">
        <f t="array" ref="AN25">SUMPRODUCT((Application!$B$714:$B$738 = 'CalHFA Addendum'!AN$18)*(Application!$AC$714:$AC$738 = 'CalHFA Addendum'!$B25),Application!$G$714:$G$738)</f>
        <v>0</v>
      </c>
      <c r="AO25" s="2291"/>
      <c r="AP25" s="2291"/>
      <c r="AQ25" s="2291"/>
      <c r="AR25" s="2291"/>
      <c r="AS25" s="2292"/>
      <c r="AT25" s="2293">
        <f t="shared" si="1"/>
        <v>0</v>
      </c>
      <c r="AU25" s="2294"/>
      <c r="AV25" s="2294"/>
      <c r="AW25" s="2294"/>
      <c r="AX25" s="2294"/>
      <c r="AY25" s="2295"/>
      <c r="AZ25" s="1209"/>
      <c r="BA25" s="1209"/>
      <c r="BB25" s="1209"/>
      <c r="BC25" s="1209"/>
      <c r="BD25" s="1209"/>
      <c r="BE25" s="1205"/>
    </row>
    <row r="26" spans="1:58" ht="15">
      <c r="A26" s="1209"/>
      <c r="B26" s="2287">
        <v>1</v>
      </c>
      <c r="C26" s="2288"/>
      <c r="D26" s="2288"/>
      <c r="E26" s="2288"/>
      <c r="F26" s="2288"/>
      <c r="G26" s="2288"/>
      <c r="H26" s="2288"/>
      <c r="I26" s="2289"/>
      <c r="J26" s="2290">
        <f t="shared" si="0"/>
        <v>0</v>
      </c>
      <c r="K26" s="2291"/>
      <c r="L26" s="2291"/>
      <c r="M26" s="2291"/>
      <c r="N26" s="2291"/>
      <c r="O26" s="2292"/>
      <c r="P26" s="2290" cm="1">
        <f t="array" ref="P26">SUMPRODUCT((Application!$B$714:$B$738 = 'CalHFA Addendum'!P$18)*(Application!$AC$714:$AC$738 = 'CalHFA Addendum'!$B26),Application!$G$714:$G$738)</f>
        <v>0</v>
      </c>
      <c r="Q26" s="2291"/>
      <c r="R26" s="2291"/>
      <c r="S26" s="2291"/>
      <c r="T26" s="2291"/>
      <c r="U26" s="2292"/>
      <c r="V26" s="2290" cm="1">
        <f t="array" ref="V26">SUMPRODUCT((Application!$B$714:$B$738 = 'CalHFA Addendum'!V$18)*(Application!$AC$714:$AC$738 = 'CalHFA Addendum'!$B26),Application!$G$714:$G$738)</f>
        <v>0</v>
      </c>
      <c r="W26" s="2291"/>
      <c r="X26" s="2291"/>
      <c r="Y26" s="2291"/>
      <c r="Z26" s="2291"/>
      <c r="AA26" s="2292"/>
      <c r="AB26" s="2290" cm="1">
        <f t="array" ref="AB26">SUMPRODUCT((Application!$B$714:$B$738 = 'CalHFA Addendum'!AB$18)*(Application!$AC$714:$AC$738 = 'CalHFA Addendum'!$B26),Application!$G$714:$G$738)</f>
        <v>0</v>
      </c>
      <c r="AC26" s="2291"/>
      <c r="AD26" s="2291"/>
      <c r="AE26" s="2291"/>
      <c r="AF26" s="2291"/>
      <c r="AG26" s="2292"/>
      <c r="AH26" s="2290" cm="1">
        <f t="array" ref="AH26">SUMPRODUCT((Application!$B$714:$B$738 = 'CalHFA Addendum'!AH$18)*(Application!$AC$714:$AC$738 = 'CalHFA Addendum'!$B26),Application!$G$714:$G$738)</f>
        <v>0</v>
      </c>
      <c r="AI26" s="2291"/>
      <c r="AJ26" s="2291"/>
      <c r="AK26" s="2291"/>
      <c r="AL26" s="2291"/>
      <c r="AM26" s="2292"/>
      <c r="AN26" s="2290" cm="1">
        <f t="array" ref="AN26">SUMPRODUCT((Application!$B$714:$B$738 = 'CalHFA Addendum'!AN$18)*(Application!$AC$714:$AC$738 = 'CalHFA Addendum'!$B26),Application!$G$714:$G$738)</f>
        <v>0</v>
      </c>
      <c r="AO26" s="2291"/>
      <c r="AP26" s="2291"/>
      <c r="AQ26" s="2291"/>
      <c r="AR26" s="2291"/>
      <c r="AS26" s="2292"/>
      <c r="AT26" s="2293">
        <f t="shared" si="1"/>
        <v>0</v>
      </c>
      <c r="AU26" s="2294"/>
      <c r="AV26" s="2294"/>
      <c r="AW26" s="2294"/>
      <c r="AX26" s="2294"/>
      <c r="AY26" s="2295"/>
      <c r="AZ26" s="1209"/>
      <c r="BA26" s="1209"/>
      <c r="BB26" s="1209"/>
      <c r="BC26" s="1209"/>
      <c r="BD26" s="1209"/>
      <c r="BE26" s="1205"/>
    </row>
    <row r="27" spans="1:58" ht="15">
      <c r="A27" s="1209"/>
      <c r="B27" s="2287">
        <v>1.1000000000000001</v>
      </c>
      <c r="C27" s="2288"/>
      <c r="D27" s="2288"/>
      <c r="E27" s="2288"/>
      <c r="F27" s="2288"/>
      <c r="G27" s="2288"/>
      <c r="H27" s="2288"/>
      <c r="I27" s="2289"/>
      <c r="J27" s="2290">
        <f t="shared" si="0"/>
        <v>0</v>
      </c>
      <c r="K27" s="2291"/>
      <c r="L27" s="2291"/>
      <c r="M27" s="2291"/>
      <c r="N27" s="2291"/>
      <c r="O27" s="2292"/>
      <c r="P27" s="2290" cm="1">
        <f t="array" ref="P27">SUMPRODUCT((Application!$B$714:$B$738 = 'CalHFA Addendum'!P$18)*(Application!$AC$714:$AC$738 = 'CalHFA Addendum'!$B27),Application!$G$714:$G$738)</f>
        <v>0</v>
      </c>
      <c r="Q27" s="2291"/>
      <c r="R27" s="2291"/>
      <c r="S27" s="2291"/>
      <c r="T27" s="2291"/>
      <c r="U27" s="2292"/>
      <c r="V27" s="2290" cm="1">
        <f t="array" ref="V27">SUMPRODUCT((Application!$B$714:$B$738 = 'CalHFA Addendum'!V$18)*(Application!$AC$714:$AC$738 = 'CalHFA Addendum'!$B27),Application!$G$714:$G$738)</f>
        <v>0</v>
      </c>
      <c r="W27" s="2291"/>
      <c r="X27" s="2291"/>
      <c r="Y27" s="2291"/>
      <c r="Z27" s="2291"/>
      <c r="AA27" s="2292"/>
      <c r="AB27" s="2290" cm="1">
        <f t="array" ref="AB27">SUMPRODUCT((Application!$B$714:$B$738 = 'CalHFA Addendum'!AB$18)*(Application!$AC$714:$AC$738 = 'CalHFA Addendum'!$B27),Application!$G$714:$G$738)</f>
        <v>0</v>
      </c>
      <c r="AC27" s="2291"/>
      <c r="AD27" s="2291"/>
      <c r="AE27" s="2291"/>
      <c r="AF27" s="2291"/>
      <c r="AG27" s="2292"/>
      <c r="AH27" s="2290" cm="1">
        <f t="array" ref="AH27">SUMPRODUCT((Application!$B$714:$B$738 = 'CalHFA Addendum'!AH$18)*(Application!$AC$714:$AC$738 = 'CalHFA Addendum'!$B27),Application!$G$714:$G$738)</f>
        <v>0</v>
      </c>
      <c r="AI27" s="2291"/>
      <c r="AJ27" s="2291"/>
      <c r="AK27" s="2291"/>
      <c r="AL27" s="2291"/>
      <c r="AM27" s="2292"/>
      <c r="AN27" s="2290" cm="1">
        <f t="array" ref="AN27">SUMPRODUCT((Application!$B$714:$B$738 = 'CalHFA Addendum'!AN$18)*(Application!$AC$714:$AC$738 = 'CalHFA Addendum'!$B27),Application!$G$714:$G$738)</f>
        <v>0</v>
      </c>
      <c r="AO27" s="2291"/>
      <c r="AP27" s="2291"/>
      <c r="AQ27" s="2291"/>
      <c r="AR27" s="2291"/>
      <c r="AS27" s="2292"/>
      <c r="AT27" s="2293">
        <f t="shared" si="1"/>
        <v>0</v>
      </c>
      <c r="AU27" s="2294"/>
      <c r="AV27" s="2294"/>
      <c r="AW27" s="2294"/>
      <c r="AX27" s="2294"/>
      <c r="AY27" s="2295"/>
      <c r="AZ27" s="1209"/>
      <c r="BA27" s="1209"/>
      <c r="BB27" s="1209"/>
      <c r="BC27" s="1209"/>
      <c r="BD27" s="1209"/>
      <c r="BE27" s="1205"/>
    </row>
    <row r="28" spans="1:58" thickBot="1">
      <c r="A28" s="1209"/>
      <c r="B28" s="2306" t="s">
        <v>1799</v>
      </c>
      <c r="C28" s="2307"/>
      <c r="D28" s="2307"/>
      <c r="E28" s="2307"/>
      <c r="F28" s="2307"/>
      <c r="G28" s="2307"/>
      <c r="H28" s="2307"/>
      <c r="I28" s="2308"/>
      <c r="J28" s="2309">
        <f t="shared" si="0"/>
        <v>0</v>
      </c>
      <c r="K28" s="2310"/>
      <c r="L28" s="2310"/>
      <c r="M28" s="2310"/>
      <c r="N28" s="2310"/>
      <c r="O28" s="2311"/>
      <c r="P28" s="2309">
        <f>_xlfn.IFNA(VLOOKUP(P$18,Application!$J$758:$S$761,6,FALSE), 0)</f>
        <v>0</v>
      </c>
      <c r="Q28" s="2310"/>
      <c r="R28" s="2310"/>
      <c r="S28" s="2310"/>
      <c r="T28" s="2310"/>
      <c r="U28" s="2311"/>
      <c r="V28" s="2309">
        <f>_xlfn.IFNA(VLOOKUP(V$18,Application!$J$758:$S$761,6,FALSE), 0)</f>
        <v>0</v>
      </c>
      <c r="W28" s="2310"/>
      <c r="X28" s="2310"/>
      <c r="Y28" s="2310"/>
      <c r="Z28" s="2310"/>
      <c r="AA28" s="2311"/>
      <c r="AB28" s="2309">
        <f>_xlfn.IFNA(VLOOKUP(AB$18,Application!$J$758:$S$761,6,FALSE), 0)</f>
        <v>0</v>
      </c>
      <c r="AC28" s="2310"/>
      <c r="AD28" s="2310"/>
      <c r="AE28" s="2310"/>
      <c r="AF28" s="2310"/>
      <c r="AG28" s="2311"/>
      <c r="AH28" s="2309">
        <f>_xlfn.IFNA(VLOOKUP(AH$18,Application!$J$758:$S$761,6,FALSE), 0)</f>
        <v>0</v>
      </c>
      <c r="AI28" s="2310"/>
      <c r="AJ28" s="2310"/>
      <c r="AK28" s="2310"/>
      <c r="AL28" s="2310"/>
      <c r="AM28" s="2311"/>
      <c r="AN28" s="2309">
        <f>_xlfn.IFNA(VLOOKUP(AN$18,Application!$J$758:$S$761,6,FALSE), 0)</f>
        <v>0</v>
      </c>
      <c r="AO28" s="2310"/>
      <c r="AP28" s="2310"/>
      <c r="AQ28" s="2310"/>
      <c r="AR28" s="2310"/>
      <c r="AS28" s="2311"/>
      <c r="AT28" s="2312">
        <f t="shared" si="1"/>
        <v>0</v>
      </c>
      <c r="AU28" s="2313"/>
      <c r="AV28" s="2313"/>
      <c r="AW28" s="2313"/>
      <c r="AX28" s="2313"/>
      <c r="AY28" s="2314"/>
      <c r="AZ28" s="1209"/>
      <c r="BA28" s="1209"/>
      <c r="BB28" s="1209"/>
      <c r="BC28" s="1209"/>
      <c r="BD28" s="1209"/>
      <c r="BE28" s="1205"/>
    </row>
    <row r="29" spans="1:58" thickBot="1">
      <c r="A29" s="1209"/>
      <c r="B29" s="2321" t="s">
        <v>1698</v>
      </c>
      <c r="C29" s="2322"/>
      <c r="D29" s="2322"/>
      <c r="E29" s="2322"/>
      <c r="F29" s="2322"/>
      <c r="G29" s="2322"/>
      <c r="H29" s="2322"/>
      <c r="I29" s="2323"/>
      <c r="J29" s="2324">
        <f>SUM(J19:O28)</f>
        <v>158</v>
      </c>
      <c r="K29" s="2322"/>
      <c r="L29" s="2322"/>
      <c r="M29" s="2322"/>
      <c r="N29" s="2322"/>
      <c r="O29" s="2323"/>
      <c r="P29" s="2324">
        <f>SUM(P19:U28)</f>
        <v>60</v>
      </c>
      <c r="Q29" s="2322"/>
      <c r="R29" s="2322"/>
      <c r="S29" s="2322"/>
      <c r="T29" s="2322"/>
      <c r="U29" s="2323"/>
      <c r="V29" s="2324">
        <f>SUM(V19:AA28)</f>
        <v>64</v>
      </c>
      <c r="W29" s="2322"/>
      <c r="X29" s="2322"/>
      <c r="Y29" s="2322"/>
      <c r="Z29" s="2322"/>
      <c r="AA29" s="2323"/>
      <c r="AB29" s="2324">
        <f>SUM(AB19:AG28)</f>
        <v>26</v>
      </c>
      <c r="AC29" s="2322"/>
      <c r="AD29" s="2322"/>
      <c r="AE29" s="2322"/>
      <c r="AF29" s="2322"/>
      <c r="AG29" s="2323"/>
      <c r="AH29" s="2324">
        <f>SUM(AH19:AM28)</f>
        <v>8</v>
      </c>
      <c r="AI29" s="2322"/>
      <c r="AJ29" s="2322"/>
      <c r="AK29" s="2322"/>
      <c r="AL29" s="2322"/>
      <c r="AM29" s="2323"/>
      <c r="AN29" s="2324">
        <f>SUM(AN19:AS28)</f>
        <v>0</v>
      </c>
      <c r="AO29" s="2322"/>
      <c r="AP29" s="2322"/>
      <c r="AQ29" s="2322"/>
      <c r="AR29" s="2322"/>
      <c r="AS29" s="2323"/>
      <c r="AT29" s="2341">
        <f t="shared" si="1"/>
        <v>1</v>
      </c>
      <c r="AU29" s="2342"/>
      <c r="AV29" s="2342"/>
      <c r="AW29" s="2342"/>
      <c r="AX29" s="2342"/>
      <c r="AY29" s="2343"/>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329" t="s">
        <v>1800</v>
      </c>
      <c r="C31" s="2330"/>
      <c r="D31" s="2330"/>
      <c r="E31" s="2330"/>
      <c r="F31" s="2330"/>
      <c r="G31" s="2330"/>
      <c r="H31" s="2330"/>
      <c r="I31" s="2330"/>
      <c r="J31" s="2330"/>
      <c r="K31" s="2330"/>
      <c r="L31" s="2330"/>
      <c r="M31" s="2330"/>
      <c r="N31" s="2330"/>
      <c r="O31" s="2330"/>
      <c r="P31" s="2330"/>
      <c r="Q31" s="2330"/>
      <c r="R31" s="2330"/>
      <c r="S31" s="2330"/>
      <c r="T31" s="2330"/>
      <c r="U31" s="2330"/>
      <c r="V31" s="2330"/>
      <c r="W31" s="2330"/>
      <c r="X31" s="2330"/>
      <c r="Y31" s="2330"/>
      <c r="Z31" s="2330"/>
      <c r="AA31" s="2330"/>
      <c r="AB31" s="2330"/>
      <c r="AC31" s="2330"/>
      <c r="AD31" s="2330"/>
      <c r="AE31" s="2330"/>
      <c r="AF31" s="2330"/>
      <c r="AG31" s="2330"/>
      <c r="AH31" s="2330"/>
      <c r="AI31" s="2330"/>
      <c r="AJ31" s="2330"/>
      <c r="AK31" s="2330"/>
      <c r="AL31" s="2330"/>
      <c r="AM31" s="2330"/>
      <c r="AN31" s="2330"/>
      <c r="AO31" s="2330"/>
      <c r="AP31" s="2330"/>
      <c r="AQ31" s="2330"/>
      <c r="AR31" s="2330"/>
      <c r="AS31" s="2330"/>
      <c r="AT31" s="2330"/>
      <c r="AU31" s="2330"/>
      <c r="AV31" s="2330"/>
      <c r="AW31" s="2330"/>
      <c r="AX31" s="2330"/>
      <c r="AY31" s="2330"/>
      <c r="AZ31" s="2330"/>
      <c r="BA31" s="2330"/>
      <c r="BB31" s="2330"/>
      <c r="BC31" s="2330"/>
      <c r="BD31" s="2331"/>
      <c r="BE31" s="1205"/>
    </row>
    <row r="32" spans="1:58" thickBot="1">
      <c r="A32" s="1209"/>
      <c r="B32" s="2344" t="s">
        <v>2473</v>
      </c>
      <c r="C32" s="2345"/>
      <c r="D32" s="2345"/>
      <c r="E32" s="2345"/>
      <c r="F32" s="2345"/>
      <c r="G32" s="2345"/>
      <c r="H32" s="2345"/>
      <c r="I32" s="2345"/>
      <c r="J32" s="2315" t="s">
        <v>2474</v>
      </c>
      <c r="K32" s="2316"/>
      <c r="L32" s="2316"/>
      <c r="M32" s="2316"/>
      <c r="N32" s="2315" t="s">
        <v>1801</v>
      </c>
      <c r="O32" s="2316"/>
      <c r="P32" s="2316"/>
      <c r="Q32" s="2318"/>
      <c r="R32" s="2338" t="s">
        <v>1802</v>
      </c>
      <c r="S32" s="2339"/>
      <c r="T32" s="2339"/>
      <c r="U32" s="2339"/>
      <c r="V32" s="2339"/>
      <c r="W32" s="2339"/>
      <c r="X32" s="2339"/>
      <c r="Y32" s="2339"/>
      <c r="Z32" s="2339"/>
      <c r="AA32" s="2339"/>
      <c r="AB32" s="2339"/>
      <c r="AC32" s="2339"/>
      <c r="AD32" s="2339"/>
      <c r="AE32" s="2339"/>
      <c r="AF32" s="2339"/>
      <c r="AG32" s="2339"/>
      <c r="AH32" s="2339"/>
      <c r="AI32" s="2339"/>
      <c r="AJ32" s="2339"/>
      <c r="AK32" s="2339"/>
      <c r="AL32" s="2339"/>
      <c r="AM32" s="2339"/>
      <c r="AN32" s="2339"/>
      <c r="AO32" s="2339"/>
      <c r="AP32" s="2339"/>
      <c r="AQ32" s="2339"/>
      <c r="AR32" s="2339"/>
      <c r="AS32" s="2339"/>
      <c r="AT32" s="2339"/>
      <c r="AU32" s="2339"/>
      <c r="AV32" s="2339"/>
      <c r="AW32" s="2339"/>
      <c r="AX32" s="2339"/>
      <c r="AY32" s="2339"/>
      <c r="AZ32" s="2339"/>
      <c r="BA32" s="2339"/>
      <c r="BB32" s="2339"/>
      <c r="BC32" s="2339"/>
      <c r="BD32" s="2340"/>
      <c r="BE32" s="1205"/>
    </row>
    <row r="33" spans="1:58" ht="15" customHeight="1">
      <c r="A33" s="1209"/>
      <c r="B33" s="2346"/>
      <c r="C33" s="2347"/>
      <c r="D33" s="2347"/>
      <c r="E33" s="2347"/>
      <c r="F33" s="2347"/>
      <c r="G33" s="2347"/>
      <c r="H33" s="2347"/>
      <c r="I33" s="2347"/>
      <c r="J33" s="2317"/>
      <c r="K33" s="2317"/>
      <c r="L33" s="2317"/>
      <c r="M33" s="2317"/>
      <c r="N33" s="2317"/>
      <c r="O33" s="2317"/>
      <c r="P33" s="2317"/>
      <c r="Q33" s="2319"/>
      <c r="R33" s="2332" t="s">
        <v>1803</v>
      </c>
      <c r="S33" s="2333"/>
      <c r="T33" s="2333"/>
      <c r="U33" s="2333"/>
      <c r="V33" s="2333"/>
      <c r="W33" s="2333"/>
      <c r="X33" s="2333"/>
      <c r="Y33" s="2333"/>
      <c r="Z33" s="2333"/>
      <c r="AA33" s="2333"/>
      <c r="AB33" s="2333"/>
      <c r="AC33" s="2333"/>
      <c r="AD33" s="2333"/>
      <c r="AE33" s="2333"/>
      <c r="AF33" s="2333"/>
      <c r="AG33" s="2333"/>
      <c r="AH33" s="2333"/>
      <c r="AI33" s="2333"/>
      <c r="AJ33" s="2333"/>
      <c r="AK33" s="2333"/>
      <c r="AL33" s="2333"/>
      <c r="AM33" s="2333"/>
      <c r="AN33" s="2333"/>
      <c r="AO33" s="2333"/>
      <c r="AP33" s="2333"/>
      <c r="AQ33" s="2333"/>
      <c r="AR33" s="2333"/>
      <c r="AS33" s="2333"/>
      <c r="AT33" s="2333"/>
      <c r="AU33" s="2333"/>
      <c r="AV33" s="2333"/>
      <c r="AW33" s="2333"/>
      <c r="AX33" s="2333"/>
      <c r="AY33" s="2333"/>
      <c r="AZ33" s="2333"/>
      <c r="BA33" s="2333"/>
      <c r="BB33" s="2333"/>
      <c r="BC33" s="2333"/>
      <c r="BD33" s="2334"/>
      <c r="BE33" s="1205"/>
    </row>
    <row r="34" spans="1:58" ht="15.75" customHeight="1" thickBot="1">
      <c r="A34" s="1209"/>
      <c r="B34" s="2346"/>
      <c r="C34" s="2347"/>
      <c r="D34" s="2347"/>
      <c r="E34" s="2347"/>
      <c r="F34" s="2347"/>
      <c r="G34" s="2347"/>
      <c r="H34" s="2347"/>
      <c r="I34" s="2347"/>
      <c r="J34" s="2317"/>
      <c r="K34" s="2317"/>
      <c r="L34" s="2317"/>
      <c r="M34" s="2317"/>
      <c r="N34" s="2317"/>
      <c r="O34" s="2317"/>
      <c r="P34" s="2317"/>
      <c r="Q34" s="2319"/>
      <c r="R34" s="2335"/>
      <c r="S34" s="2336"/>
      <c r="T34" s="2336"/>
      <c r="U34" s="2336"/>
      <c r="V34" s="2336"/>
      <c r="W34" s="2336"/>
      <c r="X34" s="2336"/>
      <c r="Y34" s="2336"/>
      <c r="Z34" s="2336"/>
      <c r="AA34" s="2336"/>
      <c r="AB34" s="2336"/>
      <c r="AC34" s="2336"/>
      <c r="AD34" s="2336"/>
      <c r="AE34" s="2336"/>
      <c r="AF34" s="2336"/>
      <c r="AG34" s="2336"/>
      <c r="AH34" s="2336"/>
      <c r="AI34" s="2336"/>
      <c r="AJ34" s="2336"/>
      <c r="AK34" s="2336"/>
      <c r="AL34" s="2336"/>
      <c r="AM34" s="2336"/>
      <c r="AN34" s="2336"/>
      <c r="AO34" s="2336"/>
      <c r="AP34" s="2336"/>
      <c r="AQ34" s="2336"/>
      <c r="AR34" s="2336"/>
      <c r="AS34" s="2336"/>
      <c r="AT34" s="2336"/>
      <c r="AU34" s="2336"/>
      <c r="AV34" s="2336"/>
      <c r="AW34" s="2336"/>
      <c r="AX34" s="2336"/>
      <c r="AY34" s="2336"/>
      <c r="AZ34" s="2336"/>
      <c r="BA34" s="2336"/>
      <c r="BB34" s="2336"/>
      <c r="BC34" s="2336"/>
      <c r="BD34" s="2337"/>
      <c r="BE34" s="1205"/>
    </row>
    <row r="35" spans="1:58" ht="15.75" customHeight="1">
      <c r="A35" s="1209"/>
      <c r="B35" s="2346"/>
      <c r="C35" s="2347"/>
      <c r="D35" s="2347"/>
      <c r="E35" s="2347"/>
      <c r="F35" s="2347"/>
      <c r="G35" s="2347"/>
      <c r="H35" s="2347"/>
      <c r="I35" s="2347"/>
      <c r="J35" s="2317"/>
      <c r="K35" s="2317"/>
      <c r="L35" s="2317"/>
      <c r="M35" s="2317"/>
      <c r="N35" s="2317"/>
      <c r="O35" s="2317"/>
      <c r="P35" s="2317"/>
      <c r="Q35" s="2317"/>
      <c r="R35" s="2320">
        <v>0.3</v>
      </c>
      <c r="S35" s="2320"/>
      <c r="T35" s="2320"/>
      <c r="U35" s="2320"/>
      <c r="V35" s="2320">
        <v>0.4</v>
      </c>
      <c r="W35" s="2320"/>
      <c r="X35" s="2320"/>
      <c r="Y35" s="2320"/>
      <c r="Z35" s="2320">
        <v>0.5</v>
      </c>
      <c r="AA35" s="2320"/>
      <c r="AB35" s="2320"/>
      <c r="AC35" s="2320"/>
      <c r="AD35" s="2320">
        <v>0.6</v>
      </c>
      <c r="AE35" s="2320"/>
      <c r="AF35" s="2320"/>
      <c r="AG35" s="2320"/>
      <c r="AH35" s="2320">
        <v>0.7</v>
      </c>
      <c r="AI35" s="2320"/>
      <c r="AJ35" s="2320"/>
      <c r="AK35" s="2320"/>
      <c r="AL35" s="2296">
        <v>0.8</v>
      </c>
      <c r="AM35" s="2297"/>
      <c r="AN35" s="2297"/>
      <c r="AO35" s="2298"/>
      <c r="AP35" s="2299">
        <v>1.2</v>
      </c>
      <c r="AQ35" s="2300"/>
      <c r="AR35" s="2301"/>
      <c r="AS35" s="2302" t="s">
        <v>1804</v>
      </c>
      <c r="AT35" s="2303"/>
      <c r="AU35" s="2303"/>
      <c r="AV35" s="2303"/>
      <c r="AW35" s="2303"/>
      <c r="AX35" s="2304"/>
      <c r="AY35" s="2302" t="s">
        <v>1805</v>
      </c>
      <c r="AZ35" s="2303"/>
      <c r="BA35" s="2303"/>
      <c r="BB35" s="2303"/>
      <c r="BC35" s="2303"/>
      <c r="BD35" s="2305"/>
      <c r="BE35" s="1205"/>
    </row>
    <row r="36" spans="1:58" ht="15.75" customHeight="1">
      <c r="A36" s="1209"/>
      <c r="B36" s="2325" t="s">
        <v>1806</v>
      </c>
      <c r="C36" s="2326"/>
      <c r="D36" s="2326"/>
      <c r="E36" s="2326"/>
      <c r="F36" s="2326"/>
      <c r="G36" s="2326"/>
      <c r="H36" s="2326"/>
      <c r="I36" s="2326"/>
      <c r="J36" s="2327" t="s">
        <v>1807</v>
      </c>
      <c r="K36" s="2327"/>
      <c r="L36" s="2327"/>
      <c r="M36" s="2327"/>
      <c r="N36" s="2327">
        <v>55</v>
      </c>
      <c r="O36" s="2327"/>
      <c r="P36" s="2327"/>
      <c r="Q36" s="2327"/>
      <c r="R36" s="2328">
        <v>0</v>
      </c>
      <c r="S36" s="2328"/>
      <c r="T36" s="2328"/>
      <c r="U36" s="2328"/>
      <c r="V36" s="2328">
        <v>0</v>
      </c>
      <c r="W36" s="2328"/>
      <c r="X36" s="2328"/>
      <c r="Y36" s="2328"/>
      <c r="Z36" s="2328">
        <v>10</v>
      </c>
      <c r="AA36" s="2328"/>
      <c r="AB36" s="2328"/>
      <c r="AC36" s="2328"/>
      <c r="AD36" s="2328">
        <v>10</v>
      </c>
      <c r="AE36" s="2328"/>
      <c r="AF36" s="2328"/>
      <c r="AG36" s="2328"/>
      <c r="AH36" s="2328">
        <v>30</v>
      </c>
      <c r="AI36" s="2328"/>
      <c r="AJ36" s="2328"/>
      <c r="AK36" s="2328"/>
      <c r="AL36" s="2348">
        <v>0</v>
      </c>
      <c r="AM36" s="2349"/>
      <c r="AN36" s="2349"/>
      <c r="AO36" s="2350"/>
      <c r="AP36" s="2348">
        <v>0</v>
      </c>
      <c r="AQ36" s="2349"/>
      <c r="AR36" s="2350"/>
      <c r="AS36" s="2351">
        <f t="shared" ref="AS36:AS47" si="2">SUM(R36:AR36)</f>
        <v>50</v>
      </c>
      <c r="AT36" s="2352"/>
      <c r="AU36" s="2352"/>
      <c r="AV36" s="2352"/>
      <c r="AW36" s="2352"/>
      <c r="AX36" s="2353"/>
      <c r="AY36" s="2354">
        <f t="shared" ref="AY36:AY47" si="3">AS36/$J$29</f>
        <v>0.31645569620253167</v>
      </c>
      <c r="AZ36" s="2355"/>
      <c r="BA36" s="2355"/>
      <c r="BB36" s="2355"/>
      <c r="BC36" s="2355"/>
      <c r="BD36" s="2356"/>
      <c r="BE36" s="1205"/>
    </row>
    <row r="37" spans="1:58" ht="15.75" customHeight="1">
      <c r="A37" s="1209"/>
      <c r="B37" s="2325" t="s">
        <v>2475</v>
      </c>
      <c r="C37" s="2326"/>
      <c r="D37" s="2326"/>
      <c r="E37" s="2326"/>
      <c r="F37" s="2326"/>
      <c r="G37" s="2326"/>
      <c r="H37" s="2326"/>
      <c r="I37" s="2326"/>
      <c r="J37" s="2327" t="s">
        <v>1808</v>
      </c>
      <c r="K37" s="2327"/>
      <c r="L37" s="2327"/>
      <c r="M37" s="2327"/>
      <c r="N37" s="2327">
        <v>55</v>
      </c>
      <c r="O37" s="2327"/>
      <c r="P37" s="2327"/>
      <c r="Q37" s="2327"/>
      <c r="R37" s="2328">
        <v>10</v>
      </c>
      <c r="S37" s="2328"/>
      <c r="T37" s="2328"/>
      <c r="U37" s="2328"/>
      <c r="V37" s="2328"/>
      <c r="W37" s="2328"/>
      <c r="X37" s="2328"/>
      <c r="Y37" s="2328"/>
      <c r="Z37" s="2328"/>
      <c r="AA37" s="2328"/>
      <c r="AB37" s="2328"/>
      <c r="AC37" s="2328"/>
      <c r="AD37" s="2328"/>
      <c r="AE37" s="2328"/>
      <c r="AF37" s="2328"/>
      <c r="AG37" s="2328"/>
      <c r="AH37" s="2328"/>
      <c r="AI37" s="2328"/>
      <c r="AJ37" s="2328"/>
      <c r="AK37" s="2328"/>
      <c r="AL37" s="2348"/>
      <c r="AM37" s="2349"/>
      <c r="AN37" s="2349"/>
      <c r="AO37" s="2350"/>
      <c r="AP37" s="2348"/>
      <c r="AQ37" s="2349"/>
      <c r="AR37" s="2350"/>
      <c r="AS37" s="2351">
        <f t="shared" si="2"/>
        <v>10</v>
      </c>
      <c r="AT37" s="2352"/>
      <c r="AU37" s="2352"/>
      <c r="AV37" s="2352"/>
      <c r="AW37" s="2352"/>
      <c r="AX37" s="2353"/>
      <c r="AY37" s="2354">
        <f t="shared" si="3"/>
        <v>6.3291139240506333E-2</v>
      </c>
      <c r="AZ37" s="2355"/>
      <c r="BA37" s="2355"/>
      <c r="BB37" s="2355"/>
      <c r="BC37" s="2355"/>
      <c r="BD37" s="2356"/>
      <c r="BE37" s="1205"/>
    </row>
    <row r="38" spans="1:58" ht="15.75" customHeight="1">
      <c r="A38" s="1209"/>
      <c r="B38" s="2325" t="s">
        <v>2414</v>
      </c>
      <c r="C38" s="2326"/>
      <c r="D38" s="2326"/>
      <c r="E38" s="2326"/>
      <c r="F38" s="2326"/>
      <c r="G38" s="2326"/>
      <c r="H38" s="2326"/>
      <c r="I38" s="2326"/>
      <c r="J38" s="2327" t="s">
        <v>1809</v>
      </c>
      <c r="K38" s="2327"/>
      <c r="L38" s="2327"/>
      <c r="M38" s="2327"/>
      <c r="N38" s="2327">
        <v>55</v>
      </c>
      <c r="O38" s="2327"/>
      <c r="P38" s="2327"/>
      <c r="Q38" s="2327"/>
      <c r="R38" s="2328"/>
      <c r="S38" s="2328"/>
      <c r="T38" s="2328"/>
      <c r="U38" s="2328"/>
      <c r="V38" s="2328"/>
      <c r="W38" s="2328"/>
      <c r="X38" s="2328"/>
      <c r="Y38" s="2328"/>
      <c r="Z38" s="2328"/>
      <c r="AA38" s="2328"/>
      <c r="AB38" s="2328"/>
      <c r="AC38" s="2328"/>
      <c r="AD38" s="2328"/>
      <c r="AE38" s="2328"/>
      <c r="AF38" s="2328"/>
      <c r="AG38" s="2328"/>
      <c r="AH38" s="2328"/>
      <c r="AI38" s="2328"/>
      <c r="AJ38" s="2328"/>
      <c r="AK38" s="2328"/>
      <c r="AL38" s="2348"/>
      <c r="AM38" s="2349"/>
      <c r="AN38" s="2349"/>
      <c r="AO38" s="2350"/>
      <c r="AP38" s="2348"/>
      <c r="AQ38" s="2349"/>
      <c r="AR38" s="2350"/>
      <c r="AS38" s="2351">
        <f t="shared" si="2"/>
        <v>0</v>
      </c>
      <c r="AT38" s="2352"/>
      <c r="AU38" s="2352"/>
      <c r="AV38" s="2352"/>
      <c r="AW38" s="2352"/>
      <c r="AX38" s="2353"/>
      <c r="AY38" s="2354">
        <f t="shared" si="3"/>
        <v>0</v>
      </c>
      <c r="AZ38" s="2355"/>
      <c r="BA38" s="2355"/>
      <c r="BB38" s="2355"/>
      <c r="BC38" s="2355"/>
      <c r="BD38" s="2356"/>
      <c r="BE38" s="1205"/>
    </row>
    <row r="39" spans="1:58" ht="15.75" customHeight="1">
      <c r="A39" s="1209"/>
      <c r="B39" s="2325" t="s">
        <v>1810</v>
      </c>
      <c r="C39" s="2326"/>
      <c r="D39" s="2326"/>
      <c r="E39" s="2326"/>
      <c r="F39" s="2326"/>
      <c r="G39" s="2326"/>
      <c r="H39" s="2326"/>
      <c r="I39" s="2326"/>
      <c r="J39" s="2327"/>
      <c r="K39" s="2327"/>
      <c r="L39" s="2327"/>
      <c r="M39" s="2327"/>
      <c r="N39" s="2327"/>
      <c r="O39" s="2327"/>
      <c r="P39" s="2327"/>
      <c r="Q39" s="2327"/>
      <c r="R39" s="2328"/>
      <c r="S39" s="2328"/>
      <c r="T39" s="2328"/>
      <c r="U39" s="2328"/>
      <c r="V39" s="2328"/>
      <c r="W39" s="2328"/>
      <c r="X39" s="2328"/>
      <c r="Y39" s="2328"/>
      <c r="Z39" s="2328"/>
      <c r="AA39" s="2328"/>
      <c r="AB39" s="2328"/>
      <c r="AC39" s="2328"/>
      <c r="AD39" s="2328"/>
      <c r="AE39" s="2328"/>
      <c r="AF39" s="2328"/>
      <c r="AG39" s="2328"/>
      <c r="AH39" s="2328"/>
      <c r="AI39" s="2328"/>
      <c r="AJ39" s="2328"/>
      <c r="AK39" s="2328"/>
      <c r="AL39" s="2348"/>
      <c r="AM39" s="2349"/>
      <c r="AN39" s="2349"/>
      <c r="AO39" s="2350"/>
      <c r="AP39" s="2348"/>
      <c r="AQ39" s="2349"/>
      <c r="AR39" s="2350"/>
      <c r="AS39" s="2351">
        <f t="shared" si="2"/>
        <v>0</v>
      </c>
      <c r="AT39" s="2352"/>
      <c r="AU39" s="2352"/>
      <c r="AV39" s="2352"/>
      <c r="AW39" s="2352"/>
      <c r="AX39" s="2353"/>
      <c r="AY39" s="2354">
        <f t="shared" si="3"/>
        <v>0</v>
      </c>
      <c r="AZ39" s="2355"/>
      <c r="BA39" s="2355"/>
      <c r="BB39" s="2355"/>
      <c r="BC39" s="2355"/>
      <c r="BD39" s="2356"/>
      <c r="BE39" s="1205"/>
    </row>
    <row r="40" spans="1:58" ht="15.75" customHeight="1">
      <c r="A40" s="1209"/>
      <c r="B40" s="2325" t="s">
        <v>1810</v>
      </c>
      <c r="C40" s="2326"/>
      <c r="D40" s="2326"/>
      <c r="E40" s="2326"/>
      <c r="F40" s="2326"/>
      <c r="G40" s="2326"/>
      <c r="H40" s="2326"/>
      <c r="I40" s="2326"/>
      <c r="J40" s="2327"/>
      <c r="K40" s="2327"/>
      <c r="L40" s="2327"/>
      <c r="M40" s="2327"/>
      <c r="N40" s="2327"/>
      <c r="O40" s="2327"/>
      <c r="P40" s="2327"/>
      <c r="Q40" s="2327"/>
      <c r="R40" s="2328"/>
      <c r="S40" s="2328"/>
      <c r="T40" s="2328"/>
      <c r="U40" s="2328"/>
      <c r="V40" s="2328"/>
      <c r="W40" s="2328"/>
      <c r="X40" s="2328"/>
      <c r="Y40" s="2328"/>
      <c r="Z40" s="2328"/>
      <c r="AA40" s="2328"/>
      <c r="AB40" s="2328"/>
      <c r="AC40" s="2328"/>
      <c r="AD40" s="2328"/>
      <c r="AE40" s="2328"/>
      <c r="AF40" s="2328"/>
      <c r="AG40" s="2328"/>
      <c r="AH40" s="2328"/>
      <c r="AI40" s="2328"/>
      <c r="AJ40" s="2328"/>
      <c r="AK40" s="2328"/>
      <c r="AL40" s="2348"/>
      <c r="AM40" s="2349"/>
      <c r="AN40" s="2349"/>
      <c r="AO40" s="2350"/>
      <c r="AP40" s="2348"/>
      <c r="AQ40" s="2349"/>
      <c r="AR40" s="2350"/>
      <c r="AS40" s="2351">
        <f t="shared" si="2"/>
        <v>0</v>
      </c>
      <c r="AT40" s="2352"/>
      <c r="AU40" s="2352"/>
      <c r="AV40" s="2352"/>
      <c r="AW40" s="2352"/>
      <c r="AX40" s="2353"/>
      <c r="AY40" s="2354">
        <f t="shared" si="3"/>
        <v>0</v>
      </c>
      <c r="AZ40" s="2355"/>
      <c r="BA40" s="2355"/>
      <c r="BB40" s="2355"/>
      <c r="BC40" s="2355"/>
      <c r="BD40" s="2356"/>
      <c r="BE40" s="1205"/>
    </row>
    <row r="41" spans="1:58" ht="15.75" customHeight="1">
      <c r="A41" s="1209"/>
      <c r="B41" s="2325" t="s">
        <v>1811</v>
      </c>
      <c r="C41" s="2326"/>
      <c r="D41" s="2326"/>
      <c r="E41" s="2326"/>
      <c r="F41" s="2326"/>
      <c r="G41" s="2326"/>
      <c r="H41" s="2326"/>
      <c r="I41" s="2326"/>
      <c r="J41" s="2327"/>
      <c r="K41" s="2327"/>
      <c r="L41" s="2327"/>
      <c r="M41" s="2327"/>
      <c r="N41" s="2327"/>
      <c r="O41" s="2327"/>
      <c r="P41" s="2327"/>
      <c r="Q41" s="2327"/>
      <c r="R41" s="2328"/>
      <c r="S41" s="2328"/>
      <c r="T41" s="2328"/>
      <c r="U41" s="2328"/>
      <c r="V41" s="2328"/>
      <c r="W41" s="2328"/>
      <c r="X41" s="2328"/>
      <c r="Y41" s="2328"/>
      <c r="Z41" s="2328"/>
      <c r="AA41" s="2328"/>
      <c r="AB41" s="2328"/>
      <c r="AC41" s="2328"/>
      <c r="AD41" s="2328"/>
      <c r="AE41" s="2328"/>
      <c r="AF41" s="2328"/>
      <c r="AG41" s="2328"/>
      <c r="AH41" s="2328"/>
      <c r="AI41" s="2328"/>
      <c r="AJ41" s="2328"/>
      <c r="AK41" s="2328"/>
      <c r="AL41" s="2348"/>
      <c r="AM41" s="2349"/>
      <c r="AN41" s="2349"/>
      <c r="AO41" s="2350"/>
      <c r="AP41" s="2348"/>
      <c r="AQ41" s="2349"/>
      <c r="AR41" s="2350"/>
      <c r="AS41" s="2351">
        <f t="shared" si="2"/>
        <v>0</v>
      </c>
      <c r="AT41" s="2352"/>
      <c r="AU41" s="2352"/>
      <c r="AV41" s="2352"/>
      <c r="AW41" s="2352"/>
      <c r="AX41" s="2353"/>
      <c r="AY41" s="2354">
        <f t="shared" si="3"/>
        <v>0</v>
      </c>
      <c r="AZ41" s="2355"/>
      <c r="BA41" s="2355"/>
      <c r="BB41" s="2355"/>
      <c r="BC41" s="2355"/>
      <c r="BD41" s="2356"/>
      <c r="BE41" s="1205"/>
    </row>
    <row r="42" spans="1:58" ht="15.75" customHeight="1">
      <c r="A42" s="1209"/>
      <c r="B42" s="2325" t="s">
        <v>1811</v>
      </c>
      <c r="C42" s="2326"/>
      <c r="D42" s="2326"/>
      <c r="E42" s="2326"/>
      <c r="F42" s="2326"/>
      <c r="G42" s="2326"/>
      <c r="H42" s="2326"/>
      <c r="I42" s="2326"/>
      <c r="J42" s="2327"/>
      <c r="K42" s="2327"/>
      <c r="L42" s="2327"/>
      <c r="M42" s="2327"/>
      <c r="N42" s="2327"/>
      <c r="O42" s="2327"/>
      <c r="P42" s="2327"/>
      <c r="Q42" s="2327"/>
      <c r="R42" s="2328"/>
      <c r="S42" s="2328"/>
      <c r="T42" s="2328"/>
      <c r="U42" s="2328"/>
      <c r="V42" s="2328"/>
      <c r="W42" s="2328"/>
      <c r="X42" s="2328"/>
      <c r="Y42" s="2328"/>
      <c r="Z42" s="2328"/>
      <c r="AA42" s="2328"/>
      <c r="AB42" s="2328"/>
      <c r="AC42" s="2328"/>
      <c r="AD42" s="2328"/>
      <c r="AE42" s="2328"/>
      <c r="AF42" s="2328"/>
      <c r="AG42" s="2328"/>
      <c r="AH42" s="2328"/>
      <c r="AI42" s="2328"/>
      <c r="AJ42" s="2328"/>
      <c r="AK42" s="2328"/>
      <c r="AL42" s="2348"/>
      <c r="AM42" s="2349"/>
      <c r="AN42" s="2349"/>
      <c r="AO42" s="2350"/>
      <c r="AP42" s="2348"/>
      <c r="AQ42" s="2349"/>
      <c r="AR42" s="2350"/>
      <c r="AS42" s="2351">
        <f t="shared" si="2"/>
        <v>0</v>
      </c>
      <c r="AT42" s="2352"/>
      <c r="AU42" s="2352"/>
      <c r="AV42" s="2352"/>
      <c r="AW42" s="2352"/>
      <c r="AX42" s="2353"/>
      <c r="AY42" s="2354">
        <f t="shared" si="3"/>
        <v>0</v>
      </c>
      <c r="AZ42" s="2355"/>
      <c r="BA42" s="2355"/>
      <c r="BB42" s="2355"/>
      <c r="BC42" s="2355"/>
      <c r="BD42" s="2356"/>
      <c r="BE42" s="1205"/>
    </row>
    <row r="43" spans="1:58" ht="15.75" customHeight="1">
      <c r="A43" s="1209"/>
      <c r="B43" s="2357" t="s">
        <v>1812</v>
      </c>
      <c r="C43" s="2358"/>
      <c r="D43" s="2358"/>
      <c r="E43" s="2358"/>
      <c r="F43" s="2358"/>
      <c r="G43" s="2358"/>
      <c r="H43" s="2358"/>
      <c r="I43" s="2358"/>
      <c r="J43" s="2327"/>
      <c r="K43" s="2327"/>
      <c r="L43" s="2327"/>
      <c r="M43" s="2327"/>
      <c r="N43" s="2327"/>
      <c r="O43" s="2327"/>
      <c r="P43" s="2327"/>
      <c r="Q43" s="2327"/>
      <c r="R43" s="2328"/>
      <c r="S43" s="2328"/>
      <c r="T43" s="2328"/>
      <c r="U43" s="2328"/>
      <c r="V43" s="2328"/>
      <c r="W43" s="2328"/>
      <c r="X43" s="2328"/>
      <c r="Y43" s="2328"/>
      <c r="Z43" s="2328"/>
      <c r="AA43" s="2328"/>
      <c r="AB43" s="2328"/>
      <c r="AC43" s="2328"/>
      <c r="AD43" s="2328"/>
      <c r="AE43" s="2328"/>
      <c r="AF43" s="2328"/>
      <c r="AG43" s="2328"/>
      <c r="AH43" s="2328"/>
      <c r="AI43" s="2328"/>
      <c r="AJ43" s="2328"/>
      <c r="AK43" s="2328"/>
      <c r="AL43" s="2348"/>
      <c r="AM43" s="2349"/>
      <c r="AN43" s="2349"/>
      <c r="AO43" s="2350"/>
      <c r="AP43" s="2348"/>
      <c r="AQ43" s="2349"/>
      <c r="AR43" s="2350"/>
      <c r="AS43" s="2351">
        <f t="shared" si="2"/>
        <v>0</v>
      </c>
      <c r="AT43" s="2352"/>
      <c r="AU43" s="2352"/>
      <c r="AV43" s="2352"/>
      <c r="AW43" s="2352"/>
      <c r="AX43" s="2353"/>
      <c r="AY43" s="2354">
        <f t="shared" si="3"/>
        <v>0</v>
      </c>
      <c r="AZ43" s="2355"/>
      <c r="BA43" s="2355"/>
      <c r="BB43" s="2355"/>
      <c r="BC43" s="2355"/>
      <c r="BD43" s="2356"/>
      <c r="BE43" s="1205"/>
    </row>
    <row r="44" spans="1:58" ht="15.75" customHeight="1">
      <c r="A44" s="1209"/>
      <c r="B44" s="2357" t="s">
        <v>1813</v>
      </c>
      <c r="C44" s="2358"/>
      <c r="D44" s="2358"/>
      <c r="E44" s="2358"/>
      <c r="F44" s="2358"/>
      <c r="G44" s="2358"/>
      <c r="H44" s="2358"/>
      <c r="I44" s="2358"/>
      <c r="J44" s="2327"/>
      <c r="K44" s="2327"/>
      <c r="L44" s="2327"/>
      <c r="M44" s="2327"/>
      <c r="N44" s="2327"/>
      <c r="O44" s="2327"/>
      <c r="P44" s="2327"/>
      <c r="Q44" s="2327"/>
      <c r="R44" s="2328"/>
      <c r="S44" s="2328"/>
      <c r="T44" s="2328"/>
      <c r="U44" s="2328"/>
      <c r="V44" s="2328"/>
      <c r="W44" s="2328"/>
      <c r="X44" s="2328"/>
      <c r="Y44" s="2328"/>
      <c r="Z44" s="2328"/>
      <c r="AA44" s="2328"/>
      <c r="AB44" s="2328"/>
      <c r="AC44" s="2328"/>
      <c r="AD44" s="2328"/>
      <c r="AE44" s="2328"/>
      <c r="AF44" s="2328"/>
      <c r="AG44" s="2328"/>
      <c r="AH44" s="2328"/>
      <c r="AI44" s="2328"/>
      <c r="AJ44" s="2328"/>
      <c r="AK44" s="2328"/>
      <c r="AL44" s="2348"/>
      <c r="AM44" s="2349"/>
      <c r="AN44" s="2349"/>
      <c r="AO44" s="2350"/>
      <c r="AP44" s="2348"/>
      <c r="AQ44" s="2349"/>
      <c r="AR44" s="2350"/>
      <c r="AS44" s="2351">
        <f t="shared" si="2"/>
        <v>0</v>
      </c>
      <c r="AT44" s="2352"/>
      <c r="AU44" s="2352"/>
      <c r="AV44" s="2352"/>
      <c r="AW44" s="2352"/>
      <c r="AX44" s="2353"/>
      <c r="AY44" s="2354">
        <f t="shared" si="3"/>
        <v>0</v>
      </c>
      <c r="AZ44" s="2355"/>
      <c r="BA44" s="2355"/>
      <c r="BB44" s="2355"/>
      <c r="BC44" s="2355"/>
      <c r="BD44" s="2356"/>
      <c r="BE44" s="1205"/>
    </row>
    <row r="45" spans="1:58" ht="15.75" customHeight="1">
      <c r="A45" s="1209"/>
      <c r="B45" s="2357" t="s">
        <v>1814</v>
      </c>
      <c r="C45" s="2358"/>
      <c r="D45" s="2358"/>
      <c r="E45" s="2358"/>
      <c r="F45" s="2358"/>
      <c r="G45" s="2358"/>
      <c r="H45" s="2358"/>
      <c r="I45" s="2358"/>
      <c r="J45" s="2327"/>
      <c r="K45" s="2327"/>
      <c r="L45" s="2327"/>
      <c r="M45" s="2327"/>
      <c r="N45" s="2327"/>
      <c r="O45" s="2327"/>
      <c r="P45" s="2327"/>
      <c r="Q45" s="2327"/>
      <c r="R45" s="2328"/>
      <c r="S45" s="2328"/>
      <c r="T45" s="2328"/>
      <c r="U45" s="2328"/>
      <c r="V45" s="2328"/>
      <c r="W45" s="2328"/>
      <c r="X45" s="2328"/>
      <c r="Y45" s="2328"/>
      <c r="Z45" s="2328"/>
      <c r="AA45" s="2328"/>
      <c r="AB45" s="2328"/>
      <c r="AC45" s="2328"/>
      <c r="AD45" s="2328"/>
      <c r="AE45" s="2328"/>
      <c r="AF45" s="2328"/>
      <c r="AG45" s="2328"/>
      <c r="AH45" s="2328"/>
      <c r="AI45" s="2328"/>
      <c r="AJ45" s="2328"/>
      <c r="AK45" s="2328"/>
      <c r="AL45" s="2348"/>
      <c r="AM45" s="2349"/>
      <c r="AN45" s="2349"/>
      <c r="AO45" s="2350"/>
      <c r="AP45" s="2348"/>
      <c r="AQ45" s="2349"/>
      <c r="AR45" s="2350"/>
      <c r="AS45" s="2351">
        <f t="shared" si="2"/>
        <v>0</v>
      </c>
      <c r="AT45" s="2352"/>
      <c r="AU45" s="2352"/>
      <c r="AV45" s="2352"/>
      <c r="AW45" s="2352"/>
      <c r="AX45" s="2353"/>
      <c r="AY45" s="2354">
        <f t="shared" si="3"/>
        <v>0</v>
      </c>
      <c r="AZ45" s="2355"/>
      <c r="BA45" s="2355"/>
      <c r="BB45" s="2355"/>
      <c r="BC45" s="2355"/>
      <c r="BD45" s="2356"/>
      <c r="BE45" s="1205"/>
    </row>
    <row r="46" spans="1:58" ht="15.75" customHeight="1">
      <c r="A46" s="1209"/>
      <c r="B46" s="2357" t="s">
        <v>1815</v>
      </c>
      <c r="C46" s="2358"/>
      <c r="D46" s="2358"/>
      <c r="E46" s="2358"/>
      <c r="F46" s="2358"/>
      <c r="G46" s="2358"/>
      <c r="H46" s="2358"/>
      <c r="I46" s="2358"/>
      <c r="J46" s="2327"/>
      <c r="K46" s="2327"/>
      <c r="L46" s="2327"/>
      <c r="M46" s="2327"/>
      <c r="N46" s="2327">
        <v>99</v>
      </c>
      <c r="O46" s="2327"/>
      <c r="P46" s="2327"/>
      <c r="Q46" s="2327"/>
      <c r="R46" s="2328"/>
      <c r="S46" s="2328"/>
      <c r="T46" s="2328"/>
      <c r="U46" s="2328"/>
      <c r="V46" s="2328"/>
      <c r="W46" s="2328"/>
      <c r="X46" s="2328"/>
      <c r="Y46" s="2328"/>
      <c r="Z46" s="2328"/>
      <c r="AA46" s="2328"/>
      <c r="AB46" s="2328"/>
      <c r="AC46" s="2328"/>
      <c r="AD46" s="2328"/>
      <c r="AE46" s="2328"/>
      <c r="AF46" s="2328"/>
      <c r="AG46" s="2328"/>
      <c r="AH46" s="2328"/>
      <c r="AI46" s="2328"/>
      <c r="AJ46" s="2328"/>
      <c r="AK46" s="2328"/>
      <c r="AL46" s="2348"/>
      <c r="AM46" s="2349"/>
      <c r="AN46" s="2349"/>
      <c r="AO46" s="2350"/>
      <c r="AP46" s="2348"/>
      <c r="AQ46" s="2349"/>
      <c r="AR46" s="2350"/>
      <c r="AS46" s="2351">
        <f t="shared" si="2"/>
        <v>0</v>
      </c>
      <c r="AT46" s="2352"/>
      <c r="AU46" s="2352"/>
      <c r="AV46" s="2352"/>
      <c r="AW46" s="2352"/>
      <c r="AX46" s="2353"/>
      <c r="AY46" s="2354">
        <f t="shared" si="3"/>
        <v>0</v>
      </c>
      <c r="AZ46" s="2355"/>
      <c r="BA46" s="2355"/>
      <c r="BB46" s="2355"/>
      <c r="BC46" s="2355"/>
      <c r="BD46" s="2356"/>
      <c r="BE46" s="1205"/>
    </row>
    <row r="47" spans="1:58" ht="15.75" customHeight="1" thickBot="1">
      <c r="A47" s="1209"/>
      <c r="B47" s="2371" t="s">
        <v>301</v>
      </c>
      <c r="C47" s="2372"/>
      <c r="D47" s="2372"/>
      <c r="E47" s="2372"/>
      <c r="F47" s="2372"/>
      <c r="G47" s="2372"/>
      <c r="H47" s="2372"/>
      <c r="I47" s="2372"/>
      <c r="J47" s="2373"/>
      <c r="K47" s="2373"/>
      <c r="L47" s="2373"/>
      <c r="M47" s="2373"/>
      <c r="N47" s="2373"/>
      <c r="O47" s="2373"/>
      <c r="P47" s="2373"/>
      <c r="Q47" s="2373"/>
      <c r="R47" s="2370"/>
      <c r="S47" s="2370"/>
      <c r="T47" s="2370"/>
      <c r="U47" s="2370"/>
      <c r="V47" s="2370"/>
      <c r="W47" s="2370"/>
      <c r="X47" s="2370"/>
      <c r="Y47" s="2370"/>
      <c r="Z47" s="2370"/>
      <c r="AA47" s="2370"/>
      <c r="AB47" s="2370"/>
      <c r="AC47" s="2370"/>
      <c r="AD47" s="2370"/>
      <c r="AE47" s="2370"/>
      <c r="AF47" s="2370"/>
      <c r="AG47" s="2370"/>
      <c r="AH47" s="2370"/>
      <c r="AI47" s="2370"/>
      <c r="AJ47" s="2370"/>
      <c r="AK47" s="2370"/>
      <c r="AL47" s="2359"/>
      <c r="AM47" s="2360"/>
      <c r="AN47" s="2360"/>
      <c r="AO47" s="2361"/>
      <c r="AP47" s="2359"/>
      <c r="AQ47" s="2360"/>
      <c r="AR47" s="2361"/>
      <c r="AS47" s="2351">
        <f t="shared" si="2"/>
        <v>0</v>
      </c>
      <c r="AT47" s="2352"/>
      <c r="AU47" s="2352"/>
      <c r="AV47" s="2352"/>
      <c r="AW47" s="2352"/>
      <c r="AX47" s="2353"/>
      <c r="AY47" s="2362">
        <f t="shared" si="3"/>
        <v>0</v>
      </c>
      <c r="AZ47" s="2363"/>
      <c r="BA47" s="2363"/>
      <c r="BB47" s="2363"/>
      <c r="BC47" s="2363"/>
      <c r="BD47" s="2364"/>
      <c r="BE47" s="1205"/>
    </row>
    <row r="48" spans="1:58" ht="15.75" customHeight="1">
      <c r="A48" s="1209"/>
      <c r="B48" s="1257" t="s">
        <v>2476</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2184</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365" t="s">
        <v>1816</v>
      </c>
      <c r="C50" s="2366"/>
      <c r="D50" s="2366"/>
      <c r="E50" s="2366"/>
      <c r="F50" s="2366"/>
      <c r="G50" s="2366"/>
      <c r="H50" s="2366"/>
      <c r="I50" s="2366"/>
      <c r="J50" s="2366"/>
      <c r="K50" s="2366"/>
      <c r="L50" s="2366"/>
      <c r="M50" s="2366"/>
      <c r="N50" s="2366"/>
      <c r="O50" s="2366"/>
      <c r="P50" s="2366"/>
      <c r="Q50" s="2366"/>
      <c r="R50" s="2366"/>
      <c r="S50" s="2366"/>
      <c r="T50" s="2366"/>
      <c r="U50" s="2366"/>
      <c r="V50" s="2366"/>
      <c r="W50" s="2366"/>
      <c r="X50" s="2366"/>
      <c r="Y50" s="2366"/>
      <c r="Z50" s="2366"/>
      <c r="AA50" s="2366"/>
      <c r="AB50" s="2366"/>
      <c r="AC50" s="2366"/>
      <c r="AD50" s="2366"/>
      <c r="AE50" s="2366"/>
      <c r="AF50" s="2366"/>
      <c r="AG50" s="2366"/>
      <c r="AH50" s="2366"/>
      <c r="AI50" s="2366"/>
      <c r="AJ50" s="2366"/>
      <c r="AK50" s="2366"/>
      <c r="AL50" s="2366"/>
      <c r="AM50" s="2366"/>
      <c r="AN50" s="2366"/>
      <c r="AO50" s="2367"/>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210" t="s">
        <v>1817</v>
      </c>
      <c r="C51" s="2211"/>
      <c r="D51" s="2211"/>
      <c r="E51" s="2211"/>
      <c r="F51" s="2211"/>
      <c r="G51" s="2211"/>
      <c r="H51" s="2211"/>
      <c r="I51" s="2211"/>
      <c r="J51" s="2211" t="s">
        <v>2477</v>
      </c>
      <c r="K51" s="2211"/>
      <c r="L51" s="2211"/>
      <c r="M51" s="2211"/>
      <c r="N51" s="2211"/>
      <c r="O51" s="2211"/>
      <c r="P51" s="2211"/>
      <c r="Q51" s="2211"/>
      <c r="R51" s="2368" t="s">
        <v>2478</v>
      </c>
      <c r="S51" s="2368"/>
      <c r="T51" s="2368"/>
      <c r="U51" s="2368"/>
      <c r="V51" s="2368"/>
      <c r="W51" s="2368"/>
      <c r="X51" s="2368"/>
      <c r="Y51" s="2368"/>
      <c r="Z51" s="2368" t="s">
        <v>1818</v>
      </c>
      <c r="AA51" s="2368"/>
      <c r="AB51" s="2368"/>
      <c r="AC51" s="2368"/>
      <c r="AD51" s="2368"/>
      <c r="AE51" s="2368"/>
      <c r="AF51" s="2368"/>
      <c r="AG51" s="2368"/>
      <c r="AH51" s="2368" t="s">
        <v>1819</v>
      </c>
      <c r="AI51" s="2368"/>
      <c r="AJ51" s="2368"/>
      <c r="AK51" s="2368"/>
      <c r="AL51" s="2368"/>
      <c r="AM51" s="2368"/>
      <c r="AN51" s="2368"/>
      <c r="AO51" s="2369"/>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357" t="s">
        <v>2185</v>
      </c>
      <c r="C52" s="2358"/>
      <c r="D52" s="2358"/>
      <c r="E52" s="2358"/>
      <c r="F52" s="2358"/>
      <c r="G52" s="2358"/>
      <c r="H52" s="2358"/>
      <c r="I52" s="2358"/>
      <c r="J52" s="2374">
        <v>0</v>
      </c>
      <c r="K52" s="2374"/>
      <c r="L52" s="2374"/>
      <c r="M52" s="2374"/>
      <c r="N52" s="2374"/>
      <c r="O52" s="2374"/>
      <c r="P52" s="2374"/>
      <c r="Q52" s="2374"/>
      <c r="R52" s="2375">
        <v>0</v>
      </c>
      <c r="S52" s="2375"/>
      <c r="T52" s="2375"/>
      <c r="U52" s="2375"/>
      <c r="V52" s="2375"/>
      <c r="W52" s="2375"/>
      <c r="X52" s="2375"/>
      <c r="Y52" s="2375"/>
      <c r="Z52" s="2376">
        <v>0</v>
      </c>
      <c r="AA52" s="2376"/>
      <c r="AB52" s="2376"/>
      <c r="AC52" s="2376"/>
      <c r="AD52" s="2376"/>
      <c r="AE52" s="2376"/>
      <c r="AF52" s="2376"/>
      <c r="AG52" s="2376"/>
      <c r="AH52" s="2377"/>
      <c r="AI52" s="2377"/>
      <c r="AJ52" s="2377"/>
      <c r="AK52" s="2377"/>
      <c r="AL52" s="2377"/>
      <c r="AM52" s="2377"/>
      <c r="AN52" s="2377"/>
      <c r="AO52" s="2378"/>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357" t="s">
        <v>2186</v>
      </c>
      <c r="C53" s="2358"/>
      <c r="D53" s="2358"/>
      <c r="E53" s="2358"/>
      <c r="F53" s="2358"/>
      <c r="G53" s="2358"/>
      <c r="H53" s="2358"/>
      <c r="I53" s="2358"/>
      <c r="J53" s="2374">
        <v>0</v>
      </c>
      <c r="K53" s="2374"/>
      <c r="L53" s="2374"/>
      <c r="M53" s="2374"/>
      <c r="N53" s="2374"/>
      <c r="O53" s="2374"/>
      <c r="P53" s="2374"/>
      <c r="Q53" s="2374"/>
      <c r="R53" s="2375">
        <v>0</v>
      </c>
      <c r="S53" s="2375"/>
      <c r="T53" s="2375"/>
      <c r="U53" s="2375"/>
      <c r="V53" s="2375"/>
      <c r="W53" s="2375"/>
      <c r="X53" s="2375"/>
      <c r="Y53" s="2375"/>
      <c r="Z53" s="2376">
        <v>0</v>
      </c>
      <c r="AA53" s="2376"/>
      <c r="AB53" s="2376"/>
      <c r="AC53" s="2376"/>
      <c r="AD53" s="2376"/>
      <c r="AE53" s="2376"/>
      <c r="AF53" s="2376"/>
      <c r="AG53" s="2376"/>
      <c r="AH53" s="2377"/>
      <c r="AI53" s="2377"/>
      <c r="AJ53" s="2377"/>
      <c r="AK53" s="2377"/>
      <c r="AL53" s="2377"/>
      <c r="AM53" s="2377"/>
      <c r="AN53" s="2377"/>
      <c r="AO53" s="2378"/>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357"/>
      <c r="C54" s="2358"/>
      <c r="D54" s="2358"/>
      <c r="E54" s="2358"/>
      <c r="F54" s="2358"/>
      <c r="G54" s="2358"/>
      <c r="H54" s="2358"/>
      <c r="I54" s="2358"/>
      <c r="J54" s="2374"/>
      <c r="K54" s="2374"/>
      <c r="L54" s="2374"/>
      <c r="M54" s="2374"/>
      <c r="N54" s="2374"/>
      <c r="O54" s="2374"/>
      <c r="P54" s="2374"/>
      <c r="Q54" s="2374"/>
      <c r="R54" s="2375"/>
      <c r="S54" s="2375"/>
      <c r="T54" s="2375"/>
      <c r="U54" s="2375"/>
      <c r="V54" s="2375"/>
      <c r="W54" s="2375"/>
      <c r="X54" s="2375"/>
      <c r="Y54" s="2375"/>
      <c r="Z54" s="2376"/>
      <c r="AA54" s="2376"/>
      <c r="AB54" s="2376"/>
      <c r="AC54" s="2376"/>
      <c r="AD54" s="2376"/>
      <c r="AE54" s="2376"/>
      <c r="AF54" s="2376"/>
      <c r="AG54" s="2376"/>
      <c r="AH54" s="2377"/>
      <c r="AI54" s="2377"/>
      <c r="AJ54" s="2377"/>
      <c r="AK54" s="2377"/>
      <c r="AL54" s="2377"/>
      <c r="AM54" s="2377"/>
      <c r="AN54" s="2377"/>
      <c r="AO54" s="2378"/>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357"/>
      <c r="C55" s="2358"/>
      <c r="D55" s="2358"/>
      <c r="E55" s="2358"/>
      <c r="F55" s="2358"/>
      <c r="G55" s="2358"/>
      <c r="H55" s="2358"/>
      <c r="I55" s="2358"/>
      <c r="J55" s="2374"/>
      <c r="K55" s="2374"/>
      <c r="L55" s="2374"/>
      <c r="M55" s="2374"/>
      <c r="N55" s="2374"/>
      <c r="O55" s="2374"/>
      <c r="P55" s="2374"/>
      <c r="Q55" s="2374"/>
      <c r="R55" s="2375"/>
      <c r="S55" s="2375"/>
      <c r="T55" s="2375"/>
      <c r="U55" s="2375"/>
      <c r="V55" s="2375"/>
      <c r="W55" s="2375"/>
      <c r="X55" s="2375"/>
      <c r="Y55" s="2375"/>
      <c r="Z55" s="2376"/>
      <c r="AA55" s="2376"/>
      <c r="AB55" s="2376"/>
      <c r="AC55" s="2376"/>
      <c r="AD55" s="2376"/>
      <c r="AE55" s="2376"/>
      <c r="AF55" s="2376"/>
      <c r="AG55" s="2376"/>
      <c r="AH55" s="2377"/>
      <c r="AI55" s="2377"/>
      <c r="AJ55" s="2377"/>
      <c r="AK55" s="2377"/>
      <c r="AL55" s="2377"/>
      <c r="AM55" s="2377"/>
      <c r="AN55" s="2377"/>
      <c r="AO55" s="2378"/>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357"/>
      <c r="C56" s="2358"/>
      <c r="D56" s="2358"/>
      <c r="E56" s="2358"/>
      <c r="F56" s="2358"/>
      <c r="G56" s="2358"/>
      <c r="H56" s="2358"/>
      <c r="I56" s="2358"/>
      <c r="J56" s="2374"/>
      <c r="K56" s="2374"/>
      <c r="L56" s="2374"/>
      <c r="M56" s="2374"/>
      <c r="N56" s="2374"/>
      <c r="O56" s="2374"/>
      <c r="P56" s="2374"/>
      <c r="Q56" s="2374"/>
      <c r="R56" s="2375"/>
      <c r="S56" s="2375"/>
      <c r="T56" s="2375"/>
      <c r="U56" s="2375"/>
      <c r="V56" s="2375"/>
      <c r="W56" s="2375"/>
      <c r="X56" s="2375"/>
      <c r="Y56" s="2375"/>
      <c r="Z56" s="2376"/>
      <c r="AA56" s="2376"/>
      <c r="AB56" s="2376"/>
      <c r="AC56" s="2376"/>
      <c r="AD56" s="2376"/>
      <c r="AE56" s="2376"/>
      <c r="AF56" s="2376"/>
      <c r="AG56" s="2376"/>
      <c r="AH56" s="2377"/>
      <c r="AI56" s="2377"/>
      <c r="AJ56" s="2377"/>
      <c r="AK56" s="2377"/>
      <c r="AL56" s="2377"/>
      <c r="AM56" s="2377"/>
      <c r="AN56" s="2377"/>
      <c r="AO56" s="2378"/>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230" t="s">
        <v>1698</v>
      </c>
      <c r="C57" s="2231"/>
      <c r="D57" s="2231"/>
      <c r="E57" s="2231"/>
      <c r="F57" s="2231"/>
      <c r="G57" s="2231"/>
      <c r="H57" s="2231"/>
      <c r="I57" s="2231"/>
      <c r="J57" s="2231"/>
      <c r="K57" s="2231"/>
      <c r="L57" s="2231"/>
      <c r="M57" s="2231"/>
      <c r="N57" s="2231"/>
      <c r="O57" s="2231"/>
      <c r="P57" s="2231"/>
      <c r="Q57" s="2231"/>
      <c r="R57" s="2388">
        <f>SUM(R52:Y56)</f>
        <v>0</v>
      </c>
      <c r="S57" s="2388"/>
      <c r="T57" s="2388"/>
      <c r="U57" s="2388"/>
      <c r="V57" s="2388"/>
      <c r="W57" s="2388"/>
      <c r="X57" s="2388"/>
      <c r="Y57" s="2388"/>
      <c r="Z57" s="2389">
        <f>SUM(Z52:AG56)</f>
        <v>0</v>
      </c>
      <c r="AA57" s="2389"/>
      <c r="AB57" s="2389"/>
      <c r="AC57" s="2389"/>
      <c r="AD57" s="2389"/>
      <c r="AE57" s="2389"/>
      <c r="AF57" s="2389"/>
      <c r="AG57" s="2389"/>
      <c r="AH57" s="2390"/>
      <c r="AI57" s="2390"/>
      <c r="AJ57" s="2390"/>
      <c r="AK57" s="2390"/>
      <c r="AL57" s="2390"/>
      <c r="AM57" s="2390"/>
      <c r="AN57" s="2390"/>
      <c r="AO57" s="2391"/>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392" t="s">
        <v>1817</v>
      </c>
      <c r="C59" s="2393"/>
      <c r="D59" s="2393"/>
      <c r="E59" s="2393"/>
      <c r="F59" s="2393"/>
      <c r="G59" s="2393"/>
      <c r="H59" s="2393"/>
      <c r="I59" s="2394"/>
      <c r="J59" s="2278" t="s">
        <v>2479</v>
      </c>
      <c r="K59" s="2278"/>
      <c r="L59" s="2278"/>
      <c r="M59" s="2278"/>
      <c r="N59" s="2278"/>
      <c r="O59" s="2278"/>
      <c r="P59" s="2278"/>
      <c r="Q59" s="2278"/>
      <c r="R59" s="2278"/>
      <c r="S59" s="2278"/>
      <c r="T59" s="2278"/>
      <c r="U59" s="2278"/>
      <c r="V59" s="2278"/>
      <c r="W59" s="2278"/>
      <c r="X59" s="2278"/>
      <c r="Y59" s="2278"/>
      <c r="Z59" s="2278"/>
      <c r="AA59" s="2278"/>
      <c r="AB59" s="2278"/>
      <c r="AC59" s="2278"/>
      <c r="AD59" s="2278"/>
      <c r="AE59" s="2278"/>
      <c r="AF59" s="2278"/>
      <c r="AG59" s="2278"/>
      <c r="AH59" s="2278"/>
      <c r="AI59" s="2278"/>
      <c r="AJ59" s="2278"/>
      <c r="AK59" s="2278"/>
      <c r="AL59" s="2278"/>
      <c r="AM59" s="2278"/>
      <c r="AN59" s="2278"/>
      <c r="AO59" s="2278"/>
      <c r="AP59" s="2278"/>
      <c r="AQ59" s="2278"/>
      <c r="AR59" s="2278"/>
      <c r="AS59" s="2278"/>
      <c r="AT59" s="2278"/>
      <c r="AU59" s="2278"/>
      <c r="AV59" s="2278"/>
      <c r="AW59" s="2279"/>
      <c r="AX59" s="1209"/>
      <c r="AY59" s="1209"/>
      <c r="AZ59" s="1209"/>
      <c r="BA59" s="1209"/>
      <c r="BB59" s="1209"/>
      <c r="BC59" s="1209"/>
      <c r="BD59" s="1209"/>
      <c r="BE59" s="1205"/>
    </row>
    <row r="60" spans="1:58" ht="15.75" customHeight="1">
      <c r="A60" s="1209"/>
      <c r="B60" s="2379" t="str">
        <f>IF(B52="", "", B52)</f>
        <v>Services Company 1</v>
      </c>
      <c r="C60" s="2380"/>
      <c r="D60" s="2380"/>
      <c r="E60" s="2380"/>
      <c r="F60" s="2380"/>
      <c r="G60" s="2380"/>
      <c r="H60" s="2380"/>
      <c r="I60" s="2381"/>
      <c r="J60" s="2382"/>
      <c r="K60" s="2383"/>
      <c r="L60" s="2383"/>
      <c r="M60" s="2383"/>
      <c r="N60" s="2383"/>
      <c r="O60" s="2383"/>
      <c r="P60" s="2383"/>
      <c r="Q60" s="2383"/>
      <c r="R60" s="2383"/>
      <c r="S60" s="2383"/>
      <c r="T60" s="2383"/>
      <c r="U60" s="2383"/>
      <c r="V60" s="2383"/>
      <c r="W60" s="2383"/>
      <c r="X60" s="2383"/>
      <c r="Y60" s="2383"/>
      <c r="Z60" s="2383"/>
      <c r="AA60" s="2383"/>
      <c r="AB60" s="2383"/>
      <c r="AC60" s="2383"/>
      <c r="AD60" s="2383"/>
      <c r="AE60" s="2383"/>
      <c r="AF60" s="2383"/>
      <c r="AG60" s="2383"/>
      <c r="AH60" s="2383"/>
      <c r="AI60" s="2383"/>
      <c r="AJ60" s="2383"/>
      <c r="AK60" s="2383"/>
      <c r="AL60" s="2383"/>
      <c r="AM60" s="2383"/>
      <c r="AN60" s="2383"/>
      <c r="AO60" s="2383"/>
      <c r="AP60" s="2383"/>
      <c r="AQ60" s="2383"/>
      <c r="AR60" s="2383"/>
      <c r="AS60" s="2383"/>
      <c r="AT60" s="2383"/>
      <c r="AU60" s="2383"/>
      <c r="AV60" s="2383"/>
      <c r="AW60" s="2384"/>
      <c r="AX60" s="1209"/>
      <c r="AY60" s="1209"/>
      <c r="AZ60" s="1209"/>
      <c r="BA60" s="1209"/>
      <c r="BB60" s="1209"/>
      <c r="BC60" s="1209"/>
      <c r="BD60" s="1209"/>
      <c r="BE60" s="1205"/>
    </row>
    <row r="61" spans="1:58" ht="15.75" customHeight="1">
      <c r="A61" s="1209"/>
      <c r="B61" s="2379" t="str">
        <f>IF(B53="", "", B53)</f>
        <v>Services Company 2</v>
      </c>
      <c r="C61" s="2380"/>
      <c r="D61" s="2380"/>
      <c r="E61" s="2380"/>
      <c r="F61" s="2380"/>
      <c r="G61" s="2380"/>
      <c r="H61" s="2380"/>
      <c r="I61" s="2381"/>
      <c r="J61" s="2382"/>
      <c r="K61" s="2383"/>
      <c r="L61" s="2383"/>
      <c r="M61" s="2383"/>
      <c r="N61" s="2383"/>
      <c r="O61" s="2383"/>
      <c r="P61" s="2383"/>
      <c r="Q61" s="2383"/>
      <c r="R61" s="2383"/>
      <c r="S61" s="2383"/>
      <c r="T61" s="2383"/>
      <c r="U61" s="2383"/>
      <c r="V61" s="2383"/>
      <c r="W61" s="2383"/>
      <c r="X61" s="2383"/>
      <c r="Y61" s="2383"/>
      <c r="Z61" s="2383"/>
      <c r="AA61" s="2383"/>
      <c r="AB61" s="2383"/>
      <c r="AC61" s="2383"/>
      <c r="AD61" s="2383"/>
      <c r="AE61" s="2383"/>
      <c r="AF61" s="2383"/>
      <c r="AG61" s="2383"/>
      <c r="AH61" s="2383"/>
      <c r="AI61" s="2383"/>
      <c r="AJ61" s="2383"/>
      <c r="AK61" s="2383"/>
      <c r="AL61" s="2383"/>
      <c r="AM61" s="2383"/>
      <c r="AN61" s="2383"/>
      <c r="AO61" s="2383"/>
      <c r="AP61" s="2383"/>
      <c r="AQ61" s="2383"/>
      <c r="AR61" s="2383"/>
      <c r="AS61" s="2383"/>
      <c r="AT61" s="2383"/>
      <c r="AU61" s="2383"/>
      <c r="AV61" s="2383"/>
      <c r="AW61" s="2384"/>
      <c r="AX61" s="1209"/>
      <c r="AY61" s="1209"/>
      <c r="AZ61" s="1209"/>
      <c r="BA61" s="1209"/>
      <c r="BB61" s="1209"/>
      <c r="BC61" s="1209"/>
      <c r="BD61" s="1209"/>
      <c r="BE61" s="1205"/>
    </row>
    <row r="62" spans="1:58" ht="15.75" customHeight="1">
      <c r="A62" s="1209"/>
      <c r="B62" s="2379" t="str">
        <f>IF(B54="", "", B54)</f>
        <v/>
      </c>
      <c r="C62" s="2380"/>
      <c r="D62" s="2380"/>
      <c r="E62" s="2380"/>
      <c r="F62" s="2380"/>
      <c r="G62" s="2380"/>
      <c r="H62" s="2380"/>
      <c r="I62" s="2381"/>
      <c r="J62" s="2382"/>
      <c r="K62" s="2383"/>
      <c r="L62" s="2383"/>
      <c r="M62" s="2383"/>
      <c r="N62" s="2383"/>
      <c r="O62" s="2383"/>
      <c r="P62" s="2383"/>
      <c r="Q62" s="2383"/>
      <c r="R62" s="2383"/>
      <c r="S62" s="2383"/>
      <c r="T62" s="2383"/>
      <c r="U62" s="2383"/>
      <c r="V62" s="2383"/>
      <c r="W62" s="2383"/>
      <c r="X62" s="2383"/>
      <c r="Y62" s="2383"/>
      <c r="Z62" s="2383"/>
      <c r="AA62" s="2383"/>
      <c r="AB62" s="2383"/>
      <c r="AC62" s="2383"/>
      <c r="AD62" s="2383"/>
      <c r="AE62" s="2383"/>
      <c r="AF62" s="2383"/>
      <c r="AG62" s="2383"/>
      <c r="AH62" s="2383"/>
      <c r="AI62" s="2383"/>
      <c r="AJ62" s="2383"/>
      <c r="AK62" s="2383"/>
      <c r="AL62" s="2383"/>
      <c r="AM62" s="2383"/>
      <c r="AN62" s="2383"/>
      <c r="AO62" s="2383"/>
      <c r="AP62" s="2383"/>
      <c r="AQ62" s="2383"/>
      <c r="AR62" s="2383"/>
      <c r="AS62" s="2383"/>
      <c r="AT62" s="2383"/>
      <c r="AU62" s="2383"/>
      <c r="AV62" s="2383"/>
      <c r="AW62" s="2384"/>
      <c r="AX62" s="1209"/>
      <c r="AY62" s="1209"/>
      <c r="AZ62" s="1209"/>
      <c r="BA62" s="1209"/>
      <c r="BB62" s="1209"/>
      <c r="BC62" s="1209"/>
      <c r="BD62" s="1209"/>
      <c r="BE62" s="1205"/>
    </row>
    <row r="63" spans="1:58" ht="15.75" customHeight="1">
      <c r="A63" s="1209"/>
      <c r="B63" s="2379" t="str">
        <f>IF(B55="", "", B55)</f>
        <v/>
      </c>
      <c r="C63" s="2380"/>
      <c r="D63" s="2380"/>
      <c r="E63" s="2380"/>
      <c r="F63" s="2380"/>
      <c r="G63" s="2380"/>
      <c r="H63" s="2380"/>
      <c r="I63" s="2381"/>
      <c r="J63" s="2382"/>
      <c r="K63" s="2383"/>
      <c r="L63" s="2383"/>
      <c r="M63" s="2383"/>
      <c r="N63" s="2383"/>
      <c r="O63" s="2383"/>
      <c r="P63" s="2383"/>
      <c r="Q63" s="2383"/>
      <c r="R63" s="2383"/>
      <c r="S63" s="2383"/>
      <c r="T63" s="2383"/>
      <c r="U63" s="2383"/>
      <c r="V63" s="2383"/>
      <c r="W63" s="2383"/>
      <c r="X63" s="2383"/>
      <c r="Y63" s="2383"/>
      <c r="Z63" s="2383"/>
      <c r="AA63" s="2383"/>
      <c r="AB63" s="2383"/>
      <c r="AC63" s="2383"/>
      <c r="AD63" s="2383"/>
      <c r="AE63" s="2383"/>
      <c r="AF63" s="2383"/>
      <c r="AG63" s="2383"/>
      <c r="AH63" s="2383"/>
      <c r="AI63" s="2383"/>
      <c r="AJ63" s="2383"/>
      <c r="AK63" s="2383"/>
      <c r="AL63" s="2383"/>
      <c r="AM63" s="2383"/>
      <c r="AN63" s="2383"/>
      <c r="AO63" s="2383"/>
      <c r="AP63" s="2383"/>
      <c r="AQ63" s="2383"/>
      <c r="AR63" s="2383"/>
      <c r="AS63" s="2383"/>
      <c r="AT63" s="2383"/>
      <c r="AU63" s="2383"/>
      <c r="AV63" s="2383"/>
      <c r="AW63" s="2384"/>
      <c r="AX63" s="1209"/>
      <c r="AY63" s="1209"/>
      <c r="AZ63" s="1209"/>
      <c r="BA63" s="1209"/>
      <c r="BB63" s="1209"/>
      <c r="BC63" s="1209"/>
      <c r="BD63" s="1209"/>
      <c r="BE63" s="1205"/>
    </row>
    <row r="64" spans="1:58" ht="15.75" customHeight="1" thickBot="1">
      <c r="A64" s="1209"/>
      <c r="B64" s="2385" t="str">
        <f>IF(B56="", "", B56)</f>
        <v/>
      </c>
      <c r="C64" s="2386"/>
      <c r="D64" s="2386"/>
      <c r="E64" s="2386"/>
      <c r="F64" s="2386"/>
      <c r="G64" s="2386"/>
      <c r="H64" s="2386"/>
      <c r="I64" s="2387"/>
      <c r="J64" s="2395"/>
      <c r="K64" s="2396"/>
      <c r="L64" s="2396"/>
      <c r="M64" s="2396"/>
      <c r="N64" s="2396"/>
      <c r="O64" s="2396"/>
      <c r="P64" s="2396"/>
      <c r="Q64" s="2396"/>
      <c r="R64" s="2396"/>
      <c r="S64" s="2396"/>
      <c r="T64" s="2396"/>
      <c r="U64" s="2396"/>
      <c r="V64" s="2396"/>
      <c r="W64" s="2396"/>
      <c r="X64" s="2396"/>
      <c r="Y64" s="2396"/>
      <c r="Z64" s="2396"/>
      <c r="AA64" s="2396"/>
      <c r="AB64" s="2396"/>
      <c r="AC64" s="2396"/>
      <c r="AD64" s="2396"/>
      <c r="AE64" s="2396"/>
      <c r="AF64" s="2396"/>
      <c r="AG64" s="2396"/>
      <c r="AH64" s="2396"/>
      <c r="AI64" s="2396"/>
      <c r="AJ64" s="2396"/>
      <c r="AK64" s="2396"/>
      <c r="AL64" s="2396"/>
      <c r="AM64" s="2396"/>
      <c r="AN64" s="2396"/>
      <c r="AO64" s="2396"/>
      <c r="AP64" s="2396"/>
      <c r="AQ64" s="2396"/>
      <c r="AR64" s="2396"/>
      <c r="AS64" s="2396"/>
      <c r="AT64" s="2396"/>
      <c r="AU64" s="2396"/>
      <c r="AV64" s="2396"/>
      <c r="AW64" s="2397"/>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1820</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277" t="s">
        <v>1821</v>
      </c>
      <c r="C68" s="2278"/>
      <c r="D68" s="2278"/>
      <c r="E68" s="2278"/>
      <c r="F68" s="2278"/>
      <c r="G68" s="2278"/>
      <c r="H68" s="2278"/>
      <c r="I68" s="2278"/>
      <c r="J68" s="2278"/>
      <c r="K68" s="2278"/>
      <c r="L68" s="2278"/>
      <c r="M68" s="2278"/>
      <c r="N68" s="2278"/>
      <c r="O68" s="2278"/>
      <c r="P68" s="2278"/>
      <c r="Q68" s="2278"/>
      <c r="R68" s="2278"/>
      <c r="S68" s="2278"/>
      <c r="T68" s="2278"/>
      <c r="U68" s="2278"/>
      <c r="V68" s="2278"/>
      <c r="W68" s="2278"/>
      <c r="X68" s="2278"/>
      <c r="Y68" s="2278"/>
      <c r="Z68" s="2278"/>
      <c r="AA68" s="2279"/>
      <c r="AB68" s="1209"/>
      <c r="AC68" s="2470" t="s">
        <v>1822</v>
      </c>
      <c r="AD68" s="2471"/>
      <c r="AE68" s="2471"/>
      <c r="AF68" s="2471"/>
      <c r="AG68" s="2471"/>
      <c r="AH68" s="2471"/>
      <c r="AI68" s="2471"/>
      <c r="AJ68" s="2471"/>
      <c r="AK68" s="2471"/>
      <c r="AL68" s="2471"/>
      <c r="AM68" s="2471"/>
      <c r="AN68" s="2471"/>
      <c r="AO68" s="2471"/>
      <c r="AP68" s="2471"/>
      <c r="AQ68" s="2471"/>
      <c r="AR68" s="2471"/>
      <c r="AS68" s="2471"/>
      <c r="AT68" s="2471"/>
      <c r="AU68" s="2471"/>
      <c r="AV68" s="2597" t="s">
        <v>677</v>
      </c>
      <c r="AW68" s="2430"/>
      <c r="AX68" s="2430"/>
      <c r="AY68" s="2430"/>
      <c r="AZ68" s="2430"/>
      <c r="BA68" s="2430"/>
      <c r="BB68" s="2430"/>
      <c r="BC68" s="2431"/>
      <c r="BD68" s="1209"/>
      <c r="BE68" s="1205"/>
      <c r="BM68" s="1254" t="s">
        <v>2480</v>
      </c>
    </row>
    <row r="69" spans="1:65" ht="15.75" customHeight="1" thickTop="1" thickBot="1">
      <c r="A69" s="1209"/>
      <c r="B69" s="2598" t="s">
        <v>1823</v>
      </c>
      <c r="C69" s="2599"/>
      <c r="D69" s="2599"/>
      <c r="E69" s="2599"/>
      <c r="F69" s="2599"/>
      <c r="G69" s="2599"/>
      <c r="H69" s="2599"/>
      <c r="I69" s="2599"/>
      <c r="J69" s="2599"/>
      <c r="K69" s="2599"/>
      <c r="L69" s="2599"/>
      <c r="M69" s="2599"/>
      <c r="N69" s="2599"/>
      <c r="O69" s="2600" t="s">
        <v>1824</v>
      </c>
      <c r="P69" s="2601"/>
      <c r="Q69" s="2601"/>
      <c r="R69" s="2601"/>
      <c r="S69" s="2601"/>
      <c r="T69" s="2601"/>
      <c r="U69" s="2601"/>
      <c r="V69" s="2601"/>
      <c r="W69" s="2601"/>
      <c r="X69" s="2601"/>
      <c r="Y69" s="2601"/>
      <c r="Z69" s="2601"/>
      <c r="AA69" s="2602"/>
      <c r="AB69" s="1209"/>
      <c r="AC69" s="2603" t="s">
        <v>1825</v>
      </c>
      <c r="AD69" s="2604"/>
      <c r="AE69" s="2604"/>
      <c r="AF69" s="2604"/>
      <c r="AG69" s="2604"/>
      <c r="AH69" s="2604"/>
      <c r="AI69" s="2604"/>
      <c r="AJ69" s="2604"/>
      <c r="AK69" s="2604"/>
      <c r="AL69" s="2604"/>
      <c r="AM69" s="2604"/>
      <c r="AN69" s="2604"/>
      <c r="AO69" s="2604"/>
      <c r="AP69" s="2604"/>
      <c r="AQ69" s="2604"/>
      <c r="AR69" s="2604"/>
      <c r="AS69" s="2604"/>
      <c r="AT69" s="2604"/>
      <c r="AU69" s="2604"/>
      <c r="AV69" s="2605"/>
      <c r="AW69" s="2606"/>
      <c r="AX69" s="2606"/>
      <c r="AY69" s="2606"/>
      <c r="AZ69" s="2606"/>
      <c r="BA69" s="2606"/>
      <c r="BB69" s="2606"/>
      <c r="BC69" s="2607"/>
      <c r="BD69" s="1209"/>
      <c r="BE69" s="1205"/>
      <c r="BM69" s="1253" t="s">
        <v>553</v>
      </c>
    </row>
    <row r="70" spans="1:65" ht="15.75" customHeight="1">
      <c r="A70" s="1209"/>
      <c r="B70" s="2325" t="s">
        <v>2481</v>
      </c>
      <c r="C70" s="2326"/>
      <c r="D70" s="2326"/>
      <c r="E70" s="2326"/>
      <c r="F70" s="2326"/>
      <c r="G70" s="2326"/>
      <c r="H70" s="2326"/>
      <c r="I70" s="2326"/>
      <c r="J70" s="2326"/>
      <c r="K70" s="2326"/>
      <c r="L70" s="2326"/>
      <c r="M70" s="2326"/>
      <c r="N70" s="2326"/>
      <c r="O70" s="2405">
        <v>0</v>
      </c>
      <c r="P70" s="2405"/>
      <c r="Q70" s="2405"/>
      <c r="R70" s="2405"/>
      <c r="S70" s="2405"/>
      <c r="T70" s="2405"/>
      <c r="U70" s="2405"/>
      <c r="V70" s="2405"/>
      <c r="W70" s="2405"/>
      <c r="X70" s="2405"/>
      <c r="Y70" s="2405"/>
      <c r="Z70" s="2405"/>
      <c r="AA70" s="2406"/>
      <c r="AB70" s="1209"/>
      <c r="AC70" s="2365" t="s">
        <v>1826</v>
      </c>
      <c r="AD70" s="2366"/>
      <c r="AE70" s="2366"/>
      <c r="AF70" s="2409"/>
      <c r="AG70" s="2409"/>
      <c r="AH70" s="2409"/>
      <c r="AI70" s="2409"/>
      <c r="AJ70" s="2409"/>
      <c r="AK70" s="2409"/>
      <c r="AL70" s="2409"/>
      <c r="AM70" s="2409"/>
      <c r="AN70" s="2409"/>
      <c r="AO70" s="2409"/>
      <c r="AP70" s="2409"/>
      <c r="AQ70" s="2409"/>
      <c r="AR70" s="2409"/>
      <c r="AS70" s="2409"/>
      <c r="AT70" s="2409"/>
      <c r="AU70" s="2410"/>
      <c r="AV70" s="1209"/>
      <c r="AW70" s="1209"/>
      <c r="AX70" s="1209"/>
      <c r="AY70" s="1209"/>
      <c r="AZ70" s="1209"/>
      <c r="BA70" s="1209"/>
      <c r="BB70" s="1209"/>
      <c r="BC70" s="1209"/>
      <c r="BD70" s="1209"/>
      <c r="BE70" s="1205"/>
      <c r="BM70" s="1252" t="s">
        <v>677</v>
      </c>
    </row>
    <row r="71" spans="1:65" ht="15.75" customHeight="1" thickBot="1">
      <c r="A71" s="1209"/>
      <c r="B71" s="2325" t="s">
        <v>2482</v>
      </c>
      <c r="C71" s="2326"/>
      <c r="D71" s="2326"/>
      <c r="E71" s="2326"/>
      <c r="F71" s="2326"/>
      <c r="G71" s="2326"/>
      <c r="H71" s="2326"/>
      <c r="I71" s="2326"/>
      <c r="J71" s="2326"/>
      <c r="K71" s="2326"/>
      <c r="L71" s="2326"/>
      <c r="M71" s="2326"/>
      <c r="N71" s="2326"/>
      <c r="O71" s="2405">
        <v>0</v>
      </c>
      <c r="P71" s="2405"/>
      <c r="Q71" s="2405"/>
      <c r="R71" s="2405"/>
      <c r="S71" s="2405"/>
      <c r="T71" s="2405"/>
      <c r="U71" s="2405"/>
      <c r="V71" s="2405"/>
      <c r="W71" s="2405"/>
      <c r="X71" s="2405"/>
      <c r="Y71" s="2405"/>
      <c r="Z71" s="2405"/>
      <c r="AA71" s="2406"/>
      <c r="AB71" s="1209"/>
      <c r="AC71" s="2411" t="s">
        <v>1827</v>
      </c>
      <c r="AD71" s="2412"/>
      <c r="AE71" s="2412"/>
      <c r="AF71" s="2396"/>
      <c r="AG71" s="2396"/>
      <c r="AH71" s="2396"/>
      <c r="AI71" s="2396"/>
      <c r="AJ71" s="2396"/>
      <c r="AK71" s="2396"/>
      <c r="AL71" s="2396"/>
      <c r="AM71" s="2396"/>
      <c r="AN71" s="2396"/>
      <c r="AO71" s="2396"/>
      <c r="AP71" s="2396"/>
      <c r="AQ71" s="2396"/>
      <c r="AR71" s="2396"/>
      <c r="AS71" s="2396"/>
      <c r="AT71" s="2396"/>
      <c r="AU71" s="2397"/>
      <c r="AV71" s="1209"/>
      <c r="AW71" s="1209"/>
      <c r="AX71" s="1209"/>
      <c r="AY71" s="1209"/>
      <c r="AZ71" s="1209"/>
      <c r="BA71" s="1209"/>
      <c r="BB71" s="1209"/>
      <c r="BC71" s="1209"/>
      <c r="BD71" s="1209"/>
      <c r="BE71" s="1205"/>
      <c r="BM71" s="1200" t="s">
        <v>2483</v>
      </c>
    </row>
    <row r="72" spans="1:65" ht="15.75" customHeight="1">
      <c r="A72" s="1209"/>
      <c r="B72" s="2325" t="s">
        <v>2484</v>
      </c>
      <c r="C72" s="2326"/>
      <c r="D72" s="2326"/>
      <c r="E72" s="2326"/>
      <c r="F72" s="2326"/>
      <c r="G72" s="2326"/>
      <c r="H72" s="2326"/>
      <c r="I72" s="2326"/>
      <c r="J72" s="2326"/>
      <c r="K72" s="2326"/>
      <c r="L72" s="2326"/>
      <c r="M72" s="2326"/>
      <c r="N72" s="2326"/>
      <c r="O72" s="2405">
        <v>0</v>
      </c>
      <c r="P72" s="2405"/>
      <c r="Q72" s="2405"/>
      <c r="R72" s="2405"/>
      <c r="S72" s="2405"/>
      <c r="T72" s="2405"/>
      <c r="U72" s="2405"/>
      <c r="V72" s="2405"/>
      <c r="W72" s="2405"/>
      <c r="X72" s="2405"/>
      <c r="Y72" s="2405"/>
      <c r="Z72" s="2405"/>
      <c r="AA72" s="2406"/>
      <c r="AB72" s="1209"/>
      <c r="AC72" s="2612" t="s">
        <v>2485</v>
      </c>
      <c r="AD72" s="2613"/>
      <c r="AE72" s="2613"/>
      <c r="AF72" s="2613"/>
      <c r="AG72" s="2613"/>
      <c r="AH72" s="2613"/>
      <c r="AI72" s="2613"/>
      <c r="AJ72" s="2613"/>
      <c r="AK72" s="2613"/>
      <c r="AL72" s="2613"/>
      <c r="AM72" s="2613"/>
      <c r="AN72" s="2613"/>
      <c r="AO72" s="2613"/>
      <c r="AP72" s="2613"/>
      <c r="AQ72" s="2613"/>
      <c r="AR72" s="2613"/>
      <c r="AS72" s="2613"/>
      <c r="AT72" s="2613"/>
      <c r="AU72" s="2613"/>
      <c r="AV72" s="2366"/>
      <c r="AW72" s="2366"/>
      <c r="AX72" s="2366"/>
      <c r="AY72" s="2366"/>
      <c r="AZ72" s="2366"/>
      <c r="BA72" s="2366"/>
      <c r="BB72" s="2366"/>
      <c r="BC72" s="2367"/>
      <c r="BD72" s="1209"/>
      <c r="BE72" s="1205"/>
    </row>
    <row r="73" spans="1:65" ht="15.75" customHeight="1">
      <c r="A73" s="1209"/>
      <c r="B73" s="2357" t="s">
        <v>2486</v>
      </c>
      <c r="C73" s="2358"/>
      <c r="D73" s="2358"/>
      <c r="E73" s="2358"/>
      <c r="F73" s="2358"/>
      <c r="G73" s="2358"/>
      <c r="H73" s="2358"/>
      <c r="I73" s="2358"/>
      <c r="J73" s="2358"/>
      <c r="K73" s="2358"/>
      <c r="L73" s="2358"/>
      <c r="M73" s="2358"/>
      <c r="N73" s="2358"/>
      <c r="O73" s="2405">
        <v>0</v>
      </c>
      <c r="P73" s="2405"/>
      <c r="Q73" s="2405"/>
      <c r="R73" s="2405"/>
      <c r="S73" s="2405"/>
      <c r="T73" s="2405"/>
      <c r="U73" s="2405"/>
      <c r="V73" s="2405"/>
      <c r="W73" s="2405"/>
      <c r="X73" s="2405"/>
      <c r="Y73" s="2405"/>
      <c r="Z73" s="2405"/>
      <c r="AA73" s="2406"/>
      <c r="AB73" s="1209"/>
      <c r="AC73" s="2398" t="s">
        <v>2187</v>
      </c>
      <c r="AD73" s="2399"/>
      <c r="AE73" s="2399"/>
      <c r="AF73" s="2399"/>
      <c r="AG73" s="2399"/>
      <c r="AH73" s="2399"/>
      <c r="AI73" s="2399"/>
      <c r="AJ73" s="2399"/>
      <c r="AK73" s="2399"/>
      <c r="AL73" s="2399"/>
      <c r="AM73" s="2399"/>
      <c r="AN73" s="2399"/>
      <c r="AO73" s="2399"/>
      <c r="AP73" s="2399"/>
      <c r="AQ73" s="2399"/>
      <c r="AR73" s="2399"/>
      <c r="AS73" s="2399"/>
      <c r="AT73" s="2399"/>
      <c r="AU73" s="2399"/>
      <c r="AV73" s="2399"/>
      <c r="AW73" s="2399"/>
      <c r="AX73" s="2399"/>
      <c r="AY73" s="2399"/>
      <c r="AZ73" s="2399"/>
      <c r="BA73" s="2399"/>
      <c r="BB73" s="2399"/>
      <c r="BC73" s="2400"/>
      <c r="BD73" s="1209"/>
      <c r="BE73" s="1205"/>
    </row>
    <row r="74" spans="1:65" ht="15.75" customHeight="1">
      <c r="A74" s="1209"/>
      <c r="B74" s="2404"/>
      <c r="C74" s="2374"/>
      <c r="D74" s="2374"/>
      <c r="E74" s="2374"/>
      <c r="F74" s="2374"/>
      <c r="G74" s="2374"/>
      <c r="H74" s="2374"/>
      <c r="I74" s="2374"/>
      <c r="J74" s="2374"/>
      <c r="K74" s="2374"/>
      <c r="L74" s="2374"/>
      <c r="M74" s="2374"/>
      <c r="N74" s="2374"/>
      <c r="O74" s="2405"/>
      <c r="P74" s="2405"/>
      <c r="Q74" s="2405"/>
      <c r="R74" s="2405"/>
      <c r="S74" s="2405"/>
      <c r="T74" s="2405"/>
      <c r="U74" s="2405"/>
      <c r="V74" s="2405"/>
      <c r="W74" s="2405"/>
      <c r="X74" s="2405"/>
      <c r="Y74" s="2405"/>
      <c r="Z74" s="2405"/>
      <c r="AA74" s="2406"/>
      <c r="AB74" s="1209"/>
      <c r="AC74" s="2398"/>
      <c r="AD74" s="2399"/>
      <c r="AE74" s="2399"/>
      <c r="AF74" s="2399"/>
      <c r="AG74" s="2399"/>
      <c r="AH74" s="2399"/>
      <c r="AI74" s="2399"/>
      <c r="AJ74" s="2399"/>
      <c r="AK74" s="2399"/>
      <c r="AL74" s="2399"/>
      <c r="AM74" s="2399"/>
      <c r="AN74" s="2399"/>
      <c r="AO74" s="2399"/>
      <c r="AP74" s="2399"/>
      <c r="AQ74" s="2399"/>
      <c r="AR74" s="2399"/>
      <c r="AS74" s="2399"/>
      <c r="AT74" s="2399"/>
      <c r="AU74" s="2399"/>
      <c r="AV74" s="2399"/>
      <c r="AW74" s="2399"/>
      <c r="AX74" s="2399"/>
      <c r="AY74" s="2399"/>
      <c r="AZ74" s="2399"/>
      <c r="BA74" s="2399"/>
      <c r="BB74" s="2399"/>
      <c r="BC74" s="2400"/>
      <c r="BD74" s="1209"/>
      <c r="BE74" s="1205"/>
    </row>
    <row r="75" spans="1:65" ht="15.75" customHeight="1" thickBot="1">
      <c r="A75" s="1209"/>
      <c r="B75" s="2407" t="s">
        <v>124</v>
      </c>
      <c r="C75" s="2408"/>
      <c r="D75" s="2408"/>
      <c r="E75" s="2408"/>
      <c r="F75" s="2408"/>
      <c r="G75" s="2408"/>
      <c r="H75" s="2408"/>
      <c r="I75" s="2408"/>
      <c r="J75" s="2408"/>
      <c r="K75" s="2408"/>
      <c r="L75" s="2408"/>
      <c r="M75" s="2408"/>
      <c r="N75" s="2408"/>
      <c r="O75" s="2588">
        <f>SUM(O70:AA74)</f>
        <v>0</v>
      </c>
      <c r="P75" s="2588"/>
      <c r="Q75" s="2588"/>
      <c r="R75" s="2588"/>
      <c r="S75" s="2588"/>
      <c r="T75" s="2588"/>
      <c r="U75" s="2588"/>
      <c r="V75" s="2588"/>
      <c r="W75" s="2588"/>
      <c r="X75" s="2588"/>
      <c r="Y75" s="2588"/>
      <c r="Z75" s="2588"/>
      <c r="AA75" s="2589"/>
      <c r="AB75" s="1209"/>
      <c r="AC75" s="2398"/>
      <c r="AD75" s="2399"/>
      <c r="AE75" s="2399"/>
      <c r="AF75" s="2399"/>
      <c r="AG75" s="2399"/>
      <c r="AH75" s="2399"/>
      <c r="AI75" s="2399"/>
      <c r="AJ75" s="2399"/>
      <c r="AK75" s="2399"/>
      <c r="AL75" s="2399"/>
      <c r="AM75" s="2399"/>
      <c r="AN75" s="2399"/>
      <c r="AO75" s="2399"/>
      <c r="AP75" s="2399"/>
      <c r="AQ75" s="2399"/>
      <c r="AR75" s="2399"/>
      <c r="AS75" s="2399"/>
      <c r="AT75" s="2399"/>
      <c r="AU75" s="2399"/>
      <c r="AV75" s="2399"/>
      <c r="AW75" s="2399"/>
      <c r="AX75" s="2399"/>
      <c r="AY75" s="2399"/>
      <c r="AZ75" s="2399"/>
      <c r="BA75" s="2399"/>
      <c r="BB75" s="2399"/>
      <c r="BC75" s="2400"/>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398"/>
      <c r="AD76" s="2399"/>
      <c r="AE76" s="2399"/>
      <c r="AF76" s="2399"/>
      <c r="AG76" s="2399"/>
      <c r="AH76" s="2399"/>
      <c r="AI76" s="2399"/>
      <c r="AJ76" s="2399"/>
      <c r="AK76" s="2399"/>
      <c r="AL76" s="2399"/>
      <c r="AM76" s="2399"/>
      <c r="AN76" s="2399"/>
      <c r="AO76" s="2399"/>
      <c r="AP76" s="2399"/>
      <c r="AQ76" s="2399"/>
      <c r="AR76" s="2399"/>
      <c r="AS76" s="2399"/>
      <c r="AT76" s="2399"/>
      <c r="AU76" s="2399"/>
      <c r="AV76" s="2399"/>
      <c r="AW76" s="2399"/>
      <c r="AX76" s="2399"/>
      <c r="AY76" s="2399"/>
      <c r="AZ76" s="2399"/>
      <c r="BA76" s="2399"/>
      <c r="BB76" s="2399"/>
      <c r="BC76" s="2400"/>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01"/>
      <c r="AD77" s="2402"/>
      <c r="AE77" s="2402"/>
      <c r="AF77" s="2402"/>
      <c r="AG77" s="2402"/>
      <c r="AH77" s="2402"/>
      <c r="AI77" s="2402"/>
      <c r="AJ77" s="2402"/>
      <c r="AK77" s="2402"/>
      <c r="AL77" s="2402"/>
      <c r="AM77" s="2402"/>
      <c r="AN77" s="2402"/>
      <c r="AO77" s="2402"/>
      <c r="AP77" s="2402"/>
      <c r="AQ77" s="2402"/>
      <c r="AR77" s="2402"/>
      <c r="AS77" s="2402"/>
      <c r="AT77" s="2402"/>
      <c r="AU77" s="2402"/>
      <c r="AV77" s="2402"/>
      <c r="AW77" s="2402"/>
      <c r="AX77" s="2402"/>
      <c r="AY77" s="2402"/>
      <c r="AZ77" s="2402"/>
      <c r="BA77" s="2402"/>
      <c r="BB77" s="2402"/>
      <c r="BC77" s="2403"/>
      <c r="BD77" s="1209"/>
      <c r="BE77" s="1205"/>
    </row>
    <row r="78" spans="1:65" ht="15.75" customHeight="1" thickBot="1">
      <c r="A78" s="1209"/>
      <c r="B78" s="1240" t="s">
        <v>2622</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1862</v>
      </c>
      <c r="C79" s="1239"/>
      <c r="D79" s="1239"/>
      <c r="E79" s="1251"/>
      <c r="F79" s="2590"/>
      <c r="G79" s="2591"/>
      <c r="H79" s="2591"/>
      <c r="I79" s="2591"/>
      <c r="J79" s="2591"/>
      <c r="K79" s="2591"/>
      <c r="L79" s="2591"/>
      <c r="M79" s="2592"/>
      <c r="N79" s="2592"/>
      <c r="O79" s="2592"/>
      <c r="P79" s="2592"/>
      <c r="Q79" s="2593"/>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2614</v>
      </c>
      <c r="C80" s="1243"/>
      <c r="D80" s="1242"/>
      <c r="E80" s="1242"/>
      <c r="F80" s="1242"/>
      <c r="G80" s="1242"/>
      <c r="H80" s="1242"/>
      <c r="I80" s="1242"/>
      <c r="J80" s="1242"/>
      <c r="K80" s="1242"/>
      <c r="L80" s="1241"/>
      <c r="M80" s="1242"/>
      <c r="N80" s="1241"/>
      <c r="O80" s="2594" t="e">
        <f>BR96/SUM($BR$96:$BR$98)</f>
        <v>#DIV/0!</v>
      </c>
      <c r="P80" s="2595"/>
      <c r="Q80" s="2596"/>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2621</v>
      </c>
      <c r="C81" s="1247"/>
      <c r="D81" s="1229"/>
      <c r="E81" s="1229"/>
      <c r="F81" s="1229"/>
      <c r="G81" s="1229"/>
      <c r="H81" s="1229"/>
      <c r="I81" s="1229"/>
      <c r="J81" s="1229"/>
      <c r="K81" s="1229"/>
      <c r="L81" s="1229"/>
      <c r="M81" s="1229"/>
      <c r="N81" s="1249"/>
      <c r="O81" s="2608" t="s">
        <v>2553</v>
      </c>
      <c r="P81" s="2609"/>
      <c r="Q81" s="2610"/>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215" t="s">
        <v>2170</v>
      </c>
      <c r="C83" s="2216"/>
      <c r="D83" s="2216"/>
      <c r="E83" s="2216"/>
      <c r="F83" s="2216"/>
      <c r="G83" s="2216"/>
      <c r="H83" s="2216"/>
      <c r="I83" s="2216"/>
      <c r="J83" s="2216"/>
      <c r="K83" s="2216"/>
      <c r="L83" s="2216"/>
      <c r="M83" s="2216"/>
      <c r="N83" s="2216"/>
      <c r="O83" s="2216"/>
      <c r="P83" s="2216"/>
      <c r="Q83" s="2216"/>
      <c r="R83" s="2216"/>
      <c r="S83" s="2216"/>
      <c r="T83" s="2216"/>
      <c r="U83" s="2216"/>
      <c r="V83" s="2216"/>
      <c r="W83" s="2216"/>
      <c r="X83" s="2216"/>
      <c r="Y83" s="2216"/>
      <c r="Z83" s="2216"/>
      <c r="AA83" s="2216"/>
      <c r="AB83" s="2216"/>
      <c r="AC83" s="2216"/>
      <c r="AD83" s="2216"/>
      <c r="AE83" s="2216"/>
      <c r="AF83" s="2216"/>
      <c r="AG83" s="2216"/>
      <c r="AH83" s="2217"/>
      <c r="AI83" s="1209"/>
      <c r="AJ83" s="2251" t="s">
        <v>2620</v>
      </c>
      <c r="AK83" s="2252"/>
      <c r="AL83" s="2252"/>
      <c r="AM83" s="2252"/>
      <c r="AN83" s="2252"/>
      <c r="AO83" s="2252"/>
      <c r="AP83" s="2252"/>
      <c r="AQ83" s="2252"/>
      <c r="AR83" s="2252"/>
      <c r="AS83" s="2252"/>
      <c r="AT83" s="2252"/>
      <c r="AU83" s="2252"/>
      <c r="AV83" s="2252"/>
      <c r="AW83" s="2252"/>
      <c r="AX83" s="2252"/>
      <c r="AY83" s="2255" t="s">
        <v>553</v>
      </c>
      <c r="AZ83" s="2255"/>
      <c r="BA83" s="2255"/>
      <c r="BB83" s="2256"/>
      <c r="BC83" s="1209"/>
      <c r="BD83" s="1209"/>
      <c r="BE83" s="1205"/>
    </row>
    <row r="84" spans="1:70" ht="15.75" customHeight="1">
      <c r="A84" s="1209"/>
      <c r="B84" s="2210"/>
      <c r="C84" s="2211"/>
      <c r="D84" s="2211"/>
      <c r="E84" s="2211"/>
      <c r="F84" s="2211"/>
      <c r="G84" s="2211"/>
      <c r="H84" s="2211"/>
      <c r="I84" s="2211" t="s">
        <v>1828</v>
      </c>
      <c r="J84" s="2211"/>
      <c r="K84" s="2211"/>
      <c r="L84" s="2211"/>
      <c r="M84" s="2211"/>
      <c r="N84" s="2211"/>
      <c r="O84" s="2211" t="s">
        <v>1829</v>
      </c>
      <c r="P84" s="2211"/>
      <c r="Q84" s="2211"/>
      <c r="R84" s="2211"/>
      <c r="S84" s="2211"/>
      <c r="T84" s="2211"/>
      <c r="U84" s="2211"/>
      <c r="V84" s="2207" t="s">
        <v>2188</v>
      </c>
      <c r="W84" s="2207"/>
      <c r="X84" s="2207"/>
      <c r="Y84" s="2207"/>
      <c r="Z84" s="2207"/>
      <c r="AA84" s="2207"/>
      <c r="AB84" s="2208" t="s">
        <v>1830</v>
      </c>
      <c r="AC84" s="2208"/>
      <c r="AD84" s="2208"/>
      <c r="AE84" s="2208"/>
      <c r="AF84" s="2208"/>
      <c r="AG84" s="2208"/>
      <c r="AH84" s="2209"/>
      <c r="AI84" s="1209"/>
      <c r="AJ84" s="2253"/>
      <c r="AK84" s="2254"/>
      <c r="AL84" s="2254"/>
      <c r="AM84" s="2254"/>
      <c r="AN84" s="2254"/>
      <c r="AO84" s="2254"/>
      <c r="AP84" s="2254"/>
      <c r="AQ84" s="2254"/>
      <c r="AR84" s="2254"/>
      <c r="AS84" s="2254"/>
      <c r="AT84" s="2254"/>
      <c r="AU84" s="2254"/>
      <c r="AV84" s="2254"/>
      <c r="AW84" s="2254"/>
      <c r="AX84" s="2254"/>
      <c r="AY84" s="2257"/>
      <c r="AZ84" s="2257"/>
      <c r="BA84" s="2257"/>
      <c r="BB84" s="2258"/>
      <c r="BC84" s="1209"/>
      <c r="BD84" s="1209"/>
      <c r="BE84" s="1205"/>
    </row>
    <row r="85" spans="1:70" ht="15.75" customHeight="1">
      <c r="A85" s="1209"/>
      <c r="B85" s="2210"/>
      <c r="C85" s="2211"/>
      <c r="D85" s="2211"/>
      <c r="E85" s="2211"/>
      <c r="F85" s="2211"/>
      <c r="G85" s="2211"/>
      <c r="H85" s="2211"/>
      <c r="I85" s="2211"/>
      <c r="J85" s="2211"/>
      <c r="K85" s="2211"/>
      <c r="L85" s="2211"/>
      <c r="M85" s="2211"/>
      <c r="N85" s="2211"/>
      <c r="O85" s="2211"/>
      <c r="P85" s="2211"/>
      <c r="Q85" s="2211"/>
      <c r="R85" s="2211"/>
      <c r="S85" s="2211"/>
      <c r="T85" s="2211"/>
      <c r="U85" s="2211"/>
      <c r="V85" s="2207"/>
      <c r="W85" s="2207"/>
      <c r="X85" s="2207"/>
      <c r="Y85" s="2207"/>
      <c r="Z85" s="2207"/>
      <c r="AA85" s="2207"/>
      <c r="AB85" s="2208"/>
      <c r="AC85" s="2208"/>
      <c r="AD85" s="2208"/>
      <c r="AE85" s="2208"/>
      <c r="AF85" s="2208"/>
      <c r="AG85" s="2208"/>
      <c r="AH85" s="2209"/>
      <c r="AI85" s="1209"/>
      <c r="AJ85" s="2253"/>
      <c r="AK85" s="2254"/>
      <c r="AL85" s="2254"/>
      <c r="AM85" s="2254"/>
      <c r="AN85" s="2254"/>
      <c r="AO85" s="2254"/>
      <c r="AP85" s="2254"/>
      <c r="AQ85" s="2254"/>
      <c r="AR85" s="2254"/>
      <c r="AS85" s="2254"/>
      <c r="AT85" s="2254"/>
      <c r="AU85" s="2254"/>
      <c r="AV85" s="2254"/>
      <c r="AW85" s="2254"/>
      <c r="AX85" s="2254"/>
      <c r="AY85" s="2257"/>
      <c r="AZ85" s="2257"/>
      <c r="BA85" s="2257"/>
      <c r="BB85" s="2258"/>
      <c r="BC85" s="1209"/>
      <c r="BD85" s="1209"/>
      <c r="BE85" s="1205"/>
    </row>
    <row r="86" spans="1:70" ht="15.75" customHeight="1">
      <c r="A86" s="1209"/>
      <c r="B86" s="2210" t="s">
        <v>2171</v>
      </c>
      <c r="C86" s="2211"/>
      <c r="D86" s="2211"/>
      <c r="E86" s="2211"/>
      <c r="F86" s="2211"/>
      <c r="G86" s="2211"/>
      <c r="H86" s="2211"/>
      <c r="I86" s="2212">
        <v>0</v>
      </c>
      <c r="J86" s="2212"/>
      <c r="K86" s="2212"/>
      <c r="L86" s="2212"/>
      <c r="M86" s="2212"/>
      <c r="N86" s="2212"/>
      <c r="O86" s="2212">
        <v>0</v>
      </c>
      <c r="P86" s="2212"/>
      <c r="Q86" s="2212"/>
      <c r="R86" s="2212"/>
      <c r="S86" s="2212"/>
      <c r="T86" s="2212"/>
      <c r="U86" s="2212"/>
      <c r="V86" s="2212">
        <v>0</v>
      </c>
      <c r="W86" s="2212"/>
      <c r="X86" s="2212"/>
      <c r="Y86" s="2212"/>
      <c r="Z86" s="2212"/>
      <c r="AA86" s="2212"/>
      <c r="AB86" s="2212">
        <v>0</v>
      </c>
      <c r="AC86" s="2212"/>
      <c r="AD86" s="2212"/>
      <c r="AE86" s="2212"/>
      <c r="AF86" s="2212"/>
      <c r="AG86" s="2212"/>
      <c r="AH86" s="2218"/>
      <c r="AI86" s="1209"/>
      <c r="AJ86" s="2253"/>
      <c r="AK86" s="2254"/>
      <c r="AL86" s="2254"/>
      <c r="AM86" s="2254"/>
      <c r="AN86" s="2254"/>
      <c r="AO86" s="2254"/>
      <c r="AP86" s="2254"/>
      <c r="AQ86" s="2254"/>
      <c r="AR86" s="2254"/>
      <c r="AS86" s="2254"/>
      <c r="AT86" s="2254"/>
      <c r="AU86" s="2254"/>
      <c r="AV86" s="2254"/>
      <c r="AW86" s="2254"/>
      <c r="AX86" s="2254"/>
      <c r="AY86" s="2257"/>
      <c r="AZ86" s="2257"/>
      <c r="BA86" s="2257"/>
      <c r="BB86" s="2258"/>
      <c r="BC86" s="1209"/>
      <c r="BD86" s="1209"/>
      <c r="BE86" s="1205"/>
    </row>
    <row r="87" spans="1:70" ht="15.75" customHeight="1">
      <c r="A87" s="1209"/>
      <c r="B87" s="2210" t="s">
        <v>2172</v>
      </c>
      <c r="C87" s="2211"/>
      <c r="D87" s="2211"/>
      <c r="E87" s="2211"/>
      <c r="F87" s="2211"/>
      <c r="G87" s="2211"/>
      <c r="H87" s="2211"/>
      <c r="I87" s="2212">
        <v>0</v>
      </c>
      <c r="J87" s="2212"/>
      <c r="K87" s="2212"/>
      <c r="L87" s="2212"/>
      <c r="M87" s="2212"/>
      <c r="N87" s="2212"/>
      <c r="O87" s="2212">
        <v>0</v>
      </c>
      <c r="P87" s="2212"/>
      <c r="Q87" s="2212"/>
      <c r="R87" s="2212"/>
      <c r="S87" s="2212"/>
      <c r="T87" s="2212"/>
      <c r="U87" s="2212"/>
      <c r="V87" s="2212">
        <v>0</v>
      </c>
      <c r="W87" s="2212"/>
      <c r="X87" s="2212"/>
      <c r="Y87" s="2212"/>
      <c r="Z87" s="2212"/>
      <c r="AA87" s="2212"/>
      <c r="AB87" s="2212">
        <v>0</v>
      </c>
      <c r="AC87" s="2212"/>
      <c r="AD87" s="2212"/>
      <c r="AE87" s="2212"/>
      <c r="AF87" s="2212"/>
      <c r="AG87" s="2212"/>
      <c r="AH87" s="2218"/>
      <c r="AI87" s="1209"/>
      <c r="AJ87" s="2224" t="s">
        <v>2487</v>
      </c>
      <c r="AK87" s="2225"/>
      <c r="AL87" s="2225"/>
      <c r="AM87" s="2225"/>
      <c r="AN87" s="2225"/>
      <c r="AO87" s="2225"/>
      <c r="AP87" s="2225"/>
      <c r="AQ87" s="2225"/>
      <c r="AR87" s="2225"/>
      <c r="AS87" s="2225"/>
      <c r="AT87" s="2225"/>
      <c r="AU87" s="2225"/>
      <c r="AV87" s="2225"/>
      <c r="AW87" s="2225"/>
      <c r="AX87" s="2225"/>
      <c r="AY87" s="2225"/>
      <c r="AZ87" s="2225"/>
      <c r="BA87" s="2225"/>
      <c r="BB87" s="2226"/>
      <c r="BC87" s="1209"/>
      <c r="BD87" s="1209"/>
      <c r="BE87" s="1205"/>
    </row>
    <row r="88" spans="1:70" ht="15.75" customHeight="1" thickBot="1">
      <c r="A88" s="1209"/>
      <c r="B88" s="2230" t="s">
        <v>1831</v>
      </c>
      <c r="C88" s="2231"/>
      <c r="D88" s="2231"/>
      <c r="E88" s="2231"/>
      <c r="F88" s="2231"/>
      <c r="G88" s="2231"/>
      <c r="H88" s="2231"/>
      <c r="I88" s="2232">
        <v>0</v>
      </c>
      <c r="J88" s="2232"/>
      <c r="K88" s="2232"/>
      <c r="L88" s="2232"/>
      <c r="M88" s="2232"/>
      <c r="N88" s="2232"/>
      <c r="O88" s="2232">
        <v>0</v>
      </c>
      <c r="P88" s="2232"/>
      <c r="Q88" s="2232"/>
      <c r="R88" s="2232"/>
      <c r="S88" s="2232"/>
      <c r="T88" s="2232"/>
      <c r="U88" s="2232"/>
      <c r="V88" s="2232">
        <v>0</v>
      </c>
      <c r="W88" s="2232"/>
      <c r="X88" s="2232"/>
      <c r="Y88" s="2232"/>
      <c r="Z88" s="2232"/>
      <c r="AA88" s="2232"/>
      <c r="AB88" s="2232">
        <v>0</v>
      </c>
      <c r="AC88" s="2232"/>
      <c r="AD88" s="2232"/>
      <c r="AE88" s="2232"/>
      <c r="AF88" s="2232"/>
      <c r="AG88" s="2232"/>
      <c r="AH88" s="2233"/>
      <c r="AI88" s="1209"/>
      <c r="AJ88" s="2227"/>
      <c r="AK88" s="2228"/>
      <c r="AL88" s="2228"/>
      <c r="AM88" s="2228"/>
      <c r="AN88" s="2228"/>
      <c r="AO88" s="2228"/>
      <c r="AP88" s="2228"/>
      <c r="AQ88" s="2228"/>
      <c r="AR88" s="2228"/>
      <c r="AS88" s="2228"/>
      <c r="AT88" s="2228"/>
      <c r="AU88" s="2228"/>
      <c r="AV88" s="2228"/>
      <c r="AW88" s="2228"/>
      <c r="AX88" s="2228"/>
      <c r="AY88" s="2228"/>
      <c r="AZ88" s="2228"/>
      <c r="BA88" s="2228"/>
      <c r="BB88" s="2229"/>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2619</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1862</v>
      </c>
      <c r="C92" s="1237"/>
      <c r="D92" s="1236"/>
      <c r="E92" s="1235"/>
      <c r="F92" s="2611"/>
      <c r="G92" s="2592"/>
      <c r="H92" s="2592"/>
      <c r="I92" s="2592"/>
      <c r="J92" s="2592"/>
      <c r="K92" s="2592"/>
      <c r="L92" s="2592"/>
      <c r="M92" s="2592"/>
      <c r="N92" s="2592"/>
      <c r="O92" s="2592"/>
      <c r="P92" s="2592"/>
      <c r="Q92" s="2593"/>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2614</v>
      </c>
      <c r="C93" s="1243"/>
      <c r="D93" s="1242"/>
      <c r="E93" s="1242"/>
      <c r="F93" s="1242"/>
      <c r="G93" s="1242"/>
      <c r="H93" s="1242"/>
      <c r="I93" s="1242"/>
      <c r="J93" s="1242"/>
      <c r="K93" s="1242"/>
      <c r="L93" s="1241"/>
      <c r="M93" s="1242"/>
      <c r="N93" s="1241"/>
      <c r="O93" s="2594" t="e">
        <f>BR97/SUM($BR$96:$BR$98)</f>
        <v>#DIV/0!</v>
      </c>
      <c r="P93" s="2595"/>
      <c r="Q93" s="2596"/>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2618</v>
      </c>
      <c r="C94" s="1247"/>
      <c r="D94" s="1229"/>
      <c r="E94" s="1229"/>
      <c r="F94" s="1229"/>
      <c r="G94" s="1229"/>
      <c r="H94" s="1229"/>
      <c r="I94" s="1229"/>
      <c r="J94" s="1229"/>
      <c r="K94" s="1229"/>
      <c r="L94" s="1229"/>
      <c r="M94" s="1229"/>
      <c r="N94" s="1249"/>
      <c r="O94" s="2608" t="s">
        <v>2553</v>
      </c>
      <c r="P94" s="2609"/>
      <c r="Q94" s="2610"/>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215" t="s">
        <v>2617</v>
      </c>
      <c r="C96" s="2216"/>
      <c r="D96" s="2216"/>
      <c r="E96" s="2216"/>
      <c r="F96" s="2216"/>
      <c r="G96" s="2216"/>
      <c r="H96" s="2216"/>
      <c r="I96" s="2216"/>
      <c r="J96" s="2216"/>
      <c r="K96" s="2216"/>
      <c r="L96" s="2216"/>
      <c r="M96" s="2216"/>
      <c r="N96" s="2216"/>
      <c r="O96" s="2216"/>
      <c r="P96" s="2216"/>
      <c r="Q96" s="2216"/>
      <c r="R96" s="2216"/>
      <c r="S96" s="2216"/>
      <c r="T96" s="2216"/>
      <c r="U96" s="2216"/>
      <c r="V96" s="2216"/>
      <c r="W96" s="2216"/>
      <c r="X96" s="2216"/>
      <c r="Y96" s="2216"/>
      <c r="Z96" s="2216"/>
      <c r="AA96" s="2216"/>
      <c r="AB96" s="2216"/>
      <c r="AC96" s="2216"/>
      <c r="AD96" s="2216"/>
      <c r="AE96" s="2216"/>
      <c r="AF96" s="2216"/>
      <c r="AG96" s="2216"/>
      <c r="AH96" s="2217"/>
      <c r="AI96" s="1209"/>
      <c r="AJ96" s="2251" t="s">
        <v>2616</v>
      </c>
      <c r="AK96" s="2252"/>
      <c r="AL96" s="2252"/>
      <c r="AM96" s="2252"/>
      <c r="AN96" s="2252"/>
      <c r="AO96" s="2252"/>
      <c r="AP96" s="2252"/>
      <c r="AQ96" s="2252"/>
      <c r="AR96" s="2252"/>
      <c r="AS96" s="2252"/>
      <c r="AT96" s="2252"/>
      <c r="AU96" s="2252"/>
      <c r="AV96" s="2252"/>
      <c r="AW96" s="2252"/>
      <c r="AX96" s="2252"/>
      <c r="AY96" s="2255" t="s">
        <v>553</v>
      </c>
      <c r="AZ96" s="2255"/>
      <c r="BA96" s="2255"/>
      <c r="BB96" s="2256"/>
      <c r="BC96" s="1209"/>
      <c r="BD96" s="1209"/>
      <c r="BE96" s="1205"/>
      <c r="BQ96" s="1248" t="str">
        <f>Application!M243</f>
        <v>525 Capitol CDP LLC</v>
      </c>
      <c r="BR96" s="1248">
        <f>Application!AH245</f>
        <v>0</v>
      </c>
    </row>
    <row r="97" spans="1:70" ht="15.75" customHeight="1">
      <c r="A97" s="1209"/>
      <c r="B97" s="2210"/>
      <c r="C97" s="2211"/>
      <c r="D97" s="2211"/>
      <c r="E97" s="2211"/>
      <c r="F97" s="2211"/>
      <c r="G97" s="2211"/>
      <c r="H97" s="2211"/>
      <c r="I97" s="2211" t="s">
        <v>1828</v>
      </c>
      <c r="J97" s="2211"/>
      <c r="K97" s="2211"/>
      <c r="L97" s="2211"/>
      <c r="M97" s="2211"/>
      <c r="N97" s="2211"/>
      <c r="O97" s="2211" t="s">
        <v>1829</v>
      </c>
      <c r="P97" s="2211"/>
      <c r="Q97" s="2211"/>
      <c r="R97" s="2211"/>
      <c r="S97" s="2211"/>
      <c r="T97" s="2211"/>
      <c r="U97" s="2211"/>
      <c r="V97" s="2207" t="s">
        <v>2188</v>
      </c>
      <c r="W97" s="2207"/>
      <c r="X97" s="2207"/>
      <c r="Y97" s="2207"/>
      <c r="Z97" s="2207"/>
      <c r="AA97" s="2207"/>
      <c r="AB97" s="2208" t="s">
        <v>1830</v>
      </c>
      <c r="AC97" s="2208"/>
      <c r="AD97" s="2208"/>
      <c r="AE97" s="2208"/>
      <c r="AF97" s="2208"/>
      <c r="AG97" s="2208"/>
      <c r="AH97" s="2209"/>
      <c r="AI97" s="1209"/>
      <c r="AJ97" s="2253"/>
      <c r="AK97" s="2254"/>
      <c r="AL97" s="2254"/>
      <c r="AM97" s="2254"/>
      <c r="AN97" s="2254"/>
      <c r="AO97" s="2254"/>
      <c r="AP97" s="2254"/>
      <c r="AQ97" s="2254"/>
      <c r="AR97" s="2254"/>
      <c r="AS97" s="2254"/>
      <c r="AT97" s="2254"/>
      <c r="AU97" s="2254"/>
      <c r="AV97" s="2254"/>
      <c r="AW97" s="2254"/>
      <c r="AX97" s="2254"/>
      <c r="AY97" s="2257"/>
      <c r="AZ97" s="2257"/>
      <c r="BA97" s="2257"/>
      <c r="BB97" s="2258"/>
      <c r="BC97" s="1209"/>
      <c r="BD97" s="1209"/>
      <c r="BE97" s="1205"/>
      <c r="BQ97" s="1248" t="str">
        <f>Application!M251</f>
        <v>FFAH V 525 Capitol, LLC</v>
      </c>
      <c r="BR97" s="1248">
        <f>Application!AH253</f>
        <v>0</v>
      </c>
    </row>
    <row r="98" spans="1:70" ht="15.75" customHeight="1">
      <c r="A98" s="1209"/>
      <c r="B98" s="2210"/>
      <c r="C98" s="2211"/>
      <c r="D98" s="2211"/>
      <c r="E98" s="2211"/>
      <c r="F98" s="2211"/>
      <c r="G98" s="2211"/>
      <c r="H98" s="2211"/>
      <c r="I98" s="2211"/>
      <c r="J98" s="2211"/>
      <c r="K98" s="2211"/>
      <c r="L98" s="2211"/>
      <c r="M98" s="2211"/>
      <c r="N98" s="2211"/>
      <c r="O98" s="2211"/>
      <c r="P98" s="2211"/>
      <c r="Q98" s="2211"/>
      <c r="R98" s="2211"/>
      <c r="S98" s="2211"/>
      <c r="T98" s="2211"/>
      <c r="U98" s="2211"/>
      <c r="V98" s="2207"/>
      <c r="W98" s="2207"/>
      <c r="X98" s="2207"/>
      <c r="Y98" s="2207"/>
      <c r="Z98" s="2207"/>
      <c r="AA98" s="2207"/>
      <c r="AB98" s="2208"/>
      <c r="AC98" s="2208"/>
      <c r="AD98" s="2208"/>
      <c r="AE98" s="2208"/>
      <c r="AF98" s="2208"/>
      <c r="AG98" s="2208"/>
      <c r="AH98" s="2209"/>
      <c r="AI98" s="1209"/>
      <c r="AJ98" s="2253"/>
      <c r="AK98" s="2254"/>
      <c r="AL98" s="2254"/>
      <c r="AM98" s="2254"/>
      <c r="AN98" s="2254"/>
      <c r="AO98" s="2254"/>
      <c r="AP98" s="2254"/>
      <c r="AQ98" s="2254"/>
      <c r="AR98" s="2254"/>
      <c r="AS98" s="2254"/>
      <c r="AT98" s="2254"/>
      <c r="AU98" s="2254"/>
      <c r="AV98" s="2254"/>
      <c r="AW98" s="2254"/>
      <c r="AX98" s="2254"/>
      <c r="AY98" s="2257"/>
      <c r="AZ98" s="2257"/>
      <c r="BA98" s="2257"/>
      <c r="BB98" s="2258"/>
      <c r="BC98" s="1209"/>
      <c r="BD98" s="1209"/>
      <c r="BE98" s="1205"/>
      <c r="BQ98" s="1248">
        <f>Application!M259</f>
        <v>0</v>
      </c>
      <c r="BR98" s="1248">
        <f>Application!AH261</f>
        <v>0</v>
      </c>
    </row>
    <row r="99" spans="1:70" ht="15.75" customHeight="1">
      <c r="A99" s="1209"/>
      <c r="B99" s="2210" t="s">
        <v>2171</v>
      </c>
      <c r="C99" s="2211"/>
      <c r="D99" s="2211"/>
      <c r="E99" s="2211"/>
      <c r="F99" s="2211"/>
      <c r="G99" s="2211"/>
      <c r="H99" s="2211"/>
      <c r="I99" s="2212">
        <v>0</v>
      </c>
      <c r="J99" s="2212"/>
      <c r="K99" s="2212"/>
      <c r="L99" s="2212"/>
      <c r="M99" s="2212"/>
      <c r="N99" s="2212"/>
      <c r="O99" s="2212">
        <v>0</v>
      </c>
      <c r="P99" s="2212"/>
      <c r="Q99" s="2212"/>
      <c r="R99" s="2212"/>
      <c r="S99" s="2212"/>
      <c r="T99" s="2212"/>
      <c r="U99" s="2212"/>
      <c r="V99" s="2212">
        <v>0</v>
      </c>
      <c r="W99" s="2212"/>
      <c r="X99" s="2212"/>
      <c r="Y99" s="2212"/>
      <c r="Z99" s="2212"/>
      <c r="AA99" s="2212"/>
      <c r="AB99" s="2212">
        <v>0</v>
      </c>
      <c r="AC99" s="2212"/>
      <c r="AD99" s="2212"/>
      <c r="AE99" s="2212"/>
      <c r="AF99" s="2212"/>
      <c r="AG99" s="2212"/>
      <c r="AH99" s="2218"/>
      <c r="AI99" s="1209"/>
      <c r="AJ99" s="2253"/>
      <c r="AK99" s="2254"/>
      <c r="AL99" s="2254"/>
      <c r="AM99" s="2254"/>
      <c r="AN99" s="2254"/>
      <c r="AO99" s="2254"/>
      <c r="AP99" s="2254"/>
      <c r="AQ99" s="2254"/>
      <c r="AR99" s="2254"/>
      <c r="AS99" s="2254"/>
      <c r="AT99" s="2254"/>
      <c r="AU99" s="2254"/>
      <c r="AV99" s="2254"/>
      <c r="AW99" s="2254"/>
      <c r="AX99" s="2254"/>
      <c r="AY99" s="2257"/>
      <c r="AZ99" s="2257"/>
      <c r="BA99" s="2257"/>
      <c r="BB99" s="2258"/>
      <c r="BC99" s="1209"/>
      <c r="BD99" s="1209"/>
      <c r="BE99" s="1205"/>
    </row>
    <row r="100" spans="1:70" ht="15.75" customHeight="1">
      <c r="A100" s="1209"/>
      <c r="B100" s="2210" t="s">
        <v>2172</v>
      </c>
      <c r="C100" s="2211"/>
      <c r="D100" s="2211"/>
      <c r="E100" s="2211"/>
      <c r="F100" s="2211"/>
      <c r="G100" s="2211"/>
      <c r="H100" s="2211"/>
      <c r="I100" s="2212">
        <v>0</v>
      </c>
      <c r="J100" s="2212"/>
      <c r="K100" s="2212"/>
      <c r="L100" s="2212"/>
      <c r="M100" s="2212"/>
      <c r="N100" s="2212"/>
      <c r="O100" s="2212">
        <v>0</v>
      </c>
      <c r="P100" s="2212"/>
      <c r="Q100" s="2212"/>
      <c r="R100" s="2212"/>
      <c r="S100" s="2212"/>
      <c r="T100" s="2212"/>
      <c r="U100" s="2212"/>
      <c r="V100" s="2212">
        <v>0</v>
      </c>
      <c r="W100" s="2212"/>
      <c r="X100" s="2212"/>
      <c r="Y100" s="2212"/>
      <c r="Z100" s="2212"/>
      <c r="AA100" s="2212"/>
      <c r="AB100" s="2212">
        <v>0</v>
      </c>
      <c r="AC100" s="2212"/>
      <c r="AD100" s="2212"/>
      <c r="AE100" s="2212"/>
      <c r="AF100" s="2212"/>
      <c r="AG100" s="2212"/>
      <c r="AH100" s="2218"/>
      <c r="AI100" s="1209"/>
      <c r="AJ100" s="2224" t="s">
        <v>2487</v>
      </c>
      <c r="AK100" s="2225"/>
      <c r="AL100" s="2225"/>
      <c r="AM100" s="2225"/>
      <c r="AN100" s="2225"/>
      <c r="AO100" s="2225"/>
      <c r="AP100" s="2225"/>
      <c r="AQ100" s="2225"/>
      <c r="AR100" s="2225"/>
      <c r="AS100" s="2225"/>
      <c r="AT100" s="2225"/>
      <c r="AU100" s="2225"/>
      <c r="AV100" s="2225"/>
      <c r="AW100" s="2225"/>
      <c r="AX100" s="2225"/>
      <c r="AY100" s="2225"/>
      <c r="AZ100" s="2225"/>
      <c r="BA100" s="2225"/>
      <c r="BB100" s="2226"/>
      <c r="BC100" s="1209"/>
      <c r="BD100" s="1209"/>
      <c r="BE100" s="1205"/>
    </row>
    <row r="101" spans="1:70" ht="15.75" customHeight="1" thickBot="1">
      <c r="A101" s="1209"/>
      <c r="B101" s="2230" t="s">
        <v>1831</v>
      </c>
      <c r="C101" s="2231"/>
      <c r="D101" s="2231"/>
      <c r="E101" s="2231"/>
      <c r="F101" s="2231"/>
      <c r="G101" s="2231"/>
      <c r="H101" s="2231"/>
      <c r="I101" s="2232">
        <v>0</v>
      </c>
      <c r="J101" s="2232"/>
      <c r="K101" s="2232"/>
      <c r="L101" s="2232"/>
      <c r="M101" s="2232"/>
      <c r="N101" s="2232"/>
      <c r="O101" s="2232">
        <v>0</v>
      </c>
      <c r="P101" s="2232"/>
      <c r="Q101" s="2232"/>
      <c r="R101" s="2232"/>
      <c r="S101" s="2232"/>
      <c r="T101" s="2232"/>
      <c r="U101" s="2232"/>
      <c r="V101" s="2232">
        <v>0</v>
      </c>
      <c r="W101" s="2232"/>
      <c r="X101" s="2232"/>
      <c r="Y101" s="2232"/>
      <c r="Z101" s="2232"/>
      <c r="AA101" s="2232"/>
      <c r="AB101" s="2232">
        <v>0</v>
      </c>
      <c r="AC101" s="2232"/>
      <c r="AD101" s="2232"/>
      <c r="AE101" s="2232"/>
      <c r="AF101" s="2232"/>
      <c r="AG101" s="2232"/>
      <c r="AH101" s="2233"/>
      <c r="AI101" s="1209"/>
      <c r="AJ101" s="2227"/>
      <c r="AK101" s="2228"/>
      <c r="AL101" s="2228"/>
      <c r="AM101" s="2228"/>
      <c r="AN101" s="2228"/>
      <c r="AO101" s="2228"/>
      <c r="AP101" s="2228"/>
      <c r="AQ101" s="2228"/>
      <c r="AR101" s="2228"/>
      <c r="AS101" s="2228"/>
      <c r="AT101" s="2228"/>
      <c r="AU101" s="2228"/>
      <c r="AV101" s="2228"/>
      <c r="AW101" s="2228"/>
      <c r="AX101" s="2228"/>
      <c r="AY101" s="2228"/>
      <c r="AZ101" s="2228"/>
      <c r="BA101" s="2228"/>
      <c r="BB101" s="2229"/>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2615</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1862</v>
      </c>
      <c r="C104" s="1237"/>
      <c r="D104" s="1236"/>
      <c r="E104" s="1235"/>
      <c r="F104" s="2549"/>
      <c r="G104" s="2550"/>
      <c r="H104" s="2550"/>
      <c r="I104" s="2550"/>
      <c r="J104" s="2550"/>
      <c r="K104" s="2550"/>
      <c r="L104" s="2550"/>
      <c r="M104" s="2550"/>
      <c r="N104" s="2550"/>
      <c r="O104" s="2550"/>
      <c r="P104" s="2550"/>
      <c r="Q104" s="2550"/>
      <c r="R104" s="2551"/>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2614</v>
      </c>
      <c r="C105" s="1243"/>
      <c r="D105" s="1242"/>
      <c r="E105" s="1242"/>
      <c r="F105" s="1242"/>
      <c r="G105" s="1242"/>
      <c r="H105" s="1242"/>
      <c r="I105" s="1242"/>
      <c r="J105" s="1242"/>
      <c r="K105" s="1242"/>
      <c r="L105" s="1241"/>
      <c r="M105" s="1242"/>
      <c r="N105" s="1241"/>
      <c r="O105" s="2608" t="e">
        <f>BR98/SUM(BR96:BR98)</f>
        <v>#DIV/0!</v>
      </c>
      <c r="P105" s="2609"/>
      <c r="Q105" s="2609"/>
      <c r="R105" s="2610"/>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470" t="s">
        <v>2613</v>
      </c>
      <c r="C107" s="2471"/>
      <c r="D107" s="2471"/>
      <c r="E107" s="2471"/>
      <c r="F107" s="2471"/>
      <c r="G107" s="2471"/>
      <c r="H107" s="2471"/>
      <c r="I107" s="2471"/>
      <c r="J107" s="2471"/>
      <c r="K107" s="2471"/>
      <c r="L107" s="2471"/>
      <c r="M107" s="2471"/>
      <c r="N107" s="2471"/>
      <c r="O107" s="2471"/>
      <c r="P107" s="2471"/>
      <c r="Q107" s="2471"/>
      <c r="R107" s="2471"/>
      <c r="S107" s="2471"/>
      <c r="T107" s="2471"/>
      <c r="U107" s="2471"/>
      <c r="V107" s="2471"/>
      <c r="W107" s="2471"/>
      <c r="X107" s="2471"/>
      <c r="Y107" s="2471"/>
      <c r="Z107" s="2471"/>
      <c r="AA107" s="2471"/>
      <c r="AB107" s="2471"/>
      <c r="AC107" s="2471"/>
      <c r="AD107" s="2471"/>
      <c r="AE107" s="2471"/>
      <c r="AF107" s="2471"/>
      <c r="AG107" s="2471"/>
      <c r="AH107" s="2472"/>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210"/>
      <c r="C108" s="2211"/>
      <c r="D108" s="2211"/>
      <c r="E108" s="2211"/>
      <c r="F108" s="2211"/>
      <c r="G108" s="2211"/>
      <c r="H108" s="2211"/>
      <c r="I108" s="2211" t="s">
        <v>1828</v>
      </c>
      <c r="J108" s="2211"/>
      <c r="K108" s="2211"/>
      <c r="L108" s="2211"/>
      <c r="M108" s="2211"/>
      <c r="N108" s="2211"/>
      <c r="O108" s="2211" t="s">
        <v>1829</v>
      </c>
      <c r="P108" s="2211"/>
      <c r="Q108" s="2211"/>
      <c r="R108" s="2211"/>
      <c r="S108" s="2211"/>
      <c r="T108" s="2211"/>
      <c r="U108" s="2211"/>
      <c r="V108" s="2207" t="s">
        <v>2188</v>
      </c>
      <c r="W108" s="2207"/>
      <c r="X108" s="2207"/>
      <c r="Y108" s="2207"/>
      <c r="Z108" s="2207"/>
      <c r="AA108" s="2207"/>
      <c r="AB108" s="2208" t="s">
        <v>1830</v>
      </c>
      <c r="AC108" s="2208"/>
      <c r="AD108" s="2208"/>
      <c r="AE108" s="2208"/>
      <c r="AF108" s="2208"/>
      <c r="AG108" s="2208"/>
      <c r="AH108" s="2209"/>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210"/>
      <c r="C109" s="2211"/>
      <c r="D109" s="2211"/>
      <c r="E109" s="2211"/>
      <c r="F109" s="2211"/>
      <c r="G109" s="2211"/>
      <c r="H109" s="2211"/>
      <c r="I109" s="2211"/>
      <c r="J109" s="2211"/>
      <c r="K109" s="2211"/>
      <c r="L109" s="2211"/>
      <c r="M109" s="2211"/>
      <c r="N109" s="2211"/>
      <c r="O109" s="2211"/>
      <c r="P109" s="2211"/>
      <c r="Q109" s="2211"/>
      <c r="R109" s="2211"/>
      <c r="S109" s="2211"/>
      <c r="T109" s="2211"/>
      <c r="U109" s="2211"/>
      <c r="V109" s="2207"/>
      <c r="W109" s="2207"/>
      <c r="X109" s="2207"/>
      <c r="Y109" s="2207"/>
      <c r="Z109" s="2207"/>
      <c r="AA109" s="2207"/>
      <c r="AB109" s="2208"/>
      <c r="AC109" s="2208"/>
      <c r="AD109" s="2208"/>
      <c r="AE109" s="2208"/>
      <c r="AF109" s="2208"/>
      <c r="AG109" s="2208"/>
      <c r="AH109" s="2209"/>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210" t="s">
        <v>2171</v>
      </c>
      <c r="C110" s="2211"/>
      <c r="D110" s="2211"/>
      <c r="E110" s="2211"/>
      <c r="F110" s="2211"/>
      <c r="G110" s="2211"/>
      <c r="H110" s="2211"/>
      <c r="I110" s="2212">
        <v>0</v>
      </c>
      <c r="J110" s="2212"/>
      <c r="K110" s="2212"/>
      <c r="L110" s="2212"/>
      <c r="M110" s="2212"/>
      <c r="N110" s="2212"/>
      <c r="O110" s="2212">
        <v>0</v>
      </c>
      <c r="P110" s="2212"/>
      <c r="Q110" s="2212"/>
      <c r="R110" s="2212"/>
      <c r="S110" s="2212"/>
      <c r="T110" s="2212"/>
      <c r="U110" s="2212"/>
      <c r="V110" s="2212">
        <v>0</v>
      </c>
      <c r="W110" s="2212"/>
      <c r="X110" s="2212"/>
      <c r="Y110" s="2212"/>
      <c r="Z110" s="2212"/>
      <c r="AA110" s="2212"/>
      <c r="AB110" s="2212">
        <v>0</v>
      </c>
      <c r="AC110" s="2212"/>
      <c r="AD110" s="2212"/>
      <c r="AE110" s="2212"/>
      <c r="AF110" s="2212"/>
      <c r="AG110" s="2212"/>
      <c r="AH110" s="2218"/>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210" t="s">
        <v>2172</v>
      </c>
      <c r="C111" s="2211"/>
      <c r="D111" s="2211"/>
      <c r="E111" s="2211"/>
      <c r="F111" s="2211"/>
      <c r="G111" s="2211"/>
      <c r="H111" s="2211"/>
      <c r="I111" s="2212">
        <v>0</v>
      </c>
      <c r="J111" s="2212"/>
      <c r="K111" s="2212"/>
      <c r="L111" s="2212"/>
      <c r="M111" s="2212"/>
      <c r="N111" s="2212"/>
      <c r="O111" s="2212">
        <v>0</v>
      </c>
      <c r="P111" s="2212"/>
      <c r="Q111" s="2212"/>
      <c r="R111" s="2212"/>
      <c r="S111" s="2212"/>
      <c r="T111" s="2212"/>
      <c r="U111" s="2212"/>
      <c r="V111" s="2212">
        <v>0</v>
      </c>
      <c r="W111" s="2212"/>
      <c r="X111" s="2212"/>
      <c r="Y111" s="2212"/>
      <c r="Z111" s="2212"/>
      <c r="AA111" s="2212"/>
      <c r="AB111" s="2212">
        <v>0</v>
      </c>
      <c r="AC111" s="2212"/>
      <c r="AD111" s="2212"/>
      <c r="AE111" s="2212"/>
      <c r="AF111" s="2212"/>
      <c r="AG111" s="2212"/>
      <c r="AH111" s="2218"/>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230" t="s">
        <v>1831</v>
      </c>
      <c r="C112" s="2231"/>
      <c r="D112" s="2231"/>
      <c r="E112" s="2231"/>
      <c r="F112" s="2231"/>
      <c r="G112" s="2231"/>
      <c r="H112" s="2231"/>
      <c r="I112" s="2232">
        <v>0</v>
      </c>
      <c r="J112" s="2232"/>
      <c r="K112" s="2232"/>
      <c r="L112" s="2232"/>
      <c r="M112" s="2232"/>
      <c r="N112" s="2232"/>
      <c r="O112" s="2232">
        <v>0</v>
      </c>
      <c r="P112" s="2232"/>
      <c r="Q112" s="2232"/>
      <c r="R112" s="2232"/>
      <c r="S112" s="2232"/>
      <c r="T112" s="2232"/>
      <c r="U112" s="2232"/>
      <c r="V112" s="2232">
        <v>0</v>
      </c>
      <c r="W112" s="2232"/>
      <c r="X112" s="2232"/>
      <c r="Y112" s="2232"/>
      <c r="Z112" s="2232"/>
      <c r="AA112" s="2232"/>
      <c r="AB112" s="2232">
        <v>0</v>
      </c>
      <c r="AC112" s="2232"/>
      <c r="AD112" s="2232"/>
      <c r="AE112" s="2232"/>
      <c r="AF112" s="2232"/>
      <c r="AG112" s="2232"/>
      <c r="AH112" s="2233"/>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2612</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1862</v>
      </c>
      <c r="C115" s="1237"/>
      <c r="D115" s="1236"/>
      <c r="E115" s="1235"/>
      <c r="F115" s="2549"/>
      <c r="G115" s="2550"/>
      <c r="H115" s="2550"/>
      <c r="I115" s="2550"/>
      <c r="J115" s="2550"/>
      <c r="K115" s="2550"/>
      <c r="L115" s="2550"/>
      <c r="M115" s="2550"/>
      <c r="N115" s="2550"/>
      <c r="O115" s="2550"/>
      <c r="P115" s="2550"/>
      <c r="Q115" s="2550"/>
      <c r="R115" s="2551"/>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251" t="s">
        <v>2488</v>
      </c>
      <c r="C117" s="2252"/>
      <c r="D117" s="2252"/>
      <c r="E117" s="2252"/>
      <c r="F117" s="2252"/>
      <c r="G117" s="2252"/>
      <c r="H117" s="2252"/>
      <c r="I117" s="2252"/>
      <c r="J117" s="2252"/>
      <c r="K117" s="2252"/>
      <c r="L117" s="2252"/>
      <c r="M117" s="2252"/>
      <c r="N117" s="2252"/>
      <c r="O117" s="2252"/>
      <c r="P117" s="2252"/>
      <c r="Q117" s="2255" t="s">
        <v>553</v>
      </c>
      <c r="R117" s="2255"/>
      <c r="S117" s="2255"/>
      <c r="T117" s="2256"/>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253"/>
      <c r="C118" s="2254"/>
      <c r="D118" s="2254"/>
      <c r="E118" s="2254"/>
      <c r="F118" s="2254"/>
      <c r="G118" s="2254"/>
      <c r="H118" s="2254"/>
      <c r="I118" s="2254"/>
      <c r="J118" s="2254"/>
      <c r="K118" s="2254"/>
      <c r="L118" s="2254"/>
      <c r="M118" s="2254"/>
      <c r="N118" s="2254"/>
      <c r="O118" s="2254"/>
      <c r="P118" s="2254"/>
      <c r="Q118" s="2257"/>
      <c r="R118" s="2257"/>
      <c r="S118" s="2257"/>
      <c r="T118" s="2258"/>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253"/>
      <c r="C119" s="2254"/>
      <c r="D119" s="2254"/>
      <c r="E119" s="2254"/>
      <c r="F119" s="2254"/>
      <c r="G119" s="2254"/>
      <c r="H119" s="2254"/>
      <c r="I119" s="2254"/>
      <c r="J119" s="2254"/>
      <c r="K119" s="2254"/>
      <c r="L119" s="2254"/>
      <c r="M119" s="2254"/>
      <c r="N119" s="2254"/>
      <c r="O119" s="2254"/>
      <c r="P119" s="2254"/>
      <c r="Q119" s="2257"/>
      <c r="R119" s="2257"/>
      <c r="S119" s="2257"/>
      <c r="T119" s="2258"/>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253"/>
      <c r="C120" s="2254"/>
      <c r="D120" s="2254"/>
      <c r="E120" s="2254"/>
      <c r="F120" s="2254"/>
      <c r="G120" s="2254"/>
      <c r="H120" s="2254"/>
      <c r="I120" s="2254"/>
      <c r="J120" s="2254"/>
      <c r="K120" s="2254"/>
      <c r="L120" s="2254"/>
      <c r="M120" s="2254"/>
      <c r="N120" s="2254"/>
      <c r="O120" s="2254"/>
      <c r="P120" s="2254"/>
      <c r="Q120" s="2257"/>
      <c r="R120" s="2257"/>
      <c r="S120" s="2257"/>
      <c r="T120" s="2258"/>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224" t="s">
        <v>2189</v>
      </c>
      <c r="C121" s="2225"/>
      <c r="D121" s="2225"/>
      <c r="E121" s="2225"/>
      <c r="F121" s="2225"/>
      <c r="G121" s="2225"/>
      <c r="H121" s="2225"/>
      <c r="I121" s="2225"/>
      <c r="J121" s="2225"/>
      <c r="K121" s="2225"/>
      <c r="L121" s="2225"/>
      <c r="M121" s="2225"/>
      <c r="N121" s="2225"/>
      <c r="O121" s="2225"/>
      <c r="P121" s="2225"/>
      <c r="Q121" s="2225"/>
      <c r="R121" s="2225"/>
      <c r="S121" s="2225"/>
      <c r="T121" s="2226"/>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227"/>
      <c r="C122" s="2228"/>
      <c r="D122" s="2228"/>
      <c r="E122" s="2228"/>
      <c r="F122" s="2228"/>
      <c r="G122" s="2228"/>
      <c r="H122" s="2228"/>
      <c r="I122" s="2228"/>
      <c r="J122" s="2228"/>
      <c r="K122" s="2228"/>
      <c r="L122" s="2228"/>
      <c r="M122" s="2228"/>
      <c r="N122" s="2228"/>
      <c r="O122" s="2228"/>
      <c r="P122" s="2228"/>
      <c r="Q122" s="2228"/>
      <c r="R122" s="2228"/>
      <c r="S122" s="2228"/>
      <c r="T122" s="2229"/>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1832</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251" t="s">
        <v>2173</v>
      </c>
      <c r="Y125" s="2252"/>
      <c r="Z125" s="2252"/>
      <c r="AA125" s="2252"/>
      <c r="AB125" s="2252"/>
      <c r="AC125" s="2252"/>
      <c r="AD125" s="2252"/>
      <c r="AE125" s="2252"/>
      <c r="AF125" s="2252"/>
      <c r="AG125" s="2252"/>
      <c r="AH125" s="2252"/>
      <c r="AI125" s="2252"/>
      <c r="AJ125" s="2252"/>
      <c r="AK125" s="2252"/>
      <c r="AL125" s="2252"/>
      <c r="AM125" s="2252"/>
      <c r="AN125" s="2252"/>
      <c r="AO125" s="2252"/>
      <c r="AP125" s="2252"/>
      <c r="AQ125" s="2252"/>
      <c r="AR125" s="2252"/>
      <c r="AS125" s="2252"/>
      <c r="AT125" s="2252"/>
      <c r="AU125" s="2252"/>
      <c r="AV125" s="2252"/>
      <c r="AW125" s="2252"/>
      <c r="AX125" s="2252"/>
      <c r="AY125" s="2252"/>
      <c r="AZ125" s="2252"/>
      <c r="BA125" s="2252"/>
      <c r="BB125" s="2252"/>
      <c r="BC125" s="2252"/>
      <c r="BD125" s="2413"/>
      <c r="BE125" s="1205"/>
    </row>
    <row r="126" spans="1:57" ht="15.75" customHeight="1">
      <c r="A126" s="1209"/>
      <c r="B126" s="2415" t="s">
        <v>1688</v>
      </c>
      <c r="C126" s="2416"/>
      <c r="D126" s="2416"/>
      <c r="E126" s="2416"/>
      <c r="F126" s="2416"/>
      <c r="G126" s="2416"/>
      <c r="H126" s="2416"/>
      <c r="I126" s="2416"/>
      <c r="J126" s="2416"/>
      <c r="K126" s="2416"/>
      <c r="L126" s="2416"/>
      <c r="M126" s="2416"/>
      <c r="N126" s="2416"/>
      <c r="O126" s="2416"/>
      <c r="P126" s="2416"/>
      <c r="Q126" s="2416"/>
      <c r="R126" s="2416"/>
      <c r="S126" s="2416"/>
      <c r="T126" s="2416"/>
      <c r="U126" s="2417"/>
      <c r="V126" s="1209"/>
      <c r="W126" s="1209"/>
      <c r="X126" s="2253"/>
      <c r="Y126" s="2254"/>
      <c r="Z126" s="2254"/>
      <c r="AA126" s="2254"/>
      <c r="AB126" s="2254"/>
      <c r="AC126" s="2254"/>
      <c r="AD126" s="2254"/>
      <c r="AE126" s="2254"/>
      <c r="AF126" s="2254"/>
      <c r="AG126" s="2254"/>
      <c r="AH126" s="2254"/>
      <c r="AI126" s="2254"/>
      <c r="AJ126" s="2254"/>
      <c r="AK126" s="2254"/>
      <c r="AL126" s="2254"/>
      <c r="AM126" s="2254"/>
      <c r="AN126" s="2254"/>
      <c r="AO126" s="2254"/>
      <c r="AP126" s="2254"/>
      <c r="AQ126" s="2254"/>
      <c r="AR126" s="2254"/>
      <c r="AS126" s="2254"/>
      <c r="AT126" s="2254"/>
      <c r="AU126" s="2254"/>
      <c r="AV126" s="2254"/>
      <c r="AW126" s="2254"/>
      <c r="AX126" s="2254"/>
      <c r="AY126" s="2254"/>
      <c r="AZ126" s="2254"/>
      <c r="BA126" s="2254"/>
      <c r="BB126" s="2254"/>
      <c r="BC126" s="2254"/>
      <c r="BD126" s="2414"/>
      <c r="BE126" s="1205"/>
    </row>
    <row r="127" spans="1:57" ht="15.75" customHeight="1">
      <c r="A127" s="1209"/>
      <c r="B127" s="2418"/>
      <c r="C127" s="2419"/>
      <c r="D127" s="2419"/>
      <c r="E127" s="2419"/>
      <c r="F127" s="2419"/>
      <c r="G127" s="2419"/>
      <c r="H127" s="2419"/>
      <c r="I127" s="2211" t="s">
        <v>2174</v>
      </c>
      <c r="J127" s="2211"/>
      <c r="K127" s="2211"/>
      <c r="L127" s="2211"/>
      <c r="M127" s="2211"/>
      <c r="N127" s="2211"/>
      <c r="O127" s="2420" t="s">
        <v>2175</v>
      </c>
      <c r="P127" s="2420"/>
      <c r="Q127" s="2420"/>
      <c r="R127" s="2420"/>
      <c r="S127" s="2420"/>
      <c r="T127" s="2420"/>
      <c r="U127" s="2421"/>
      <c r="V127" s="1209"/>
      <c r="W127" s="1209"/>
      <c r="X127" s="2398" t="s">
        <v>2187</v>
      </c>
      <c r="Y127" s="2399"/>
      <c r="Z127" s="2399"/>
      <c r="AA127" s="2399"/>
      <c r="AB127" s="2399"/>
      <c r="AC127" s="2399"/>
      <c r="AD127" s="2399"/>
      <c r="AE127" s="2399"/>
      <c r="AF127" s="2399"/>
      <c r="AG127" s="2399"/>
      <c r="AH127" s="2399"/>
      <c r="AI127" s="2399"/>
      <c r="AJ127" s="2399"/>
      <c r="AK127" s="2399"/>
      <c r="AL127" s="2399"/>
      <c r="AM127" s="2399"/>
      <c r="AN127" s="2399"/>
      <c r="AO127" s="2399"/>
      <c r="AP127" s="2399"/>
      <c r="AQ127" s="2399"/>
      <c r="AR127" s="2399"/>
      <c r="AS127" s="2399"/>
      <c r="AT127" s="2399"/>
      <c r="AU127" s="2399"/>
      <c r="AV127" s="2399"/>
      <c r="AW127" s="2399"/>
      <c r="AX127" s="2399"/>
      <c r="AY127" s="2399"/>
      <c r="AZ127" s="2399"/>
      <c r="BA127" s="2399"/>
      <c r="BB127" s="2399"/>
      <c r="BC127" s="2399"/>
      <c r="BD127" s="2400"/>
      <c r="BE127" s="1205"/>
    </row>
    <row r="128" spans="1:57" ht="15.75" customHeight="1">
      <c r="A128" s="1209"/>
      <c r="B128" s="2424" t="s">
        <v>2176</v>
      </c>
      <c r="C128" s="2425"/>
      <c r="D128" s="2425"/>
      <c r="E128" s="2425"/>
      <c r="F128" s="2425"/>
      <c r="G128" s="2425"/>
      <c r="H128" s="2425"/>
      <c r="I128" s="2212">
        <v>0</v>
      </c>
      <c r="J128" s="2212"/>
      <c r="K128" s="2212"/>
      <c r="L128" s="2212"/>
      <c r="M128" s="2212"/>
      <c r="N128" s="2212"/>
      <c r="O128" s="2212">
        <v>0</v>
      </c>
      <c r="P128" s="2212"/>
      <c r="Q128" s="2212"/>
      <c r="R128" s="2212"/>
      <c r="S128" s="2212"/>
      <c r="T128" s="2212"/>
      <c r="U128" s="2218"/>
      <c r="V128" s="1209"/>
      <c r="W128" s="1209"/>
      <c r="X128" s="2398"/>
      <c r="Y128" s="2399"/>
      <c r="Z128" s="2399"/>
      <c r="AA128" s="2399"/>
      <c r="AB128" s="2399"/>
      <c r="AC128" s="2399"/>
      <c r="AD128" s="2399"/>
      <c r="AE128" s="2399"/>
      <c r="AF128" s="2399"/>
      <c r="AG128" s="2399"/>
      <c r="AH128" s="2399"/>
      <c r="AI128" s="2399"/>
      <c r="AJ128" s="2399"/>
      <c r="AK128" s="2399"/>
      <c r="AL128" s="2399"/>
      <c r="AM128" s="2399"/>
      <c r="AN128" s="2399"/>
      <c r="AO128" s="2399"/>
      <c r="AP128" s="2399"/>
      <c r="AQ128" s="2399"/>
      <c r="AR128" s="2399"/>
      <c r="AS128" s="2399"/>
      <c r="AT128" s="2399"/>
      <c r="AU128" s="2399"/>
      <c r="AV128" s="2399"/>
      <c r="AW128" s="2399"/>
      <c r="AX128" s="2399"/>
      <c r="AY128" s="2399"/>
      <c r="AZ128" s="2399"/>
      <c r="BA128" s="2399"/>
      <c r="BB128" s="2399"/>
      <c r="BC128" s="2399"/>
      <c r="BD128" s="2400"/>
      <c r="BE128" s="1205"/>
    </row>
    <row r="129" spans="1:57" ht="15.75" customHeight="1" thickBot="1">
      <c r="A129" s="1209"/>
      <c r="B129" s="2426" t="s">
        <v>2177</v>
      </c>
      <c r="C129" s="2427"/>
      <c r="D129" s="2427"/>
      <c r="E129" s="2427"/>
      <c r="F129" s="2427"/>
      <c r="G129" s="2427"/>
      <c r="H129" s="2427"/>
      <c r="I129" s="2232">
        <v>0</v>
      </c>
      <c r="J129" s="2232"/>
      <c r="K129" s="2232"/>
      <c r="L129" s="2232"/>
      <c r="M129" s="2232"/>
      <c r="N129" s="2232"/>
      <c r="O129" s="2422"/>
      <c r="P129" s="2422"/>
      <c r="Q129" s="2422"/>
      <c r="R129" s="2422"/>
      <c r="S129" s="2422"/>
      <c r="T129" s="2422"/>
      <c r="U129" s="2423"/>
      <c r="V129" s="1209"/>
      <c r="W129" s="1209"/>
      <c r="X129" s="2398"/>
      <c r="Y129" s="2399"/>
      <c r="Z129" s="2399"/>
      <c r="AA129" s="2399"/>
      <c r="AB129" s="2399"/>
      <c r="AC129" s="2399"/>
      <c r="AD129" s="2399"/>
      <c r="AE129" s="2399"/>
      <c r="AF129" s="2399"/>
      <c r="AG129" s="2399"/>
      <c r="AH129" s="2399"/>
      <c r="AI129" s="2399"/>
      <c r="AJ129" s="2399"/>
      <c r="AK129" s="2399"/>
      <c r="AL129" s="2399"/>
      <c r="AM129" s="2399"/>
      <c r="AN129" s="2399"/>
      <c r="AO129" s="2399"/>
      <c r="AP129" s="2399"/>
      <c r="AQ129" s="2399"/>
      <c r="AR129" s="2399"/>
      <c r="AS129" s="2399"/>
      <c r="AT129" s="2399"/>
      <c r="AU129" s="2399"/>
      <c r="AV129" s="2399"/>
      <c r="AW129" s="2399"/>
      <c r="AX129" s="2399"/>
      <c r="AY129" s="2399"/>
      <c r="AZ129" s="2399"/>
      <c r="BA129" s="2399"/>
      <c r="BB129" s="2399"/>
      <c r="BC129" s="2399"/>
      <c r="BD129" s="2400"/>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398"/>
      <c r="Y130" s="2399"/>
      <c r="Z130" s="2399"/>
      <c r="AA130" s="2399"/>
      <c r="AB130" s="2399"/>
      <c r="AC130" s="2399"/>
      <c r="AD130" s="2399"/>
      <c r="AE130" s="2399"/>
      <c r="AF130" s="2399"/>
      <c r="AG130" s="2399"/>
      <c r="AH130" s="2399"/>
      <c r="AI130" s="2399"/>
      <c r="AJ130" s="2399"/>
      <c r="AK130" s="2399"/>
      <c r="AL130" s="2399"/>
      <c r="AM130" s="2399"/>
      <c r="AN130" s="2399"/>
      <c r="AO130" s="2399"/>
      <c r="AP130" s="2399"/>
      <c r="AQ130" s="2399"/>
      <c r="AR130" s="2399"/>
      <c r="AS130" s="2399"/>
      <c r="AT130" s="2399"/>
      <c r="AU130" s="2399"/>
      <c r="AV130" s="2399"/>
      <c r="AW130" s="2399"/>
      <c r="AX130" s="2399"/>
      <c r="AY130" s="2399"/>
      <c r="AZ130" s="2399"/>
      <c r="BA130" s="2399"/>
      <c r="BB130" s="2399"/>
      <c r="BC130" s="2399"/>
      <c r="BD130" s="2400"/>
      <c r="BE130" s="1205"/>
    </row>
    <row r="131" spans="1:57" ht="15.75" customHeight="1" thickBot="1">
      <c r="A131" s="1209"/>
      <c r="B131" s="1231" t="s">
        <v>1833</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398"/>
      <c r="Y131" s="2399"/>
      <c r="Z131" s="2399"/>
      <c r="AA131" s="2399"/>
      <c r="AB131" s="2399"/>
      <c r="AC131" s="2399"/>
      <c r="AD131" s="2399"/>
      <c r="AE131" s="2399"/>
      <c r="AF131" s="2399"/>
      <c r="AG131" s="2399"/>
      <c r="AH131" s="2399"/>
      <c r="AI131" s="2399"/>
      <c r="AJ131" s="2399"/>
      <c r="AK131" s="2399"/>
      <c r="AL131" s="2399"/>
      <c r="AM131" s="2399"/>
      <c r="AN131" s="2399"/>
      <c r="AO131" s="2399"/>
      <c r="AP131" s="2399"/>
      <c r="AQ131" s="2399"/>
      <c r="AR131" s="2399"/>
      <c r="AS131" s="2399"/>
      <c r="AT131" s="2399"/>
      <c r="AU131" s="2399"/>
      <c r="AV131" s="2399"/>
      <c r="AW131" s="2399"/>
      <c r="AX131" s="2399"/>
      <c r="AY131" s="2399"/>
      <c r="AZ131" s="2399"/>
      <c r="BA131" s="2399"/>
      <c r="BB131" s="2399"/>
      <c r="BC131" s="2399"/>
      <c r="BD131" s="2400"/>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398"/>
      <c r="Y132" s="2399"/>
      <c r="Z132" s="2399"/>
      <c r="AA132" s="2399"/>
      <c r="AB132" s="2399"/>
      <c r="AC132" s="2399"/>
      <c r="AD132" s="2399"/>
      <c r="AE132" s="2399"/>
      <c r="AF132" s="2399"/>
      <c r="AG132" s="2399"/>
      <c r="AH132" s="2399"/>
      <c r="AI132" s="2399"/>
      <c r="AJ132" s="2399"/>
      <c r="AK132" s="2399"/>
      <c r="AL132" s="2399"/>
      <c r="AM132" s="2399"/>
      <c r="AN132" s="2399"/>
      <c r="AO132" s="2399"/>
      <c r="AP132" s="2399"/>
      <c r="AQ132" s="2399"/>
      <c r="AR132" s="2399"/>
      <c r="AS132" s="2399"/>
      <c r="AT132" s="2399"/>
      <c r="AU132" s="2399"/>
      <c r="AV132" s="2399"/>
      <c r="AW132" s="2399"/>
      <c r="AX132" s="2399"/>
      <c r="AY132" s="2399"/>
      <c r="AZ132" s="2399"/>
      <c r="BA132" s="2399"/>
      <c r="BB132" s="2399"/>
      <c r="BC132" s="2399"/>
      <c r="BD132" s="2400"/>
      <c r="BE132" s="1205"/>
    </row>
    <row r="133" spans="1:57" ht="15.75" customHeight="1">
      <c r="A133" s="1209"/>
      <c r="B133" s="2277" t="s">
        <v>1834</v>
      </c>
      <c r="C133" s="2278"/>
      <c r="D133" s="2278"/>
      <c r="E133" s="2278"/>
      <c r="F133" s="2278"/>
      <c r="G133" s="2278"/>
      <c r="H133" s="2278"/>
      <c r="I133" s="2278"/>
      <c r="J133" s="2278"/>
      <c r="K133" s="2278"/>
      <c r="L133" s="2278"/>
      <c r="M133" s="2278"/>
      <c r="N133" s="2278"/>
      <c r="O133" s="2278"/>
      <c r="P133" s="2278"/>
      <c r="Q133" s="2278"/>
      <c r="R133" s="2278"/>
      <c r="S133" s="2278"/>
      <c r="T133" s="2278"/>
      <c r="U133" s="2279"/>
      <c r="V133" s="1209"/>
      <c r="W133" s="1209"/>
      <c r="X133" s="2398"/>
      <c r="Y133" s="2399"/>
      <c r="Z133" s="2399"/>
      <c r="AA133" s="2399"/>
      <c r="AB133" s="2399"/>
      <c r="AC133" s="2399"/>
      <c r="AD133" s="2399"/>
      <c r="AE133" s="2399"/>
      <c r="AF133" s="2399"/>
      <c r="AG133" s="2399"/>
      <c r="AH133" s="2399"/>
      <c r="AI133" s="2399"/>
      <c r="AJ133" s="2399"/>
      <c r="AK133" s="2399"/>
      <c r="AL133" s="2399"/>
      <c r="AM133" s="2399"/>
      <c r="AN133" s="2399"/>
      <c r="AO133" s="2399"/>
      <c r="AP133" s="2399"/>
      <c r="AQ133" s="2399"/>
      <c r="AR133" s="2399"/>
      <c r="AS133" s="2399"/>
      <c r="AT133" s="2399"/>
      <c r="AU133" s="2399"/>
      <c r="AV133" s="2399"/>
      <c r="AW133" s="2399"/>
      <c r="AX133" s="2399"/>
      <c r="AY133" s="2399"/>
      <c r="AZ133" s="2399"/>
      <c r="BA133" s="2399"/>
      <c r="BB133" s="2399"/>
      <c r="BC133" s="2399"/>
      <c r="BD133" s="2400"/>
      <c r="BE133" s="1205"/>
    </row>
    <row r="134" spans="1:57" ht="15.75" customHeight="1">
      <c r="A134" s="1209"/>
      <c r="B134" s="2418"/>
      <c r="C134" s="2419"/>
      <c r="D134" s="2419"/>
      <c r="E134" s="2419"/>
      <c r="F134" s="2419"/>
      <c r="G134" s="2419"/>
      <c r="H134" s="2419"/>
      <c r="I134" s="2442" t="s">
        <v>1829</v>
      </c>
      <c r="J134" s="2442"/>
      <c r="K134" s="2442"/>
      <c r="L134" s="2442"/>
      <c r="M134" s="2442"/>
      <c r="N134" s="2442"/>
      <c r="O134" s="2442"/>
      <c r="P134" s="2442" t="s">
        <v>2188</v>
      </c>
      <c r="Q134" s="2442"/>
      <c r="R134" s="2442"/>
      <c r="S134" s="2442"/>
      <c r="T134" s="2442"/>
      <c r="U134" s="2443"/>
      <c r="V134" s="1209"/>
      <c r="W134" s="1209"/>
      <c r="X134" s="2398"/>
      <c r="Y134" s="2399"/>
      <c r="Z134" s="2399"/>
      <c r="AA134" s="2399"/>
      <c r="AB134" s="2399"/>
      <c r="AC134" s="2399"/>
      <c r="AD134" s="2399"/>
      <c r="AE134" s="2399"/>
      <c r="AF134" s="2399"/>
      <c r="AG134" s="2399"/>
      <c r="AH134" s="2399"/>
      <c r="AI134" s="2399"/>
      <c r="AJ134" s="2399"/>
      <c r="AK134" s="2399"/>
      <c r="AL134" s="2399"/>
      <c r="AM134" s="2399"/>
      <c r="AN134" s="2399"/>
      <c r="AO134" s="2399"/>
      <c r="AP134" s="2399"/>
      <c r="AQ134" s="2399"/>
      <c r="AR134" s="2399"/>
      <c r="AS134" s="2399"/>
      <c r="AT134" s="2399"/>
      <c r="AU134" s="2399"/>
      <c r="AV134" s="2399"/>
      <c r="AW134" s="2399"/>
      <c r="AX134" s="2399"/>
      <c r="AY134" s="2399"/>
      <c r="AZ134" s="2399"/>
      <c r="BA134" s="2399"/>
      <c r="BB134" s="2399"/>
      <c r="BC134" s="2399"/>
      <c r="BD134" s="2400"/>
      <c r="BE134" s="1205"/>
    </row>
    <row r="135" spans="1:57" ht="15.75" customHeight="1">
      <c r="A135" s="1209"/>
      <c r="B135" s="2418"/>
      <c r="C135" s="2419"/>
      <c r="D135" s="2419"/>
      <c r="E135" s="2419"/>
      <c r="F135" s="2419"/>
      <c r="G135" s="2419"/>
      <c r="H135" s="2419"/>
      <c r="I135" s="2442"/>
      <c r="J135" s="2442"/>
      <c r="K135" s="2442"/>
      <c r="L135" s="2442"/>
      <c r="M135" s="2442"/>
      <c r="N135" s="2442"/>
      <c r="O135" s="2442"/>
      <c r="P135" s="2442"/>
      <c r="Q135" s="2442"/>
      <c r="R135" s="2442"/>
      <c r="S135" s="2442"/>
      <c r="T135" s="2442"/>
      <c r="U135" s="2443"/>
      <c r="V135" s="1209"/>
      <c r="W135" s="1209"/>
      <c r="X135" s="2398"/>
      <c r="Y135" s="2399"/>
      <c r="Z135" s="2399"/>
      <c r="AA135" s="2399"/>
      <c r="AB135" s="2399"/>
      <c r="AC135" s="2399"/>
      <c r="AD135" s="2399"/>
      <c r="AE135" s="2399"/>
      <c r="AF135" s="2399"/>
      <c r="AG135" s="2399"/>
      <c r="AH135" s="2399"/>
      <c r="AI135" s="2399"/>
      <c r="AJ135" s="2399"/>
      <c r="AK135" s="2399"/>
      <c r="AL135" s="2399"/>
      <c r="AM135" s="2399"/>
      <c r="AN135" s="2399"/>
      <c r="AO135" s="2399"/>
      <c r="AP135" s="2399"/>
      <c r="AQ135" s="2399"/>
      <c r="AR135" s="2399"/>
      <c r="AS135" s="2399"/>
      <c r="AT135" s="2399"/>
      <c r="AU135" s="2399"/>
      <c r="AV135" s="2399"/>
      <c r="AW135" s="2399"/>
      <c r="AX135" s="2399"/>
      <c r="AY135" s="2399"/>
      <c r="AZ135" s="2399"/>
      <c r="BA135" s="2399"/>
      <c r="BB135" s="2399"/>
      <c r="BC135" s="2399"/>
      <c r="BD135" s="2400"/>
      <c r="BE135" s="1205"/>
    </row>
    <row r="136" spans="1:57" ht="15.75" customHeight="1">
      <c r="A136" s="1209"/>
      <c r="B136" s="2424" t="s">
        <v>2176</v>
      </c>
      <c r="C136" s="2425"/>
      <c r="D136" s="2425"/>
      <c r="E136" s="2425"/>
      <c r="F136" s="2425"/>
      <c r="G136" s="2425"/>
      <c r="H136" s="2425"/>
      <c r="I136" s="2212">
        <v>0</v>
      </c>
      <c r="J136" s="2212"/>
      <c r="K136" s="2212"/>
      <c r="L136" s="2212"/>
      <c r="M136" s="2212"/>
      <c r="N136" s="2212"/>
      <c r="O136" s="2212"/>
      <c r="P136" s="2212">
        <v>0</v>
      </c>
      <c r="Q136" s="2212"/>
      <c r="R136" s="2212"/>
      <c r="S136" s="2212"/>
      <c r="T136" s="2212"/>
      <c r="U136" s="2218"/>
      <c r="V136" s="1209"/>
      <c r="W136" s="1209"/>
      <c r="X136" s="2398"/>
      <c r="Y136" s="2399"/>
      <c r="Z136" s="2399"/>
      <c r="AA136" s="2399"/>
      <c r="AB136" s="2399"/>
      <c r="AC136" s="2399"/>
      <c r="AD136" s="2399"/>
      <c r="AE136" s="2399"/>
      <c r="AF136" s="2399"/>
      <c r="AG136" s="2399"/>
      <c r="AH136" s="2399"/>
      <c r="AI136" s="2399"/>
      <c r="AJ136" s="2399"/>
      <c r="AK136" s="2399"/>
      <c r="AL136" s="2399"/>
      <c r="AM136" s="2399"/>
      <c r="AN136" s="2399"/>
      <c r="AO136" s="2399"/>
      <c r="AP136" s="2399"/>
      <c r="AQ136" s="2399"/>
      <c r="AR136" s="2399"/>
      <c r="AS136" s="2399"/>
      <c r="AT136" s="2399"/>
      <c r="AU136" s="2399"/>
      <c r="AV136" s="2399"/>
      <c r="AW136" s="2399"/>
      <c r="AX136" s="2399"/>
      <c r="AY136" s="2399"/>
      <c r="AZ136" s="2399"/>
      <c r="BA136" s="2399"/>
      <c r="BB136" s="2399"/>
      <c r="BC136" s="2399"/>
      <c r="BD136" s="2400"/>
      <c r="BE136" s="1205"/>
    </row>
    <row r="137" spans="1:57" ht="15.75" customHeight="1" thickBot="1">
      <c r="A137" s="1209"/>
      <c r="B137" s="2426" t="s">
        <v>2177</v>
      </c>
      <c r="C137" s="2427"/>
      <c r="D137" s="2427"/>
      <c r="E137" s="2427"/>
      <c r="F137" s="2427"/>
      <c r="G137" s="2427"/>
      <c r="H137" s="2427"/>
      <c r="I137" s="2232">
        <v>0</v>
      </c>
      <c r="J137" s="2232"/>
      <c r="K137" s="2232"/>
      <c r="L137" s="2232"/>
      <c r="M137" s="2232"/>
      <c r="N137" s="2232"/>
      <c r="O137" s="2232"/>
      <c r="P137" s="2232">
        <v>0</v>
      </c>
      <c r="Q137" s="2232"/>
      <c r="R137" s="2232"/>
      <c r="S137" s="2232"/>
      <c r="T137" s="2232"/>
      <c r="U137" s="2233"/>
      <c r="V137" s="1209"/>
      <c r="W137" s="1209"/>
      <c r="X137" s="2401"/>
      <c r="Y137" s="2402"/>
      <c r="Z137" s="2402"/>
      <c r="AA137" s="2402"/>
      <c r="AB137" s="2402"/>
      <c r="AC137" s="2402"/>
      <c r="AD137" s="2402"/>
      <c r="AE137" s="2402"/>
      <c r="AF137" s="2402"/>
      <c r="AG137" s="2402"/>
      <c r="AH137" s="2402"/>
      <c r="AI137" s="2402"/>
      <c r="AJ137" s="2402"/>
      <c r="AK137" s="2402"/>
      <c r="AL137" s="2402"/>
      <c r="AM137" s="2402"/>
      <c r="AN137" s="2402"/>
      <c r="AO137" s="2402"/>
      <c r="AP137" s="2402"/>
      <c r="AQ137" s="2402"/>
      <c r="AR137" s="2402"/>
      <c r="AS137" s="2402"/>
      <c r="AT137" s="2402"/>
      <c r="AU137" s="2402"/>
      <c r="AV137" s="2402"/>
      <c r="AW137" s="2402"/>
      <c r="AX137" s="2402"/>
      <c r="AY137" s="2402"/>
      <c r="AZ137" s="2402"/>
      <c r="BA137" s="2402"/>
      <c r="BB137" s="2402"/>
      <c r="BC137" s="2402"/>
      <c r="BD137" s="2403"/>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428" t="s">
        <v>1835</v>
      </c>
      <c r="C139" s="2429"/>
      <c r="D139" s="2429"/>
      <c r="E139" s="2429"/>
      <c r="F139" s="2429"/>
      <c r="G139" s="2429"/>
      <c r="H139" s="2429"/>
      <c r="I139" s="2429"/>
      <c r="J139" s="2429"/>
      <c r="K139" s="2429"/>
      <c r="L139" s="2429"/>
      <c r="M139" s="2429"/>
      <c r="N139" s="2429"/>
      <c r="O139" s="2429"/>
      <c r="P139" s="2429"/>
      <c r="Q139" s="2429"/>
      <c r="R139" s="2429"/>
      <c r="S139" s="2429"/>
      <c r="T139" s="2429"/>
      <c r="U139" s="2429"/>
      <c r="V139" s="2429"/>
      <c r="W139" s="2429"/>
      <c r="X139" s="2429"/>
      <c r="Y139" s="2429"/>
      <c r="Z139" s="2429"/>
      <c r="AA139" s="2429"/>
      <c r="AB139" s="2429"/>
      <c r="AC139" s="2429"/>
      <c r="AD139" s="2429"/>
      <c r="AE139" s="2429"/>
      <c r="AF139" s="2429"/>
      <c r="AG139" s="2429"/>
      <c r="AH139" s="2430" t="s">
        <v>553</v>
      </c>
      <c r="AI139" s="2430"/>
      <c r="AJ139" s="2430"/>
      <c r="AK139" s="2430"/>
      <c r="AL139" s="2430"/>
      <c r="AM139" s="2430"/>
      <c r="AN139" s="2430"/>
      <c r="AO139" s="2430"/>
      <c r="AP139" s="2430"/>
      <c r="AQ139" s="2430"/>
      <c r="AR139" s="2430"/>
      <c r="AS139" s="2430"/>
      <c r="AT139" s="2430"/>
      <c r="AU139" s="2430"/>
      <c r="AV139" s="2430"/>
      <c r="AW139" s="2430"/>
      <c r="AX139" s="2431"/>
      <c r="AY139" s="1209"/>
      <c r="AZ139" s="1209"/>
      <c r="BA139" s="1209"/>
      <c r="BB139" s="1209"/>
      <c r="BC139" s="1209"/>
      <c r="BD139" s="1209"/>
      <c r="BE139" s="1205"/>
    </row>
    <row r="140" spans="1:57" ht="15.75" customHeight="1">
      <c r="A140" s="1209"/>
      <c r="B140" s="2432" t="s">
        <v>1836</v>
      </c>
      <c r="C140" s="2433"/>
      <c r="D140" s="2433"/>
      <c r="E140" s="2433"/>
      <c r="F140" s="2433"/>
      <c r="G140" s="2433"/>
      <c r="H140" s="2433"/>
      <c r="I140" s="2433"/>
      <c r="J140" s="2433"/>
      <c r="K140" s="2433"/>
      <c r="L140" s="2433"/>
      <c r="M140" s="2433"/>
      <c r="N140" s="2433"/>
      <c r="O140" s="2433"/>
      <c r="P140" s="2433"/>
      <c r="Q140" s="2433"/>
      <c r="R140" s="2434" t="s">
        <v>2190</v>
      </c>
      <c r="S140" s="2434"/>
      <c r="T140" s="2434"/>
      <c r="U140" s="2434"/>
      <c r="V140" s="2434"/>
      <c r="W140" s="2434"/>
      <c r="X140" s="2434"/>
      <c r="Y140" s="2434"/>
      <c r="Z140" s="2434"/>
      <c r="AA140" s="2434"/>
      <c r="AB140" s="2434"/>
      <c r="AC140" s="2434"/>
      <c r="AD140" s="2434"/>
      <c r="AE140" s="2434"/>
      <c r="AF140" s="2434"/>
      <c r="AG140" s="2434"/>
      <c r="AH140" s="2434"/>
      <c r="AI140" s="2434"/>
      <c r="AJ140" s="2434"/>
      <c r="AK140" s="2434"/>
      <c r="AL140" s="2434"/>
      <c r="AM140" s="2434"/>
      <c r="AN140" s="2434"/>
      <c r="AO140" s="2434"/>
      <c r="AP140" s="2434"/>
      <c r="AQ140" s="2434"/>
      <c r="AR140" s="2434"/>
      <c r="AS140" s="2434"/>
      <c r="AT140" s="2434"/>
      <c r="AU140" s="2434"/>
      <c r="AV140" s="2434"/>
      <c r="AW140" s="2434"/>
      <c r="AX140" s="2435"/>
      <c r="AY140" s="1209"/>
      <c r="AZ140" s="1209"/>
      <c r="BA140" s="1209"/>
      <c r="BB140" s="1209"/>
      <c r="BC140" s="1209" t="s">
        <v>251</v>
      </c>
      <c r="BD140" s="1209"/>
      <c r="BE140" s="1205"/>
    </row>
    <row r="141" spans="1:57" ht="15.75" customHeight="1">
      <c r="A141" s="1209"/>
      <c r="B141" s="2436" t="s">
        <v>2191</v>
      </c>
      <c r="C141" s="2437"/>
      <c r="D141" s="2437"/>
      <c r="E141" s="2437"/>
      <c r="F141" s="2437"/>
      <c r="G141" s="2437"/>
      <c r="H141" s="2437"/>
      <c r="I141" s="2437"/>
      <c r="J141" s="2437"/>
      <c r="K141" s="2437"/>
      <c r="L141" s="2437"/>
      <c r="M141" s="2437"/>
      <c r="N141" s="2437"/>
      <c r="O141" s="2437"/>
      <c r="P141" s="2437"/>
      <c r="Q141" s="2437"/>
      <c r="R141" s="2437"/>
      <c r="S141" s="2437"/>
      <c r="T141" s="2437"/>
      <c r="U141" s="2437"/>
      <c r="V141" s="2437"/>
      <c r="W141" s="2437"/>
      <c r="X141" s="2437"/>
      <c r="Y141" s="2437"/>
      <c r="Z141" s="2437"/>
      <c r="AA141" s="2437"/>
      <c r="AB141" s="2437"/>
      <c r="AC141" s="2437"/>
      <c r="AD141" s="2437"/>
      <c r="AE141" s="2437"/>
      <c r="AF141" s="2437"/>
      <c r="AG141" s="2437"/>
      <c r="AH141" s="2437"/>
      <c r="AI141" s="2437"/>
      <c r="AJ141" s="2437"/>
      <c r="AK141" s="2437"/>
      <c r="AL141" s="2437"/>
      <c r="AM141" s="2437"/>
      <c r="AN141" s="2437"/>
      <c r="AO141" s="2437"/>
      <c r="AP141" s="2437"/>
      <c r="AQ141" s="2437"/>
      <c r="AR141" s="2437"/>
      <c r="AS141" s="2437"/>
      <c r="AT141" s="2437"/>
      <c r="AU141" s="2437"/>
      <c r="AV141" s="2437"/>
      <c r="AW141" s="2437"/>
      <c r="AX141" s="2438"/>
      <c r="AY141" s="1209"/>
      <c r="AZ141" s="1209"/>
      <c r="BA141" s="1209"/>
      <c r="BB141" s="1209"/>
      <c r="BC141" s="1209"/>
      <c r="BD141" s="1209"/>
      <c r="BE141" s="1205"/>
    </row>
    <row r="142" spans="1:57" ht="15.75" customHeight="1">
      <c r="A142" s="1209"/>
      <c r="B142" s="2436"/>
      <c r="C142" s="2437"/>
      <c r="D142" s="2437"/>
      <c r="E142" s="2437"/>
      <c r="F142" s="2437"/>
      <c r="G142" s="2437"/>
      <c r="H142" s="2437"/>
      <c r="I142" s="2437"/>
      <c r="J142" s="2437"/>
      <c r="K142" s="2437"/>
      <c r="L142" s="2437"/>
      <c r="M142" s="2437"/>
      <c r="N142" s="2437"/>
      <c r="O142" s="2437"/>
      <c r="P142" s="2437"/>
      <c r="Q142" s="2437"/>
      <c r="R142" s="2437"/>
      <c r="S142" s="2437"/>
      <c r="T142" s="2437"/>
      <c r="U142" s="2437"/>
      <c r="V142" s="2437"/>
      <c r="W142" s="2437"/>
      <c r="X142" s="2437"/>
      <c r="Y142" s="2437"/>
      <c r="Z142" s="2437"/>
      <c r="AA142" s="2437"/>
      <c r="AB142" s="2437"/>
      <c r="AC142" s="2437"/>
      <c r="AD142" s="2437"/>
      <c r="AE142" s="2437"/>
      <c r="AF142" s="2437"/>
      <c r="AG142" s="2437"/>
      <c r="AH142" s="2437"/>
      <c r="AI142" s="2437"/>
      <c r="AJ142" s="2437"/>
      <c r="AK142" s="2437"/>
      <c r="AL142" s="2437"/>
      <c r="AM142" s="2437"/>
      <c r="AN142" s="2437"/>
      <c r="AO142" s="2437"/>
      <c r="AP142" s="2437"/>
      <c r="AQ142" s="2437"/>
      <c r="AR142" s="2437"/>
      <c r="AS142" s="2437"/>
      <c r="AT142" s="2437"/>
      <c r="AU142" s="2437"/>
      <c r="AV142" s="2437"/>
      <c r="AW142" s="2437"/>
      <c r="AX142" s="2438"/>
      <c r="AY142" s="1209"/>
      <c r="AZ142" s="1209"/>
      <c r="BA142" s="1209"/>
      <c r="BB142" s="1209"/>
      <c r="BC142" s="1209"/>
      <c r="BD142" s="1209"/>
      <c r="BE142" s="1205"/>
    </row>
    <row r="143" spans="1:57" ht="15.75" customHeight="1">
      <c r="A143" s="1209"/>
      <c r="B143" s="2436"/>
      <c r="C143" s="2437"/>
      <c r="D143" s="2437"/>
      <c r="E143" s="2437"/>
      <c r="F143" s="2437"/>
      <c r="G143" s="2437"/>
      <c r="H143" s="2437"/>
      <c r="I143" s="2437"/>
      <c r="J143" s="2437"/>
      <c r="K143" s="2437"/>
      <c r="L143" s="2437"/>
      <c r="M143" s="2437"/>
      <c r="N143" s="2437"/>
      <c r="O143" s="2437"/>
      <c r="P143" s="2437"/>
      <c r="Q143" s="2437"/>
      <c r="R143" s="2437"/>
      <c r="S143" s="2437"/>
      <c r="T143" s="2437"/>
      <c r="U143" s="2437"/>
      <c r="V143" s="2437"/>
      <c r="W143" s="2437"/>
      <c r="X143" s="2437"/>
      <c r="Y143" s="2437"/>
      <c r="Z143" s="2437"/>
      <c r="AA143" s="2437"/>
      <c r="AB143" s="2437"/>
      <c r="AC143" s="2437"/>
      <c r="AD143" s="2437"/>
      <c r="AE143" s="2437"/>
      <c r="AF143" s="2437"/>
      <c r="AG143" s="2437"/>
      <c r="AH143" s="2437"/>
      <c r="AI143" s="2437"/>
      <c r="AJ143" s="2437"/>
      <c r="AK143" s="2437"/>
      <c r="AL143" s="2437"/>
      <c r="AM143" s="2437"/>
      <c r="AN143" s="2437"/>
      <c r="AO143" s="2437"/>
      <c r="AP143" s="2437"/>
      <c r="AQ143" s="2437"/>
      <c r="AR143" s="2437"/>
      <c r="AS143" s="2437"/>
      <c r="AT143" s="2437"/>
      <c r="AU143" s="2437"/>
      <c r="AV143" s="2437"/>
      <c r="AW143" s="2437"/>
      <c r="AX143" s="2438"/>
      <c r="AY143" s="1209"/>
      <c r="AZ143" s="1209"/>
      <c r="BA143" s="1209"/>
      <c r="BB143" s="1209"/>
      <c r="BC143" s="1209"/>
      <c r="BD143" s="1209"/>
      <c r="BE143" s="1205"/>
    </row>
    <row r="144" spans="1:57" ht="15.75" customHeight="1">
      <c r="A144" s="1209"/>
      <c r="B144" s="2436"/>
      <c r="C144" s="2437"/>
      <c r="D144" s="2437"/>
      <c r="E144" s="2437"/>
      <c r="F144" s="2437"/>
      <c r="G144" s="2437"/>
      <c r="H144" s="2437"/>
      <c r="I144" s="2437"/>
      <c r="J144" s="2437"/>
      <c r="K144" s="2437"/>
      <c r="L144" s="2437"/>
      <c r="M144" s="2437"/>
      <c r="N144" s="2437"/>
      <c r="O144" s="2437"/>
      <c r="P144" s="2437"/>
      <c r="Q144" s="2437"/>
      <c r="R144" s="2437"/>
      <c r="S144" s="2437"/>
      <c r="T144" s="2437"/>
      <c r="U144" s="2437"/>
      <c r="V144" s="2437"/>
      <c r="W144" s="2437"/>
      <c r="X144" s="2437"/>
      <c r="Y144" s="2437"/>
      <c r="Z144" s="2437"/>
      <c r="AA144" s="2437"/>
      <c r="AB144" s="2437"/>
      <c r="AC144" s="2437"/>
      <c r="AD144" s="2437"/>
      <c r="AE144" s="2437"/>
      <c r="AF144" s="2437"/>
      <c r="AG144" s="2437"/>
      <c r="AH144" s="2437"/>
      <c r="AI144" s="2437"/>
      <c r="AJ144" s="2437"/>
      <c r="AK144" s="2437"/>
      <c r="AL144" s="2437"/>
      <c r="AM144" s="2437"/>
      <c r="AN144" s="2437"/>
      <c r="AO144" s="2437"/>
      <c r="AP144" s="2437"/>
      <c r="AQ144" s="2437"/>
      <c r="AR144" s="2437"/>
      <c r="AS144" s="2437"/>
      <c r="AT144" s="2437"/>
      <c r="AU144" s="2437"/>
      <c r="AV144" s="2437"/>
      <c r="AW144" s="2437"/>
      <c r="AX144" s="2438"/>
      <c r="AY144" s="1209"/>
      <c r="AZ144" s="1209"/>
      <c r="BA144" s="1209"/>
      <c r="BB144" s="1209"/>
      <c r="BC144" s="1209"/>
      <c r="BD144" s="1209"/>
      <c r="BE144" s="1205"/>
    </row>
    <row r="145" spans="1:57" ht="15.75" customHeight="1">
      <c r="A145" s="1209"/>
      <c r="B145" s="2436"/>
      <c r="C145" s="2437"/>
      <c r="D145" s="2437"/>
      <c r="E145" s="2437"/>
      <c r="F145" s="2437"/>
      <c r="G145" s="2437"/>
      <c r="H145" s="2437"/>
      <c r="I145" s="2437"/>
      <c r="J145" s="2437"/>
      <c r="K145" s="2437"/>
      <c r="L145" s="2437"/>
      <c r="M145" s="2437"/>
      <c r="N145" s="2437"/>
      <c r="O145" s="2437"/>
      <c r="P145" s="2437"/>
      <c r="Q145" s="2437"/>
      <c r="R145" s="2437"/>
      <c r="S145" s="2437"/>
      <c r="T145" s="2437"/>
      <c r="U145" s="2437"/>
      <c r="V145" s="2437"/>
      <c r="W145" s="2437"/>
      <c r="X145" s="2437"/>
      <c r="Y145" s="2437"/>
      <c r="Z145" s="2437"/>
      <c r="AA145" s="2437"/>
      <c r="AB145" s="2437"/>
      <c r="AC145" s="2437"/>
      <c r="AD145" s="2437"/>
      <c r="AE145" s="2437"/>
      <c r="AF145" s="2437"/>
      <c r="AG145" s="2437"/>
      <c r="AH145" s="2437"/>
      <c r="AI145" s="2437"/>
      <c r="AJ145" s="2437"/>
      <c r="AK145" s="2437"/>
      <c r="AL145" s="2437"/>
      <c r="AM145" s="2437"/>
      <c r="AN145" s="2437"/>
      <c r="AO145" s="2437"/>
      <c r="AP145" s="2437"/>
      <c r="AQ145" s="2437"/>
      <c r="AR145" s="2437"/>
      <c r="AS145" s="2437"/>
      <c r="AT145" s="2437"/>
      <c r="AU145" s="2437"/>
      <c r="AV145" s="2437"/>
      <c r="AW145" s="2437"/>
      <c r="AX145" s="2438"/>
      <c r="AY145" s="1209"/>
      <c r="AZ145" s="1209"/>
      <c r="BA145" s="1209"/>
      <c r="BB145" s="1209"/>
      <c r="BC145" s="1209"/>
      <c r="BD145" s="1209"/>
      <c r="BE145" s="1205"/>
    </row>
    <row r="146" spans="1:57" ht="15.75" customHeight="1">
      <c r="A146" s="1209"/>
      <c r="B146" s="2436"/>
      <c r="C146" s="2437"/>
      <c r="D146" s="2437"/>
      <c r="E146" s="2437"/>
      <c r="F146" s="2437"/>
      <c r="G146" s="2437"/>
      <c r="H146" s="2437"/>
      <c r="I146" s="2437"/>
      <c r="J146" s="2437"/>
      <c r="K146" s="2437"/>
      <c r="L146" s="2437"/>
      <c r="M146" s="2437"/>
      <c r="N146" s="2437"/>
      <c r="O146" s="2437"/>
      <c r="P146" s="2437"/>
      <c r="Q146" s="2437"/>
      <c r="R146" s="2437"/>
      <c r="S146" s="2437"/>
      <c r="T146" s="2437"/>
      <c r="U146" s="2437"/>
      <c r="V146" s="2437"/>
      <c r="W146" s="2437"/>
      <c r="X146" s="2437"/>
      <c r="Y146" s="2437"/>
      <c r="Z146" s="2437"/>
      <c r="AA146" s="2437"/>
      <c r="AB146" s="2437"/>
      <c r="AC146" s="2437"/>
      <c r="AD146" s="2437"/>
      <c r="AE146" s="2437"/>
      <c r="AF146" s="2437"/>
      <c r="AG146" s="2437"/>
      <c r="AH146" s="2437"/>
      <c r="AI146" s="2437"/>
      <c r="AJ146" s="2437"/>
      <c r="AK146" s="2437"/>
      <c r="AL146" s="2437"/>
      <c r="AM146" s="2437"/>
      <c r="AN146" s="2437"/>
      <c r="AO146" s="2437"/>
      <c r="AP146" s="2437"/>
      <c r="AQ146" s="2437"/>
      <c r="AR146" s="2437"/>
      <c r="AS146" s="2437"/>
      <c r="AT146" s="2437"/>
      <c r="AU146" s="2437"/>
      <c r="AV146" s="2437"/>
      <c r="AW146" s="2437"/>
      <c r="AX146" s="2438"/>
      <c r="AY146" s="1209"/>
      <c r="AZ146" s="1209"/>
      <c r="BA146" s="1209"/>
      <c r="BB146" s="1209"/>
      <c r="BC146" s="1209"/>
      <c r="BD146" s="1209"/>
      <c r="BE146" s="1205"/>
    </row>
    <row r="147" spans="1:57" ht="15.75" customHeight="1">
      <c r="A147" s="1209"/>
      <c r="B147" s="2436"/>
      <c r="C147" s="2437"/>
      <c r="D147" s="2437"/>
      <c r="E147" s="2437"/>
      <c r="F147" s="2437"/>
      <c r="G147" s="2437"/>
      <c r="H147" s="2437"/>
      <c r="I147" s="2437"/>
      <c r="J147" s="2437"/>
      <c r="K147" s="2437"/>
      <c r="L147" s="2437"/>
      <c r="M147" s="2437"/>
      <c r="N147" s="2437"/>
      <c r="O147" s="2437"/>
      <c r="P147" s="2437"/>
      <c r="Q147" s="2437"/>
      <c r="R147" s="2437"/>
      <c r="S147" s="2437"/>
      <c r="T147" s="2437"/>
      <c r="U147" s="2437"/>
      <c r="V147" s="2437"/>
      <c r="W147" s="2437"/>
      <c r="X147" s="2437"/>
      <c r="Y147" s="2437"/>
      <c r="Z147" s="2437"/>
      <c r="AA147" s="2437"/>
      <c r="AB147" s="2437"/>
      <c r="AC147" s="2437"/>
      <c r="AD147" s="2437"/>
      <c r="AE147" s="2437"/>
      <c r="AF147" s="2437"/>
      <c r="AG147" s="2437"/>
      <c r="AH147" s="2437"/>
      <c r="AI147" s="2437"/>
      <c r="AJ147" s="2437"/>
      <c r="AK147" s="2437"/>
      <c r="AL147" s="2437"/>
      <c r="AM147" s="2437"/>
      <c r="AN147" s="2437"/>
      <c r="AO147" s="2437"/>
      <c r="AP147" s="2437"/>
      <c r="AQ147" s="2437"/>
      <c r="AR147" s="2437"/>
      <c r="AS147" s="2437"/>
      <c r="AT147" s="2437"/>
      <c r="AU147" s="2437"/>
      <c r="AV147" s="2437"/>
      <c r="AW147" s="2437"/>
      <c r="AX147" s="2438"/>
      <c r="AY147" s="1209"/>
      <c r="AZ147" s="1209"/>
      <c r="BA147" s="1209"/>
      <c r="BB147" s="1209"/>
      <c r="BC147" s="1209"/>
      <c r="BD147" s="1209"/>
      <c r="BE147" s="1205"/>
    </row>
    <row r="148" spans="1:57" ht="15.75" customHeight="1">
      <c r="A148" s="1209"/>
      <c r="B148" s="2436"/>
      <c r="C148" s="2437"/>
      <c r="D148" s="2437"/>
      <c r="E148" s="2437"/>
      <c r="F148" s="2437"/>
      <c r="G148" s="2437"/>
      <c r="H148" s="2437"/>
      <c r="I148" s="2437"/>
      <c r="J148" s="2437"/>
      <c r="K148" s="2437"/>
      <c r="L148" s="2437"/>
      <c r="M148" s="2437"/>
      <c r="N148" s="2437"/>
      <c r="O148" s="2437"/>
      <c r="P148" s="2437"/>
      <c r="Q148" s="2437"/>
      <c r="R148" s="2437"/>
      <c r="S148" s="2437"/>
      <c r="T148" s="2437"/>
      <c r="U148" s="2437"/>
      <c r="V148" s="2437"/>
      <c r="W148" s="2437"/>
      <c r="X148" s="2437"/>
      <c r="Y148" s="2437"/>
      <c r="Z148" s="2437"/>
      <c r="AA148" s="2437"/>
      <c r="AB148" s="2437"/>
      <c r="AC148" s="2437"/>
      <c r="AD148" s="2437"/>
      <c r="AE148" s="2437"/>
      <c r="AF148" s="2437"/>
      <c r="AG148" s="2437"/>
      <c r="AH148" s="2437"/>
      <c r="AI148" s="2437"/>
      <c r="AJ148" s="2437"/>
      <c r="AK148" s="2437"/>
      <c r="AL148" s="2437"/>
      <c r="AM148" s="2437"/>
      <c r="AN148" s="2437"/>
      <c r="AO148" s="2437"/>
      <c r="AP148" s="2437"/>
      <c r="AQ148" s="2437"/>
      <c r="AR148" s="2437"/>
      <c r="AS148" s="2437"/>
      <c r="AT148" s="2437"/>
      <c r="AU148" s="2437"/>
      <c r="AV148" s="2437"/>
      <c r="AW148" s="2437"/>
      <c r="AX148" s="2438"/>
      <c r="AY148" s="1209"/>
      <c r="AZ148" s="1209"/>
      <c r="BA148" s="1209"/>
      <c r="BB148" s="1209"/>
      <c r="BC148" s="1209"/>
      <c r="BD148" s="1209"/>
      <c r="BE148" s="1205"/>
    </row>
    <row r="149" spans="1:57" ht="15.75" customHeight="1">
      <c r="A149" s="1209"/>
      <c r="B149" s="2436"/>
      <c r="C149" s="2437"/>
      <c r="D149" s="2437"/>
      <c r="E149" s="2437"/>
      <c r="F149" s="2437"/>
      <c r="G149" s="2437"/>
      <c r="H149" s="2437"/>
      <c r="I149" s="2437"/>
      <c r="J149" s="2437"/>
      <c r="K149" s="2437"/>
      <c r="L149" s="2437"/>
      <c r="M149" s="2437"/>
      <c r="N149" s="2437"/>
      <c r="O149" s="2437"/>
      <c r="P149" s="2437"/>
      <c r="Q149" s="2437"/>
      <c r="R149" s="2437"/>
      <c r="S149" s="2437"/>
      <c r="T149" s="2437"/>
      <c r="U149" s="2437"/>
      <c r="V149" s="2437"/>
      <c r="W149" s="2437"/>
      <c r="X149" s="2437"/>
      <c r="Y149" s="2437"/>
      <c r="Z149" s="2437"/>
      <c r="AA149" s="2437"/>
      <c r="AB149" s="2437"/>
      <c r="AC149" s="2437"/>
      <c r="AD149" s="2437"/>
      <c r="AE149" s="2437"/>
      <c r="AF149" s="2437"/>
      <c r="AG149" s="2437"/>
      <c r="AH149" s="2437"/>
      <c r="AI149" s="2437"/>
      <c r="AJ149" s="2437"/>
      <c r="AK149" s="2437"/>
      <c r="AL149" s="2437"/>
      <c r="AM149" s="2437"/>
      <c r="AN149" s="2437"/>
      <c r="AO149" s="2437"/>
      <c r="AP149" s="2437"/>
      <c r="AQ149" s="2437"/>
      <c r="AR149" s="2437"/>
      <c r="AS149" s="2437"/>
      <c r="AT149" s="2437"/>
      <c r="AU149" s="2437"/>
      <c r="AV149" s="2437"/>
      <c r="AW149" s="2437"/>
      <c r="AX149" s="2438"/>
      <c r="AY149" s="1209"/>
      <c r="AZ149" s="1209"/>
      <c r="BA149" s="1209"/>
      <c r="BB149" s="1209"/>
      <c r="BC149" s="1209"/>
      <c r="BD149" s="1209"/>
      <c r="BE149" s="1205"/>
    </row>
    <row r="150" spans="1:57" ht="15.75" customHeight="1" thickBot="1">
      <c r="A150" s="1209"/>
      <c r="B150" s="2439"/>
      <c r="C150" s="2440"/>
      <c r="D150" s="2440"/>
      <c r="E150" s="2440"/>
      <c r="F150" s="2440"/>
      <c r="G150" s="2440"/>
      <c r="H150" s="2440"/>
      <c r="I150" s="2440"/>
      <c r="J150" s="2440"/>
      <c r="K150" s="2440"/>
      <c r="L150" s="2440"/>
      <c r="M150" s="2440"/>
      <c r="N150" s="2440"/>
      <c r="O150" s="2440"/>
      <c r="P150" s="2440"/>
      <c r="Q150" s="2440"/>
      <c r="R150" s="2440"/>
      <c r="S150" s="2440"/>
      <c r="T150" s="2440"/>
      <c r="U150" s="2440"/>
      <c r="V150" s="2440"/>
      <c r="W150" s="2440"/>
      <c r="X150" s="2440"/>
      <c r="Y150" s="2440"/>
      <c r="Z150" s="2440"/>
      <c r="AA150" s="2440"/>
      <c r="AB150" s="2440"/>
      <c r="AC150" s="2440"/>
      <c r="AD150" s="2440"/>
      <c r="AE150" s="2440"/>
      <c r="AF150" s="2440"/>
      <c r="AG150" s="2440"/>
      <c r="AH150" s="2440"/>
      <c r="AI150" s="2440"/>
      <c r="AJ150" s="2440"/>
      <c r="AK150" s="2440"/>
      <c r="AL150" s="2440"/>
      <c r="AM150" s="2440"/>
      <c r="AN150" s="2440"/>
      <c r="AO150" s="2440"/>
      <c r="AP150" s="2440"/>
      <c r="AQ150" s="2440"/>
      <c r="AR150" s="2440"/>
      <c r="AS150" s="2440"/>
      <c r="AT150" s="2440"/>
      <c r="AU150" s="2440"/>
      <c r="AV150" s="2440"/>
      <c r="AW150" s="2440"/>
      <c r="AX150" s="2441"/>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1837</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2192</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365" t="s">
        <v>1838</v>
      </c>
      <c r="C154" s="2366"/>
      <c r="D154" s="2366"/>
      <c r="E154" s="2366"/>
      <c r="F154" s="2366"/>
      <c r="G154" s="2366"/>
      <c r="H154" s="2366"/>
      <c r="I154" s="2366"/>
      <c r="J154" s="2366"/>
      <c r="K154" s="2366"/>
      <c r="L154" s="2366"/>
      <c r="M154" s="2366"/>
      <c r="N154" s="2366"/>
      <c r="O154" s="2366"/>
      <c r="P154" s="2366"/>
      <c r="Q154" s="2366"/>
      <c r="R154" s="2366"/>
      <c r="S154" s="2366"/>
      <c r="T154" s="2366"/>
      <c r="U154" s="2367"/>
      <c r="V154" s="1209"/>
      <c r="W154" s="1217"/>
      <c r="X154" s="2365" t="s">
        <v>2193</v>
      </c>
      <c r="Y154" s="2366"/>
      <c r="Z154" s="2366"/>
      <c r="AA154" s="2366"/>
      <c r="AB154" s="2366"/>
      <c r="AC154" s="2366"/>
      <c r="AD154" s="2366"/>
      <c r="AE154" s="2366"/>
      <c r="AF154" s="2366"/>
      <c r="AG154" s="2366"/>
      <c r="AH154" s="2366"/>
      <c r="AI154" s="2366"/>
      <c r="AJ154" s="2366"/>
      <c r="AK154" s="2366"/>
      <c r="AL154" s="2366"/>
      <c r="AM154" s="2366"/>
      <c r="AN154" s="2366"/>
      <c r="AO154" s="2366"/>
      <c r="AP154" s="2366"/>
      <c r="AQ154" s="2367"/>
      <c r="AR154" s="1209"/>
      <c r="AS154" s="1209"/>
      <c r="AT154" s="1209"/>
      <c r="AU154" s="1209"/>
      <c r="AV154" s="1209"/>
      <c r="AW154" s="1209"/>
      <c r="AX154" s="1209"/>
      <c r="AY154" s="1209"/>
      <c r="AZ154" s="1209"/>
      <c r="BA154" s="1209"/>
      <c r="BB154" s="1209"/>
      <c r="BC154" s="1209"/>
      <c r="BD154" s="1209"/>
      <c r="BE154" s="1205"/>
    </row>
    <row r="155" spans="1:57" ht="15.75" customHeight="1">
      <c r="A155" s="1209"/>
      <c r="B155" s="2418"/>
      <c r="C155" s="2419"/>
      <c r="D155" s="2419"/>
      <c r="E155" s="2419"/>
      <c r="F155" s="2419"/>
      <c r="G155" s="2419"/>
      <c r="H155" s="2419"/>
      <c r="I155" s="2442" t="s">
        <v>1829</v>
      </c>
      <c r="J155" s="2442"/>
      <c r="K155" s="2442"/>
      <c r="L155" s="2442"/>
      <c r="M155" s="2442"/>
      <c r="N155" s="2442"/>
      <c r="O155" s="2442"/>
      <c r="P155" s="2442" t="s">
        <v>2194</v>
      </c>
      <c r="Q155" s="2442"/>
      <c r="R155" s="2442"/>
      <c r="S155" s="2442"/>
      <c r="T155" s="2442"/>
      <c r="U155" s="2443"/>
      <c r="V155" s="1209"/>
      <c r="W155" s="1209"/>
      <c r="X155" s="2418"/>
      <c r="Y155" s="2419"/>
      <c r="Z155" s="2419"/>
      <c r="AA155" s="2419"/>
      <c r="AB155" s="2419"/>
      <c r="AC155" s="2419"/>
      <c r="AD155" s="2419"/>
      <c r="AE155" s="2442" t="s">
        <v>1829</v>
      </c>
      <c r="AF155" s="2442"/>
      <c r="AG155" s="2442"/>
      <c r="AH155" s="2442"/>
      <c r="AI155" s="2442"/>
      <c r="AJ155" s="2442"/>
      <c r="AK155" s="2442"/>
      <c r="AL155" s="2442" t="s">
        <v>2188</v>
      </c>
      <c r="AM155" s="2442"/>
      <c r="AN155" s="2442"/>
      <c r="AO155" s="2442"/>
      <c r="AP155" s="2442"/>
      <c r="AQ155" s="2443"/>
      <c r="AR155" s="1209"/>
      <c r="AS155" s="1209"/>
      <c r="AT155" s="1209"/>
      <c r="AU155" s="1209"/>
      <c r="AV155" s="1209"/>
      <c r="AW155" s="1209"/>
      <c r="AX155" s="1209"/>
      <c r="AY155" s="1209"/>
      <c r="AZ155" s="1209"/>
      <c r="BA155" s="1209"/>
      <c r="BB155" s="1209"/>
      <c r="BC155" s="1209"/>
      <c r="BD155" s="1209"/>
      <c r="BE155" s="1205"/>
    </row>
    <row r="156" spans="1:57" ht="15.75" customHeight="1">
      <c r="A156" s="1209"/>
      <c r="B156" s="2418"/>
      <c r="C156" s="2419"/>
      <c r="D156" s="2419"/>
      <c r="E156" s="2419"/>
      <c r="F156" s="2419"/>
      <c r="G156" s="2419"/>
      <c r="H156" s="2419"/>
      <c r="I156" s="2442"/>
      <c r="J156" s="2442"/>
      <c r="K156" s="2442"/>
      <c r="L156" s="2442"/>
      <c r="M156" s="2442"/>
      <c r="N156" s="2442"/>
      <c r="O156" s="2442"/>
      <c r="P156" s="2442"/>
      <c r="Q156" s="2442"/>
      <c r="R156" s="2442"/>
      <c r="S156" s="2442"/>
      <c r="T156" s="2442"/>
      <c r="U156" s="2443"/>
      <c r="V156" s="1209"/>
      <c r="W156" s="1209"/>
      <c r="X156" s="2418"/>
      <c r="Y156" s="2419"/>
      <c r="Z156" s="2419"/>
      <c r="AA156" s="2419"/>
      <c r="AB156" s="2419"/>
      <c r="AC156" s="2419"/>
      <c r="AD156" s="2419"/>
      <c r="AE156" s="2442"/>
      <c r="AF156" s="2442"/>
      <c r="AG156" s="2442"/>
      <c r="AH156" s="2442"/>
      <c r="AI156" s="2442"/>
      <c r="AJ156" s="2442"/>
      <c r="AK156" s="2442"/>
      <c r="AL156" s="2442"/>
      <c r="AM156" s="2442"/>
      <c r="AN156" s="2442"/>
      <c r="AO156" s="2442"/>
      <c r="AP156" s="2442"/>
      <c r="AQ156" s="2443"/>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24" t="s">
        <v>2176</v>
      </c>
      <c r="C157" s="2425"/>
      <c r="D157" s="2425"/>
      <c r="E157" s="2425"/>
      <c r="F157" s="2425"/>
      <c r="G157" s="2425"/>
      <c r="H157" s="2425"/>
      <c r="I157" s="2212">
        <v>0</v>
      </c>
      <c r="J157" s="2212"/>
      <c r="K157" s="2212"/>
      <c r="L157" s="2212"/>
      <c r="M157" s="2212"/>
      <c r="N157" s="2212"/>
      <c r="O157" s="2212"/>
      <c r="P157" s="2212">
        <v>0</v>
      </c>
      <c r="Q157" s="2212"/>
      <c r="R157" s="2212"/>
      <c r="S157" s="2212"/>
      <c r="T157" s="2212"/>
      <c r="U157" s="2218"/>
      <c r="V157" s="1209"/>
      <c r="W157" s="1209"/>
      <c r="X157" s="2426" t="s">
        <v>2176</v>
      </c>
      <c r="Y157" s="2427"/>
      <c r="Z157" s="2427"/>
      <c r="AA157" s="2427"/>
      <c r="AB157" s="2427"/>
      <c r="AC157" s="2427"/>
      <c r="AD157" s="2427"/>
      <c r="AE157" s="2232">
        <v>0</v>
      </c>
      <c r="AF157" s="2232"/>
      <c r="AG157" s="2232"/>
      <c r="AH157" s="2232"/>
      <c r="AI157" s="2232"/>
      <c r="AJ157" s="2232"/>
      <c r="AK157" s="2232"/>
      <c r="AL157" s="2232">
        <v>0</v>
      </c>
      <c r="AM157" s="2232"/>
      <c r="AN157" s="2232"/>
      <c r="AO157" s="2232"/>
      <c r="AP157" s="2232"/>
      <c r="AQ157" s="2233"/>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26" t="s">
        <v>2177</v>
      </c>
      <c r="C158" s="2427"/>
      <c r="D158" s="2427"/>
      <c r="E158" s="2427"/>
      <c r="F158" s="2427"/>
      <c r="G158" s="2427"/>
      <c r="H158" s="2427"/>
      <c r="I158" s="2232">
        <v>0</v>
      </c>
      <c r="J158" s="2232"/>
      <c r="K158" s="2232"/>
      <c r="L158" s="2232"/>
      <c r="M158" s="2232"/>
      <c r="N158" s="2232"/>
      <c r="O158" s="2232"/>
      <c r="P158" s="2232">
        <v>0</v>
      </c>
      <c r="Q158" s="2232"/>
      <c r="R158" s="2232"/>
      <c r="S158" s="2232"/>
      <c r="T158" s="2232"/>
      <c r="U158" s="2233"/>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365" t="s">
        <v>2178</v>
      </c>
      <c r="D160" s="2366"/>
      <c r="E160" s="2366"/>
      <c r="F160" s="2366"/>
      <c r="G160" s="2366"/>
      <c r="H160" s="2366"/>
      <c r="I160" s="2366"/>
      <c r="J160" s="2366"/>
      <c r="K160" s="2366"/>
      <c r="L160" s="2366"/>
      <c r="M160" s="2366"/>
      <c r="N160" s="2366"/>
      <c r="O160" s="2366"/>
      <c r="P160" s="2366"/>
      <c r="Q160" s="2366"/>
      <c r="R160" s="2366"/>
      <c r="S160" s="2366"/>
      <c r="T160" s="2366"/>
      <c r="U160" s="2366"/>
      <c r="V160" s="2366"/>
      <c r="W160" s="2366"/>
      <c r="X160" s="2366"/>
      <c r="Y160" s="2366"/>
      <c r="Z160" s="2366"/>
      <c r="AA160" s="2366"/>
      <c r="AB160" s="2366"/>
      <c r="AC160" s="2366"/>
      <c r="AD160" s="2366"/>
      <c r="AE160" s="2366"/>
      <c r="AF160" s="2366"/>
      <c r="AG160" s="2367"/>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18" t="s">
        <v>1839</v>
      </c>
      <c r="D161" s="2419"/>
      <c r="E161" s="2419"/>
      <c r="F161" s="2419"/>
      <c r="G161" s="2419"/>
      <c r="H161" s="2419"/>
      <c r="I161" s="2419"/>
      <c r="J161" s="2419"/>
      <c r="K161" s="2419"/>
      <c r="L161" s="2419"/>
      <c r="M161" s="2419"/>
      <c r="N161" s="2419"/>
      <c r="O161" s="2419"/>
      <c r="P161" s="2419"/>
      <c r="Q161" s="2419" t="s">
        <v>1840</v>
      </c>
      <c r="R161" s="2419"/>
      <c r="S161" s="2419"/>
      <c r="T161" s="2208" t="s">
        <v>2179</v>
      </c>
      <c r="U161" s="2208"/>
      <c r="V161" s="2208"/>
      <c r="W161" s="2208"/>
      <c r="X161" s="2208"/>
      <c r="Y161" s="2208"/>
      <c r="Z161" s="2208"/>
      <c r="AA161" s="2208"/>
      <c r="AB161" s="2419" t="s">
        <v>1841</v>
      </c>
      <c r="AC161" s="2419"/>
      <c r="AD161" s="2419"/>
      <c r="AE161" s="2419"/>
      <c r="AF161" s="2419"/>
      <c r="AG161" s="2444"/>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45" t="s">
        <v>1842</v>
      </c>
      <c r="D162" s="2446"/>
      <c r="E162" s="2446"/>
      <c r="F162" s="2446"/>
      <c r="G162" s="2446"/>
      <c r="H162" s="2446"/>
      <c r="I162" s="2446"/>
      <c r="J162" s="2446"/>
      <c r="K162" s="2446"/>
      <c r="L162" s="2446"/>
      <c r="M162" s="2446"/>
      <c r="N162" s="2446"/>
      <c r="O162" s="2446"/>
      <c r="P162" s="2446"/>
      <c r="Q162" s="2447">
        <v>55</v>
      </c>
      <c r="R162" s="2447"/>
      <c r="S162" s="2447"/>
      <c r="T162" s="2448"/>
      <c r="U162" s="2448"/>
      <c r="V162" s="2448"/>
      <c r="W162" s="2448"/>
      <c r="X162" s="2448"/>
      <c r="Y162" s="2448"/>
      <c r="Z162" s="2448"/>
      <c r="AA162" s="2448"/>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45" t="s">
        <v>1843</v>
      </c>
      <c r="D163" s="2446"/>
      <c r="E163" s="2446"/>
      <c r="F163" s="2446"/>
      <c r="G163" s="2446"/>
      <c r="H163" s="2446"/>
      <c r="I163" s="2446"/>
      <c r="J163" s="2446"/>
      <c r="K163" s="2446"/>
      <c r="L163" s="2446"/>
      <c r="M163" s="2446"/>
      <c r="N163" s="2446"/>
      <c r="O163" s="2446"/>
      <c r="P163" s="2446"/>
      <c r="Q163" s="2447">
        <v>55</v>
      </c>
      <c r="R163" s="2447"/>
      <c r="S163" s="2447"/>
      <c r="T163" s="2451"/>
      <c r="U163" s="2451"/>
      <c r="V163" s="2451"/>
      <c r="W163" s="2451"/>
      <c r="X163" s="2451"/>
      <c r="Y163" s="2451"/>
      <c r="Z163" s="2451"/>
      <c r="AA163" s="2451"/>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45" t="s">
        <v>1844</v>
      </c>
      <c r="D164" s="2446"/>
      <c r="E164" s="2446"/>
      <c r="F164" s="2446"/>
      <c r="G164" s="2446"/>
      <c r="H164" s="2446"/>
      <c r="I164" s="2446"/>
      <c r="J164" s="2446"/>
      <c r="K164" s="2446"/>
      <c r="L164" s="2446"/>
      <c r="M164" s="2446"/>
      <c r="N164" s="2446"/>
      <c r="O164" s="2446"/>
      <c r="P164" s="2446"/>
      <c r="Q164" s="2447">
        <v>55</v>
      </c>
      <c r="R164" s="2447"/>
      <c r="S164" s="2447"/>
      <c r="T164" s="2448"/>
      <c r="U164" s="2448"/>
      <c r="V164" s="2448"/>
      <c r="W164" s="2448"/>
      <c r="X164" s="2448"/>
      <c r="Y164" s="2448"/>
      <c r="Z164" s="2448"/>
      <c r="AA164" s="2448"/>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45" t="s">
        <v>1815</v>
      </c>
      <c r="D165" s="2446"/>
      <c r="E165" s="2446"/>
      <c r="F165" s="2446"/>
      <c r="G165" s="2446"/>
      <c r="H165" s="2446"/>
      <c r="I165" s="2446"/>
      <c r="J165" s="2446"/>
      <c r="K165" s="2446"/>
      <c r="L165" s="2446"/>
      <c r="M165" s="2446"/>
      <c r="N165" s="2446"/>
      <c r="O165" s="2446"/>
      <c r="P165" s="2446"/>
      <c r="Q165" s="2447">
        <v>55</v>
      </c>
      <c r="R165" s="2447"/>
      <c r="S165" s="2447"/>
      <c r="T165" s="2448"/>
      <c r="U165" s="2448"/>
      <c r="V165" s="2448"/>
      <c r="W165" s="2448"/>
      <c r="X165" s="2448"/>
      <c r="Y165" s="2448"/>
      <c r="Z165" s="2448"/>
      <c r="AA165" s="2448"/>
      <c r="AB165" s="2449">
        <v>0</v>
      </c>
      <c r="AC165" s="2449"/>
      <c r="AD165" s="2449"/>
      <c r="AE165" s="2449"/>
      <c r="AF165" s="2449"/>
      <c r="AG165" s="2450"/>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45" t="s">
        <v>170</v>
      </c>
      <c r="D166" s="2446"/>
      <c r="E166" s="2446"/>
      <c r="F166" s="2452" t="s">
        <v>1845</v>
      </c>
      <c r="G166" s="2452"/>
      <c r="H166" s="2452"/>
      <c r="I166" s="2452"/>
      <c r="J166" s="2452"/>
      <c r="K166" s="2452"/>
      <c r="L166" s="2452"/>
      <c r="M166" s="2452"/>
      <c r="N166" s="2452"/>
      <c r="O166" s="2452"/>
      <c r="P166" s="2452"/>
      <c r="Q166" s="2447">
        <v>55</v>
      </c>
      <c r="R166" s="2447"/>
      <c r="S166" s="2447"/>
      <c r="T166" s="2451"/>
      <c r="U166" s="2451"/>
      <c r="V166" s="2451"/>
      <c r="W166" s="2451"/>
      <c r="X166" s="2451"/>
      <c r="Y166" s="2451"/>
      <c r="Z166" s="2451"/>
      <c r="AA166" s="2451"/>
      <c r="AB166" s="2449">
        <v>0</v>
      </c>
      <c r="AC166" s="2449"/>
      <c r="AD166" s="2449"/>
      <c r="AE166" s="2449"/>
      <c r="AF166" s="2449"/>
      <c r="AG166" s="2450"/>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45" t="s">
        <v>170</v>
      </c>
      <c r="D167" s="2446"/>
      <c r="E167" s="2446"/>
      <c r="F167" s="2452" t="s">
        <v>1845</v>
      </c>
      <c r="G167" s="2452"/>
      <c r="H167" s="2452"/>
      <c r="I167" s="2452"/>
      <c r="J167" s="2452"/>
      <c r="K167" s="2452"/>
      <c r="L167" s="2452"/>
      <c r="M167" s="2452"/>
      <c r="N167" s="2452"/>
      <c r="O167" s="2452"/>
      <c r="P167" s="2452"/>
      <c r="Q167" s="2447">
        <v>55</v>
      </c>
      <c r="R167" s="2447"/>
      <c r="S167" s="2447"/>
      <c r="T167" s="2451"/>
      <c r="U167" s="2451"/>
      <c r="V167" s="2451"/>
      <c r="W167" s="2451"/>
      <c r="X167" s="2451"/>
      <c r="Y167" s="2451"/>
      <c r="Z167" s="2451"/>
      <c r="AA167" s="2451"/>
      <c r="AB167" s="2449">
        <v>0</v>
      </c>
      <c r="AC167" s="2449"/>
      <c r="AD167" s="2449"/>
      <c r="AE167" s="2449"/>
      <c r="AF167" s="2449"/>
      <c r="AG167" s="2450"/>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453" t="s">
        <v>170</v>
      </c>
      <c r="D168" s="2454"/>
      <c r="E168" s="2454"/>
      <c r="F168" s="2455" t="s">
        <v>1845</v>
      </c>
      <c r="G168" s="2455"/>
      <c r="H168" s="2455"/>
      <c r="I168" s="2455"/>
      <c r="J168" s="2455"/>
      <c r="K168" s="2455"/>
      <c r="L168" s="2455"/>
      <c r="M168" s="2455"/>
      <c r="N168" s="2455"/>
      <c r="O168" s="2455"/>
      <c r="P168" s="2455"/>
      <c r="Q168" s="2456">
        <v>55</v>
      </c>
      <c r="R168" s="2456"/>
      <c r="S168" s="2456"/>
      <c r="T168" s="2457"/>
      <c r="U168" s="2457"/>
      <c r="V168" s="2457"/>
      <c r="W168" s="2457"/>
      <c r="X168" s="2457"/>
      <c r="Y168" s="2457"/>
      <c r="Z168" s="2457"/>
      <c r="AA168" s="2457"/>
      <c r="AB168" s="2458">
        <v>0</v>
      </c>
      <c r="AC168" s="2458"/>
      <c r="AD168" s="2458"/>
      <c r="AE168" s="2458"/>
      <c r="AF168" s="2458"/>
      <c r="AG168" s="2459"/>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470" t="s">
        <v>1846</v>
      </c>
      <c r="D170" s="2471"/>
      <c r="E170" s="2471"/>
      <c r="F170" s="2471"/>
      <c r="G170" s="2471"/>
      <c r="H170" s="2471"/>
      <c r="I170" s="2471"/>
      <c r="J170" s="2471"/>
      <c r="K170" s="2471"/>
      <c r="L170" s="2471"/>
      <c r="M170" s="2471"/>
      <c r="N170" s="2472"/>
      <c r="O170" s="1209"/>
      <c r="P170" s="2428" t="s">
        <v>1847</v>
      </c>
      <c r="Q170" s="2429"/>
      <c r="R170" s="2429"/>
      <c r="S170" s="2429"/>
      <c r="T170" s="2429"/>
      <c r="U170" s="2429"/>
      <c r="V170" s="2429"/>
      <c r="W170" s="2429"/>
      <c r="X170" s="2429"/>
      <c r="Y170" s="2429"/>
      <c r="Z170" s="2429"/>
      <c r="AA170" s="2429"/>
      <c r="AB170" s="2429"/>
      <c r="AC170" s="2429"/>
      <c r="AD170" s="2429"/>
      <c r="AE170" s="2429"/>
      <c r="AF170" s="2429"/>
      <c r="AG170" s="2429"/>
      <c r="AH170" s="2429"/>
      <c r="AI170" s="2429"/>
      <c r="AJ170" s="2429"/>
      <c r="AK170" s="2429"/>
      <c r="AL170" s="2429"/>
      <c r="AM170" s="2429"/>
      <c r="AN170" s="2429"/>
      <c r="AO170" s="2473"/>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18" t="s">
        <v>1848</v>
      </c>
      <c r="D171" s="2419"/>
      <c r="E171" s="2419"/>
      <c r="F171" s="2419"/>
      <c r="G171" s="2419"/>
      <c r="H171" s="2419"/>
      <c r="I171" s="2419" t="s">
        <v>1849</v>
      </c>
      <c r="J171" s="2419"/>
      <c r="K171" s="2419"/>
      <c r="L171" s="2419"/>
      <c r="M171" s="2419"/>
      <c r="N171" s="2444"/>
      <c r="O171" s="1209"/>
      <c r="P171" s="2398" t="s">
        <v>2187</v>
      </c>
      <c r="Q171" s="2399"/>
      <c r="R171" s="2399"/>
      <c r="S171" s="2399"/>
      <c r="T171" s="2399"/>
      <c r="U171" s="2399"/>
      <c r="V171" s="2399"/>
      <c r="W171" s="2399"/>
      <c r="X171" s="2399"/>
      <c r="Y171" s="2399"/>
      <c r="Z171" s="2399"/>
      <c r="AA171" s="2399"/>
      <c r="AB171" s="2399"/>
      <c r="AC171" s="2399"/>
      <c r="AD171" s="2399"/>
      <c r="AE171" s="2399"/>
      <c r="AF171" s="2399"/>
      <c r="AG171" s="2399"/>
      <c r="AH171" s="2399"/>
      <c r="AI171" s="2399"/>
      <c r="AJ171" s="2399"/>
      <c r="AK171" s="2399"/>
      <c r="AL171" s="2399"/>
      <c r="AM171" s="2399"/>
      <c r="AN171" s="2399"/>
      <c r="AO171" s="2400"/>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404"/>
      <c r="D172" s="2374"/>
      <c r="E172" s="2374"/>
      <c r="F172" s="2374"/>
      <c r="G172" s="2374"/>
      <c r="H172" s="2374"/>
      <c r="I172" s="2448"/>
      <c r="J172" s="2448"/>
      <c r="K172" s="2448"/>
      <c r="L172" s="2448"/>
      <c r="M172" s="2448"/>
      <c r="N172" s="2474"/>
      <c r="O172" s="1209"/>
      <c r="P172" s="2398"/>
      <c r="Q172" s="2399"/>
      <c r="R172" s="2399"/>
      <c r="S172" s="2399"/>
      <c r="T172" s="2399"/>
      <c r="U172" s="2399"/>
      <c r="V172" s="2399"/>
      <c r="W172" s="2399"/>
      <c r="X172" s="2399"/>
      <c r="Y172" s="2399"/>
      <c r="Z172" s="2399"/>
      <c r="AA172" s="2399"/>
      <c r="AB172" s="2399"/>
      <c r="AC172" s="2399"/>
      <c r="AD172" s="2399"/>
      <c r="AE172" s="2399"/>
      <c r="AF172" s="2399"/>
      <c r="AG172" s="2399"/>
      <c r="AH172" s="2399"/>
      <c r="AI172" s="2399"/>
      <c r="AJ172" s="2399"/>
      <c r="AK172" s="2399"/>
      <c r="AL172" s="2399"/>
      <c r="AM172" s="2399"/>
      <c r="AN172" s="2399"/>
      <c r="AO172" s="2400"/>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404"/>
      <c r="D173" s="2374"/>
      <c r="E173" s="2374"/>
      <c r="F173" s="2374"/>
      <c r="G173" s="2374"/>
      <c r="H173" s="2374"/>
      <c r="I173" s="2448"/>
      <c r="J173" s="2448"/>
      <c r="K173" s="2448"/>
      <c r="L173" s="2448"/>
      <c r="M173" s="2448"/>
      <c r="N173" s="2474"/>
      <c r="O173" s="1209"/>
      <c r="P173" s="2398"/>
      <c r="Q173" s="2399"/>
      <c r="R173" s="2399"/>
      <c r="S173" s="2399"/>
      <c r="T173" s="2399"/>
      <c r="U173" s="2399"/>
      <c r="V173" s="2399"/>
      <c r="W173" s="2399"/>
      <c r="X173" s="2399"/>
      <c r="Y173" s="2399"/>
      <c r="Z173" s="2399"/>
      <c r="AA173" s="2399"/>
      <c r="AB173" s="2399"/>
      <c r="AC173" s="2399"/>
      <c r="AD173" s="2399"/>
      <c r="AE173" s="2399"/>
      <c r="AF173" s="2399"/>
      <c r="AG173" s="2399"/>
      <c r="AH173" s="2399"/>
      <c r="AI173" s="2399"/>
      <c r="AJ173" s="2399"/>
      <c r="AK173" s="2399"/>
      <c r="AL173" s="2399"/>
      <c r="AM173" s="2399"/>
      <c r="AN173" s="2399"/>
      <c r="AO173" s="2400"/>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404"/>
      <c r="D174" s="2374"/>
      <c r="E174" s="2374"/>
      <c r="F174" s="2374"/>
      <c r="G174" s="2374"/>
      <c r="H174" s="2374"/>
      <c r="I174" s="2448"/>
      <c r="J174" s="2448"/>
      <c r="K174" s="2448"/>
      <c r="L174" s="2448"/>
      <c r="M174" s="2448"/>
      <c r="N174" s="2474"/>
      <c r="O174" s="1209"/>
      <c r="P174" s="2398"/>
      <c r="Q174" s="2399"/>
      <c r="R174" s="2399"/>
      <c r="S174" s="2399"/>
      <c r="T174" s="2399"/>
      <c r="U174" s="2399"/>
      <c r="V174" s="2399"/>
      <c r="W174" s="2399"/>
      <c r="X174" s="2399"/>
      <c r="Y174" s="2399"/>
      <c r="Z174" s="2399"/>
      <c r="AA174" s="2399"/>
      <c r="AB174" s="2399"/>
      <c r="AC174" s="2399"/>
      <c r="AD174" s="2399"/>
      <c r="AE174" s="2399"/>
      <c r="AF174" s="2399"/>
      <c r="AG174" s="2399"/>
      <c r="AH174" s="2399"/>
      <c r="AI174" s="2399"/>
      <c r="AJ174" s="2399"/>
      <c r="AK174" s="2399"/>
      <c r="AL174" s="2399"/>
      <c r="AM174" s="2399"/>
      <c r="AN174" s="2399"/>
      <c r="AO174" s="2400"/>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404"/>
      <c r="D175" s="2374"/>
      <c r="E175" s="2374"/>
      <c r="F175" s="2374"/>
      <c r="G175" s="2374"/>
      <c r="H175" s="2374"/>
      <c r="I175" s="2448"/>
      <c r="J175" s="2448"/>
      <c r="K175" s="2448"/>
      <c r="L175" s="2448"/>
      <c r="M175" s="2448"/>
      <c r="N175" s="2474"/>
      <c r="O175" s="1209"/>
      <c r="P175" s="2398"/>
      <c r="Q175" s="2399"/>
      <c r="R175" s="2399"/>
      <c r="S175" s="2399"/>
      <c r="T175" s="2399"/>
      <c r="U175" s="2399"/>
      <c r="V175" s="2399"/>
      <c r="W175" s="2399"/>
      <c r="X175" s="2399"/>
      <c r="Y175" s="2399"/>
      <c r="Z175" s="2399"/>
      <c r="AA175" s="2399"/>
      <c r="AB175" s="2399"/>
      <c r="AC175" s="2399"/>
      <c r="AD175" s="2399"/>
      <c r="AE175" s="2399"/>
      <c r="AF175" s="2399"/>
      <c r="AG175" s="2399"/>
      <c r="AH175" s="2399"/>
      <c r="AI175" s="2399"/>
      <c r="AJ175" s="2399"/>
      <c r="AK175" s="2399"/>
      <c r="AL175" s="2399"/>
      <c r="AM175" s="2399"/>
      <c r="AN175" s="2399"/>
      <c r="AO175" s="2400"/>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404"/>
      <c r="D176" s="2374"/>
      <c r="E176" s="2374"/>
      <c r="F176" s="2374"/>
      <c r="G176" s="2374"/>
      <c r="H176" s="2374"/>
      <c r="I176" s="2448"/>
      <c r="J176" s="2448"/>
      <c r="K176" s="2448"/>
      <c r="L176" s="2448"/>
      <c r="M176" s="2448"/>
      <c r="N176" s="2474"/>
      <c r="O176" s="1209"/>
      <c r="P176" s="2398"/>
      <c r="Q176" s="2399"/>
      <c r="R176" s="2399"/>
      <c r="S176" s="2399"/>
      <c r="T176" s="2399"/>
      <c r="U176" s="2399"/>
      <c r="V176" s="2399"/>
      <c r="W176" s="2399"/>
      <c r="X176" s="2399"/>
      <c r="Y176" s="2399"/>
      <c r="Z176" s="2399"/>
      <c r="AA176" s="2399"/>
      <c r="AB176" s="2399"/>
      <c r="AC176" s="2399"/>
      <c r="AD176" s="2399"/>
      <c r="AE176" s="2399"/>
      <c r="AF176" s="2399"/>
      <c r="AG176" s="2399"/>
      <c r="AH176" s="2399"/>
      <c r="AI176" s="2399"/>
      <c r="AJ176" s="2399"/>
      <c r="AK176" s="2399"/>
      <c r="AL176" s="2399"/>
      <c r="AM176" s="2399"/>
      <c r="AN176" s="2399"/>
      <c r="AO176" s="2400"/>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404"/>
      <c r="D177" s="2374"/>
      <c r="E177" s="2374"/>
      <c r="F177" s="2374"/>
      <c r="G177" s="2374"/>
      <c r="H177" s="2374"/>
      <c r="I177" s="2448"/>
      <c r="J177" s="2448"/>
      <c r="K177" s="2448"/>
      <c r="L177" s="2448"/>
      <c r="M177" s="2448"/>
      <c r="N177" s="2474"/>
      <c r="O177" s="1209"/>
      <c r="P177" s="2398"/>
      <c r="Q177" s="2399"/>
      <c r="R177" s="2399"/>
      <c r="S177" s="2399"/>
      <c r="T177" s="2399"/>
      <c r="U177" s="2399"/>
      <c r="V177" s="2399"/>
      <c r="W177" s="2399"/>
      <c r="X177" s="2399"/>
      <c r="Y177" s="2399"/>
      <c r="Z177" s="2399"/>
      <c r="AA177" s="2399"/>
      <c r="AB177" s="2399"/>
      <c r="AC177" s="2399"/>
      <c r="AD177" s="2399"/>
      <c r="AE177" s="2399"/>
      <c r="AF177" s="2399"/>
      <c r="AG177" s="2399"/>
      <c r="AH177" s="2399"/>
      <c r="AI177" s="2399"/>
      <c r="AJ177" s="2399"/>
      <c r="AK177" s="2399"/>
      <c r="AL177" s="2399"/>
      <c r="AM177" s="2399"/>
      <c r="AN177" s="2399"/>
      <c r="AO177" s="2400"/>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460"/>
      <c r="D178" s="2461"/>
      <c r="E178" s="2461"/>
      <c r="F178" s="2461"/>
      <c r="G178" s="2461"/>
      <c r="H178" s="2461"/>
      <c r="I178" s="2462"/>
      <c r="J178" s="2462"/>
      <c r="K178" s="2462"/>
      <c r="L178" s="2462"/>
      <c r="M178" s="2462"/>
      <c r="N178" s="2463"/>
      <c r="O178" s="1209"/>
      <c r="P178" s="2401"/>
      <c r="Q178" s="2402"/>
      <c r="R178" s="2402"/>
      <c r="S178" s="2402"/>
      <c r="T178" s="2402"/>
      <c r="U178" s="2402"/>
      <c r="V178" s="2402"/>
      <c r="W178" s="2402"/>
      <c r="X178" s="2402"/>
      <c r="Y178" s="2402"/>
      <c r="Z178" s="2402"/>
      <c r="AA178" s="2402"/>
      <c r="AB178" s="2402"/>
      <c r="AC178" s="2402"/>
      <c r="AD178" s="2402"/>
      <c r="AE178" s="2402"/>
      <c r="AF178" s="2402"/>
      <c r="AG178" s="2402"/>
      <c r="AH178" s="2402"/>
      <c r="AI178" s="2402"/>
      <c r="AJ178" s="2402"/>
      <c r="AK178" s="2402"/>
      <c r="AL178" s="2402"/>
      <c r="AM178" s="2402"/>
      <c r="AN178" s="2402"/>
      <c r="AO178" s="2403"/>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464" t="s">
        <v>2489</v>
      </c>
      <c r="D180" s="2465"/>
      <c r="E180" s="2465"/>
      <c r="F180" s="2465"/>
      <c r="G180" s="2465"/>
      <c r="H180" s="2465"/>
      <c r="I180" s="2465"/>
      <c r="J180" s="2465"/>
      <c r="K180" s="2465"/>
      <c r="L180" s="2465"/>
      <c r="M180" s="2465"/>
      <c r="N180" s="2465"/>
      <c r="O180" s="2465"/>
      <c r="P180" s="2465"/>
      <c r="Q180" s="2465"/>
      <c r="R180" s="2465"/>
      <c r="S180" s="2465"/>
      <c r="T180" s="2465"/>
      <c r="U180" s="2465"/>
      <c r="V180" s="2465"/>
      <c r="W180" s="2465"/>
      <c r="X180" s="2465"/>
      <c r="Y180" s="2465"/>
      <c r="Z180" s="2465"/>
      <c r="AA180" s="2465"/>
      <c r="AB180" s="2465"/>
      <c r="AC180" s="2465"/>
      <c r="AD180" s="2465"/>
      <c r="AE180" s="2466"/>
      <c r="AF180" s="1209"/>
      <c r="AG180" s="1209"/>
      <c r="AH180" s="2219" t="s">
        <v>2606</v>
      </c>
      <c r="AI180" s="2220"/>
      <c r="AJ180" s="2220"/>
      <c r="AK180" s="2220"/>
      <c r="AL180" s="2220"/>
      <c r="AM180" s="2220"/>
      <c r="AN180" s="2220"/>
      <c r="AO180" s="2220"/>
      <c r="AP180" s="2220"/>
      <c r="AQ180" s="2220"/>
      <c r="AR180" s="2220"/>
      <c r="AS180" s="2220"/>
      <c r="AT180" s="2220"/>
      <c r="AU180" s="2220"/>
      <c r="AV180" s="2220"/>
      <c r="AW180" s="2220"/>
      <c r="AX180" s="2220"/>
      <c r="AY180" s="2220"/>
      <c r="AZ180" s="2220"/>
      <c r="BA180" s="2220"/>
      <c r="BB180" s="2220"/>
      <c r="BC180" s="2220"/>
      <c r="BD180" s="2220"/>
      <c r="BE180" s="2221"/>
    </row>
    <row r="181" spans="1:57" ht="15.75" customHeight="1" thickBot="1">
      <c r="A181" s="1209"/>
      <c r="B181" s="1209"/>
      <c r="C181" s="2467"/>
      <c r="D181" s="2468"/>
      <c r="E181" s="2468"/>
      <c r="F181" s="2468"/>
      <c r="G181" s="2468"/>
      <c r="H181" s="2468"/>
      <c r="I181" s="2468"/>
      <c r="J181" s="2468"/>
      <c r="K181" s="2468"/>
      <c r="L181" s="2468"/>
      <c r="M181" s="2468"/>
      <c r="N181" s="2468"/>
      <c r="O181" s="2468"/>
      <c r="P181" s="2468"/>
      <c r="Q181" s="2468"/>
      <c r="R181" s="2468"/>
      <c r="S181" s="2468"/>
      <c r="T181" s="2468"/>
      <c r="U181" s="2468"/>
      <c r="V181" s="2468"/>
      <c r="W181" s="2468"/>
      <c r="X181" s="2468"/>
      <c r="Y181" s="2468"/>
      <c r="Z181" s="2468"/>
      <c r="AA181" s="2468"/>
      <c r="AB181" s="2468"/>
      <c r="AC181" s="2468"/>
      <c r="AD181" s="2468"/>
      <c r="AE181" s="2469"/>
      <c r="AF181" s="1209"/>
      <c r="AG181" s="1209"/>
      <c r="AH181" s="2222" t="s">
        <v>2627</v>
      </c>
      <c r="AI181" s="2222"/>
      <c r="AJ181" s="2222"/>
      <c r="AK181" s="2222"/>
      <c r="AL181" s="2222"/>
      <c r="AM181" s="2222"/>
      <c r="AN181" s="2222"/>
      <c r="AO181" s="2222"/>
      <c r="AP181" s="2222"/>
      <c r="AQ181" s="2222"/>
      <c r="AR181" s="2222"/>
      <c r="AS181" s="2222"/>
      <c r="AT181" s="2222"/>
      <c r="AU181" s="2222"/>
      <c r="AV181" s="2222"/>
      <c r="AW181" s="2222"/>
      <c r="AX181" s="2222"/>
      <c r="AY181" s="2222"/>
      <c r="AZ181" s="2222"/>
      <c r="BA181" s="2222"/>
      <c r="BB181" s="2222"/>
      <c r="BC181" s="2222"/>
      <c r="BD181" s="2222"/>
      <c r="BE181" s="2222"/>
    </row>
    <row r="182" spans="1:57" ht="15.75" customHeight="1">
      <c r="A182" s="1209"/>
      <c r="B182" s="1209"/>
      <c r="C182" s="2470" t="s">
        <v>1839</v>
      </c>
      <c r="D182" s="2471"/>
      <c r="E182" s="2471"/>
      <c r="F182" s="2471"/>
      <c r="G182" s="2471"/>
      <c r="H182" s="2471"/>
      <c r="I182" s="2471"/>
      <c r="J182" s="2471"/>
      <c r="K182" s="2471"/>
      <c r="L182" s="2471"/>
      <c r="M182" s="2471"/>
      <c r="N182" s="2471" t="s">
        <v>1850</v>
      </c>
      <c r="O182" s="2471"/>
      <c r="P182" s="2471"/>
      <c r="Q182" s="2471"/>
      <c r="R182" s="2471"/>
      <c r="S182" s="2471"/>
      <c r="T182" s="2471"/>
      <c r="U182" s="2366" t="s">
        <v>1839</v>
      </c>
      <c r="V182" s="2366"/>
      <c r="W182" s="2366"/>
      <c r="X182" s="2366"/>
      <c r="Y182" s="2366"/>
      <c r="Z182" s="2366"/>
      <c r="AA182" s="2366"/>
      <c r="AB182" s="2366"/>
      <c r="AC182" s="2366"/>
      <c r="AD182" s="2366"/>
      <c r="AE182" s="2367"/>
      <c r="AF182" s="1209"/>
      <c r="AG182" s="1209"/>
      <c r="AH182" s="2223" t="s">
        <v>2611</v>
      </c>
      <c r="AI182" s="2223"/>
      <c r="AJ182" s="2223"/>
      <c r="AK182" s="2223"/>
      <c r="AL182" s="2223"/>
      <c r="AM182" s="2223"/>
      <c r="AN182" s="2223"/>
      <c r="AO182" s="2223"/>
      <c r="AP182" s="2223"/>
      <c r="AQ182" s="2223"/>
      <c r="AR182" s="2223"/>
      <c r="AS182" s="2223"/>
      <c r="AT182" s="2223"/>
      <c r="AU182" s="2189">
        <v>2500000</v>
      </c>
      <c r="AV182" s="2189"/>
      <c r="AW182" s="2189"/>
      <c r="AX182" s="2189"/>
      <c r="AY182" s="2189"/>
      <c r="AZ182" s="2189"/>
      <c r="BA182" s="2189"/>
      <c r="BB182" s="2189"/>
      <c r="BC182" s="2197"/>
      <c r="BD182" s="2198"/>
      <c r="BE182" s="2199"/>
    </row>
    <row r="183" spans="1:57" ht="15.75" customHeight="1">
      <c r="A183" s="1209"/>
      <c r="B183" s="1209"/>
      <c r="C183" s="2213" t="s">
        <v>2490</v>
      </c>
      <c r="D183" s="2214"/>
      <c r="E183" s="2214"/>
      <c r="F183" s="2214"/>
      <c r="G183" s="2214"/>
      <c r="H183" s="2214"/>
      <c r="I183" s="2214"/>
      <c r="J183" s="2214"/>
      <c r="K183" s="2214"/>
      <c r="L183" s="2214"/>
      <c r="M183" s="2214"/>
      <c r="N183" s="2476">
        <f>'Sources and Uses Budget'!B105</f>
        <v>121997854.60239539</v>
      </c>
      <c r="O183" s="2476"/>
      <c r="P183" s="2476"/>
      <c r="Q183" s="2476"/>
      <c r="R183" s="2476"/>
      <c r="S183" s="2476"/>
      <c r="T183" s="2476"/>
      <c r="U183" s="2477"/>
      <c r="V183" s="2477"/>
      <c r="W183" s="2477"/>
      <c r="X183" s="2477"/>
      <c r="Y183" s="2477"/>
      <c r="Z183" s="2477"/>
      <c r="AA183" s="2477"/>
      <c r="AB183" s="2477"/>
      <c r="AC183" s="2477"/>
      <c r="AD183" s="2477"/>
      <c r="AE183" s="2478"/>
      <c r="AF183" s="1209"/>
      <c r="AG183" s="1209"/>
      <c r="AH183" s="2223" t="s">
        <v>2610</v>
      </c>
      <c r="AI183" s="2223"/>
      <c r="AJ183" s="2223"/>
      <c r="AK183" s="2223"/>
      <c r="AL183" s="2223"/>
      <c r="AM183" s="2223"/>
      <c r="AN183" s="2223"/>
      <c r="AO183" s="2223"/>
      <c r="AP183" s="2223"/>
      <c r="AQ183" s="2223"/>
      <c r="AR183" s="2223"/>
      <c r="AS183" s="2223"/>
      <c r="AT183" s="2223"/>
      <c r="AU183" s="2190">
        <f>MAX(0,Application!AG439-100)*20000</f>
        <v>1160000</v>
      </c>
      <c r="AV183" s="2190"/>
      <c r="AW183" s="2190"/>
      <c r="AX183" s="2190"/>
      <c r="AY183" s="2190"/>
      <c r="AZ183" s="2190"/>
      <c r="BA183" s="2190"/>
      <c r="BB183" s="2190"/>
      <c r="BC183" s="2194"/>
      <c r="BD183" s="2195"/>
      <c r="BE183" s="2196"/>
    </row>
    <row r="184" spans="1:57" ht="15.75" customHeight="1">
      <c r="A184" s="1209"/>
      <c r="B184" s="1209"/>
      <c r="C184" s="2213" t="s">
        <v>2491</v>
      </c>
      <c r="D184" s="2214"/>
      <c r="E184" s="2214"/>
      <c r="F184" s="2214"/>
      <c r="G184" s="2214"/>
      <c r="H184" s="2214"/>
      <c r="I184" s="2214"/>
      <c r="J184" s="2214"/>
      <c r="K184" s="2214"/>
      <c r="L184" s="2214"/>
      <c r="M184" s="2214"/>
      <c r="N184" s="2476">
        <f>N183/J29</f>
        <v>772138.32026832527</v>
      </c>
      <c r="O184" s="2476"/>
      <c r="P184" s="2476"/>
      <c r="Q184" s="2476"/>
      <c r="R184" s="2476"/>
      <c r="S184" s="2476"/>
      <c r="T184" s="2476"/>
      <c r="U184" s="1225"/>
      <c r="V184" s="1225"/>
      <c r="W184" s="1225"/>
      <c r="X184" s="1225"/>
      <c r="Y184" s="1225"/>
      <c r="Z184" s="1225"/>
      <c r="AA184" s="1225"/>
      <c r="AB184" s="1225"/>
      <c r="AC184" s="1225"/>
      <c r="AD184" s="1225"/>
      <c r="AE184" s="1224"/>
      <c r="AF184" s="1209"/>
      <c r="AG184" s="1209"/>
      <c r="AH184" s="2200" t="s">
        <v>2609</v>
      </c>
      <c r="AI184" s="2200"/>
      <c r="AJ184" s="2200"/>
      <c r="AK184" s="2200"/>
      <c r="AL184" s="2200"/>
      <c r="AM184" s="2200"/>
      <c r="AN184" s="2200"/>
      <c r="AO184" s="2200"/>
      <c r="AP184" s="2200"/>
      <c r="AQ184" s="2200"/>
      <c r="AR184" s="2200"/>
      <c r="AS184" s="2200"/>
      <c r="AT184" s="2200"/>
      <c r="AU184" s="2191">
        <f>AU182+AU183</f>
        <v>3660000</v>
      </c>
      <c r="AV184" s="2191"/>
      <c r="AW184" s="2191"/>
      <c r="AX184" s="2191"/>
      <c r="AY184" s="2191"/>
      <c r="AZ184" s="2191"/>
      <c r="BA184" s="2191"/>
      <c r="BB184" s="2191"/>
      <c r="BC184" s="2194"/>
      <c r="BD184" s="2195"/>
      <c r="BE184" s="2196"/>
    </row>
    <row r="185" spans="1:57" ht="15.75" customHeight="1">
      <c r="A185" s="1209"/>
      <c r="B185" s="1209"/>
      <c r="C185" s="2479" t="s">
        <v>2492</v>
      </c>
      <c r="D185" s="2480"/>
      <c r="E185" s="2480"/>
      <c r="F185" s="2480"/>
      <c r="G185" s="2480"/>
      <c r="H185" s="2480"/>
      <c r="I185" s="2480"/>
      <c r="J185" s="2480"/>
      <c r="K185" s="2480"/>
      <c r="L185" s="2480"/>
      <c r="M185" s="2480"/>
      <c r="N185" s="2405">
        <v>0</v>
      </c>
      <c r="O185" s="2405"/>
      <c r="P185" s="2405"/>
      <c r="Q185" s="2405"/>
      <c r="R185" s="2405"/>
      <c r="S185" s="2405"/>
      <c r="T185" s="2405"/>
      <c r="U185" s="2383"/>
      <c r="V185" s="2383"/>
      <c r="W185" s="2383"/>
      <c r="X185" s="2383"/>
      <c r="Y185" s="2383"/>
      <c r="Z185" s="2383"/>
      <c r="AA185" s="2383"/>
      <c r="AB185" s="2383"/>
      <c r="AC185" s="2383"/>
      <c r="AD185" s="2383"/>
      <c r="AE185" s="2384"/>
      <c r="AF185" s="1209"/>
      <c r="AG185" s="1209"/>
      <c r="AH185" s="2193" t="s">
        <v>2608</v>
      </c>
      <c r="AI185" s="2193"/>
      <c r="AJ185" s="2193"/>
      <c r="AK185" s="2193"/>
      <c r="AL185" s="2193"/>
      <c r="AM185" s="2193"/>
      <c r="AN185" s="2193"/>
      <c r="AO185" s="2193"/>
      <c r="AP185" s="2193"/>
      <c r="AQ185" s="2193"/>
      <c r="AR185" s="2193"/>
      <c r="AS185" s="2193"/>
      <c r="AT185" s="2193"/>
      <c r="AU185" s="2192" t="str">
        <f>IF(AU189-AU192&lt;=AU184,"Y","N")</f>
        <v>Y</v>
      </c>
      <c r="AV185" s="2192"/>
      <c r="AW185" s="2192"/>
      <c r="AX185" s="2192"/>
      <c r="AY185" s="2192"/>
      <c r="AZ185" s="2192"/>
      <c r="BA185" s="2192"/>
      <c r="BB185" s="2192"/>
      <c r="BC185" s="2194"/>
      <c r="BD185" s="2195"/>
      <c r="BE185" s="2196"/>
    </row>
    <row r="186" spans="1:57" ht="15.75" customHeight="1" thickBot="1">
      <c r="A186" s="1209"/>
      <c r="B186" s="1209"/>
      <c r="C186" s="2213" t="s">
        <v>2493</v>
      </c>
      <c r="D186" s="2214"/>
      <c r="E186" s="2214"/>
      <c r="F186" s="2214"/>
      <c r="G186" s="2214"/>
      <c r="H186" s="2214"/>
      <c r="I186" s="2214"/>
      <c r="J186" s="2214"/>
      <c r="K186" s="2214"/>
      <c r="L186" s="2214"/>
      <c r="M186" s="2214"/>
      <c r="N186" s="2475">
        <f>SUM('Sources and Uses Budget'!B85:B86)</f>
        <v>2213772</v>
      </c>
      <c r="O186" s="2475"/>
      <c r="P186" s="2475"/>
      <c r="Q186" s="2475"/>
      <c r="R186" s="2475"/>
      <c r="S186" s="2475"/>
      <c r="T186" s="2475"/>
      <c r="U186" s="2383"/>
      <c r="V186" s="2383"/>
      <c r="W186" s="2383"/>
      <c r="X186" s="2383"/>
      <c r="Y186" s="2383"/>
      <c r="Z186" s="2383"/>
      <c r="AA186" s="2383"/>
      <c r="AB186" s="2383"/>
      <c r="AC186" s="2383"/>
      <c r="AD186" s="2383"/>
      <c r="AE186" s="2384"/>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213" t="s">
        <v>2494</v>
      </c>
      <c r="D187" s="2214"/>
      <c r="E187" s="2214"/>
      <c r="F187" s="2214"/>
      <c r="G187" s="2214"/>
      <c r="H187" s="2214"/>
      <c r="I187" s="2214"/>
      <c r="J187" s="2214"/>
      <c r="K187" s="2214"/>
      <c r="L187" s="2214"/>
      <c r="M187" s="2214"/>
      <c r="N187" s="2475">
        <f>'Sources and Uses Budget'!B8</f>
        <v>6500000</v>
      </c>
      <c r="O187" s="2475"/>
      <c r="P187" s="2475"/>
      <c r="Q187" s="2475"/>
      <c r="R187" s="2475"/>
      <c r="S187" s="2475"/>
      <c r="T187" s="2475"/>
      <c r="U187" s="2383"/>
      <c r="V187" s="2383"/>
      <c r="W187" s="2383"/>
      <c r="X187" s="2383"/>
      <c r="Y187" s="2383"/>
      <c r="Z187" s="2383"/>
      <c r="AA187" s="2383"/>
      <c r="AB187" s="2383"/>
      <c r="AC187" s="2383"/>
      <c r="AD187" s="2383"/>
      <c r="AE187" s="2384"/>
      <c r="AF187" s="1209"/>
      <c r="AG187" s="1209"/>
      <c r="AH187" s="2482" t="s">
        <v>1851</v>
      </c>
      <c r="AI187" s="2483"/>
      <c r="AJ187" s="2483"/>
      <c r="AK187" s="2483"/>
      <c r="AL187" s="2483"/>
      <c r="AM187" s="2483"/>
      <c r="AN187" s="2483"/>
      <c r="AO187" s="2483"/>
      <c r="AP187" s="2483"/>
      <c r="AQ187" s="2483"/>
      <c r="AR187" s="2483"/>
      <c r="AS187" s="2483"/>
      <c r="AT187" s="2483"/>
      <c r="AU187" s="2483"/>
      <c r="AV187" s="2483"/>
      <c r="AW187" s="2483"/>
      <c r="AX187" s="2483"/>
      <c r="AY187" s="2483"/>
      <c r="AZ187" s="2483"/>
      <c r="BA187" s="2483"/>
      <c r="BB187" s="2483"/>
      <c r="BC187" s="2483"/>
      <c r="BD187" s="2483"/>
      <c r="BE187" s="2484"/>
    </row>
    <row r="188" spans="1:57" ht="15.75" customHeight="1">
      <c r="A188" s="1209"/>
      <c r="B188" s="1209"/>
      <c r="C188" s="2213" t="s">
        <v>2495</v>
      </c>
      <c r="D188" s="2214"/>
      <c r="E188" s="2214"/>
      <c r="F188" s="2214"/>
      <c r="G188" s="2214"/>
      <c r="H188" s="2214"/>
      <c r="I188" s="2214"/>
      <c r="J188" s="2214"/>
      <c r="K188" s="2214"/>
      <c r="L188" s="2214"/>
      <c r="M188" s="2214"/>
      <c r="N188" s="2490">
        <v>0</v>
      </c>
      <c r="O188" s="2490"/>
      <c r="P188" s="2490"/>
      <c r="Q188" s="2490"/>
      <c r="R188" s="2490"/>
      <c r="S188" s="2490"/>
      <c r="T188" s="2490"/>
      <c r="U188" s="2383"/>
      <c r="V188" s="2383"/>
      <c r="W188" s="2383"/>
      <c r="X188" s="2383"/>
      <c r="Y188" s="2383"/>
      <c r="Z188" s="2383"/>
      <c r="AA188" s="2383"/>
      <c r="AB188" s="2383"/>
      <c r="AC188" s="2383"/>
      <c r="AD188" s="2383"/>
      <c r="AE188" s="2384"/>
      <c r="AF188" s="1209"/>
      <c r="AG188" s="1209"/>
      <c r="AH188" s="2485" t="s">
        <v>1851</v>
      </c>
      <c r="AI188" s="2485"/>
      <c r="AJ188" s="2485"/>
      <c r="AK188" s="2485"/>
      <c r="AL188" s="2485"/>
      <c r="AM188" s="2485"/>
      <c r="AN188" s="2485"/>
      <c r="AO188" s="2485"/>
      <c r="AP188" s="2485"/>
      <c r="AQ188" s="2485"/>
      <c r="AR188" s="2485"/>
      <c r="AS188" s="2485"/>
      <c r="AT188" s="2485"/>
      <c r="AU188" s="2486">
        <v>0</v>
      </c>
      <c r="AV188" s="2486"/>
      <c r="AW188" s="2486"/>
      <c r="AX188" s="2486"/>
      <c r="AY188" s="2486"/>
      <c r="AZ188" s="2486"/>
      <c r="BA188" s="2486"/>
      <c r="BB188" s="2486"/>
      <c r="BC188" s="2487"/>
      <c r="BD188" s="2488"/>
      <c r="BE188" s="2489"/>
    </row>
    <row r="189" spans="1:57" ht="15.75" customHeight="1">
      <c r="A189" s="1209"/>
      <c r="B189" s="1209"/>
      <c r="C189" s="2213" t="s">
        <v>2496</v>
      </c>
      <c r="D189" s="2214"/>
      <c r="E189" s="2214"/>
      <c r="F189" s="2214"/>
      <c r="G189" s="2214"/>
      <c r="H189" s="2214"/>
      <c r="I189" s="2214"/>
      <c r="J189" s="2214"/>
      <c r="K189" s="2214"/>
      <c r="L189" s="2214"/>
      <c r="M189" s="2214"/>
      <c r="N189" s="2490">
        <v>0</v>
      </c>
      <c r="O189" s="2490"/>
      <c r="P189" s="2490"/>
      <c r="Q189" s="2490"/>
      <c r="R189" s="2490"/>
      <c r="S189" s="2490"/>
      <c r="T189" s="2490"/>
      <c r="U189" s="2383"/>
      <c r="V189" s="2383"/>
      <c r="W189" s="2383"/>
      <c r="X189" s="2383"/>
      <c r="Y189" s="2383"/>
      <c r="Z189" s="2383"/>
      <c r="AA189" s="2383"/>
      <c r="AB189" s="2383"/>
      <c r="AC189" s="2383"/>
      <c r="AD189" s="2383"/>
      <c r="AE189" s="2384"/>
      <c r="AF189" s="1209"/>
      <c r="AG189" s="1209"/>
      <c r="AH189" s="2223" t="s">
        <v>2607</v>
      </c>
      <c r="AI189" s="2223"/>
      <c r="AJ189" s="2223"/>
      <c r="AK189" s="2223"/>
      <c r="AL189" s="2223"/>
      <c r="AM189" s="2223"/>
      <c r="AN189" s="2223"/>
      <c r="AO189" s="2223"/>
      <c r="AP189" s="2223"/>
      <c r="AQ189" s="2223"/>
      <c r="AR189" s="2223"/>
      <c r="AS189" s="2223"/>
      <c r="AT189" s="2223"/>
      <c r="AU189" s="2481"/>
      <c r="AV189" s="2481"/>
      <c r="AW189" s="2481"/>
      <c r="AX189" s="2481"/>
      <c r="AY189" s="2481"/>
      <c r="AZ189" s="2481"/>
      <c r="BA189" s="2481"/>
      <c r="BB189" s="2481"/>
      <c r="BC189" s="2194"/>
      <c r="BD189" s="2195"/>
      <c r="BE189" s="2196"/>
    </row>
    <row r="190" spans="1:57" ht="15.75" customHeight="1">
      <c r="A190" s="1209"/>
      <c r="B190" s="1209"/>
      <c r="C190" s="2516" t="s">
        <v>301</v>
      </c>
      <c r="D190" s="2447"/>
      <c r="E190" s="2515" t="s">
        <v>1845</v>
      </c>
      <c r="F190" s="2515"/>
      <c r="G190" s="2515"/>
      <c r="H190" s="2515"/>
      <c r="I190" s="2515"/>
      <c r="J190" s="2515"/>
      <c r="K190" s="2515"/>
      <c r="L190" s="2515"/>
      <c r="M190" s="2515"/>
      <c r="N190" s="2490">
        <v>0</v>
      </c>
      <c r="O190" s="2490"/>
      <c r="P190" s="2490"/>
      <c r="Q190" s="2490"/>
      <c r="R190" s="2490"/>
      <c r="S190" s="2490"/>
      <c r="T190" s="2490"/>
      <c r="U190" s="2383"/>
      <c r="V190" s="2383"/>
      <c r="W190" s="2383"/>
      <c r="X190" s="2383"/>
      <c r="Y190" s="2383"/>
      <c r="Z190" s="2383"/>
      <c r="AA190" s="2383"/>
      <c r="AB190" s="2383"/>
      <c r="AC190" s="2383"/>
      <c r="AD190" s="2383"/>
      <c r="AE190" s="2384"/>
      <c r="AF190" s="1209"/>
      <c r="AG190" s="1209"/>
      <c r="AH190" s="2200" t="s">
        <v>2606</v>
      </c>
      <c r="AI190" s="2200"/>
      <c r="AJ190" s="2200"/>
      <c r="AK190" s="2200"/>
      <c r="AL190" s="2200"/>
      <c r="AM190" s="2200"/>
      <c r="AN190" s="2200"/>
      <c r="AO190" s="2200"/>
      <c r="AP190" s="2200"/>
      <c r="AQ190" s="2200"/>
      <c r="AR190" s="2200"/>
      <c r="AS190" s="2200"/>
      <c r="AT190" s="2200"/>
      <c r="AU190" s="2191">
        <f>SUM(AU188:BB189)</f>
        <v>0</v>
      </c>
      <c r="AV190" s="2191"/>
      <c r="AW190" s="2191"/>
      <c r="AX190" s="2191"/>
      <c r="AY190" s="2191"/>
      <c r="AZ190" s="2191"/>
      <c r="BA190" s="2191"/>
      <c r="BB190" s="2191"/>
      <c r="BC190" s="2194"/>
      <c r="BD190" s="2195"/>
      <c r="BE190" s="2196"/>
    </row>
    <row r="191" spans="1:57" ht="15.75" customHeight="1" thickBot="1">
      <c r="A191" s="1209"/>
      <c r="B191" s="1209"/>
      <c r="C191" s="2404" t="s">
        <v>301</v>
      </c>
      <c r="D191" s="2374"/>
      <c r="E191" s="2515" t="s">
        <v>1845</v>
      </c>
      <c r="F191" s="2515"/>
      <c r="G191" s="2515"/>
      <c r="H191" s="2515"/>
      <c r="I191" s="2515"/>
      <c r="J191" s="2515"/>
      <c r="K191" s="2515"/>
      <c r="L191" s="2515"/>
      <c r="M191" s="2515"/>
      <c r="N191" s="2490">
        <v>0</v>
      </c>
      <c r="O191" s="2490"/>
      <c r="P191" s="2490"/>
      <c r="Q191" s="2490"/>
      <c r="R191" s="2490"/>
      <c r="S191" s="2490"/>
      <c r="T191" s="2490"/>
      <c r="U191" s="2383"/>
      <c r="V191" s="2383"/>
      <c r="W191" s="2383"/>
      <c r="X191" s="2383"/>
      <c r="Y191" s="2383"/>
      <c r="Z191" s="2383"/>
      <c r="AA191" s="2383"/>
      <c r="AB191" s="2383"/>
      <c r="AC191" s="2383"/>
      <c r="AD191" s="2383"/>
      <c r="AE191" s="2384"/>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497"/>
      <c r="BD191" s="2498"/>
      <c r="BE191" s="2499"/>
    </row>
    <row r="192" spans="1:57" ht="15.75" customHeight="1" thickBot="1">
      <c r="A192" s="1209"/>
      <c r="B192" s="1209"/>
      <c r="C192" s="2504" t="s">
        <v>301</v>
      </c>
      <c r="D192" s="2505"/>
      <c r="E192" s="2506" t="s">
        <v>1845</v>
      </c>
      <c r="F192" s="2506"/>
      <c r="G192" s="2506"/>
      <c r="H192" s="2506"/>
      <c r="I192" s="2506"/>
      <c r="J192" s="2506"/>
      <c r="K192" s="2506"/>
      <c r="L192" s="2506"/>
      <c r="M192" s="2507"/>
      <c r="N192" s="2508">
        <v>0</v>
      </c>
      <c r="O192" s="2508"/>
      <c r="P192" s="2508"/>
      <c r="Q192" s="2508"/>
      <c r="R192" s="2508"/>
      <c r="S192" s="2508"/>
      <c r="T192" s="2509"/>
      <c r="U192" s="2510"/>
      <c r="V192" s="2511"/>
      <c r="W192" s="2511"/>
      <c r="X192" s="2511"/>
      <c r="Y192" s="2511"/>
      <c r="Z192" s="2511"/>
      <c r="AA192" s="2511"/>
      <c r="AB192" s="2511"/>
      <c r="AC192" s="2511"/>
      <c r="AD192" s="2511"/>
      <c r="AE192" s="2512"/>
      <c r="AF192" s="1209"/>
      <c r="AG192" s="1209"/>
      <c r="AH192" s="2541" t="s">
        <v>1852</v>
      </c>
      <c r="AI192" s="2542"/>
      <c r="AJ192" s="2542"/>
      <c r="AK192" s="2542"/>
      <c r="AL192" s="2542"/>
      <c r="AM192" s="2542"/>
      <c r="AN192" s="2542"/>
      <c r="AO192" s="2542"/>
      <c r="AP192" s="2542"/>
      <c r="AQ192" s="2542"/>
      <c r="AR192" s="2542"/>
      <c r="AS192" s="2542"/>
      <c r="AT192" s="2542"/>
      <c r="AU192" s="2491"/>
      <c r="AV192" s="2491"/>
      <c r="AW192" s="2491"/>
      <c r="AX192" s="2491"/>
      <c r="AY192" s="2491"/>
      <c r="AZ192" s="2491"/>
      <c r="BA192" s="2491"/>
      <c r="BB192" s="2491"/>
      <c r="BC192" s="1222"/>
      <c r="BD192" s="1222"/>
      <c r="BE192" s="1221"/>
    </row>
    <row r="193" spans="1:57" ht="15.75" customHeight="1">
      <c r="A193" s="1209"/>
      <c r="B193" s="1209"/>
      <c r="C193" s="2500" t="s">
        <v>1853</v>
      </c>
      <c r="D193" s="2501"/>
      <c r="E193" s="2501"/>
      <c r="F193" s="2501"/>
      <c r="G193" s="2501"/>
      <c r="H193" s="2501"/>
      <c r="I193" s="2501"/>
      <c r="J193" s="2501"/>
      <c r="K193" s="2501"/>
      <c r="L193" s="2501"/>
      <c r="M193" s="2501"/>
      <c r="N193" s="2502">
        <f>SUM(N185:T192)</f>
        <v>8713772</v>
      </c>
      <c r="O193" s="2502"/>
      <c r="P193" s="2502"/>
      <c r="Q193" s="2502"/>
      <c r="R193" s="2502"/>
      <c r="S193" s="2502"/>
      <c r="T193" s="2503"/>
      <c r="U193" s="1209"/>
      <c r="V193" s="1209"/>
      <c r="W193" s="1209"/>
      <c r="X193" s="1209"/>
      <c r="Y193" s="1209"/>
      <c r="Z193" s="1209"/>
      <c r="AA193" s="1209"/>
      <c r="AB193" s="1209"/>
      <c r="AC193" s="1209"/>
      <c r="AD193" s="1209"/>
      <c r="AE193" s="1209"/>
      <c r="AF193" s="1209"/>
      <c r="AG193" s="1209"/>
      <c r="AH193" s="2513" t="s">
        <v>2605</v>
      </c>
      <c r="AI193" s="2513"/>
      <c r="AJ193" s="2513"/>
      <c r="AK193" s="2513"/>
      <c r="AL193" s="2513"/>
      <c r="AM193" s="2513"/>
      <c r="AN193" s="2513"/>
      <c r="AO193" s="2513"/>
      <c r="AP193" s="2513"/>
      <c r="AQ193" s="2513"/>
      <c r="AR193" s="2513"/>
      <c r="AS193" s="2513"/>
      <c r="AT193" s="2513"/>
      <c r="AU193" s="2513"/>
      <c r="AV193" s="2513"/>
      <c r="AW193" s="2513"/>
      <c r="AX193" s="2513"/>
      <c r="AY193" s="2513"/>
      <c r="AZ193" s="2513"/>
      <c r="BA193" s="2513"/>
      <c r="BB193" s="2513"/>
      <c r="BC193" s="2513"/>
      <c r="BD193" s="2513"/>
      <c r="BE193" s="2514"/>
    </row>
    <row r="194" spans="1:57" ht="15.75" customHeight="1" thickBot="1">
      <c r="A194" s="1209"/>
      <c r="B194" s="1209"/>
      <c r="C194" s="2543" t="s">
        <v>2497</v>
      </c>
      <c r="D194" s="2544"/>
      <c r="E194" s="2544"/>
      <c r="F194" s="2544"/>
      <c r="G194" s="2544"/>
      <c r="H194" s="2544"/>
      <c r="I194" s="2544"/>
      <c r="J194" s="2544"/>
      <c r="K194" s="2544"/>
      <c r="L194" s="2544"/>
      <c r="M194" s="2544"/>
      <c r="N194" s="2545">
        <f>(N183-N193)/J29</f>
        <v>716987.86457212269</v>
      </c>
      <c r="O194" s="2546"/>
      <c r="P194" s="2546"/>
      <c r="Q194" s="2546"/>
      <c r="R194" s="2546"/>
      <c r="S194" s="2546"/>
      <c r="T194" s="2547"/>
      <c r="U194" s="1220"/>
      <c r="V194" s="1209"/>
      <c r="W194" s="1209"/>
      <c r="X194" s="1209"/>
      <c r="Y194" s="1209"/>
      <c r="Z194" s="1209"/>
      <c r="AA194" s="1209"/>
      <c r="AB194" s="1209"/>
      <c r="AC194" s="1209"/>
      <c r="AD194" s="1209"/>
      <c r="AE194" s="1209"/>
      <c r="AF194" s="1209"/>
      <c r="AG194" s="1209"/>
      <c r="AH194" s="2513"/>
      <c r="AI194" s="2513"/>
      <c r="AJ194" s="2513"/>
      <c r="AK194" s="2513"/>
      <c r="AL194" s="2513"/>
      <c r="AM194" s="2513"/>
      <c r="AN194" s="2513"/>
      <c r="AO194" s="2513"/>
      <c r="AP194" s="2513"/>
      <c r="AQ194" s="2513"/>
      <c r="AR194" s="2513"/>
      <c r="AS194" s="2513"/>
      <c r="AT194" s="2513"/>
      <c r="AU194" s="2513"/>
      <c r="AV194" s="2513"/>
      <c r="AW194" s="2513"/>
      <c r="AX194" s="2513"/>
      <c r="AY194" s="2513"/>
      <c r="AZ194" s="2513"/>
      <c r="BA194" s="2513"/>
      <c r="BB194" s="2513"/>
      <c r="BC194" s="2513"/>
      <c r="BD194" s="2513"/>
      <c r="BE194" s="2514"/>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548"/>
      <c r="AI195" s="2548"/>
      <c r="AJ195" s="2548"/>
      <c r="AK195" s="2548"/>
      <c r="AL195" s="2548"/>
      <c r="AM195" s="2548"/>
      <c r="AN195" s="2548"/>
      <c r="AO195" s="2548"/>
      <c r="AP195" s="2548"/>
      <c r="AQ195" s="2548"/>
      <c r="AR195" s="2548"/>
      <c r="AS195" s="2492"/>
      <c r="AT195" s="2492"/>
      <c r="AU195" s="2492"/>
      <c r="AV195" s="2492"/>
      <c r="AW195" s="2492"/>
      <c r="AX195" s="2492"/>
      <c r="AY195" s="2492"/>
      <c r="AZ195" s="2492"/>
      <c r="BA195" s="2492"/>
      <c r="BB195" s="2492"/>
      <c r="BC195" s="2492"/>
      <c r="BD195" s="2492"/>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493" t="s">
        <v>2604</v>
      </c>
      <c r="D197" s="2494"/>
      <c r="E197" s="2494"/>
      <c r="F197" s="2494"/>
      <c r="G197" s="2494"/>
      <c r="H197" s="2494"/>
      <c r="I197" s="2494"/>
      <c r="J197" s="2494"/>
      <c r="K197" s="2494"/>
      <c r="L197" s="2494"/>
      <c r="M197" s="2494"/>
      <c r="N197" s="2494"/>
      <c r="O197" s="2494"/>
      <c r="P197" s="2494"/>
      <c r="Q197" s="2494"/>
      <c r="R197" s="2494"/>
      <c r="S197" s="2494"/>
      <c r="T197" s="2494"/>
      <c r="U197" s="2494"/>
      <c r="V197" s="2494"/>
      <c r="W197" s="2494"/>
      <c r="X197" s="2494"/>
      <c r="Y197" s="2494"/>
      <c r="Z197" s="2494"/>
      <c r="AA197" s="2494"/>
      <c r="AB197" s="2494"/>
      <c r="AC197" s="2494"/>
      <c r="AD197" s="2494"/>
      <c r="AE197" s="2495"/>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203" t="s">
        <v>2603</v>
      </c>
      <c r="D198" s="2203"/>
      <c r="E198" s="2203"/>
      <c r="F198" s="2203"/>
      <c r="G198" s="2203"/>
      <c r="H198" s="2203"/>
      <c r="I198" s="2203"/>
      <c r="J198" s="2203"/>
      <c r="K198" s="2203"/>
      <c r="L198" s="2203"/>
      <c r="M198" s="2203"/>
      <c r="N198" s="2203"/>
      <c r="O198" s="2204" t="s">
        <v>2602</v>
      </c>
      <c r="P198" s="2204"/>
      <c r="Q198" s="2204"/>
      <c r="R198" s="2204"/>
      <c r="S198" s="2204"/>
      <c r="T198" s="2204"/>
      <c r="U198" s="2204"/>
      <c r="V198" s="2204"/>
      <c r="W198" s="2204"/>
      <c r="X198" s="2204" t="s">
        <v>2601</v>
      </c>
      <c r="Y198" s="2204"/>
      <c r="Z198" s="2204"/>
      <c r="AA198" s="2204"/>
      <c r="AB198" s="2204"/>
      <c r="AC198" s="2204"/>
      <c r="AD198" s="2204"/>
      <c r="AE198" s="2204"/>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201" t="s">
        <v>2600</v>
      </c>
      <c r="D199" s="2201"/>
      <c r="E199" s="2201"/>
      <c r="F199" s="2201"/>
      <c r="G199" s="2201"/>
      <c r="H199" s="2201"/>
      <c r="I199" s="2201"/>
      <c r="J199" s="2201"/>
      <c r="K199" s="2201"/>
      <c r="L199" s="2201"/>
      <c r="M199" s="2201"/>
      <c r="N199" s="2201"/>
      <c r="O199" s="2496" t="s">
        <v>2599</v>
      </c>
      <c r="P199" s="2496"/>
      <c r="Q199" s="2496"/>
      <c r="R199" s="2496"/>
      <c r="S199" s="2496"/>
      <c r="T199" s="2496"/>
      <c r="U199" s="2496"/>
      <c r="V199" s="2496"/>
      <c r="W199" s="2496"/>
      <c r="X199" s="2517">
        <v>0.03</v>
      </c>
      <c r="Y199" s="2517"/>
      <c r="Z199" s="2517"/>
      <c r="AA199" s="2517"/>
      <c r="AB199" s="2517"/>
      <c r="AC199" s="2517"/>
      <c r="AD199" s="2517"/>
      <c r="AE199" s="2517"/>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201" t="s">
        <v>865</v>
      </c>
      <c r="D200" s="2201"/>
      <c r="E200" s="2201"/>
      <c r="F200" s="2201"/>
      <c r="G200" s="2201"/>
      <c r="H200" s="2201"/>
      <c r="I200" s="2201"/>
      <c r="J200" s="2201"/>
      <c r="K200" s="2201"/>
      <c r="L200" s="2201"/>
      <c r="M200" s="2201"/>
      <c r="N200" s="2201"/>
      <c r="O200" s="2496" t="s">
        <v>2599</v>
      </c>
      <c r="P200" s="2496"/>
      <c r="Q200" s="2496"/>
      <c r="R200" s="2496"/>
      <c r="S200" s="2496"/>
      <c r="T200" s="2496"/>
      <c r="U200" s="2496"/>
      <c r="V200" s="2496"/>
      <c r="W200" s="2496"/>
      <c r="X200" s="2517">
        <v>0.03</v>
      </c>
      <c r="Y200" s="2517"/>
      <c r="Z200" s="2517"/>
      <c r="AA200" s="2517"/>
      <c r="AB200" s="2517"/>
      <c r="AC200" s="2517"/>
      <c r="AD200" s="2517"/>
      <c r="AE200" s="2517"/>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201" t="s">
        <v>2598</v>
      </c>
      <c r="D201" s="2201"/>
      <c r="E201" s="2201"/>
      <c r="F201" s="2201"/>
      <c r="G201" s="2201"/>
      <c r="H201" s="2201"/>
      <c r="I201" s="2201"/>
      <c r="J201" s="2201"/>
      <c r="K201" s="2201"/>
      <c r="L201" s="2201"/>
      <c r="M201" s="2201"/>
      <c r="N201" s="2201"/>
      <c r="O201" s="2205">
        <f>SUM(O199:W200)</f>
        <v>0</v>
      </c>
      <c r="P201" s="2206"/>
      <c r="Q201" s="2206"/>
      <c r="R201" s="2206"/>
      <c r="S201" s="2206"/>
      <c r="T201" s="2206"/>
      <c r="U201" s="2206"/>
      <c r="V201" s="2206"/>
      <c r="W201" s="2206"/>
      <c r="X201" s="2206" t="s">
        <v>2597</v>
      </c>
      <c r="Y201" s="2206"/>
      <c r="Z201" s="2206"/>
      <c r="AA201" s="2206"/>
      <c r="AB201" s="2206"/>
      <c r="AC201" s="2206"/>
      <c r="AD201" s="2206"/>
      <c r="AE201" s="2206"/>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202" t="s">
        <v>2596</v>
      </c>
      <c r="D202" s="2202"/>
      <c r="E202" s="2202"/>
      <c r="F202" s="2202"/>
      <c r="G202" s="2202"/>
      <c r="H202" s="2202"/>
      <c r="I202" s="2202"/>
      <c r="J202" s="2202"/>
      <c r="K202" s="2202"/>
      <c r="L202" s="2202"/>
      <c r="M202" s="2202"/>
      <c r="N202" s="2202"/>
      <c r="O202" s="2202"/>
      <c r="P202" s="2202"/>
      <c r="Q202" s="2202"/>
      <c r="R202" s="2202"/>
      <c r="S202" s="2202"/>
      <c r="T202" s="2202"/>
      <c r="U202" s="2202"/>
      <c r="V202" s="2202"/>
      <c r="W202" s="2202"/>
      <c r="X202" s="2202"/>
      <c r="Y202" s="2202"/>
      <c r="Z202" s="2202"/>
      <c r="AA202" s="2202"/>
      <c r="AB202" s="2202"/>
      <c r="AC202" s="2202"/>
      <c r="AD202" s="2202"/>
      <c r="AE202" s="2202"/>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518" t="s">
        <v>2595</v>
      </c>
      <c r="D204" s="2519"/>
      <c r="E204" s="2519"/>
      <c r="F204" s="2519"/>
      <c r="G204" s="2519"/>
      <c r="H204" s="2519"/>
      <c r="I204" s="2519"/>
      <c r="J204" s="2519"/>
      <c r="K204" s="2519"/>
      <c r="L204" s="2519"/>
      <c r="M204" s="2519"/>
      <c r="N204" s="2519"/>
      <c r="O204" s="2519"/>
      <c r="P204" s="2519"/>
      <c r="Q204" s="2519"/>
      <c r="R204" s="2519"/>
      <c r="S204" s="2519"/>
      <c r="T204" s="2519"/>
      <c r="U204" s="2519"/>
      <c r="V204" s="2519"/>
      <c r="W204" s="2519"/>
      <c r="X204" s="2519"/>
      <c r="Y204" s="2519"/>
      <c r="Z204" s="2519"/>
      <c r="AA204" s="2519"/>
      <c r="AB204" s="2519"/>
      <c r="AC204" s="2519"/>
      <c r="AD204" s="2519"/>
      <c r="AE204" s="2519"/>
      <c r="AF204" s="2519"/>
      <c r="AG204" s="2519"/>
      <c r="AH204" s="2519"/>
      <c r="AI204" s="2519"/>
      <c r="AJ204" s="2519"/>
      <c r="AK204" s="2520"/>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521" t="s">
        <v>2594</v>
      </c>
      <c r="D205" s="2522"/>
      <c r="E205" s="2522"/>
      <c r="F205" s="2523"/>
      <c r="G205" s="2527" t="s">
        <v>2593</v>
      </c>
      <c r="H205" s="2522"/>
      <c r="I205" s="2522"/>
      <c r="J205" s="2522"/>
      <c r="K205" s="2522"/>
      <c r="L205" s="2522"/>
      <c r="M205" s="2522"/>
      <c r="N205" s="2522"/>
      <c r="O205" s="2523"/>
      <c r="P205" s="2529" t="s">
        <v>2592</v>
      </c>
      <c r="Q205" s="2530"/>
      <c r="R205" s="2530"/>
      <c r="S205" s="2530"/>
      <c r="T205" s="2531"/>
      <c r="U205" s="2535" t="s">
        <v>2591</v>
      </c>
      <c r="V205" s="2536"/>
      <c r="W205" s="2536"/>
      <c r="X205" s="2537"/>
      <c r="Y205" s="2535" t="s">
        <v>2590</v>
      </c>
      <c r="Z205" s="2536"/>
      <c r="AA205" s="2536"/>
      <c r="AB205" s="2537"/>
      <c r="AC205" s="2535" t="s">
        <v>2589</v>
      </c>
      <c r="AD205" s="2536"/>
      <c r="AE205" s="2536"/>
      <c r="AF205" s="2537"/>
      <c r="AG205" s="2527" t="s">
        <v>2588</v>
      </c>
      <c r="AH205" s="2522"/>
      <c r="AI205" s="2522"/>
      <c r="AJ205" s="2522"/>
      <c r="AK205" s="2585"/>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524"/>
      <c r="D206" s="2525"/>
      <c r="E206" s="2525"/>
      <c r="F206" s="2526"/>
      <c r="G206" s="2528"/>
      <c r="H206" s="2525"/>
      <c r="I206" s="2525"/>
      <c r="J206" s="2525"/>
      <c r="K206" s="2525"/>
      <c r="L206" s="2525"/>
      <c r="M206" s="2525"/>
      <c r="N206" s="2525"/>
      <c r="O206" s="2526"/>
      <c r="P206" s="2532"/>
      <c r="Q206" s="2533"/>
      <c r="R206" s="2533"/>
      <c r="S206" s="2533"/>
      <c r="T206" s="2534"/>
      <c r="U206" s="2538"/>
      <c r="V206" s="2539"/>
      <c r="W206" s="2539"/>
      <c r="X206" s="2540"/>
      <c r="Y206" s="2538"/>
      <c r="Z206" s="2539"/>
      <c r="AA206" s="2539"/>
      <c r="AB206" s="2540"/>
      <c r="AC206" s="2538"/>
      <c r="AD206" s="2539"/>
      <c r="AE206" s="2539"/>
      <c r="AF206" s="2540"/>
      <c r="AG206" s="2528"/>
      <c r="AH206" s="2525"/>
      <c r="AI206" s="2525"/>
      <c r="AJ206" s="2525"/>
      <c r="AK206" s="2586"/>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180">
        <v>1</v>
      </c>
      <c r="D207" s="2181"/>
      <c r="E207" s="2181"/>
      <c r="F207" s="2181"/>
      <c r="G207" s="2182" t="s">
        <v>2154</v>
      </c>
      <c r="H207" s="2182"/>
      <c r="I207" s="2182"/>
      <c r="J207" s="2182"/>
      <c r="K207" s="2182"/>
      <c r="L207" s="2182"/>
      <c r="M207" s="2182"/>
      <c r="N207" s="2182"/>
      <c r="O207" s="2182"/>
      <c r="P207" s="2183"/>
      <c r="Q207" s="2587"/>
      <c r="R207" s="2587"/>
      <c r="S207" s="2587"/>
      <c r="T207" s="2587"/>
      <c r="U207" s="2184" t="s">
        <v>2154</v>
      </c>
      <c r="V207" s="2184"/>
      <c r="W207" s="2184"/>
      <c r="X207" s="2184"/>
      <c r="Y207" s="2184" t="s">
        <v>2154</v>
      </c>
      <c r="Z207" s="2184"/>
      <c r="AA207" s="2184"/>
      <c r="AB207" s="2184"/>
      <c r="AC207" s="2185" t="s">
        <v>2154</v>
      </c>
      <c r="AD207" s="2185"/>
      <c r="AE207" s="2185"/>
      <c r="AF207" s="2185"/>
      <c r="AG207" s="2579"/>
      <c r="AH207" s="2580"/>
      <c r="AI207" s="2580"/>
      <c r="AJ207" s="2580"/>
      <c r="AK207" s="2581"/>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180">
        <v>2</v>
      </c>
      <c r="D208" s="2181"/>
      <c r="E208" s="2181"/>
      <c r="F208" s="2181"/>
      <c r="G208" s="2182" t="s">
        <v>2154</v>
      </c>
      <c r="H208" s="2182"/>
      <c r="I208" s="2182"/>
      <c r="J208" s="2182"/>
      <c r="K208" s="2182"/>
      <c r="L208" s="2182"/>
      <c r="M208" s="2182"/>
      <c r="N208" s="2182"/>
      <c r="O208" s="2182"/>
      <c r="P208" s="2183"/>
      <c r="Q208" s="2183"/>
      <c r="R208" s="2183"/>
      <c r="S208" s="2183"/>
      <c r="T208" s="2183"/>
      <c r="U208" s="2184" t="s">
        <v>2154</v>
      </c>
      <c r="V208" s="2184"/>
      <c r="W208" s="2184"/>
      <c r="X208" s="2184"/>
      <c r="Y208" s="2184" t="s">
        <v>2154</v>
      </c>
      <c r="Z208" s="2184"/>
      <c r="AA208" s="2184"/>
      <c r="AB208" s="2184"/>
      <c r="AC208" s="2185" t="s">
        <v>2154</v>
      </c>
      <c r="AD208" s="2185"/>
      <c r="AE208" s="2185"/>
      <c r="AF208" s="2185"/>
      <c r="AG208" s="2579"/>
      <c r="AH208" s="2580"/>
      <c r="AI208" s="2580"/>
      <c r="AJ208" s="2580"/>
      <c r="AK208" s="2581"/>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180">
        <v>3</v>
      </c>
      <c r="D209" s="2181"/>
      <c r="E209" s="2181"/>
      <c r="F209" s="2181"/>
      <c r="G209" s="2182" t="s">
        <v>2154</v>
      </c>
      <c r="H209" s="2182"/>
      <c r="I209" s="2182"/>
      <c r="J209" s="2182"/>
      <c r="K209" s="2182"/>
      <c r="L209" s="2182"/>
      <c r="M209" s="2182"/>
      <c r="N209" s="2182"/>
      <c r="O209" s="2182"/>
      <c r="P209" s="2183"/>
      <c r="Q209" s="2183"/>
      <c r="R209" s="2183"/>
      <c r="S209" s="2183"/>
      <c r="T209" s="2183"/>
      <c r="U209" s="2184" t="s">
        <v>2154</v>
      </c>
      <c r="V209" s="2184"/>
      <c r="W209" s="2184"/>
      <c r="X209" s="2184"/>
      <c r="Y209" s="2184" t="s">
        <v>2154</v>
      </c>
      <c r="Z209" s="2184"/>
      <c r="AA209" s="2184"/>
      <c r="AB209" s="2184"/>
      <c r="AC209" s="2185" t="s">
        <v>2154</v>
      </c>
      <c r="AD209" s="2185"/>
      <c r="AE209" s="2185"/>
      <c r="AF209" s="2185"/>
      <c r="AG209" s="2579"/>
      <c r="AH209" s="2580"/>
      <c r="AI209" s="2580"/>
      <c r="AJ209" s="2580"/>
      <c r="AK209" s="2581"/>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180">
        <v>4</v>
      </c>
      <c r="D210" s="2181"/>
      <c r="E210" s="2181"/>
      <c r="F210" s="2181"/>
      <c r="G210" s="2182" t="s">
        <v>2154</v>
      </c>
      <c r="H210" s="2182"/>
      <c r="I210" s="2182"/>
      <c r="J210" s="2182"/>
      <c r="K210" s="2182"/>
      <c r="L210" s="2182"/>
      <c r="M210" s="2182"/>
      <c r="N210" s="2182"/>
      <c r="O210" s="2182"/>
      <c r="P210" s="2183"/>
      <c r="Q210" s="2183"/>
      <c r="R210" s="2183"/>
      <c r="S210" s="2183"/>
      <c r="T210" s="2183"/>
      <c r="U210" s="2184" t="s">
        <v>2154</v>
      </c>
      <c r="V210" s="2184"/>
      <c r="W210" s="2184"/>
      <c r="X210" s="2184"/>
      <c r="Y210" s="2184" t="s">
        <v>2154</v>
      </c>
      <c r="Z210" s="2184"/>
      <c r="AA210" s="2184"/>
      <c r="AB210" s="2184"/>
      <c r="AC210" s="2185" t="s">
        <v>2154</v>
      </c>
      <c r="AD210" s="2185"/>
      <c r="AE210" s="2185"/>
      <c r="AF210" s="2185"/>
      <c r="AG210" s="2579"/>
      <c r="AH210" s="2580"/>
      <c r="AI210" s="2580"/>
      <c r="AJ210" s="2580"/>
      <c r="AK210" s="2581"/>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180">
        <v>5</v>
      </c>
      <c r="D211" s="2181"/>
      <c r="E211" s="2181"/>
      <c r="F211" s="2181"/>
      <c r="G211" s="2182"/>
      <c r="H211" s="2182"/>
      <c r="I211" s="2182"/>
      <c r="J211" s="2182"/>
      <c r="K211" s="2182"/>
      <c r="L211" s="2182"/>
      <c r="M211" s="2182"/>
      <c r="N211" s="2182"/>
      <c r="O211" s="2182"/>
      <c r="P211" s="2183"/>
      <c r="Q211" s="2183"/>
      <c r="R211" s="2183"/>
      <c r="S211" s="2183"/>
      <c r="T211" s="2183"/>
      <c r="U211" s="2184" t="s">
        <v>2154</v>
      </c>
      <c r="V211" s="2184"/>
      <c r="W211" s="2184"/>
      <c r="X211" s="2184"/>
      <c r="Y211" s="2184" t="s">
        <v>2154</v>
      </c>
      <c r="Z211" s="2184"/>
      <c r="AA211" s="2184"/>
      <c r="AB211" s="2184"/>
      <c r="AC211" s="2185" t="s">
        <v>2154</v>
      </c>
      <c r="AD211" s="2185"/>
      <c r="AE211" s="2185"/>
      <c r="AF211" s="2185"/>
      <c r="AG211" s="2579"/>
      <c r="AH211" s="2580"/>
      <c r="AI211" s="2580"/>
      <c r="AJ211" s="2580"/>
      <c r="AK211" s="2581"/>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180">
        <v>6</v>
      </c>
      <c r="D212" s="2181"/>
      <c r="E212" s="2181"/>
      <c r="F212" s="2181"/>
      <c r="G212" s="2182" t="s">
        <v>2154</v>
      </c>
      <c r="H212" s="2182"/>
      <c r="I212" s="2182"/>
      <c r="J212" s="2182"/>
      <c r="K212" s="2182"/>
      <c r="L212" s="2182"/>
      <c r="M212" s="2182"/>
      <c r="N212" s="2182"/>
      <c r="O212" s="2182"/>
      <c r="P212" s="2183"/>
      <c r="Q212" s="2183"/>
      <c r="R212" s="2183"/>
      <c r="S212" s="2183"/>
      <c r="T212" s="2183"/>
      <c r="U212" s="2184"/>
      <c r="V212" s="2184"/>
      <c r="W212" s="2184"/>
      <c r="X212" s="2184"/>
      <c r="Y212" s="2184"/>
      <c r="Z212" s="2184"/>
      <c r="AA212" s="2184"/>
      <c r="AB212" s="2184"/>
      <c r="AC212" s="2185" t="s">
        <v>2154</v>
      </c>
      <c r="AD212" s="2185"/>
      <c r="AE212" s="2185"/>
      <c r="AF212" s="2185"/>
      <c r="AG212" s="2579"/>
      <c r="AH212" s="2580"/>
      <c r="AI212" s="2580"/>
      <c r="AJ212" s="2580"/>
      <c r="AK212" s="2581"/>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180">
        <v>7</v>
      </c>
      <c r="D213" s="2181"/>
      <c r="E213" s="2181"/>
      <c r="F213" s="2181"/>
      <c r="G213" s="2186"/>
      <c r="H213" s="2187"/>
      <c r="I213" s="2187"/>
      <c r="J213" s="2187"/>
      <c r="K213" s="2187"/>
      <c r="L213" s="2187"/>
      <c r="M213" s="2187"/>
      <c r="N213" s="2187"/>
      <c r="O213" s="2188"/>
      <c r="P213" s="2183"/>
      <c r="Q213" s="2183"/>
      <c r="R213" s="2183"/>
      <c r="S213" s="2183"/>
      <c r="T213" s="2183"/>
      <c r="U213" s="2184"/>
      <c r="V213" s="2184"/>
      <c r="W213" s="2184"/>
      <c r="X213" s="2184"/>
      <c r="Y213" s="2184"/>
      <c r="Z213" s="2184"/>
      <c r="AA213" s="2184"/>
      <c r="AB213" s="2184"/>
      <c r="AC213" s="2185" t="s">
        <v>2154</v>
      </c>
      <c r="AD213" s="2185"/>
      <c r="AE213" s="2185"/>
      <c r="AF213" s="2185"/>
      <c r="AG213" s="2579"/>
      <c r="AH213" s="2580"/>
      <c r="AI213" s="2580"/>
      <c r="AJ213" s="2580"/>
      <c r="AK213" s="2581"/>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175" t="s">
        <v>2587</v>
      </c>
      <c r="D214" s="2176"/>
      <c r="E214" s="2176"/>
      <c r="F214" s="2176"/>
      <c r="G214" s="2176"/>
      <c r="H214" s="2176"/>
      <c r="I214" s="2176"/>
      <c r="J214" s="2176"/>
      <c r="K214" s="2176"/>
      <c r="L214" s="2176"/>
      <c r="M214" s="2176"/>
      <c r="N214" s="2176"/>
      <c r="O214" s="2176"/>
      <c r="P214" s="2177"/>
      <c r="Q214" s="2177"/>
      <c r="R214" s="2177"/>
      <c r="S214" s="2177"/>
      <c r="T214" s="2177"/>
      <c r="U214" s="2178">
        <v>0</v>
      </c>
      <c r="V214" s="2178"/>
      <c r="W214" s="2178"/>
      <c r="X214" s="2178"/>
      <c r="Y214" s="2178">
        <v>0</v>
      </c>
      <c r="Z214" s="2178"/>
      <c r="AA214" s="2178"/>
      <c r="AB214" s="2178"/>
      <c r="AC214" s="2179">
        <v>0</v>
      </c>
      <c r="AD214" s="2179"/>
      <c r="AE214" s="2179"/>
      <c r="AF214" s="2179"/>
      <c r="AG214" s="2582"/>
      <c r="AH214" s="2583"/>
      <c r="AI214" s="2583"/>
      <c r="AJ214" s="2583"/>
      <c r="AK214" s="2584"/>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2586</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555" t="s">
        <v>1854</v>
      </c>
      <c r="C219" s="2556"/>
      <c r="D219" s="2556"/>
      <c r="E219" s="2556"/>
      <c r="F219" s="2556"/>
      <c r="G219" s="2556"/>
      <c r="H219" s="2556"/>
      <c r="I219" s="2556"/>
      <c r="J219" s="2556"/>
      <c r="K219" s="2556"/>
      <c r="L219" s="2556"/>
      <c r="M219" s="2556"/>
      <c r="N219" s="2556"/>
      <c r="O219" s="2556"/>
      <c r="P219" s="2556"/>
      <c r="Q219" s="2556"/>
      <c r="R219" s="2556"/>
      <c r="S219" s="2556"/>
      <c r="T219" s="2556"/>
      <c r="U219" s="2556"/>
      <c r="V219" s="2556"/>
      <c r="W219" s="2556"/>
      <c r="X219" s="2556"/>
      <c r="Y219" s="2556"/>
      <c r="Z219" s="2556"/>
      <c r="AA219" s="2556"/>
      <c r="AB219" s="2556"/>
      <c r="AC219" s="2556"/>
      <c r="AD219" s="2556"/>
      <c r="AE219" s="2556"/>
      <c r="AF219" s="2556"/>
      <c r="AG219" s="2556"/>
      <c r="AH219" s="2556"/>
      <c r="AI219" s="2556"/>
      <c r="AJ219" s="2556"/>
      <c r="AK219" s="2556"/>
      <c r="AL219" s="2556"/>
      <c r="AM219" s="2556"/>
      <c r="AN219" s="2556"/>
      <c r="AO219" s="2556"/>
      <c r="AP219" s="2556"/>
      <c r="AQ219" s="2556"/>
      <c r="AR219" s="2556"/>
      <c r="AS219" s="2556"/>
      <c r="AT219" s="2556"/>
      <c r="AU219" s="2556"/>
      <c r="AV219" s="2556"/>
      <c r="AW219" s="2556"/>
      <c r="AX219" s="2556"/>
      <c r="AY219" s="2556"/>
      <c r="AZ219" s="2556"/>
      <c r="BA219" s="2556"/>
      <c r="BB219" s="2556"/>
      <c r="BC219" s="2556"/>
      <c r="BD219" s="2557"/>
      <c r="BE219" s="1205"/>
    </row>
    <row r="220" spans="1:57" ht="15.75" customHeight="1">
      <c r="A220" s="1209"/>
      <c r="B220" s="2558"/>
      <c r="C220" s="2559"/>
      <c r="D220" s="2559"/>
      <c r="E220" s="2559"/>
      <c r="F220" s="2559"/>
      <c r="G220" s="2559"/>
      <c r="H220" s="2559"/>
      <c r="I220" s="2559"/>
      <c r="J220" s="2559"/>
      <c r="K220" s="2559"/>
      <c r="L220" s="2559"/>
      <c r="M220" s="2559"/>
      <c r="N220" s="2559"/>
      <c r="O220" s="2559"/>
      <c r="P220" s="2559"/>
      <c r="Q220" s="2559"/>
      <c r="R220" s="2559"/>
      <c r="S220" s="2559"/>
      <c r="T220" s="2559"/>
      <c r="U220" s="2559"/>
      <c r="V220" s="2559"/>
      <c r="W220" s="2559"/>
      <c r="X220" s="2559"/>
      <c r="Y220" s="2559"/>
      <c r="Z220" s="2559"/>
      <c r="AA220" s="2559"/>
      <c r="AB220" s="2559"/>
      <c r="AC220" s="2559"/>
      <c r="AD220" s="2559"/>
      <c r="AE220" s="2559"/>
      <c r="AF220" s="2559"/>
      <c r="AG220" s="2559"/>
      <c r="AH220" s="2559"/>
      <c r="AI220" s="2559"/>
      <c r="AJ220" s="2559"/>
      <c r="AK220" s="2559"/>
      <c r="AL220" s="2559"/>
      <c r="AM220" s="2559"/>
      <c r="AN220" s="2559"/>
      <c r="AO220" s="2559"/>
      <c r="AP220" s="2559"/>
      <c r="AQ220" s="2559"/>
      <c r="AR220" s="2559"/>
      <c r="AS220" s="2559"/>
      <c r="AT220" s="2559"/>
      <c r="AU220" s="2559"/>
      <c r="AV220" s="2559"/>
      <c r="AW220" s="2559"/>
      <c r="AX220" s="2559"/>
      <c r="AY220" s="2559"/>
      <c r="AZ220" s="2559"/>
      <c r="BA220" s="2559"/>
      <c r="BB220" s="2559"/>
      <c r="BC220" s="2559"/>
      <c r="BD220" s="2560"/>
      <c r="BE220" s="1205"/>
    </row>
    <row r="221" spans="1:57" ht="15.75" customHeight="1">
      <c r="A221" s="1209"/>
      <c r="B221" s="2561" t="s">
        <v>1855</v>
      </c>
      <c r="C221" s="2562"/>
      <c r="D221" s="2562"/>
      <c r="E221" s="2562"/>
      <c r="F221" s="2562"/>
      <c r="G221" s="2562"/>
      <c r="H221" s="2562"/>
      <c r="I221" s="2562"/>
      <c r="J221" s="2562"/>
      <c r="K221" s="2562"/>
      <c r="L221" s="2562"/>
      <c r="M221" s="2562"/>
      <c r="N221" s="2562"/>
      <c r="O221" s="2562"/>
      <c r="P221" s="2562"/>
      <c r="Q221" s="2562"/>
      <c r="R221" s="2562"/>
      <c r="S221" s="2562"/>
      <c r="T221" s="2562"/>
      <c r="U221" s="2562"/>
      <c r="V221" s="2562"/>
      <c r="W221" s="2562"/>
      <c r="X221" s="2562"/>
      <c r="Y221" s="2562"/>
      <c r="Z221" s="2562"/>
      <c r="AA221" s="2562"/>
      <c r="AB221" s="2562"/>
      <c r="AC221" s="2562"/>
      <c r="AD221" s="2562"/>
      <c r="AE221" s="2562"/>
      <c r="AF221" s="2562"/>
      <c r="AG221" s="2562"/>
      <c r="AH221" s="2562"/>
      <c r="AI221" s="2562"/>
      <c r="AJ221" s="2562"/>
      <c r="AK221" s="2562"/>
      <c r="AL221" s="2562"/>
      <c r="AM221" s="2562"/>
      <c r="AN221" s="2562"/>
      <c r="AO221" s="2562"/>
      <c r="AP221" s="2562"/>
      <c r="AQ221" s="2562"/>
      <c r="AR221" s="2562"/>
      <c r="AS221" s="2562"/>
      <c r="AT221" s="2562"/>
      <c r="AU221" s="2562"/>
      <c r="AV221" s="2562"/>
      <c r="AW221" s="2562"/>
      <c r="AX221" s="2562"/>
      <c r="AY221" s="2562"/>
      <c r="AZ221" s="2562"/>
      <c r="BA221" s="2562"/>
      <c r="BB221" s="2562"/>
      <c r="BC221" s="2562"/>
      <c r="BD221" s="2563"/>
      <c r="BE221" s="1205"/>
    </row>
    <row r="222" spans="1:57" ht="15.75" customHeight="1">
      <c r="A222" s="1209"/>
      <c r="B222" s="2561" t="s">
        <v>1856</v>
      </c>
      <c r="C222" s="2562"/>
      <c r="D222" s="2562"/>
      <c r="E222" s="2562"/>
      <c r="F222" s="2562"/>
      <c r="G222" s="2562"/>
      <c r="H222" s="2562"/>
      <c r="I222" s="2562"/>
      <c r="J222" s="2562"/>
      <c r="K222" s="2562"/>
      <c r="L222" s="2562"/>
      <c r="M222" s="2562"/>
      <c r="N222" s="2562"/>
      <c r="O222" s="2562"/>
      <c r="P222" s="2562"/>
      <c r="Q222" s="2562"/>
      <c r="R222" s="2562"/>
      <c r="S222" s="2562"/>
      <c r="T222" s="2562"/>
      <c r="U222" s="2562"/>
      <c r="V222" s="2562"/>
      <c r="W222" s="2562"/>
      <c r="X222" s="2562"/>
      <c r="Y222" s="2562"/>
      <c r="Z222" s="2562"/>
      <c r="AA222" s="2562"/>
      <c r="AB222" s="2562"/>
      <c r="AC222" s="2562"/>
      <c r="AD222" s="2562"/>
      <c r="AE222" s="2562"/>
      <c r="AF222" s="2562"/>
      <c r="AG222" s="2562"/>
      <c r="AH222" s="2562"/>
      <c r="AI222" s="2562"/>
      <c r="AJ222" s="2562"/>
      <c r="AK222" s="2562"/>
      <c r="AL222" s="2562"/>
      <c r="AM222" s="2562"/>
      <c r="AN222" s="2562"/>
      <c r="AO222" s="2562"/>
      <c r="AP222" s="2562"/>
      <c r="AQ222" s="2562"/>
      <c r="AR222" s="2562"/>
      <c r="AS222" s="2562"/>
      <c r="AT222" s="2562"/>
      <c r="AU222" s="2562"/>
      <c r="AV222" s="2562"/>
      <c r="AW222" s="2562"/>
      <c r="AX222" s="2562"/>
      <c r="AY222" s="2562"/>
      <c r="AZ222" s="2562"/>
      <c r="BA222" s="2562"/>
      <c r="BB222" s="2562"/>
      <c r="BC222" s="2562"/>
      <c r="BD222" s="2563"/>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564" t="s">
        <v>1857</v>
      </c>
      <c r="C224" s="2565"/>
      <c r="D224" s="2565"/>
      <c r="E224" s="2565"/>
      <c r="F224" s="2565"/>
      <c r="G224" s="2565"/>
      <c r="H224" s="2565"/>
      <c r="I224" s="2565"/>
      <c r="J224" s="2565"/>
      <c r="K224" s="2565"/>
      <c r="L224" s="2565"/>
      <c r="M224" s="2565"/>
      <c r="N224" s="2565"/>
      <c r="O224" s="2565"/>
      <c r="P224" s="2565"/>
      <c r="Q224" s="2565"/>
      <c r="R224" s="2565"/>
      <c r="S224" s="2565"/>
      <c r="T224" s="2565"/>
      <c r="U224" s="2565"/>
      <c r="V224" s="2565"/>
      <c r="W224" s="2565"/>
      <c r="X224" s="2565"/>
      <c r="Y224" s="2565"/>
      <c r="Z224" s="2565"/>
      <c r="AA224" s="2565"/>
      <c r="AB224" s="2565"/>
      <c r="AC224" s="2565"/>
      <c r="AD224" s="2565"/>
      <c r="AE224" s="2565"/>
      <c r="AF224" s="2565"/>
      <c r="AG224" s="2565"/>
      <c r="AH224" s="2565"/>
      <c r="AI224" s="2565"/>
      <c r="AJ224" s="2565"/>
      <c r="AK224" s="2565"/>
      <c r="AL224" s="2565"/>
      <c r="AM224" s="2565"/>
      <c r="AN224" s="2565"/>
      <c r="AO224" s="2565"/>
      <c r="AP224" s="2565"/>
      <c r="AQ224" s="2565"/>
      <c r="AR224" s="2565"/>
      <c r="AS224" s="2565"/>
      <c r="AT224" s="2565"/>
      <c r="AU224" s="2565"/>
      <c r="AV224" s="2565"/>
      <c r="AW224" s="2565"/>
      <c r="AX224" s="2565"/>
      <c r="AY224" s="2565"/>
      <c r="AZ224" s="2565"/>
      <c r="BA224" s="2565"/>
      <c r="BB224" s="2565"/>
      <c r="BC224" s="2565"/>
      <c r="BD224" s="2566"/>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1858</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578" t="s">
        <v>1859</v>
      </c>
      <c r="I228" s="2578"/>
      <c r="J228" s="2578"/>
      <c r="K228" s="2578"/>
      <c r="L228" s="2578"/>
      <c r="M228" s="2578"/>
      <c r="N228" s="2578"/>
      <c r="O228" s="2578"/>
      <c r="P228" s="2578"/>
      <c r="Q228" s="2578"/>
      <c r="R228" s="2578"/>
      <c r="S228" s="2578"/>
      <c r="T228" s="2578"/>
      <c r="U228" s="2578"/>
      <c r="V228" s="2578"/>
      <c r="W228" s="2578"/>
      <c r="X228" s="2578"/>
      <c r="Y228" s="2578"/>
      <c r="Z228" s="2578"/>
      <c r="AA228" s="2578"/>
      <c r="AB228" s="2578"/>
      <c r="AC228" s="2578"/>
      <c r="AD228" s="2578"/>
      <c r="AE228" s="2578"/>
      <c r="AF228" s="2578"/>
      <c r="AG228" s="2578"/>
      <c r="AH228" s="2578"/>
      <c r="AI228" s="2578"/>
      <c r="AJ228" s="2578"/>
      <c r="AK228" s="2578"/>
      <c r="AL228" s="2578"/>
      <c r="AM228" s="2578"/>
      <c r="AN228" s="2578"/>
      <c r="AO228" s="2578"/>
      <c r="AP228" s="2578"/>
      <c r="AQ228" s="2578"/>
      <c r="AR228" s="2578"/>
      <c r="AS228" s="2578"/>
      <c r="AT228" s="2578"/>
      <c r="AU228" s="2578"/>
      <c r="AV228" s="2578"/>
      <c r="AW228" s="2578"/>
      <c r="AX228" s="2578"/>
      <c r="AY228" s="2578"/>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577" t="s">
        <v>2498</v>
      </c>
      <c r="I230" s="2577"/>
      <c r="J230" s="2577"/>
      <c r="K230" s="2577"/>
      <c r="L230" s="2577"/>
      <c r="M230" s="2577"/>
      <c r="N230" s="2577"/>
      <c r="O230" s="2577"/>
      <c r="P230" s="2577"/>
      <c r="Q230" s="2577"/>
      <c r="R230" s="2577"/>
      <c r="S230" s="2577"/>
      <c r="T230" s="2577"/>
      <c r="U230" s="2577"/>
      <c r="V230" s="2577"/>
      <c r="W230" s="2577"/>
      <c r="X230" s="2577"/>
      <c r="Y230" s="2577"/>
      <c r="Z230" s="2577"/>
      <c r="AA230" s="2577"/>
      <c r="AB230" s="2577"/>
      <c r="AC230" s="2577"/>
      <c r="AD230" s="2577"/>
      <c r="AE230" s="2577"/>
      <c r="AF230" s="2577"/>
      <c r="AG230" s="2577"/>
      <c r="AH230" s="2577"/>
      <c r="AI230" s="2577"/>
      <c r="AJ230" s="2577"/>
      <c r="AK230" s="2577"/>
      <c r="AL230" s="2577"/>
      <c r="AM230" s="2577"/>
      <c r="AN230" s="2577"/>
      <c r="AO230" s="2577"/>
      <c r="AP230" s="2577"/>
      <c r="AQ230" s="2577"/>
      <c r="AR230" s="2577"/>
      <c r="AS230" s="2577"/>
      <c r="AT230" s="2577"/>
      <c r="AU230" s="2577"/>
      <c r="AV230" s="2577"/>
      <c r="AW230" s="2577"/>
      <c r="AX230" s="2577"/>
      <c r="AY230" s="2577"/>
      <c r="AZ230" s="2577"/>
      <c r="BA230" s="1209"/>
      <c r="BB230" s="1209"/>
      <c r="BC230" s="1209"/>
      <c r="BD230" s="1205"/>
      <c r="BE230" s="1205"/>
    </row>
    <row r="231" spans="1:57" ht="15.75" customHeight="1">
      <c r="A231" s="1209"/>
      <c r="B231" s="1215"/>
      <c r="C231" s="1209"/>
      <c r="D231" s="1209"/>
      <c r="E231" s="1209"/>
      <c r="F231" s="1209"/>
      <c r="G231" s="1209"/>
      <c r="H231" s="2577"/>
      <c r="I231" s="2577"/>
      <c r="J231" s="2577"/>
      <c r="K231" s="2577"/>
      <c r="L231" s="2577"/>
      <c r="M231" s="2577"/>
      <c r="N231" s="2577"/>
      <c r="O231" s="2577"/>
      <c r="P231" s="2577"/>
      <c r="Q231" s="2577"/>
      <c r="R231" s="2577"/>
      <c r="S231" s="2577"/>
      <c r="T231" s="2577"/>
      <c r="U231" s="2577"/>
      <c r="V231" s="2577"/>
      <c r="W231" s="2577"/>
      <c r="X231" s="2577"/>
      <c r="Y231" s="2577"/>
      <c r="Z231" s="2577"/>
      <c r="AA231" s="2577"/>
      <c r="AB231" s="2577"/>
      <c r="AC231" s="2577"/>
      <c r="AD231" s="2577"/>
      <c r="AE231" s="2577"/>
      <c r="AF231" s="2577"/>
      <c r="AG231" s="2577"/>
      <c r="AH231" s="2577"/>
      <c r="AI231" s="2577"/>
      <c r="AJ231" s="2577"/>
      <c r="AK231" s="2577"/>
      <c r="AL231" s="2577"/>
      <c r="AM231" s="2577"/>
      <c r="AN231" s="2577"/>
      <c r="AO231" s="2577"/>
      <c r="AP231" s="2577"/>
      <c r="AQ231" s="2577"/>
      <c r="AR231" s="2577"/>
      <c r="AS231" s="2577"/>
      <c r="AT231" s="2577"/>
      <c r="AU231" s="2577"/>
      <c r="AV231" s="2577"/>
      <c r="AW231" s="2577"/>
      <c r="AX231" s="2577"/>
      <c r="AY231" s="2577"/>
      <c r="AZ231" s="2577"/>
      <c r="BA231" s="1209"/>
      <c r="BB231" s="1209"/>
      <c r="BC231" s="1209"/>
      <c r="BD231" s="1205"/>
      <c r="BE231" s="1205"/>
    </row>
    <row r="232" spans="1:57" ht="15.75" customHeight="1">
      <c r="A232" s="1209"/>
      <c r="B232" s="1215"/>
      <c r="C232" s="1209"/>
      <c r="D232" s="1209"/>
      <c r="E232" s="1209"/>
      <c r="F232" s="1209"/>
      <c r="G232" s="1209"/>
      <c r="H232" s="2577"/>
      <c r="I232" s="2577"/>
      <c r="J232" s="2577"/>
      <c r="K232" s="2577"/>
      <c r="L232" s="2577"/>
      <c r="M232" s="2577"/>
      <c r="N232" s="2577"/>
      <c r="O232" s="2577"/>
      <c r="P232" s="2577"/>
      <c r="Q232" s="2577"/>
      <c r="R232" s="2577"/>
      <c r="S232" s="2577"/>
      <c r="T232" s="2577"/>
      <c r="U232" s="2577"/>
      <c r="V232" s="2577"/>
      <c r="W232" s="2577"/>
      <c r="X232" s="2577"/>
      <c r="Y232" s="2577"/>
      <c r="Z232" s="2577"/>
      <c r="AA232" s="2577"/>
      <c r="AB232" s="2577"/>
      <c r="AC232" s="2577"/>
      <c r="AD232" s="2577"/>
      <c r="AE232" s="2577"/>
      <c r="AF232" s="2577"/>
      <c r="AG232" s="2577"/>
      <c r="AH232" s="2577"/>
      <c r="AI232" s="2577"/>
      <c r="AJ232" s="2577"/>
      <c r="AK232" s="2577"/>
      <c r="AL232" s="2577"/>
      <c r="AM232" s="2577"/>
      <c r="AN232" s="2577"/>
      <c r="AO232" s="2577"/>
      <c r="AP232" s="2577"/>
      <c r="AQ232" s="2577"/>
      <c r="AR232" s="2577"/>
      <c r="AS232" s="2577"/>
      <c r="AT232" s="2577"/>
      <c r="AU232" s="2577"/>
      <c r="AV232" s="2577"/>
      <c r="AW232" s="2577"/>
      <c r="AX232" s="2577"/>
      <c r="AY232" s="2577"/>
      <c r="AZ232" s="2577"/>
      <c r="BA232" s="1209"/>
      <c r="BB232" s="1209"/>
      <c r="BC232" s="1209"/>
      <c r="BD232" s="1205"/>
      <c r="BE232" s="1205"/>
    </row>
    <row r="233" spans="1:57" ht="15.75" customHeight="1">
      <c r="A233" s="1209"/>
      <c r="B233" s="1215"/>
      <c r="C233" s="1209"/>
      <c r="D233" s="1209"/>
      <c r="E233" s="1209"/>
      <c r="F233" s="1209"/>
      <c r="G233" s="1209"/>
      <c r="H233" s="2577"/>
      <c r="I233" s="2577"/>
      <c r="J233" s="2577"/>
      <c r="K233" s="2577"/>
      <c r="L233" s="2577"/>
      <c r="M233" s="2577"/>
      <c r="N233" s="2577"/>
      <c r="O233" s="2577"/>
      <c r="P233" s="2577"/>
      <c r="Q233" s="2577"/>
      <c r="R233" s="2577"/>
      <c r="S233" s="2577"/>
      <c r="T233" s="2577"/>
      <c r="U233" s="2577"/>
      <c r="V233" s="2577"/>
      <c r="W233" s="2577"/>
      <c r="X233" s="2577"/>
      <c r="Y233" s="2577"/>
      <c r="Z233" s="2577"/>
      <c r="AA233" s="2577"/>
      <c r="AB233" s="2577"/>
      <c r="AC233" s="2577"/>
      <c r="AD233" s="2577"/>
      <c r="AE233" s="2577"/>
      <c r="AF233" s="2577"/>
      <c r="AG233" s="2577"/>
      <c r="AH233" s="2577"/>
      <c r="AI233" s="2577"/>
      <c r="AJ233" s="2577"/>
      <c r="AK233" s="2577"/>
      <c r="AL233" s="2577"/>
      <c r="AM233" s="2577"/>
      <c r="AN233" s="2577"/>
      <c r="AO233" s="2577"/>
      <c r="AP233" s="2577"/>
      <c r="AQ233" s="2577"/>
      <c r="AR233" s="2577"/>
      <c r="AS233" s="2577"/>
      <c r="AT233" s="2577"/>
      <c r="AU233" s="2577"/>
      <c r="AV233" s="2577"/>
      <c r="AW233" s="2577"/>
      <c r="AX233" s="2577"/>
      <c r="AY233" s="2577"/>
      <c r="AZ233" s="2577"/>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576" t="s">
        <v>1860</v>
      </c>
      <c r="I235" s="2576"/>
      <c r="J235" s="2576"/>
      <c r="K235" s="2576"/>
      <c r="L235" s="2576"/>
      <c r="M235" s="2576"/>
      <c r="N235" s="2576"/>
      <c r="O235" s="2576"/>
      <c r="P235" s="2576"/>
      <c r="Q235" s="2576"/>
      <c r="R235" s="2576"/>
      <c r="S235" s="2576"/>
      <c r="T235" s="2576"/>
      <c r="U235" s="2576"/>
      <c r="V235" s="2576"/>
      <c r="W235" s="2576"/>
      <c r="X235" s="2576"/>
      <c r="Y235" s="2576"/>
      <c r="Z235" s="2576"/>
      <c r="AA235" s="2576"/>
      <c r="AB235" s="2576"/>
      <c r="AC235" s="2576"/>
      <c r="AD235" s="2576"/>
      <c r="AE235" s="2576"/>
      <c r="AF235" s="2576"/>
      <c r="AG235" s="2576"/>
      <c r="AH235" s="2576"/>
      <c r="AI235" s="2576"/>
      <c r="AJ235" s="2576"/>
      <c r="AK235" s="2576"/>
      <c r="AL235" s="2576"/>
      <c r="AM235" s="2576"/>
      <c r="AN235" s="2576"/>
      <c r="AO235" s="2576"/>
      <c r="AP235" s="2576"/>
      <c r="AQ235" s="2576"/>
      <c r="AR235" s="2576"/>
      <c r="AS235" s="2576"/>
      <c r="AT235" s="2576"/>
      <c r="AU235" s="2576"/>
      <c r="AV235" s="2576"/>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552" t="s">
        <v>1861</v>
      </c>
      <c r="I237" s="2552"/>
      <c r="J237" s="2552"/>
      <c r="K237" s="2552"/>
      <c r="L237" s="1211"/>
      <c r="M237" s="1211"/>
      <c r="N237" s="1211"/>
      <c r="O237" s="1211"/>
      <c r="P237" s="1211"/>
      <c r="Q237" s="1211"/>
      <c r="R237" s="1211"/>
      <c r="S237" s="2573"/>
      <c r="T237" s="2574"/>
      <c r="U237" s="2574"/>
      <c r="V237" s="2574"/>
      <c r="W237" s="2574"/>
      <c r="X237" s="2574"/>
      <c r="Y237" s="2574"/>
      <c r="Z237" s="2574"/>
      <c r="AA237" s="2574"/>
      <c r="AB237" s="2574"/>
      <c r="AC237" s="2574"/>
      <c r="AD237" s="2574"/>
      <c r="AE237" s="2574"/>
      <c r="AF237" s="2574"/>
      <c r="AG237" s="2574"/>
      <c r="AH237" s="2574"/>
      <c r="AI237" s="2574"/>
      <c r="AJ237" s="2575"/>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552" t="s">
        <v>1862</v>
      </c>
      <c r="I239" s="2552"/>
      <c r="J239" s="2552"/>
      <c r="K239" s="1213"/>
      <c r="L239" s="1211"/>
      <c r="M239" s="1211"/>
      <c r="N239" s="1211"/>
      <c r="O239" s="1211"/>
      <c r="P239" s="1211"/>
      <c r="Q239" s="1211"/>
      <c r="R239" s="1211"/>
      <c r="S239" s="2570"/>
      <c r="T239" s="2571"/>
      <c r="U239" s="2571"/>
      <c r="V239" s="2571"/>
      <c r="W239" s="2571"/>
      <c r="X239" s="2571"/>
      <c r="Y239" s="2571"/>
      <c r="Z239" s="2571"/>
      <c r="AA239" s="2571"/>
      <c r="AB239" s="2571"/>
      <c r="AC239" s="2571"/>
      <c r="AD239" s="2571"/>
      <c r="AE239" s="2571"/>
      <c r="AF239" s="2571"/>
      <c r="AG239" s="2571"/>
      <c r="AH239" s="2571"/>
      <c r="AI239" s="2571"/>
      <c r="AJ239" s="2572"/>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552" t="s">
        <v>443</v>
      </c>
      <c r="I241" s="2552"/>
      <c r="J241" s="1213"/>
      <c r="K241" s="1213"/>
      <c r="L241" s="1211"/>
      <c r="M241" s="1211"/>
      <c r="N241" s="1211"/>
      <c r="O241" s="1211"/>
      <c r="P241" s="1211"/>
      <c r="Q241" s="1211"/>
      <c r="R241" s="1211"/>
      <c r="S241" s="2570"/>
      <c r="T241" s="2571"/>
      <c r="U241" s="2571"/>
      <c r="V241" s="2571"/>
      <c r="W241" s="2571"/>
      <c r="X241" s="2571"/>
      <c r="Y241" s="2571"/>
      <c r="Z241" s="2571"/>
      <c r="AA241" s="2571"/>
      <c r="AB241" s="2571"/>
      <c r="AC241" s="2571"/>
      <c r="AD241" s="2571"/>
      <c r="AE241" s="2571"/>
      <c r="AF241" s="2571"/>
      <c r="AG241" s="2571"/>
      <c r="AH241" s="2571"/>
      <c r="AI241" s="2571"/>
      <c r="AJ241" s="2572"/>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553" t="s">
        <v>1863</v>
      </c>
      <c r="I243" s="2553"/>
      <c r="J243" s="2553"/>
      <c r="K243" s="2553"/>
      <c r="L243" s="2553"/>
      <c r="M243" s="2553"/>
      <c r="N243" s="2553"/>
      <c r="O243" s="2553"/>
      <c r="P243" s="1211"/>
      <c r="Q243" s="1211"/>
      <c r="R243" s="1211"/>
      <c r="S243" s="2570"/>
      <c r="T243" s="2571"/>
      <c r="U243" s="2571"/>
      <c r="V243" s="2571"/>
      <c r="W243" s="2571"/>
      <c r="X243" s="2571"/>
      <c r="Y243" s="2571"/>
      <c r="Z243" s="2571"/>
      <c r="AA243" s="2571"/>
      <c r="AB243" s="2571"/>
      <c r="AC243" s="2571"/>
      <c r="AD243" s="2571"/>
      <c r="AE243" s="2571"/>
      <c r="AF243" s="2571"/>
      <c r="AG243" s="2571"/>
      <c r="AH243" s="2571"/>
      <c r="AI243" s="2571"/>
      <c r="AJ243" s="2572"/>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554" t="s">
        <v>1864</v>
      </c>
      <c r="I245" s="2554"/>
      <c r="J245" s="1211"/>
      <c r="K245" s="1211"/>
      <c r="L245" s="1211"/>
      <c r="M245" s="1211"/>
      <c r="N245" s="1211"/>
      <c r="O245" s="1211"/>
      <c r="P245" s="1211"/>
      <c r="Q245" s="1211"/>
      <c r="R245" s="1211"/>
      <c r="S245" s="2567"/>
      <c r="T245" s="2568"/>
      <c r="U245" s="2568"/>
      <c r="V245" s="2568"/>
      <c r="W245" s="2568"/>
      <c r="X245" s="2568"/>
      <c r="Y245" s="2568"/>
      <c r="Z245" s="2568"/>
      <c r="AA245" s="2568"/>
      <c r="AB245" s="2568"/>
      <c r="AC245" s="2568"/>
      <c r="AD245" s="2568"/>
      <c r="AE245" s="2568"/>
      <c r="AF245" s="2568"/>
      <c r="AG245" s="2568"/>
      <c r="AH245" s="2568"/>
      <c r="AI245" s="2568"/>
      <c r="AJ245" s="2569"/>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topLeftCell="A52" workbookViewId="0">
      <selection activeCell="AB71" sqref="AB71:AF71"/>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64" t="s">
        <v>1390</v>
      </c>
      <c r="B1" s="2664"/>
      <c r="C1" s="2664"/>
      <c r="D1" s="2664"/>
      <c r="E1" s="2664"/>
      <c r="F1" s="2664"/>
      <c r="G1" s="2664"/>
      <c r="H1" s="2664"/>
      <c r="I1" s="2664"/>
      <c r="J1" s="2664"/>
      <c r="K1" s="2664"/>
      <c r="L1" s="2664"/>
      <c r="M1" s="2664"/>
      <c r="N1" s="2664"/>
      <c r="O1" s="2664"/>
      <c r="P1" s="2664"/>
      <c r="Q1" s="2664"/>
      <c r="R1" s="2664"/>
      <c r="S1" s="2664"/>
      <c r="T1" s="2664"/>
      <c r="U1" s="2664"/>
      <c r="V1" s="2664"/>
      <c r="W1" s="2664"/>
      <c r="X1" s="2664"/>
      <c r="Y1" s="2664"/>
      <c r="Z1" s="2664"/>
      <c r="AA1" s="2664"/>
      <c r="AB1" s="2664"/>
      <c r="AC1" s="2664"/>
      <c r="AD1" s="2664"/>
      <c r="AE1" s="2664"/>
      <c r="AF1" s="2664"/>
      <c r="AG1" s="2664"/>
      <c r="AH1" s="2664"/>
      <c r="AI1" s="2664"/>
      <c r="AJ1" s="2664"/>
      <c r="AK1" s="2664"/>
      <c r="AL1" s="2664"/>
      <c r="AM1" s="2664"/>
      <c r="AN1" s="2664"/>
    </row>
    <row r="2" spans="1:40" ht="12.95" customHeight="1" thickBot="1">
      <c r="A2" s="2665"/>
      <c r="B2" s="2665"/>
      <c r="C2" s="2665"/>
      <c r="D2" s="2665"/>
      <c r="E2" s="2665"/>
      <c r="F2" s="2665"/>
      <c r="G2" s="2665"/>
      <c r="H2" s="2665"/>
      <c r="I2" s="2665"/>
      <c r="J2" s="2665"/>
      <c r="K2" s="2665"/>
      <c r="L2" s="2665"/>
      <c r="M2" s="2665"/>
      <c r="N2" s="2665"/>
      <c r="O2" s="2665"/>
      <c r="P2" s="2665"/>
      <c r="Q2" s="2665"/>
      <c r="R2" s="2665"/>
      <c r="S2" s="2665"/>
      <c r="T2" s="2665"/>
      <c r="U2" s="2665"/>
      <c r="V2" s="2665"/>
      <c r="W2" s="2665"/>
      <c r="X2" s="2665"/>
      <c r="Y2" s="2665"/>
      <c r="Z2" s="2665"/>
      <c r="AA2" s="2665"/>
      <c r="AB2" s="2665"/>
      <c r="AC2" s="2665"/>
      <c r="AD2" s="2665"/>
      <c r="AE2" s="2665"/>
      <c r="AF2" s="2665"/>
      <c r="AG2" s="2665"/>
      <c r="AH2" s="2665"/>
      <c r="AI2" s="2665"/>
      <c r="AJ2" s="2665"/>
      <c r="AK2" s="2665"/>
      <c r="AL2" s="2665"/>
      <c r="AM2" s="2665"/>
      <c r="AN2" s="2665"/>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1345</v>
      </c>
    </row>
    <row r="7" spans="1:40" ht="12.95" customHeight="1">
      <c r="B7" s="436"/>
      <c r="C7" s="437"/>
      <c r="D7" s="437"/>
      <c r="E7" s="437"/>
      <c r="F7" s="437"/>
      <c r="G7" s="437"/>
      <c r="H7" s="437"/>
      <c r="I7" s="437"/>
      <c r="J7" s="437"/>
      <c r="K7" s="437"/>
      <c r="L7" s="437"/>
      <c r="M7" s="437"/>
      <c r="N7" s="437"/>
      <c r="O7" s="437"/>
      <c r="P7" s="437"/>
      <c r="Q7" s="437"/>
      <c r="R7" s="437"/>
      <c r="S7" s="437"/>
      <c r="T7" s="2644" t="str">
        <f xml:space="preserve"> IF(T25=100%,'Sources and Basis Breakdown'!G2,'Sources and Basis Breakdown'!F2)</f>
        <v>30% PVC for New Const/
Rehabilitation
NON-DDA/
NON-QCT Building(s)</v>
      </c>
      <c r="U7" s="2644"/>
      <c r="V7" s="2644"/>
      <c r="W7" s="2644"/>
      <c r="X7" s="2644"/>
      <c r="Y7" s="2644" t="str">
        <f>IF(T25=100%,"",'Sources and Basis Breakdown'!G2)</f>
        <v/>
      </c>
      <c r="Z7" s="2644"/>
      <c r="AA7" s="2644"/>
      <c r="AB7" s="2644"/>
      <c r="AC7" s="2644"/>
      <c r="AD7" s="2644" t="str">
        <f xml:space="preserve"> IF(T25=100%, 'Sources and Basis Breakdown'!J2,'Sources and Basis Breakdown'!I2)</f>
        <v>30% PVC for Acquisition
NON-DDA/
NON-QCT Building(s)</v>
      </c>
      <c r="AE7" s="2644"/>
      <c r="AF7" s="2644"/>
      <c r="AG7" s="2644"/>
      <c r="AH7" s="2644"/>
      <c r="AI7" s="2644" t="str">
        <f>IF(T25=100%,"",'Sources and Basis Breakdown'!J2)</f>
        <v/>
      </c>
      <c r="AJ7" s="2644"/>
      <c r="AK7" s="2644"/>
      <c r="AL7" s="2644"/>
      <c r="AM7" s="2644"/>
    </row>
    <row r="8" spans="1:40" ht="12.95" customHeight="1">
      <c r="B8" s="438"/>
      <c r="T8" s="2644"/>
      <c r="U8" s="2644"/>
      <c r="V8" s="2644"/>
      <c r="W8" s="2644"/>
      <c r="X8" s="2644"/>
      <c r="Y8" s="2644"/>
      <c r="Z8" s="2644"/>
      <c r="AA8" s="2644"/>
      <c r="AB8" s="2644"/>
      <c r="AC8" s="2644"/>
      <c r="AD8" s="2644"/>
      <c r="AE8" s="2644"/>
      <c r="AF8" s="2644"/>
      <c r="AG8" s="2644"/>
      <c r="AH8" s="2644"/>
      <c r="AI8" s="2644"/>
      <c r="AJ8" s="2644"/>
      <c r="AK8" s="2644"/>
      <c r="AL8" s="2644"/>
      <c r="AM8" s="2644"/>
    </row>
    <row r="9" spans="1:40" ht="12.95" customHeight="1">
      <c r="B9" s="438"/>
      <c r="T9" s="2644"/>
      <c r="U9" s="2644"/>
      <c r="V9" s="2644"/>
      <c r="W9" s="2644"/>
      <c r="X9" s="2644"/>
      <c r="Y9" s="2644"/>
      <c r="Z9" s="2644"/>
      <c r="AA9" s="2644"/>
      <c r="AB9" s="2644"/>
      <c r="AC9" s="2644"/>
      <c r="AD9" s="2644"/>
      <c r="AE9" s="2644"/>
      <c r="AF9" s="2644"/>
      <c r="AG9" s="2644"/>
      <c r="AH9" s="2644"/>
      <c r="AI9" s="2644"/>
      <c r="AJ9" s="2644"/>
      <c r="AK9" s="2644"/>
      <c r="AL9" s="2644"/>
      <c r="AM9" s="2644"/>
    </row>
    <row r="10" spans="1:40" ht="12.95" customHeight="1">
      <c r="B10" s="439"/>
      <c r="C10" s="440"/>
      <c r="D10" s="440"/>
      <c r="E10" s="440"/>
      <c r="F10" s="440"/>
      <c r="G10" s="440"/>
      <c r="H10" s="440"/>
      <c r="I10" s="440"/>
      <c r="J10" s="440"/>
      <c r="K10" s="440"/>
      <c r="L10" s="440"/>
      <c r="M10" s="440"/>
      <c r="N10" s="440"/>
      <c r="O10" s="440"/>
      <c r="P10" s="440"/>
      <c r="Q10" s="440"/>
      <c r="R10" s="440"/>
      <c r="S10" s="440"/>
      <c r="T10" s="2644"/>
      <c r="U10" s="2644"/>
      <c r="V10" s="2644"/>
      <c r="W10" s="2644"/>
      <c r="X10" s="2644"/>
      <c r="Y10" s="2644"/>
      <c r="Z10" s="2644"/>
      <c r="AA10" s="2644"/>
      <c r="AB10" s="2644"/>
      <c r="AC10" s="2644"/>
      <c r="AD10" s="2644"/>
      <c r="AE10" s="2644"/>
      <c r="AF10" s="2644"/>
      <c r="AG10" s="2644"/>
      <c r="AH10" s="2644"/>
      <c r="AI10" s="2644"/>
      <c r="AJ10" s="2644"/>
      <c r="AK10" s="2644"/>
      <c r="AL10" s="2644"/>
      <c r="AM10" s="2644"/>
    </row>
    <row r="11" spans="1:40" ht="12.95" customHeight="1">
      <c r="B11" s="2627" t="s">
        <v>376</v>
      </c>
      <c r="C11" s="2628"/>
      <c r="D11" s="2628"/>
      <c r="E11" s="2628"/>
      <c r="F11" s="2628"/>
      <c r="G11" s="2628"/>
      <c r="H11" s="2628"/>
      <c r="I11" s="2628"/>
      <c r="J11" s="2628"/>
      <c r="K11" s="2628"/>
      <c r="L11" s="2628"/>
      <c r="M11" s="2628"/>
      <c r="N11" s="2628"/>
      <c r="O11" s="2628"/>
      <c r="P11" s="2628"/>
      <c r="Q11" s="2628"/>
      <c r="R11" s="2628"/>
      <c r="S11" s="2629"/>
      <c r="T11" s="2666">
        <f>IF('Sources and Basis Breakdown'!F107=0,'Sources and Basis Breakdown'!E107,'Sources and Basis Breakdown'!F107)</f>
        <v>110652357.18904419</v>
      </c>
      <c r="U11" s="2667"/>
      <c r="V11" s="2667"/>
      <c r="W11" s="2667"/>
      <c r="X11" s="2667"/>
      <c r="Y11" s="2666">
        <f>IF(Y7="",0,IF('Sources and Basis Breakdown'!G107+'Sources and Basis Breakdown'!F107='Sources and Basis Breakdown'!E107,'Sources and Basis Breakdown'!G107,0))</f>
        <v>0</v>
      </c>
      <c r="Z11" s="2667"/>
      <c r="AA11" s="2667"/>
      <c r="AB11" s="2667"/>
      <c r="AC11" s="2667"/>
      <c r="AD11" s="2667">
        <f>IF('Sources and Basis Breakdown'!I107=0,'Sources and Basis Breakdown'!H107,'Sources and Basis Breakdown'!I107)</f>
        <v>0</v>
      </c>
      <c r="AE11" s="2667"/>
      <c r="AF11" s="2667"/>
      <c r="AG11" s="2667"/>
      <c r="AH11" s="2667"/>
      <c r="AI11" s="2667">
        <f>IF(Y7="",0,IF('Sources and Basis Breakdown'!I107+'Sources and Basis Breakdown'!J107='Sources and Basis Breakdown'!H107,'Sources and Basis Breakdown'!J107,0))</f>
        <v>0</v>
      </c>
      <c r="AJ11" s="2667"/>
      <c r="AK11" s="2667"/>
      <c r="AL11" s="2667"/>
      <c r="AM11" s="2667"/>
    </row>
    <row r="12" spans="1:40" ht="12.95" customHeight="1">
      <c r="B12" s="2668" t="s">
        <v>505</v>
      </c>
      <c r="C12" s="1285"/>
      <c r="D12" s="1285"/>
      <c r="E12" s="1285"/>
      <c r="F12" s="1285"/>
      <c r="G12" s="1285"/>
      <c r="H12" s="1285"/>
      <c r="I12" s="1285"/>
      <c r="J12" s="1285"/>
      <c r="K12" s="1285"/>
      <c r="L12" s="1285"/>
      <c r="M12" s="1285"/>
      <c r="N12" s="1285"/>
      <c r="O12" s="1285"/>
      <c r="P12" s="1285"/>
      <c r="Q12" s="1285"/>
      <c r="R12" s="1285"/>
      <c r="S12" s="2669"/>
      <c r="T12" s="2659"/>
      <c r="U12" s="2660"/>
      <c r="V12" s="2660"/>
      <c r="W12" s="2660"/>
      <c r="X12" s="2661"/>
      <c r="Y12" s="2659"/>
      <c r="Z12" s="2660"/>
      <c r="AA12" s="2660"/>
      <c r="AB12" s="2660"/>
      <c r="AC12" s="2661"/>
      <c r="AD12" s="2659"/>
      <c r="AE12" s="2660"/>
      <c r="AF12" s="2660"/>
      <c r="AG12" s="2660"/>
      <c r="AH12" s="2661"/>
      <c r="AI12" s="2659"/>
      <c r="AJ12" s="2660"/>
      <c r="AK12" s="2660"/>
      <c r="AL12" s="2660"/>
      <c r="AM12" s="2661"/>
    </row>
    <row r="13" spans="1:40" ht="12.95" customHeight="1">
      <c r="B13" s="467"/>
      <c r="C13" s="2670" t="s">
        <v>506</v>
      </c>
      <c r="D13" s="2670"/>
      <c r="E13" s="2670"/>
      <c r="F13" s="2670"/>
      <c r="G13" s="2670"/>
      <c r="H13" s="2670"/>
      <c r="I13" s="2670"/>
      <c r="J13" s="2670"/>
      <c r="K13" s="2670"/>
      <c r="L13" s="2670"/>
      <c r="M13" s="2670"/>
      <c r="N13" s="2670"/>
      <c r="O13" s="2670"/>
      <c r="P13" s="2670"/>
      <c r="Q13" s="2670"/>
      <c r="R13" s="2670"/>
      <c r="S13" s="2671"/>
      <c r="T13" s="2662"/>
      <c r="U13" s="2663"/>
      <c r="V13" s="2663"/>
      <c r="W13" s="2663"/>
      <c r="X13" s="2663"/>
      <c r="Y13" s="2662"/>
      <c r="Z13" s="2663"/>
      <c r="AA13" s="2663"/>
      <c r="AB13" s="2663"/>
      <c r="AC13" s="2663"/>
      <c r="AD13" s="2663"/>
      <c r="AE13" s="2663"/>
      <c r="AF13" s="2663"/>
      <c r="AG13" s="2663"/>
      <c r="AH13" s="2663"/>
      <c r="AI13" s="2663"/>
      <c r="AJ13" s="2663"/>
      <c r="AK13" s="2663"/>
      <c r="AL13" s="2663"/>
      <c r="AM13" s="2663"/>
    </row>
    <row r="14" spans="1:40" ht="12.95" customHeight="1">
      <c r="B14" s="467"/>
      <c r="C14" s="2670" t="s">
        <v>507</v>
      </c>
      <c r="D14" s="2670"/>
      <c r="E14" s="2670"/>
      <c r="F14" s="2670"/>
      <c r="G14" s="2670"/>
      <c r="H14" s="2670"/>
      <c r="I14" s="2670"/>
      <c r="J14" s="2670"/>
      <c r="K14" s="2670"/>
      <c r="L14" s="2670"/>
      <c r="M14" s="2670"/>
      <c r="N14" s="2670"/>
      <c r="O14" s="2670"/>
      <c r="P14" s="2670"/>
      <c r="Q14" s="2670"/>
      <c r="R14" s="2670"/>
      <c r="S14" s="2671"/>
      <c r="T14" s="2652"/>
      <c r="U14" s="2653"/>
      <c r="V14" s="2653"/>
      <c r="W14" s="2653"/>
      <c r="X14" s="2653"/>
      <c r="Y14" s="2652"/>
      <c r="Z14" s="2653"/>
      <c r="AA14" s="2653"/>
      <c r="AB14" s="2653"/>
      <c r="AC14" s="2653"/>
      <c r="AD14" s="2653"/>
      <c r="AE14" s="2653"/>
      <c r="AF14" s="2653"/>
      <c r="AG14" s="2653"/>
      <c r="AH14" s="2653"/>
      <c r="AI14" s="2653"/>
      <c r="AJ14" s="2653"/>
      <c r="AK14" s="2653"/>
      <c r="AL14" s="2653"/>
      <c r="AM14" s="2653"/>
    </row>
    <row r="15" spans="1:40" ht="12.95" customHeight="1">
      <c r="B15" s="467"/>
      <c r="C15" s="2670" t="s">
        <v>508</v>
      </c>
      <c r="D15" s="2670"/>
      <c r="E15" s="2670"/>
      <c r="F15" s="2670"/>
      <c r="G15" s="2670"/>
      <c r="H15" s="2670"/>
      <c r="I15" s="2670"/>
      <c r="J15" s="2670"/>
      <c r="K15" s="2670"/>
      <c r="L15" s="2670"/>
      <c r="M15" s="2670"/>
      <c r="N15" s="2670"/>
      <c r="O15" s="2670"/>
      <c r="P15" s="2670"/>
      <c r="Q15" s="2670"/>
      <c r="R15" s="2670"/>
      <c r="S15" s="2671"/>
      <c r="T15" s="2652"/>
      <c r="U15" s="2653"/>
      <c r="V15" s="2653"/>
      <c r="W15" s="2653"/>
      <c r="X15" s="2653"/>
      <c r="Y15" s="2652"/>
      <c r="Z15" s="2653"/>
      <c r="AA15" s="2653"/>
      <c r="AB15" s="2653"/>
      <c r="AC15" s="2653"/>
      <c r="AD15" s="2653"/>
      <c r="AE15" s="2653"/>
      <c r="AF15" s="2653"/>
      <c r="AG15" s="2653"/>
      <c r="AH15" s="2653"/>
      <c r="AI15" s="2653"/>
      <c r="AJ15" s="2653"/>
      <c r="AK15" s="2653"/>
      <c r="AL15" s="2653"/>
      <c r="AM15" s="2653"/>
    </row>
    <row r="16" spans="1:40" ht="12.95" customHeight="1">
      <c r="B16" s="467"/>
      <c r="C16" s="2670" t="s">
        <v>814</v>
      </c>
      <c r="D16" s="2670"/>
      <c r="E16" s="2670"/>
      <c r="F16" s="2670"/>
      <c r="G16" s="2670"/>
      <c r="H16" s="2670"/>
      <c r="I16" s="2670"/>
      <c r="J16" s="2670"/>
      <c r="K16" s="2670"/>
      <c r="L16" s="2670"/>
      <c r="M16" s="2670"/>
      <c r="N16" s="2670"/>
      <c r="O16" s="2670"/>
      <c r="P16" s="2670"/>
      <c r="Q16" s="2670"/>
      <c r="R16" s="2670"/>
      <c r="S16" s="2671"/>
      <c r="T16" s="2652"/>
      <c r="U16" s="2653"/>
      <c r="V16" s="2653"/>
      <c r="W16" s="2653"/>
      <c r="X16" s="2653"/>
      <c r="Y16" s="2652"/>
      <c r="Z16" s="2653"/>
      <c r="AA16" s="2653"/>
      <c r="AB16" s="2653"/>
      <c r="AC16" s="2653"/>
      <c r="AD16" s="2653"/>
      <c r="AE16" s="2653"/>
      <c r="AF16" s="2653"/>
      <c r="AG16" s="2653"/>
      <c r="AH16" s="2653"/>
      <c r="AI16" s="2653"/>
      <c r="AJ16" s="2653"/>
      <c r="AK16" s="2653"/>
      <c r="AL16" s="2653"/>
      <c r="AM16" s="2653"/>
    </row>
    <row r="17" spans="1:40" ht="12.95" customHeight="1">
      <c r="B17" s="467"/>
      <c r="C17" s="2670" t="s">
        <v>509</v>
      </c>
      <c r="D17" s="2670"/>
      <c r="E17" s="2670"/>
      <c r="F17" s="2670"/>
      <c r="G17" s="2670"/>
      <c r="H17" s="2670"/>
      <c r="I17" s="2670"/>
      <c r="J17" s="2670"/>
      <c r="K17" s="2670"/>
      <c r="L17" s="2670"/>
      <c r="M17" s="2670"/>
      <c r="N17" s="2670"/>
      <c r="O17" s="2670"/>
      <c r="P17" s="2670"/>
      <c r="Q17" s="2670"/>
      <c r="R17" s="2670"/>
      <c r="S17" s="2671"/>
      <c r="T17" s="2652"/>
      <c r="U17" s="2653"/>
      <c r="V17" s="2653"/>
      <c r="W17" s="2653"/>
      <c r="X17" s="2653"/>
      <c r="Y17" s="2652"/>
      <c r="Z17" s="2653"/>
      <c r="AA17" s="2653"/>
      <c r="AB17" s="2653"/>
      <c r="AC17" s="2653"/>
      <c r="AD17" s="2653"/>
      <c r="AE17" s="2653"/>
      <c r="AF17" s="2653"/>
      <c r="AG17" s="2653"/>
      <c r="AH17" s="2653"/>
      <c r="AI17" s="2653"/>
      <c r="AJ17" s="2653"/>
      <c r="AK17" s="2653"/>
      <c r="AL17" s="2653"/>
      <c r="AM17" s="2653"/>
    </row>
    <row r="18" spans="1:40" ht="12.95" customHeight="1">
      <c r="A18"/>
      <c r="B18" s="1194"/>
      <c r="C18" s="1623" t="s">
        <v>979</v>
      </c>
      <c r="D18" s="1623"/>
      <c r="E18" s="1623"/>
      <c r="F18" s="1623"/>
      <c r="G18" s="1623"/>
      <c r="H18" s="1623"/>
      <c r="I18" s="1623"/>
      <c r="J18" s="1623"/>
      <c r="K18" s="1623"/>
      <c r="L18" s="1623"/>
      <c r="M18" s="1623"/>
      <c r="N18" s="1623"/>
      <c r="O18" s="1623"/>
      <c r="P18" s="1623"/>
      <c r="Q18" s="1623"/>
      <c r="R18" s="1623"/>
      <c r="S18" s="1624"/>
      <c r="T18" s="2652"/>
      <c r="U18" s="2653"/>
      <c r="V18" s="2653"/>
      <c r="W18" s="2653"/>
      <c r="X18" s="2653"/>
      <c r="Y18" s="2652"/>
      <c r="Z18" s="2653"/>
      <c r="AA18" s="2653"/>
      <c r="AB18" s="2653"/>
      <c r="AC18" s="2653"/>
      <c r="AD18" s="2653"/>
      <c r="AE18" s="2653"/>
      <c r="AF18" s="2653"/>
      <c r="AG18" s="2653"/>
      <c r="AH18" s="2653"/>
      <c r="AI18" s="2653"/>
      <c r="AJ18" s="2653"/>
      <c r="AK18" s="2653"/>
      <c r="AL18" s="2653"/>
      <c r="AM18" s="2653"/>
    </row>
    <row r="19" spans="1:40" ht="12.95" customHeight="1">
      <c r="B19" s="1194"/>
      <c r="C19" s="1623" t="s">
        <v>979</v>
      </c>
      <c r="D19" s="1623"/>
      <c r="E19" s="1623"/>
      <c r="F19" s="1623"/>
      <c r="G19" s="1623"/>
      <c r="H19" s="1623"/>
      <c r="I19" s="1623"/>
      <c r="J19" s="1623"/>
      <c r="K19" s="1623"/>
      <c r="L19" s="1623"/>
      <c r="M19" s="1623"/>
      <c r="N19" s="1623"/>
      <c r="O19" s="1623"/>
      <c r="P19" s="1623"/>
      <c r="Q19" s="1623"/>
      <c r="R19" s="1623"/>
      <c r="S19" s="1624"/>
      <c r="T19" s="2652"/>
      <c r="U19" s="2653"/>
      <c r="V19" s="2653"/>
      <c r="W19" s="2653"/>
      <c r="X19" s="2653"/>
      <c r="Y19" s="2652"/>
      <c r="Z19" s="2653"/>
      <c r="AA19" s="2653"/>
      <c r="AB19" s="2653"/>
      <c r="AC19" s="2653"/>
      <c r="AD19" s="2653"/>
      <c r="AE19" s="2653"/>
      <c r="AF19" s="2653"/>
      <c r="AG19" s="2653"/>
      <c r="AH19" s="2653"/>
      <c r="AI19" s="2653"/>
      <c r="AJ19" s="2653"/>
      <c r="AK19" s="2653"/>
      <c r="AL19" s="2653"/>
      <c r="AM19" s="2653"/>
    </row>
    <row r="20" spans="1:40" ht="12.95" customHeight="1">
      <c r="B20" s="2627" t="s">
        <v>510</v>
      </c>
      <c r="C20" s="2628"/>
      <c r="D20" s="2628"/>
      <c r="E20" s="2628"/>
      <c r="F20" s="2628"/>
      <c r="G20" s="2628"/>
      <c r="H20" s="2628"/>
      <c r="I20" s="2628"/>
      <c r="J20" s="2628"/>
      <c r="K20" s="2628"/>
      <c r="L20" s="2628"/>
      <c r="M20" s="2628"/>
      <c r="N20" s="2628"/>
      <c r="O20" s="2628"/>
      <c r="P20" s="2628"/>
      <c r="Q20" s="2628"/>
      <c r="R20" s="2628"/>
      <c r="S20" s="2629"/>
      <c r="T20" s="2643">
        <f>SUM(T13:X19)</f>
        <v>0</v>
      </c>
      <c r="U20" s="2621"/>
      <c r="V20" s="2621"/>
      <c r="W20" s="2621"/>
      <c r="X20" s="2621"/>
      <c r="Y20" s="2643">
        <f>SUM(Y13:AC19)</f>
        <v>0</v>
      </c>
      <c r="Z20" s="2621"/>
      <c r="AA20" s="2621"/>
      <c r="AB20" s="2621"/>
      <c r="AC20" s="2621"/>
      <c r="AD20" s="2631">
        <f>SUM(AD13:AH19)</f>
        <v>0</v>
      </c>
      <c r="AE20" s="2642"/>
      <c r="AF20" s="2642"/>
      <c r="AG20" s="2642"/>
      <c r="AH20" s="2643"/>
      <c r="AI20" s="2631">
        <f>SUM(AI13:AM19)</f>
        <v>0</v>
      </c>
      <c r="AJ20" s="2642"/>
      <c r="AK20" s="2642"/>
      <c r="AL20" s="2642"/>
      <c r="AM20" s="2643"/>
    </row>
    <row r="21" spans="1:40" ht="12.95" customHeight="1">
      <c r="B21" s="2627" t="s">
        <v>1373</v>
      </c>
      <c r="C21" s="2628"/>
      <c r="D21" s="2628"/>
      <c r="E21" s="2628"/>
      <c r="F21" s="2628"/>
      <c r="G21" s="2628"/>
      <c r="H21" s="2628"/>
      <c r="I21" s="2628"/>
      <c r="J21" s="2628"/>
      <c r="K21" s="2628"/>
      <c r="L21" s="2628"/>
      <c r="M21" s="2628"/>
      <c r="N21" s="2628"/>
      <c r="O21" s="2628"/>
      <c r="P21" s="2628"/>
      <c r="Q21" s="2628"/>
      <c r="R21" s="2628"/>
      <c r="S21" s="2629"/>
      <c r="T21" s="2652"/>
      <c r="U21" s="2653"/>
      <c r="V21" s="2653"/>
      <c r="W21" s="2653"/>
      <c r="X21" s="2653"/>
      <c r="Y21" s="2652"/>
      <c r="Z21" s="2653"/>
      <c r="AA21" s="2653"/>
      <c r="AB21" s="2653"/>
      <c r="AC21" s="2653"/>
      <c r="AD21" s="2659"/>
      <c r="AE21" s="2660"/>
      <c r="AF21" s="2660"/>
      <c r="AG21" s="2660"/>
      <c r="AH21" s="2661"/>
      <c r="AI21" s="2659"/>
      <c r="AJ21" s="2660"/>
      <c r="AK21" s="2660"/>
      <c r="AL21" s="2660"/>
      <c r="AM21" s="2661"/>
    </row>
    <row r="22" spans="1:40" ht="12.95" customHeight="1">
      <c r="B22" s="2627" t="s">
        <v>511</v>
      </c>
      <c r="C22" s="2628"/>
      <c r="D22" s="2628"/>
      <c r="E22" s="2628"/>
      <c r="F22" s="2628"/>
      <c r="G22" s="2628"/>
      <c r="H22" s="2628"/>
      <c r="I22" s="2628"/>
      <c r="J22" s="2628"/>
      <c r="K22" s="2628"/>
      <c r="L22" s="2628"/>
      <c r="M22" s="2628"/>
      <c r="N22" s="2628"/>
      <c r="O22" s="2628"/>
      <c r="P22" s="2628"/>
      <c r="Q22" s="2628"/>
      <c r="R22" s="2628"/>
      <c r="S22" s="2629"/>
      <c r="T22" s="2648">
        <f>(ABS(T20)+ABS(T21))*-1</f>
        <v>0</v>
      </c>
      <c r="U22" s="2649"/>
      <c r="V22" s="2649"/>
      <c r="W22" s="2649"/>
      <c r="X22" s="2649"/>
      <c r="Y22" s="2648">
        <f>(Y20+Y21)*-1</f>
        <v>0</v>
      </c>
      <c r="Z22" s="2649"/>
      <c r="AA22" s="2649"/>
      <c r="AB22" s="2649"/>
      <c r="AC22" s="2649"/>
      <c r="AD22" s="2650">
        <f>(AD20)*-1</f>
        <v>0</v>
      </c>
      <c r="AE22" s="2651"/>
      <c r="AF22" s="2651"/>
      <c r="AG22" s="2651"/>
      <c r="AH22" s="2648"/>
      <c r="AI22" s="2650">
        <f>(AI20)*-1</f>
        <v>0</v>
      </c>
      <c r="AJ22" s="2651"/>
      <c r="AK22" s="2651"/>
      <c r="AL22" s="2651"/>
      <c r="AM22" s="2648"/>
    </row>
    <row r="23" spans="1:40" ht="12.95" customHeight="1">
      <c r="B23" s="2627" t="s">
        <v>512</v>
      </c>
      <c r="C23" s="2628"/>
      <c r="D23" s="2628"/>
      <c r="E23" s="2628"/>
      <c r="F23" s="2628"/>
      <c r="G23" s="2628"/>
      <c r="H23" s="2628"/>
      <c r="I23" s="2628"/>
      <c r="J23" s="2628"/>
      <c r="K23" s="2628"/>
      <c r="L23" s="2628"/>
      <c r="M23" s="2628"/>
      <c r="N23" s="2628"/>
      <c r="O23" s="2628"/>
      <c r="P23" s="2628"/>
      <c r="Q23" s="2628"/>
      <c r="R23" s="2628"/>
      <c r="S23" s="2629"/>
      <c r="T23" s="2643">
        <f>T11+T22</f>
        <v>110652357.18904419</v>
      </c>
      <c r="U23" s="2621"/>
      <c r="V23" s="2621"/>
      <c r="W23" s="2621"/>
      <c r="X23" s="2621"/>
      <c r="Y23" s="2643">
        <f>Y11+Y22</f>
        <v>0</v>
      </c>
      <c r="Z23" s="2621"/>
      <c r="AA23" s="2621"/>
      <c r="AB23" s="2621"/>
      <c r="AC23" s="2621"/>
      <c r="AD23" s="2643">
        <f>AD11+AD22</f>
        <v>0</v>
      </c>
      <c r="AE23" s="2621"/>
      <c r="AF23" s="2621"/>
      <c r="AG23" s="2621"/>
      <c r="AH23" s="2621"/>
      <c r="AI23" s="2643">
        <f>AI11+AI22</f>
        <v>0</v>
      </c>
      <c r="AJ23" s="2621"/>
      <c r="AK23" s="2621"/>
      <c r="AL23" s="2621"/>
      <c r="AM23" s="2621"/>
    </row>
    <row r="24" spans="1:40" ht="12.95" customHeight="1">
      <c r="B24" s="2627" t="s">
        <v>980</v>
      </c>
      <c r="C24" s="2628"/>
      <c r="D24" s="2628"/>
      <c r="E24" s="2628"/>
      <c r="F24" s="2628"/>
      <c r="G24" s="2628"/>
      <c r="H24" s="2628"/>
      <c r="I24" s="2628"/>
      <c r="J24" s="2628"/>
      <c r="K24" s="2628"/>
      <c r="L24" s="2628"/>
      <c r="M24" s="2628"/>
      <c r="N24" s="2628"/>
      <c r="O24" s="2628"/>
      <c r="P24" s="2628"/>
      <c r="Q24" s="2628"/>
      <c r="R24" s="2628"/>
      <c r="S24" s="2629"/>
      <c r="T24" s="2631">
        <f>Application!AJ1052</f>
        <v>233170527.19999999</v>
      </c>
      <c r="U24" s="2642"/>
      <c r="V24" s="2642"/>
      <c r="W24" s="2642"/>
      <c r="X24" s="2642"/>
      <c r="Y24" s="2642"/>
      <c r="Z24" s="2642"/>
      <c r="AA24" s="2642"/>
      <c r="AB24" s="2642"/>
      <c r="AC24" s="2642"/>
      <c r="AD24" s="2642"/>
      <c r="AE24" s="2642"/>
      <c r="AF24" s="2642"/>
      <c r="AG24" s="2642"/>
      <c r="AH24" s="2642"/>
      <c r="AI24" s="2642"/>
      <c r="AJ24" s="2642"/>
      <c r="AK24" s="2642"/>
      <c r="AL24" s="2642"/>
      <c r="AM24" s="2643"/>
    </row>
    <row r="25" spans="1:40" ht="12.95" customHeight="1">
      <c r="B25" s="2674" t="s">
        <v>1374</v>
      </c>
      <c r="C25" s="2675"/>
      <c r="D25" s="2675"/>
      <c r="E25" s="2675"/>
      <c r="F25" s="2675"/>
      <c r="G25" s="2675"/>
      <c r="H25" s="2675"/>
      <c r="I25" s="2675"/>
      <c r="J25" s="2675"/>
      <c r="K25" s="2675"/>
      <c r="L25" s="2675"/>
      <c r="M25" s="2675"/>
      <c r="N25" s="2675"/>
      <c r="O25" s="2675"/>
      <c r="P25" s="2675"/>
      <c r="Q25" s="2675"/>
      <c r="R25" s="2675"/>
      <c r="S25" s="2676"/>
      <c r="T25" s="2656">
        <f>IF(OR(Application!T196="yes",Application!T195="yes"),1.3,1)</f>
        <v>1</v>
      </c>
      <c r="U25" s="2657"/>
      <c r="V25" s="2657"/>
      <c r="W25" s="2657"/>
      <c r="X25" s="2657"/>
      <c r="Y25" s="2656">
        <v>1</v>
      </c>
      <c r="Z25" s="2657"/>
      <c r="AA25" s="2657"/>
      <c r="AB25" s="2657"/>
      <c r="AC25" s="2657"/>
      <c r="AD25" s="2656">
        <v>1</v>
      </c>
      <c r="AE25" s="2657"/>
      <c r="AF25" s="2657"/>
      <c r="AG25" s="2657"/>
      <c r="AH25" s="2658"/>
      <c r="AI25" s="2656">
        <v>1</v>
      </c>
      <c r="AJ25" s="2657"/>
      <c r="AK25" s="2657"/>
      <c r="AL25" s="2657"/>
      <c r="AM25" s="2658"/>
    </row>
    <row r="26" spans="1:40" ht="12.95" customHeight="1">
      <c r="B26" s="2627" t="s">
        <v>513</v>
      </c>
      <c r="C26" s="2628"/>
      <c r="D26" s="2628"/>
      <c r="E26" s="2628"/>
      <c r="F26" s="2628"/>
      <c r="G26" s="2628"/>
      <c r="H26" s="2628"/>
      <c r="I26" s="2628"/>
      <c r="J26" s="2628"/>
      <c r="K26" s="2628"/>
      <c r="L26" s="2628"/>
      <c r="M26" s="2628"/>
      <c r="N26" s="2628"/>
      <c r="O26" s="2628"/>
      <c r="P26" s="2628"/>
      <c r="Q26" s="2628"/>
      <c r="R26" s="2628"/>
      <c r="S26" s="2629"/>
      <c r="T26" s="2643">
        <f>T23*T25</f>
        <v>110652357.18904419</v>
      </c>
      <c r="U26" s="2621"/>
      <c r="V26" s="2621"/>
      <c r="W26" s="2621"/>
      <c r="X26" s="2621"/>
      <c r="Y26" s="2643">
        <f>Y23*Y25</f>
        <v>0</v>
      </c>
      <c r="Z26" s="2621"/>
      <c r="AA26" s="2621"/>
      <c r="AB26" s="2621"/>
      <c r="AC26" s="2621"/>
      <c r="AD26" s="2643">
        <f>AD23*AD25</f>
        <v>0</v>
      </c>
      <c r="AE26" s="2621"/>
      <c r="AF26" s="2621"/>
      <c r="AG26" s="2621"/>
      <c r="AH26" s="2621"/>
      <c r="AI26" s="2643">
        <f>AI23*AI25</f>
        <v>0</v>
      </c>
      <c r="AJ26" s="2621"/>
      <c r="AK26" s="2621"/>
      <c r="AL26" s="2621"/>
      <c r="AM26" s="2621"/>
    </row>
    <row r="27" spans="1:40" ht="12.95" customHeight="1">
      <c r="A27" s="441"/>
      <c r="B27" s="2677" t="s">
        <v>427</v>
      </c>
      <c r="C27" s="2678"/>
      <c r="D27" s="2678"/>
      <c r="E27" s="2678"/>
      <c r="F27" s="2678"/>
      <c r="G27" s="2678"/>
      <c r="H27" s="2678"/>
      <c r="I27" s="2678"/>
      <c r="J27" s="2678"/>
      <c r="K27" s="2678"/>
      <c r="L27" s="2678"/>
      <c r="M27" s="2678"/>
      <c r="N27" s="2678"/>
      <c r="O27" s="2678"/>
      <c r="P27" s="2678"/>
      <c r="Q27" s="2678"/>
      <c r="R27" s="2678"/>
      <c r="S27" s="2679"/>
      <c r="T27" s="2654">
        <f>Application!$AG$445</f>
        <v>1</v>
      </c>
      <c r="U27" s="2655"/>
      <c r="V27" s="2655"/>
      <c r="W27" s="2655"/>
      <c r="X27" s="2655"/>
      <c r="Y27" s="2654">
        <f>Application!$AG$445</f>
        <v>1</v>
      </c>
      <c r="Z27" s="2655"/>
      <c r="AA27" s="2655"/>
      <c r="AB27" s="2655"/>
      <c r="AC27" s="2655"/>
      <c r="AD27" s="2654">
        <f>Application!$AG$445</f>
        <v>1</v>
      </c>
      <c r="AE27" s="2655"/>
      <c r="AF27" s="2655"/>
      <c r="AG27" s="2655"/>
      <c r="AH27" s="2655"/>
      <c r="AI27" s="2654">
        <f>Application!$AG$445</f>
        <v>1</v>
      </c>
      <c r="AJ27" s="2655"/>
      <c r="AK27" s="2655"/>
      <c r="AL27" s="2655"/>
      <c r="AM27" s="2655"/>
    </row>
    <row r="28" spans="1:40" ht="12.95" customHeight="1">
      <c r="A28" s="435"/>
      <c r="B28" s="2627" t="s">
        <v>514</v>
      </c>
      <c r="C28" s="2628"/>
      <c r="D28" s="2628"/>
      <c r="E28" s="2628"/>
      <c r="F28" s="2628"/>
      <c r="G28" s="2628"/>
      <c r="H28" s="2628"/>
      <c r="I28" s="2628"/>
      <c r="J28" s="2628"/>
      <c r="K28" s="2628"/>
      <c r="L28" s="2628"/>
      <c r="M28" s="2628"/>
      <c r="N28" s="2628"/>
      <c r="O28" s="2628"/>
      <c r="P28" s="2628"/>
      <c r="Q28" s="2628"/>
      <c r="R28" s="2628"/>
      <c r="S28" s="2629"/>
      <c r="T28" s="2643">
        <f>IF(ISERROR((T26*T27)),0,(T26*T27))</f>
        <v>110652357.18904419</v>
      </c>
      <c r="U28" s="2621"/>
      <c r="V28" s="2621"/>
      <c r="W28" s="2621"/>
      <c r="X28" s="2621"/>
      <c r="Y28" s="2643">
        <f>IF(ISERROR((Y26*Y27)),0,(Y26*Y27))</f>
        <v>0</v>
      </c>
      <c r="Z28" s="2621"/>
      <c r="AA28" s="2621"/>
      <c r="AB28" s="2621"/>
      <c r="AC28" s="2621"/>
      <c r="AD28" s="2643">
        <f>IF(ISERROR((AD26*AD27)),0,(AD26*AD27))</f>
        <v>0</v>
      </c>
      <c r="AE28" s="2621"/>
      <c r="AF28" s="2621"/>
      <c r="AG28" s="2621"/>
      <c r="AH28" s="2621"/>
      <c r="AI28" s="2643">
        <f>IF(ISERROR((AI26*AI27)),0,(AI26*AI27))</f>
        <v>0</v>
      </c>
      <c r="AJ28" s="2621"/>
      <c r="AK28" s="2621"/>
      <c r="AL28" s="2621"/>
      <c r="AM28" s="2621"/>
    </row>
    <row r="29" spans="1:40" ht="12.95" customHeight="1">
      <c r="B29" s="2627" t="s">
        <v>531</v>
      </c>
      <c r="C29" s="2628"/>
      <c r="D29" s="2628"/>
      <c r="E29" s="2628"/>
      <c r="F29" s="2628"/>
      <c r="G29" s="2628"/>
      <c r="H29" s="2628"/>
      <c r="I29" s="2628"/>
      <c r="J29" s="2628"/>
      <c r="K29" s="2628"/>
      <c r="L29" s="2628"/>
      <c r="M29" s="2628"/>
      <c r="N29" s="2628"/>
      <c r="O29" s="2628"/>
      <c r="P29" s="2628"/>
      <c r="Q29" s="2628"/>
      <c r="R29" s="2628"/>
      <c r="S29" s="2629"/>
      <c r="T29" s="2631">
        <f>T28+Y28+AD28+AI28</f>
        <v>110652357.18904419</v>
      </c>
      <c r="U29" s="2642"/>
      <c r="V29" s="2642"/>
      <c r="W29" s="2642"/>
      <c r="X29" s="2642"/>
      <c r="Y29" s="2642"/>
      <c r="Z29" s="2642"/>
      <c r="AA29" s="2642"/>
      <c r="AB29" s="2642"/>
      <c r="AC29" s="2642"/>
      <c r="AD29" s="2642"/>
      <c r="AE29" s="2642"/>
      <c r="AF29" s="2642"/>
      <c r="AG29" s="2642"/>
      <c r="AH29" s="2642"/>
      <c r="AI29" s="2642"/>
      <c r="AJ29" s="2642"/>
      <c r="AK29" s="2642"/>
      <c r="AL29" s="2642"/>
      <c r="AM29" s="2643"/>
    </row>
    <row r="30" spans="1:40" ht="12.95" customHeight="1">
      <c r="B30" s="2647" t="s">
        <v>1376</v>
      </c>
      <c r="C30" s="2647"/>
      <c r="D30" s="2647"/>
      <c r="E30" s="2647"/>
      <c r="F30" s="2647"/>
      <c r="G30" s="2647"/>
      <c r="H30" s="2647"/>
      <c r="I30" s="2647"/>
      <c r="J30" s="2647"/>
      <c r="K30" s="2647"/>
      <c r="L30" s="2647"/>
      <c r="M30" s="2647"/>
      <c r="N30" s="2647"/>
      <c r="O30" s="2647"/>
      <c r="P30" s="2647"/>
      <c r="Q30" s="2647"/>
      <c r="R30" s="2647"/>
      <c r="S30" s="2647"/>
      <c r="T30" s="2647"/>
      <c r="U30" s="2647"/>
      <c r="V30" s="2647"/>
      <c r="W30" s="2647"/>
      <c r="X30" s="2647"/>
      <c r="Y30" s="2647"/>
      <c r="Z30" s="2647"/>
      <c r="AA30" s="2647"/>
      <c r="AB30" s="2647"/>
      <c r="AC30" s="2647"/>
      <c r="AD30" s="2647"/>
      <c r="AE30" s="2647"/>
      <c r="AF30" s="2647"/>
      <c r="AG30" s="2647"/>
      <c r="AH30" s="2647"/>
      <c r="AI30" s="2647"/>
      <c r="AJ30" s="2647"/>
      <c r="AK30" s="2647"/>
      <c r="AL30" s="2647"/>
      <c r="AM30" s="2647"/>
    </row>
    <row r="31" spans="1:40" ht="12.95" customHeight="1">
      <c r="B31" s="2647" t="s">
        <v>1375</v>
      </c>
      <c r="C31" s="2647"/>
      <c r="D31" s="2647"/>
      <c r="E31" s="2647"/>
      <c r="F31" s="2647"/>
      <c r="G31" s="2647"/>
      <c r="H31" s="2647"/>
      <c r="I31" s="2647"/>
      <c r="J31" s="2647"/>
      <c r="K31" s="2647"/>
      <c r="L31" s="2647"/>
      <c r="M31" s="2647"/>
      <c r="N31" s="2647"/>
      <c r="O31" s="2647"/>
      <c r="P31" s="2647"/>
      <c r="Q31" s="2647"/>
      <c r="R31" s="2647"/>
      <c r="S31" s="2647"/>
      <c r="T31" s="2647"/>
      <c r="U31" s="2647"/>
      <c r="V31" s="2647"/>
      <c r="W31" s="2647"/>
      <c r="X31" s="2647"/>
      <c r="Y31" s="2647"/>
      <c r="Z31" s="2647"/>
      <c r="AA31" s="2647"/>
      <c r="AB31" s="2647"/>
      <c r="AC31" s="2647"/>
      <c r="AD31" s="2647"/>
      <c r="AE31" s="2647"/>
      <c r="AF31" s="2647"/>
      <c r="AG31" s="2647"/>
      <c r="AH31" s="2647"/>
      <c r="AI31" s="2647"/>
      <c r="AJ31" s="2647"/>
      <c r="AK31" s="2647"/>
      <c r="AL31" s="2647"/>
      <c r="AM31" s="2647"/>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584</v>
      </c>
      <c r="C34" s="435" t="s">
        <v>576</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4" t="s">
        <v>1256</v>
      </c>
      <c r="Z35" s="2644"/>
      <c r="AA35" s="2644"/>
      <c r="AB35" s="2644"/>
      <c r="AC35" s="2644"/>
      <c r="AD35" s="2645" t="s">
        <v>370</v>
      </c>
      <c r="AE35" s="2645"/>
      <c r="AF35" s="2645"/>
      <c r="AG35" s="2645"/>
      <c r="AH35" s="2645"/>
    </row>
    <row r="36" spans="1:76" ht="12.95" customHeight="1">
      <c r="B36" s="438"/>
      <c r="X36" s="443"/>
      <c r="Y36" s="2644"/>
      <c r="Z36" s="2644"/>
      <c r="AA36" s="2644"/>
      <c r="AB36" s="2644"/>
      <c r="AC36" s="2644"/>
      <c r="AD36" s="2645"/>
      <c r="AE36" s="2645"/>
      <c r="AF36" s="2645"/>
      <c r="AG36" s="2645"/>
      <c r="AH36" s="2645"/>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4"/>
      <c r="Z37" s="2644"/>
      <c r="AA37" s="2644"/>
      <c r="AB37" s="2644"/>
      <c r="AC37" s="2644"/>
      <c r="AD37" s="2645"/>
      <c r="AE37" s="2645"/>
      <c r="AF37" s="2645"/>
      <c r="AG37" s="2645"/>
      <c r="AH37" s="2645"/>
    </row>
    <row r="38" spans="1:76" ht="12.95" customHeight="1">
      <c r="A38" s="435"/>
      <c r="B38" s="2627" t="s">
        <v>514</v>
      </c>
      <c r="C38" s="2628"/>
      <c r="D38" s="2628"/>
      <c r="E38" s="2628"/>
      <c r="F38" s="2628"/>
      <c r="G38" s="2628"/>
      <c r="H38" s="2628"/>
      <c r="I38" s="2628"/>
      <c r="J38" s="2628"/>
      <c r="K38" s="2628"/>
      <c r="L38" s="2628"/>
      <c r="M38" s="2628"/>
      <c r="N38" s="2628"/>
      <c r="O38" s="2628"/>
      <c r="P38" s="2628"/>
      <c r="Q38" s="2628"/>
      <c r="R38" s="2628"/>
      <c r="S38" s="2628"/>
      <c r="T38" s="2628"/>
      <c r="U38" s="2628"/>
      <c r="V38" s="2628"/>
      <c r="W38" s="2628"/>
      <c r="X38" s="2629"/>
      <c r="Y38" s="2621">
        <f>IF(T24&gt;=(T23+Y23+AD23+AI23),T28+Y28,0)</f>
        <v>110652357.18904419</v>
      </c>
      <c r="Z38" s="2621"/>
      <c r="AA38" s="2621"/>
      <c r="AB38" s="2621"/>
      <c r="AC38" s="2621"/>
      <c r="AD38" s="2621">
        <f>IF(T24&gt;=(T23+Y23+AD23+AI23),AD28+AI28,0)</f>
        <v>0</v>
      </c>
      <c r="AE38" s="2621"/>
      <c r="AF38" s="2621"/>
      <c r="AG38" s="2621"/>
      <c r="AH38" s="2621"/>
    </row>
    <row r="39" spans="1:76" ht="12.95" customHeight="1">
      <c r="B39" s="2627" t="s">
        <v>1881</v>
      </c>
      <c r="C39" s="2628"/>
      <c r="D39" s="2628"/>
      <c r="E39" s="2628"/>
      <c r="F39" s="2628"/>
      <c r="G39" s="2628"/>
      <c r="H39" s="2628"/>
      <c r="I39" s="2628"/>
      <c r="J39" s="2628"/>
      <c r="K39" s="2628"/>
      <c r="L39" s="2628"/>
      <c r="M39" s="2628"/>
      <c r="N39" s="2628"/>
      <c r="O39" s="2628"/>
      <c r="P39" s="2628"/>
      <c r="Q39" s="2628"/>
      <c r="R39" s="2628"/>
      <c r="S39" s="2628"/>
      <c r="T39" s="2628"/>
      <c r="U39" s="2628"/>
      <c r="V39" s="2628"/>
      <c r="W39" s="2628"/>
      <c r="X39" s="2629"/>
      <c r="Y39" s="2646">
        <v>0.04</v>
      </c>
      <c r="Z39" s="2646"/>
      <c r="AA39" s="2646"/>
      <c r="AB39" s="2646"/>
      <c r="AC39" s="2646"/>
      <c r="AD39" s="2646">
        <v>0.04</v>
      </c>
      <c r="AE39" s="2646"/>
      <c r="AF39" s="2646"/>
      <c r="AG39" s="2646"/>
      <c r="AH39" s="2646"/>
    </row>
    <row r="40" spans="1:76" ht="12.95" customHeight="1">
      <c r="A40" s="435"/>
      <c r="B40" s="2627" t="s">
        <v>650</v>
      </c>
      <c r="C40" s="2628"/>
      <c r="D40" s="2628"/>
      <c r="E40" s="2628"/>
      <c r="F40" s="2628"/>
      <c r="G40" s="2628"/>
      <c r="H40" s="2628"/>
      <c r="I40" s="2628"/>
      <c r="J40" s="2628"/>
      <c r="K40" s="2628"/>
      <c r="L40" s="2628"/>
      <c r="M40" s="2628"/>
      <c r="N40" s="2628"/>
      <c r="O40" s="2628"/>
      <c r="P40" s="2628"/>
      <c r="Q40" s="2628"/>
      <c r="R40" s="2628"/>
      <c r="S40" s="2628"/>
      <c r="T40" s="2628"/>
      <c r="U40" s="2628"/>
      <c r="V40" s="2628"/>
      <c r="W40" s="2628"/>
      <c r="X40" s="2629"/>
      <c r="Y40" s="2621">
        <f>ROUND(Y38*Y39,0)</f>
        <v>4426094</v>
      </c>
      <c r="Z40" s="2621"/>
      <c r="AA40" s="2621"/>
      <c r="AB40" s="2621"/>
      <c r="AC40" s="2621"/>
      <c r="AD40" s="2643">
        <f>ROUND(AD38*AD39,0)</f>
        <v>0</v>
      </c>
      <c r="AE40" s="2621"/>
      <c r="AF40" s="2621"/>
      <c r="AG40" s="2621"/>
      <c r="AH40" s="2621"/>
    </row>
    <row r="41" spans="1:76" ht="12.95" customHeight="1">
      <c r="B41" s="2627" t="s">
        <v>651</v>
      </c>
      <c r="C41" s="2628"/>
      <c r="D41" s="2628"/>
      <c r="E41" s="2628"/>
      <c r="F41" s="2628"/>
      <c r="G41" s="2628"/>
      <c r="H41" s="2628"/>
      <c r="I41" s="2628"/>
      <c r="J41" s="2628"/>
      <c r="K41" s="2628"/>
      <c r="L41" s="2628"/>
      <c r="M41" s="2628"/>
      <c r="N41" s="2628"/>
      <c r="O41" s="2628"/>
      <c r="P41" s="2628"/>
      <c r="Q41" s="2628"/>
      <c r="R41" s="2628"/>
      <c r="S41" s="2628"/>
      <c r="T41" s="2628"/>
      <c r="U41" s="2628"/>
      <c r="V41" s="2628"/>
      <c r="W41" s="2628"/>
      <c r="X41" s="2629"/>
      <c r="Y41" s="2631">
        <f>Y40+AD40</f>
        <v>4426094</v>
      </c>
      <c r="Z41" s="2642"/>
      <c r="AA41" s="2642"/>
      <c r="AB41" s="2642"/>
      <c r="AC41" s="2642"/>
      <c r="AD41" s="2642"/>
      <c r="AE41" s="2642"/>
      <c r="AF41" s="2642"/>
      <c r="AG41" s="2642"/>
      <c r="AH41" s="2643"/>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41" t="s">
        <v>1386</v>
      </c>
      <c r="B44" s="2641"/>
      <c r="C44" s="2641"/>
      <c r="D44" s="2641"/>
      <c r="E44" s="2641"/>
      <c r="F44" s="2641"/>
      <c r="G44" s="2641"/>
      <c r="H44" s="2641"/>
      <c r="I44" s="2641"/>
      <c r="J44" s="2641"/>
      <c r="K44" s="2641"/>
      <c r="L44" s="2641"/>
      <c r="M44" s="2641"/>
      <c r="N44" s="2641"/>
      <c r="O44" s="2641"/>
      <c r="P44" s="2641"/>
      <c r="Q44" s="2641"/>
      <c r="R44" s="2641"/>
      <c r="S44" s="2641"/>
      <c r="T44" s="2641"/>
      <c r="U44" s="2641"/>
      <c r="V44" s="2641"/>
      <c r="W44" s="2641"/>
      <c r="X44" s="2641"/>
      <c r="Y44" s="2641"/>
      <c r="Z44" s="2641"/>
      <c r="AA44" s="2641"/>
      <c r="AB44" s="2641"/>
      <c r="AC44" s="2641"/>
      <c r="AD44" s="2641"/>
      <c r="AE44" s="2641"/>
      <c r="AF44" s="2641"/>
      <c r="AG44" s="2641"/>
      <c r="AH44" s="2641"/>
      <c r="AI44" s="2641"/>
      <c r="AJ44" s="2641"/>
      <c r="AK44" s="2641"/>
      <c r="AL44" s="2641"/>
      <c r="AM44" s="2641"/>
      <c r="AN44" s="2641"/>
      <c r="AO44" s="2641"/>
      <c r="AP44" s="2641"/>
      <c r="AQ44" s="2641"/>
      <c r="AR44" s="2641"/>
      <c r="AS44" s="2641"/>
      <c r="AT44" s="2641"/>
      <c r="AU44" s="2641"/>
      <c r="AV44" s="2641"/>
      <c r="AW44" s="2641"/>
      <c r="AX44" s="2641"/>
      <c r="AY44" s="2641"/>
      <c r="AZ44" s="2641"/>
      <c r="BA44" s="2641"/>
      <c r="BB44" s="2641"/>
      <c r="BC44" s="2641"/>
      <c r="BD44" s="2641"/>
      <c r="BE44" s="2641"/>
      <c r="BF44" s="2641"/>
      <c r="BG44" s="2641"/>
      <c r="BH44" s="2641"/>
      <c r="BI44" s="2641"/>
      <c r="BJ44" s="2641"/>
      <c r="BK44" s="2641"/>
      <c r="BL44" s="2641"/>
      <c r="BM44" s="2641"/>
      <c r="BN44" s="2641"/>
      <c r="BO44" s="2641"/>
      <c r="BP44" s="2641"/>
      <c r="BQ44" s="2641"/>
      <c r="BR44" s="2641"/>
      <c r="BS44" s="2641"/>
      <c r="BT44" s="2641"/>
      <c r="BU44" s="2641"/>
      <c r="BV44" s="2641"/>
      <c r="BW44" s="2641"/>
      <c r="BX44" s="2641"/>
    </row>
    <row r="45" spans="1:76" s="218" customFormat="1" ht="12.95" customHeight="1" thickTop="1"/>
    <row r="46" spans="1:76" ht="12.95" customHeight="1">
      <c r="A46" s="435" t="s">
        <v>594</v>
      </c>
      <c r="C46" s="435" t="s">
        <v>283</v>
      </c>
    </row>
    <row r="47" spans="1:76" ht="12.95" customHeight="1">
      <c r="D47" s="435" t="s">
        <v>284</v>
      </c>
      <c r="AB47" s="2635">
        <f>'Sources and Uses Budget'!B105-MAX(IF('Sources and Uses Budget'!B15="",0,'Sources and Uses Budget'!B15),IF(Application!AG394="",0,Application!AG394))</f>
        <v>121997854.60239539</v>
      </c>
      <c r="AC47" s="2636"/>
      <c r="AD47" s="2636"/>
      <c r="AE47" s="2636"/>
      <c r="AF47" s="2637"/>
    </row>
    <row r="48" spans="1:76" ht="12.95" customHeight="1">
      <c r="D48" s="435" t="s">
        <v>21</v>
      </c>
      <c r="AB48" s="2635">
        <f>Application!AO639-MAX(IF('Sources and Uses Budget'!B15="",0,'Sources and Uses Budget'!B15),IF(Application!AG394="",0,Application!AG394))</f>
        <v>76134461.99575837</v>
      </c>
      <c r="AC48" s="2636"/>
      <c r="AD48" s="2636"/>
      <c r="AE48" s="2636"/>
      <c r="AF48" s="2637"/>
    </row>
    <row r="49" spans="1:76" ht="12.95" customHeight="1">
      <c r="D49" s="435" t="s">
        <v>91</v>
      </c>
      <c r="AB49" s="2635">
        <f>AB47-AB48</f>
        <v>45863392.606637016</v>
      </c>
      <c r="AC49" s="2636"/>
      <c r="AD49" s="2636"/>
      <c r="AE49" s="2636"/>
      <c r="AF49" s="2637"/>
    </row>
    <row r="50" spans="1:76" ht="12.95" customHeight="1">
      <c r="D50" s="435" t="s">
        <v>689</v>
      </c>
      <c r="AA50" s="446"/>
      <c r="AB50" s="2623">
        <v>0.93</v>
      </c>
      <c r="AC50" s="2624"/>
      <c r="AD50" s="2624"/>
      <c r="AE50" s="2624"/>
      <c r="AF50" s="2625"/>
    </row>
    <row r="51" spans="1:76" s="448" customFormat="1" ht="12.95" customHeight="1">
      <c r="A51" s="433"/>
      <c r="B51" s="433"/>
      <c r="C51" s="433"/>
      <c r="D51" s="433"/>
      <c r="E51" s="2634" t="s">
        <v>2041</v>
      </c>
      <c r="F51" s="2634"/>
      <c r="G51" s="2634"/>
      <c r="H51" s="2634"/>
      <c r="I51" s="2634"/>
      <c r="J51" s="2634"/>
      <c r="K51" s="2634"/>
      <c r="L51" s="2634"/>
      <c r="M51" s="2634"/>
      <c r="N51" s="2634"/>
      <c r="O51" s="2634"/>
      <c r="P51" s="2634"/>
      <c r="Q51" s="2634"/>
      <c r="R51" s="2634"/>
      <c r="S51" s="2634"/>
      <c r="T51" s="2634"/>
      <c r="U51" s="2634"/>
      <c r="V51" s="2634"/>
      <c r="W51" s="2634"/>
      <c r="X51" s="2634"/>
      <c r="Y51" s="2634"/>
      <c r="Z51" s="2634"/>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34"/>
      <c r="F52" s="2634"/>
      <c r="G52" s="2634"/>
      <c r="H52" s="2634"/>
      <c r="I52" s="2634"/>
      <c r="J52" s="2634"/>
      <c r="K52" s="2634"/>
      <c r="L52" s="2634"/>
      <c r="M52" s="2634"/>
      <c r="N52" s="2634"/>
      <c r="O52" s="2634"/>
      <c r="P52" s="2634"/>
      <c r="Q52" s="2634"/>
      <c r="R52" s="2634"/>
      <c r="S52" s="2634"/>
      <c r="T52" s="2634"/>
      <c r="U52" s="2634"/>
      <c r="V52" s="2634"/>
      <c r="W52" s="2634"/>
      <c r="X52" s="2634"/>
      <c r="Y52" s="2634"/>
      <c r="Z52" s="2634"/>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35">
        <f>ROUND(IF(ISERROR((AB49/AB50)),0,(AB49/AB50)),0)</f>
        <v>49315476</v>
      </c>
      <c r="AC54" s="2636"/>
      <c r="AD54" s="2636"/>
      <c r="AE54" s="2636"/>
      <c r="AF54" s="2637"/>
    </row>
    <row r="55" spans="1:76" ht="12.95" customHeight="1">
      <c r="D55" s="435" t="s">
        <v>334</v>
      </c>
      <c r="AB55" s="2635">
        <f>(AB54/10)</f>
        <v>4931547.5999999996</v>
      </c>
      <c r="AC55" s="2636"/>
      <c r="AD55" s="2636"/>
      <c r="AE55" s="2636"/>
      <c r="AF55" s="2637"/>
    </row>
    <row r="56" spans="1:76" ht="12.95" customHeight="1">
      <c r="D56" s="435" t="s">
        <v>765</v>
      </c>
      <c r="AB56" s="2638">
        <f>(IF((Y41&lt;AB55),Y41,AB55))</f>
        <v>4426094</v>
      </c>
      <c r="AC56" s="2639"/>
      <c r="AD56" s="2639"/>
      <c r="AE56" s="2639"/>
      <c r="AF56" s="2640"/>
    </row>
    <row r="57" spans="1:76" ht="12.95" customHeight="1">
      <c r="D57" s="435" t="s">
        <v>764</v>
      </c>
      <c r="AB57" s="2635">
        <f>ROUND((10*AB56*AB50),0)</f>
        <v>41162674</v>
      </c>
      <c r="AC57" s="2636"/>
      <c r="AD57" s="2636"/>
      <c r="AE57" s="2636"/>
      <c r="AF57" s="2637"/>
    </row>
    <row r="58" spans="1:76" ht="12.95" customHeight="1">
      <c r="D58" s="435"/>
      <c r="AB58" s="454"/>
      <c r="AC58" s="454"/>
      <c r="AD58" s="454"/>
      <c r="AE58" s="454"/>
      <c r="AF58" s="454"/>
    </row>
    <row r="59" spans="1:76" ht="12.95" customHeight="1">
      <c r="D59" s="435" t="s">
        <v>763</v>
      </c>
      <c r="AB59" s="2619">
        <f>AB49-AB57</f>
        <v>4700718.6066370159</v>
      </c>
      <c r="AC59" s="2619"/>
      <c r="AD59" s="2619"/>
      <c r="AE59" s="2619"/>
      <c r="AF59" s="2619"/>
    </row>
    <row r="60" spans="1:76" ht="12.95" customHeight="1">
      <c r="D60" s="435"/>
      <c r="AB60" s="454"/>
      <c r="AC60" s="454"/>
      <c r="AD60" s="454"/>
      <c r="AE60" s="454"/>
      <c r="AF60" s="454"/>
    </row>
    <row r="61" spans="1:76" s="218" customFormat="1" ht="12.95" customHeight="1" thickBot="1">
      <c r="A61" s="2641" t="str">
        <f>IF(Application!AP205="yes","Farmworker State Credit", "State Credit" )</f>
        <v>State Credit</v>
      </c>
      <c r="B61" s="2641"/>
      <c r="C61" s="2641"/>
      <c r="D61" s="2641"/>
      <c r="E61" s="2641"/>
      <c r="F61" s="2641"/>
      <c r="G61" s="2641"/>
      <c r="H61" s="2641"/>
      <c r="I61" s="2641"/>
      <c r="J61" s="2641"/>
      <c r="K61" s="2641"/>
      <c r="L61" s="2641"/>
      <c r="M61" s="2641"/>
      <c r="N61" s="2641"/>
      <c r="O61" s="2641"/>
      <c r="P61" s="2641"/>
      <c r="Q61" s="2641"/>
      <c r="R61" s="2641"/>
      <c r="S61" s="2641"/>
      <c r="T61" s="2641"/>
      <c r="U61" s="2641"/>
      <c r="V61" s="2641"/>
      <c r="W61" s="2641"/>
      <c r="X61" s="2641"/>
      <c r="Y61" s="2641"/>
      <c r="Z61" s="2641"/>
      <c r="AA61" s="2641"/>
      <c r="AB61" s="2641"/>
      <c r="AC61" s="2641"/>
      <c r="AD61" s="2641"/>
      <c r="AE61" s="2641"/>
      <c r="AF61" s="2641"/>
      <c r="AG61" s="2641"/>
      <c r="AH61" s="2641"/>
      <c r="AI61" s="2641"/>
      <c r="AJ61" s="2641"/>
      <c r="AK61" s="2641"/>
      <c r="AL61" s="2641"/>
      <c r="AM61" s="2641"/>
      <c r="AN61" s="2641"/>
      <c r="AO61" s="2641"/>
      <c r="AP61" s="2641"/>
      <c r="AQ61" s="2641"/>
      <c r="AR61" s="2641"/>
      <c r="AS61" s="2641"/>
      <c r="AT61" s="2641"/>
      <c r="AU61" s="2641"/>
      <c r="AV61" s="2641"/>
      <c r="AW61" s="2641"/>
      <c r="AX61" s="2641"/>
      <c r="AY61" s="2641"/>
      <c r="AZ61" s="2641"/>
      <c r="BA61" s="2641"/>
      <c r="BB61" s="2641"/>
      <c r="BC61" s="2641"/>
      <c r="BD61" s="2641"/>
      <c r="BE61" s="2641"/>
      <c r="BF61" s="2641"/>
      <c r="BG61" s="2641"/>
      <c r="BH61" s="2641"/>
      <c r="BI61" s="2641"/>
      <c r="BJ61" s="2641"/>
      <c r="BK61" s="2641"/>
      <c r="BL61" s="2641"/>
      <c r="BM61" s="2641"/>
      <c r="BN61" s="2641"/>
      <c r="BO61" s="2641"/>
      <c r="BP61" s="2641"/>
      <c r="BQ61" s="2641"/>
      <c r="BR61" s="2641"/>
      <c r="BS61" s="2641"/>
      <c r="BT61" s="2641"/>
      <c r="BU61" s="2641"/>
      <c r="BV61" s="2641"/>
      <c r="BW61" s="2641"/>
      <c r="BX61" s="2641"/>
    </row>
    <row r="62" spans="1:76" s="218" customFormat="1" ht="12.95" customHeight="1" thickTop="1"/>
    <row r="63" spans="1:76" ht="12.95" customHeight="1">
      <c r="A63" s="435" t="s">
        <v>597</v>
      </c>
      <c r="C63" s="219" t="s">
        <v>1357</v>
      </c>
      <c r="Y63" s="2630" t="s">
        <v>1003</v>
      </c>
      <c r="Z63" s="2630"/>
      <c r="AA63" s="2630"/>
      <c r="AB63" s="2630"/>
      <c r="AC63" s="2630"/>
      <c r="AD63" s="2630" t="s">
        <v>370</v>
      </c>
      <c r="AE63" s="2630"/>
      <c r="AF63" s="2630"/>
      <c r="AG63" s="2630"/>
      <c r="AH63" s="2630"/>
    </row>
    <row r="64" spans="1:76" ht="12.95"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31">
        <f>IF(Application!Z205="(select)",0,((T23*T27)+Y28))</f>
        <v>110652357.18904419</v>
      </c>
      <c r="Z64" s="2632"/>
      <c r="AA64" s="2632"/>
      <c r="AB64" s="2632"/>
      <c r="AC64" s="2633"/>
      <c r="AD64" s="2631">
        <f>IF(AND(OR(Application!D211="At-Risk",Application!D211="At-Risk and Special Needs"),Application!M358="yes"),AD28+AI28,0)</f>
        <v>0</v>
      </c>
      <c r="AE64" s="2632"/>
      <c r="AF64" s="2632"/>
      <c r="AG64" s="2632"/>
      <c r="AH64" s="2633"/>
    </row>
    <row r="65" spans="1:36" ht="12.95" customHeight="1">
      <c r="C65" s="435"/>
      <c r="E65" s="1052" t="s">
        <v>2039</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2040</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20">
        <f>IF(Application!AP205="yes",0.75,IF(Application!Z204="15% set-aside",0.13,IF(Application!Z204="15% set-aside with qualifying low value rehab",0.95,0.3)))</f>
        <v>0.3</v>
      </c>
      <c r="Z67" s="2620"/>
      <c r="AA67" s="2620"/>
      <c r="AB67" s="2620"/>
      <c r="AC67" s="2620"/>
      <c r="AD67" s="2620">
        <f>IF(Application!Z204="15% set-aside with qualifying low value rehab", 0.95,0.13)</f>
        <v>0.13</v>
      </c>
      <c r="AE67" s="2620"/>
      <c r="AF67" s="2620"/>
      <c r="AG67" s="2620"/>
      <c r="AH67" s="2620"/>
    </row>
    <row r="68" spans="1:36" ht="12.95" customHeight="1">
      <c r="C68" s="435"/>
      <c r="D68" s="219" t="s">
        <v>1359</v>
      </c>
      <c r="Y68" s="2621">
        <f>ROUND(Y64*Y67,0)</f>
        <v>33195707</v>
      </c>
      <c r="Z68" s="2622"/>
      <c r="AA68" s="2622"/>
      <c r="AB68" s="2622"/>
      <c r="AC68" s="2622"/>
      <c r="AD68" s="2621">
        <f>ROUND(AD64*AD67,0)</f>
        <v>0</v>
      </c>
      <c r="AE68" s="2622"/>
      <c r="AF68" s="2622"/>
      <c r="AG68" s="2622"/>
      <c r="AH68" s="2622"/>
    </row>
    <row r="69" spans="1:36" ht="12.95" customHeight="1">
      <c r="C69" s="435"/>
      <c r="E69" s="435"/>
      <c r="AB69" s="453"/>
      <c r="AC69" s="453"/>
      <c r="AD69" s="453"/>
      <c r="AE69" s="453"/>
      <c r="AF69" s="453"/>
    </row>
    <row r="70" spans="1:36" ht="12.95" customHeight="1">
      <c r="A70" s="435" t="s">
        <v>598</v>
      </c>
      <c r="C70" s="219" t="s">
        <v>285</v>
      </c>
    </row>
    <row r="71" spans="1:36" ht="12.95" customHeight="1">
      <c r="A71" s="435"/>
      <c r="C71" s="435"/>
      <c r="D71" s="219" t="s">
        <v>1360</v>
      </c>
      <c r="AB71" s="2623">
        <v>0.88</v>
      </c>
      <c r="AC71" s="2624"/>
      <c r="AD71" s="2624"/>
      <c r="AE71" s="2624"/>
      <c r="AF71" s="2625"/>
    </row>
    <row r="72" spans="1:36" ht="12.95" customHeight="1">
      <c r="A72" s="435"/>
      <c r="C72" s="435"/>
      <c r="D72" s="435"/>
      <c r="E72" s="2626" t="s">
        <v>1361</v>
      </c>
      <c r="F72" s="2626"/>
      <c r="G72" s="2626"/>
      <c r="H72" s="2626"/>
      <c r="I72" s="2626"/>
      <c r="J72" s="2626"/>
      <c r="K72" s="2626"/>
      <c r="L72" s="2626"/>
      <c r="M72" s="2626"/>
      <c r="N72" s="2626"/>
      <c r="O72" s="2626"/>
      <c r="P72" s="2626"/>
      <c r="Q72" s="2626"/>
      <c r="R72" s="2626"/>
      <c r="S72" s="2626"/>
      <c r="T72" s="2626"/>
      <c r="U72" s="2626"/>
      <c r="V72" s="2626"/>
      <c r="W72" s="2626"/>
      <c r="X72" s="2626"/>
      <c r="Y72" s="2626"/>
      <c r="Z72" s="2626"/>
      <c r="AA72" s="2626"/>
      <c r="AB72" s="471"/>
      <c r="AC72" s="471"/>
    </row>
    <row r="73" spans="1:36" ht="12.95" customHeight="1">
      <c r="A73" s="435"/>
      <c r="C73" s="435"/>
      <c r="D73" s="435"/>
      <c r="E73" s="2626"/>
      <c r="F73" s="2626"/>
      <c r="G73" s="2626"/>
      <c r="H73" s="2626"/>
      <c r="I73" s="2626"/>
      <c r="J73" s="2626"/>
      <c r="K73" s="2626"/>
      <c r="L73" s="2626"/>
      <c r="M73" s="2626"/>
      <c r="N73" s="2626"/>
      <c r="O73" s="2626"/>
      <c r="P73" s="2626"/>
      <c r="Q73" s="2626"/>
      <c r="R73" s="2626"/>
      <c r="S73" s="2626"/>
      <c r="T73" s="2626"/>
      <c r="U73" s="2626"/>
      <c r="V73" s="2626"/>
      <c r="W73" s="2626"/>
      <c r="X73" s="2626"/>
      <c r="Y73" s="2626"/>
      <c r="Z73" s="2626"/>
      <c r="AA73" s="2626"/>
      <c r="AB73" s="471"/>
      <c r="AC73" s="471"/>
    </row>
    <row r="74" spans="1:36" ht="12.95" customHeight="1">
      <c r="A74" s="435"/>
      <c r="C74" s="435"/>
      <c r="D74" s="435"/>
      <c r="E74" s="2626"/>
      <c r="F74" s="2626"/>
      <c r="G74" s="2626"/>
      <c r="H74" s="2626"/>
      <c r="I74" s="2626"/>
      <c r="J74" s="2626"/>
      <c r="K74" s="2626"/>
      <c r="L74" s="2626"/>
      <c r="M74" s="2626"/>
      <c r="N74" s="2626"/>
      <c r="O74" s="2626"/>
      <c r="P74" s="2626"/>
      <c r="Q74" s="2626"/>
      <c r="R74" s="2626"/>
      <c r="S74" s="2626"/>
      <c r="T74" s="2626"/>
      <c r="U74" s="2626"/>
      <c r="V74" s="2626"/>
      <c r="W74" s="2626"/>
      <c r="X74" s="2626"/>
      <c r="Y74" s="2626"/>
      <c r="Z74" s="2626"/>
      <c r="AA74" s="2626"/>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1362</v>
      </c>
      <c r="AB76" s="2614">
        <f>ROUND(IF(ISERROR((AB59/AB71)),0,(AB59/AB71)),0)</f>
        <v>5341726</v>
      </c>
      <c r="AC76" s="2614"/>
      <c r="AD76" s="2614"/>
      <c r="AE76" s="2614"/>
      <c r="AF76" s="2614"/>
    </row>
    <row r="77" spans="1:36" ht="12.95" customHeight="1">
      <c r="C77" s="435"/>
      <c r="D77" s="219" t="s">
        <v>1363</v>
      </c>
      <c r="AB77" s="2615">
        <f>IF((Y68+AD68&lt;AB76),Y68+AD68,AB76)</f>
        <v>5341726</v>
      </c>
      <c r="AC77" s="2616"/>
      <c r="AD77" s="2616"/>
      <c r="AE77" s="2616"/>
      <c r="AF77" s="2617"/>
    </row>
    <row r="78" spans="1:36" ht="12.95" customHeight="1">
      <c r="C78" s="435"/>
      <c r="D78" s="219" t="s">
        <v>1364</v>
      </c>
      <c r="AB78" s="2618">
        <f>AB77*AB71</f>
        <v>4700718.88</v>
      </c>
      <c r="AC78" s="2618"/>
      <c r="AD78" s="2618"/>
      <c r="AE78" s="2618"/>
      <c r="AF78" s="2618"/>
    </row>
    <row r="79" spans="1:36" ht="12.95" customHeight="1">
      <c r="C79" s="435"/>
      <c r="D79" s="435"/>
      <c r="AB79" s="456"/>
      <c r="AC79" s="456"/>
      <c r="AD79" s="456"/>
      <c r="AE79" s="456"/>
      <c r="AF79" s="456"/>
    </row>
    <row r="80" spans="1:36" ht="12.95" customHeight="1">
      <c r="D80" s="435" t="s">
        <v>763</v>
      </c>
      <c r="AB80" s="2619">
        <f>AB49-(AB57+AB78)</f>
        <v>-0.27336298674345016</v>
      </c>
      <c r="AC80" s="2619"/>
      <c r="AD80" s="2619"/>
      <c r="AE80" s="2619"/>
      <c r="AF80" s="2619"/>
    </row>
    <row r="81" spans="1:78" ht="12.95" customHeight="1">
      <c r="F81" s="556"/>
      <c r="J81" s="556" t="str">
        <f>IF(AB80&gt;0,"FUNDING GAP MUST NOT EXCEED ZERO","")</f>
        <v/>
      </c>
    </row>
    <row r="82" spans="1:78" ht="12.95" customHeight="1">
      <c r="D82" s="557"/>
    </row>
    <row r="83" spans="1:78" ht="12.95" customHeight="1" thickBot="1">
      <c r="A83" s="2641"/>
      <c r="B83" s="2641"/>
      <c r="C83" s="2641"/>
      <c r="D83" s="2641"/>
      <c r="E83" s="2641"/>
      <c r="F83" s="2641"/>
      <c r="G83" s="2641"/>
      <c r="H83" s="2641"/>
      <c r="I83" s="2641"/>
      <c r="J83" s="2641"/>
      <c r="K83" s="2641"/>
      <c r="L83" s="2641"/>
      <c r="M83" s="2641"/>
      <c r="N83" s="2641"/>
      <c r="O83" s="2641"/>
      <c r="P83" s="2641"/>
      <c r="Q83" s="2641"/>
      <c r="R83" s="2641"/>
      <c r="S83" s="2641"/>
      <c r="T83" s="2641"/>
      <c r="U83" s="2641"/>
      <c r="V83" s="2641"/>
      <c r="W83" s="2641"/>
      <c r="X83" s="2641"/>
      <c r="Y83" s="2641"/>
      <c r="Z83" s="2641"/>
      <c r="AA83" s="2641"/>
      <c r="AB83" s="2641"/>
      <c r="AC83" s="2641"/>
      <c r="AD83" s="2641"/>
      <c r="AE83" s="2641"/>
      <c r="AF83" s="2641"/>
      <c r="AG83" s="2641"/>
      <c r="AH83" s="2641"/>
      <c r="AI83" s="2641"/>
      <c r="AJ83" s="2641"/>
      <c r="AK83" s="2641"/>
      <c r="AL83" s="2641"/>
      <c r="AM83" s="2641"/>
      <c r="AN83" s="2641"/>
      <c r="AO83" s="2641"/>
      <c r="AP83" s="2641"/>
      <c r="AQ83" s="2641"/>
      <c r="AR83" s="2641"/>
      <c r="AS83" s="2641"/>
      <c r="AT83" s="2641"/>
      <c r="AU83" s="2641"/>
      <c r="AV83" s="2641"/>
      <c r="AW83" s="2641"/>
      <c r="AX83" s="2641"/>
      <c r="AY83" s="2641"/>
      <c r="AZ83" s="2641"/>
      <c r="BA83" s="2641"/>
      <c r="BB83" s="2641"/>
      <c r="BC83" s="2641"/>
      <c r="BD83" s="2641"/>
      <c r="BE83" s="2641"/>
      <c r="BF83" s="2641"/>
      <c r="BG83" s="2641"/>
      <c r="BH83" s="2641"/>
      <c r="BI83" s="2641"/>
      <c r="BJ83" s="2641"/>
      <c r="BK83" s="2641"/>
      <c r="BL83" s="2641"/>
      <c r="BM83" s="2641"/>
      <c r="BN83" s="2641"/>
      <c r="BO83" s="2641"/>
      <c r="BP83" s="2641"/>
      <c r="BQ83" s="2641"/>
      <c r="BR83" s="2641"/>
      <c r="BS83" s="2641"/>
      <c r="BT83" s="2641"/>
      <c r="BU83" s="2641"/>
      <c r="BV83" s="2641"/>
      <c r="BW83" s="2641"/>
      <c r="BX83" s="2641"/>
    </row>
    <row r="84" spans="1:78" ht="12.95" customHeight="1" thickTop="1"/>
    <row r="85" spans="1:78" ht="12.95" customHeight="1">
      <c r="A85" s="435"/>
      <c r="C85" s="219"/>
    </row>
    <row r="86" spans="1:78" ht="12.95" customHeight="1">
      <c r="D86" s="219"/>
      <c r="AB86" s="2673"/>
      <c r="AC86" s="2673"/>
      <c r="AD86" s="2673"/>
      <c r="AE86" s="2673"/>
      <c r="AF86" s="2673"/>
    </row>
    <row r="87" spans="1:78" ht="12.95" customHeight="1" thickBot="1">
      <c r="D87" s="219"/>
      <c r="AB87" s="2672"/>
      <c r="AC87" s="2672"/>
      <c r="AD87" s="2672"/>
      <c r="AE87" s="2672"/>
      <c r="AF87" s="2672"/>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F8" sqref="F8:F16"/>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80" t="s">
        <v>924</v>
      </c>
      <c r="B1" s="2680"/>
      <c r="C1" s="2680"/>
      <c r="D1" s="2680"/>
      <c r="E1" s="2680"/>
      <c r="F1" s="2680"/>
      <c r="G1" s="2680"/>
      <c r="H1" s="2680"/>
      <c r="I1" s="2680"/>
      <c r="J1" s="2680"/>
      <c r="K1" s="218"/>
      <c r="L1" s="218"/>
    </row>
    <row r="2" spans="1:12">
      <c r="A2" s="225"/>
      <c r="B2" s="225"/>
      <c r="C2" s="225"/>
      <c r="D2" s="225"/>
      <c r="E2" s="225"/>
      <c r="F2" s="225"/>
      <c r="G2" s="225"/>
      <c r="H2" s="225"/>
      <c r="I2" s="225"/>
      <c r="J2" s="225"/>
    </row>
    <row r="3" spans="1:12" ht="99.75">
      <c r="A3" s="457" t="s">
        <v>925</v>
      </c>
      <c r="B3" s="457" t="s">
        <v>926</v>
      </c>
      <c r="C3" s="457" t="s">
        <v>2258</v>
      </c>
      <c r="D3" s="1190" t="s">
        <v>927</v>
      </c>
      <c r="E3" s="218"/>
      <c r="F3" s="1190" t="s">
        <v>928</v>
      </c>
      <c r="G3" s="457" t="s">
        <v>929</v>
      </c>
      <c r="H3" s="458"/>
      <c r="I3" s="457" t="s">
        <v>930</v>
      </c>
      <c r="J3" s="457" t="s">
        <v>931</v>
      </c>
      <c r="K3" s="218"/>
      <c r="L3" s="328"/>
    </row>
    <row r="4" spans="1:12">
      <c r="A4" s="459" t="str">
        <f>Application!B718</f>
        <v>SRO/Studio</v>
      </c>
      <c r="B4" s="1121">
        <f>Application!G718</f>
        <v>29</v>
      </c>
      <c r="C4" s="1122"/>
      <c r="D4" s="459">
        <f>Application!O718</f>
        <v>1827</v>
      </c>
      <c r="E4" s="460"/>
      <c r="F4" s="1123"/>
      <c r="G4" s="459">
        <f>F4*B4</f>
        <v>0</v>
      </c>
      <c r="H4" s="460"/>
      <c r="I4" s="459" t="str">
        <f t="shared" ref="I4:I27" si="0">IF(F4=0,"",(F4-D4))</f>
        <v/>
      </c>
      <c r="J4" s="459" t="str">
        <f t="shared" ref="J4:J27" si="1">IF(F4=0,"",(I4*B4))</f>
        <v/>
      </c>
      <c r="K4" s="218"/>
      <c r="L4" s="328"/>
    </row>
    <row r="5" spans="1:12">
      <c r="A5" s="459" t="str">
        <f>Application!B719</f>
        <v>SRO/Studio</v>
      </c>
      <c r="B5" s="1121">
        <f>Application!G719</f>
        <v>31</v>
      </c>
      <c r="C5" s="1122"/>
      <c r="D5" s="459">
        <f>Application!O719</f>
        <v>890</v>
      </c>
      <c r="E5" s="460"/>
      <c r="F5" s="1123"/>
      <c r="G5" s="459">
        <f t="shared" ref="G5:G38" si="2">F5*B5</f>
        <v>0</v>
      </c>
      <c r="H5" s="460"/>
      <c r="I5" s="459" t="str">
        <f t="shared" si="0"/>
        <v/>
      </c>
      <c r="J5" s="459" t="str">
        <f t="shared" si="1"/>
        <v/>
      </c>
      <c r="K5" s="218"/>
      <c r="L5" s="328"/>
    </row>
    <row r="6" spans="1:12">
      <c r="A6" s="459">
        <f>Application!B720</f>
        <v>0</v>
      </c>
      <c r="B6" s="1121">
        <f>Application!G720</f>
        <v>0</v>
      </c>
      <c r="C6" s="1122"/>
      <c r="D6" s="459">
        <f>Application!O720</f>
        <v>0</v>
      </c>
      <c r="E6" s="460"/>
      <c r="F6" s="1123"/>
      <c r="G6" s="459">
        <f t="shared" si="2"/>
        <v>0</v>
      </c>
      <c r="H6" s="460"/>
      <c r="I6" s="459" t="str">
        <f t="shared" si="0"/>
        <v/>
      </c>
      <c r="J6" s="459" t="str">
        <f t="shared" si="1"/>
        <v/>
      </c>
      <c r="K6" s="218"/>
      <c r="L6" s="328"/>
    </row>
    <row r="7" spans="1:12">
      <c r="A7" s="459" t="str">
        <f>Application!B721</f>
        <v>1 Bedroom</v>
      </c>
      <c r="B7" s="1121">
        <f>Application!G721</f>
        <v>28</v>
      </c>
      <c r="C7" s="1122"/>
      <c r="D7" s="459">
        <f>Application!O721</f>
        <v>1955</v>
      </c>
      <c r="E7" s="460"/>
      <c r="F7" s="1123"/>
      <c r="G7" s="459">
        <f t="shared" si="2"/>
        <v>0</v>
      </c>
      <c r="H7" s="460"/>
      <c r="I7" s="459" t="str">
        <f t="shared" si="0"/>
        <v/>
      </c>
      <c r="J7" s="459" t="str">
        <f t="shared" si="1"/>
        <v/>
      </c>
      <c r="K7" s="218"/>
      <c r="L7" s="328"/>
    </row>
    <row r="8" spans="1:12">
      <c r="A8" s="459" t="str">
        <f>Application!B722</f>
        <v>1 Bedroom</v>
      </c>
      <c r="B8" s="1121">
        <f>Application!G722</f>
        <v>25</v>
      </c>
      <c r="C8" s="1122" t="s">
        <v>386</v>
      </c>
      <c r="D8" s="459">
        <f>Application!O722</f>
        <v>1620</v>
      </c>
      <c r="E8" s="460"/>
      <c r="F8" s="1123">
        <v>2694</v>
      </c>
      <c r="G8" s="459">
        <f t="shared" si="2"/>
        <v>67350</v>
      </c>
      <c r="H8" s="460"/>
      <c r="I8" s="459">
        <f t="shared" si="0"/>
        <v>1074</v>
      </c>
      <c r="J8" s="459">
        <f t="shared" si="1"/>
        <v>26850</v>
      </c>
      <c r="K8" s="218"/>
      <c r="L8" s="328"/>
    </row>
    <row r="9" spans="1:12">
      <c r="A9" s="459" t="str">
        <f>Application!B723</f>
        <v>1 Bedroom</v>
      </c>
      <c r="B9" s="1121">
        <f>Application!G723</f>
        <v>11</v>
      </c>
      <c r="C9" s="1122" t="s">
        <v>386</v>
      </c>
      <c r="D9" s="459">
        <f>Application!O723</f>
        <v>1003</v>
      </c>
      <c r="E9" s="460"/>
      <c r="F9" s="1123">
        <v>2694</v>
      </c>
      <c r="G9" s="459">
        <f t="shared" si="2"/>
        <v>29634</v>
      </c>
      <c r="H9" s="460"/>
      <c r="I9" s="459">
        <f t="shared" si="0"/>
        <v>1691</v>
      </c>
      <c r="J9" s="459">
        <f t="shared" si="1"/>
        <v>18601</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t="str">
        <f>Application!B725</f>
        <v>2 Bedrooms</v>
      </c>
      <c r="B11" s="1121">
        <f>Application!G725</f>
        <v>5</v>
      </c>
      <c r="C11" s="1122"/>
      <c r="D11" s="459">
        <f>Application!O725</f>
        <v>2335</v>
      </c>
      <c r="E11" s="460"/>
      <c r="F11" s="1123"/>
      <c r="G11" s="459">
        <f t="shared" si="2"/>
        <v>0</v>
      </c>
      <c r="H11" s="460"/>
      <c r="I11" s="459" t="str">
        <f t="shared" si="0"/>
        <v/>
      </c>
      <c r="J11" s="459" t="str">
        <f t="shared" si="1"/>
        <v/>
      </c>
      <c r="K11" s="218"/>
      <c r="L11" s="328"/>
    </row>
    <row r="12" spans="1:12">
      <c r="A12" s="459" t="str">
        <f>Application!B726</f>
        <v>2 Bedrooms</v>
      </c>
      <c r="B12" s="1121">
        <f>Application!G726</f>
        <v>4</v>
      </c>
      <c r="C12" s="1122" t="s">
        <v>386</v>
      </c>
      <c r="D12" s="459">
        <f>Application!O726</f>
        <v>1203</v>
      </c>
      <c r="E12" s="460"/>
      <c r="F12" s="1123">
        <v>3132</v>
      </c>
      <c r="G12" s="459">
        <f t="shared" si="2"/>
        <v>12528</v>
      </c>
      <c r="H12" s="460"/>
      <c r="I12" s="459">
        <f t="shared" si="0"/>
        <v>1929</v>
      </c>
      <c r="J12" s="459">
        <f t="shared" si="1"/>
        <v>7716</v>
      </c>
      <c r="K12" s="218"/>
      <c r="L12" s="328"/>
    </row>
    <row r="13" spans="1:12">
      <c r="A13" s="459" t="str">
        <f>Application!B727</f>
        <v>2 Bedrooms</v>
      </c>
      <c r="B13" s="1121">
        <f>Application!G727</f>
        <v>7</v>
      </c>
      <c r="C13" s="1122" t="s">
        <v>386</v>
      </c>
      <c r="D13" s="459">
        <f>Application!O727</f>
        <v>1203</v>
      </c>
      <c r="E13" s="460"/>
      <c r="F13" s="1123">
        <v>3132</v>
      </c>
      <c r="G13" s="459">
        <f t="shared" si="2"/>
        <v>21924</v>
      </c>
      <c r="H13" s="460"/>
      <c r="I13" s="459">
        <f t="shared" si="0"/>
        <v>1929</v>
      </c>
      <c r="J13" s="459">
        <f t="shared" si="1"/>
        <v>13503</v>
      </c>
      <c r="K13" s="218"/>
      <c r="L13" s="328"/>
    </row>
    <row r="14" spans="1:12">
      <c r="A14" s="459" t="str">
        <f>Application!B728</f>
        <v>2 Bedrooms</v>
      </c>
      <c r="B14" s="1121">
        <f>Application!G728</f>
        <v>10</v>
      </c>
      <c r="C14" s="1122" t="s">
        <v>386</v>
      </c>
      <c r="D14" s="459">
        <f>Application!O728</f>
        <v>1203</v>
      </c>
      <c r="E14" s="460"/>
      <c r="F14" s="1123">
        <v>3132</v>
      </c>
      <c r="G14" s="459">
        <f t="shared" si="2"/>
        <v>31320</v>
      </c>
      <c r="H14" s="460"/>
      <c r="I14" s="459">
        <f t="shared" si="0"/>
        <v>1929</v>
      </c>
      <c r="J14" s="459">
        <f t="shared" si="1"/>
        <v>19290</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t="str">
        <f>Application!B730</f>
        <v>3 Bedrooms</v>
      </c>
      <c r="B16" s="1121">
        <f>Application!G730</f>
        <v>8</v>
      </c>
      <c r="C16" s="1122" t="s">
        <v>386</v>
      </c>
      <c r="D16" s="459">
        <f>Application!O730</f>
        <v>1391</v>
      </c>
      <c r="E16" s="460"/>
      <c r="F16" s="1123">
        <v>4011</v>
      </c>
      <c r="G16" s="459">
        <f t="shared" si="2"/>
        <v>32088</v>
      </c>
      <c r="H16" s="460"/>
      <c r="I16" s="459">
        <f t="shared" si="0"/>
        <v>2620</v>
      </c>
      <c r="J16" s="459">
        <f t="shared" si="1"/>
        <v>20960</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932</v>
      </c>
      <c r="B40" s="462"/>
      <c r="C40" s="462"/>
      <c r="D40" s="463">
        <f>Application!O753</f>
        <v>234912</v>
      </c>
      <c r="E40" s="460"/>
      <c r="F40" s="460"/>
      <c r="G40" s="463">
        <f>SUM(G4:G38)*12</f>
        <v>2338128</v>
      </c>
      <c r="H40" s="464"/>
      <c r="I40" s="462"/>
      <c r="J40" s="463">
        <f>SUM(J4:J38)*12</f>
        <v>1283040</v>
      </c>
      <c r="K40" s="218"/>
      <c r="L40" s="329"/>
    </row>
    <row r="41" spans="1:12" ht="15">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2419</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19" workbookViewId="0">
      <selection activeCell="C55" sqref="C55"/>
    </sheetView>
  </sheetViews>
  <sheetFormatPr defaultColWidth="0" defaultRowHeight="12.75" zeroHeight="1"/>
  <cols>
    <col min="1" max="1" width="3.7109375" customWidth="1"/>
    <col min="2" max="2" width="17.42578125" bestFit="1" customWidth="1"/>
    <col min="3" max="3" width="16.5703125" style="229" customWidth="1"/>
    <col min="4" max="4" width="2.7109375" customWidth="1"/>
    <col min="5" max="5" width="11.28515625" bestFit="1" customWidth="1"/>
    <col min="6" max="6" width="3" bestFit="1" customWidth="1"/>
    <col min="7" max="7" width="11.28515625" bestFit="1" customWidth="1"/>
    <col min="8" max="8" width="3" bestFit="1" customWidth="1"/>
    <col min="9" max="9" width="11.28515625" bestFit="1" customWidth="1"/>
    <col min="10" max="10" width="3" bestFit="1" customWidth="1"/>
    <col min="11" max="11" width="11.28515625" bestFit="1" customWidth="1"/>
    <col min="12" max="12" width="3" bestFit="1" customWidth="1"/>
    <col min="13" max="13" width="11.28515625" bestFit="1" customWidth="1"/>
    <col min="14" max="14" width="3" bestFit="1" customWidth="1"/>
    <col min="15" max="15" width="11.28515625" bestFit="1" customWidth="1"/>
    <col min="16" max="16" width="3" bestFit="1" customWidth="1"/>
    <col min="17" max="17" width="11.28515625" bestFit="1" customWidth="1"/>
    <col min="18" max="18" width="3" bestFit="1" customWidth="1"/>
    <col min="19" max="19" width="11.28515625" bestFit="1" customWidth="1"/>
    <col min="20" max="20" width="3" bestFit="1" customWidth="1"/>
    <col min="21" max="21" width="11.28515625" bestFit="1" customWidth="1"/>
    <col min="22" max="22" width="3" bestFit="1" customWidth="1"/>
    <col min="23" max="23" width="11.28515625" bestFit="1" customWidth="1"/>
    <col min="24" max="24" width="3" bestFit="1" customWidth="1"/>
    <col min="25" max="25" width="11.28515625" bestFit="1" customWidth="1"/>
    <col min="26" max="26" width="3" bestFit="1" customWidth="1"/>
    <col min="27" max="27" width="11.28515625" bestFit="1" customWidth="1"/>
    <col min="28" max="28" width="3" bestFit="1" customWidth="1"/>
    <col min="29" max="29" width="11.28515625" bestFit="1" customWidth="1"/>
    <col min="30" max="30" width="3" bestFit="1" customWidth="1"/>
    <col min="31" max="31" width="11.28515625" bestFit="1" customWidth="1"/>
    <col min="32" max="32" width="3" bestFit="1" customWidth="1"/>
    <col min="33" max="33" width="11.28515625" bestFit="1" customWidth="1"/>
    <col min="34" max="35" width="0" hidden="1" customWidth="1"/>
    <col min="36" max="16384" width="8.85546875" hidden="1"/>
  </cols>
  <sheetData>
    <row r="1" spans="1:33" ht="18">
      <c r="A1" s="226" t="s">
        <v>2410</v>
      </c>
      <c r="B1" s="226"/>
    </row>
    <row r="2" spans="1:33"/>
    <row r="3" spans="1:33" ht="15.7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row>
    <row r="4" spans="1:33" s="235" customFormat="1" ht="14.25">
      <c r="A4" s="235" t="s">
        <v>848</v>
      </c>
      <c r="C4" s="253">
        <v>1.0249999999999999</v>
      </c>
      <c r="E4" s="235">
        <f>Application!Y801</f>
        <v>2818944</v>
      </c>
      <c r="G4" s="235">
        <f>E4*$C$4</f>
        <v>2889417.5999999996</v>
      </c>
      <c r="I4" s="235">
        <f>G4*$C$4</f>
        <v>2961653.0399999996</v>
      </c>
      <c r="K4" s="235">
        <f>I4*$C$4</f>
        <v>3035694.3659999995</v>
      </c>
      <c r="M4" s="235">
        <f>K4*$C$4</f>
        <v>3111586.7251499994</v>
      </c>
      <c r="O4" s="235">
        <f>M4*$C$4</f>
        <v>3189376.3932787492</v>
      </c>
      <c r="Q4" s="235">
        <f>O4*$C$4</f>
        <v>3269110.8031107178</v>
      </c>
      <c r="S4" s="235">
        <f>Q4*$C$4</f>
        <v>3350838.5731884856</v>
      </c>
      <c r="U4" s="235">
        <f>S4*$C$4</f>
        <v>3434609.5375181972</v>
      </c>
      <c r="W4" s="235">
        <f>U4*$C$4</f>
        <v>3520474.775956152</v>
      </c>
      <c r="Y4" s="235">
        <f>W4*$C$4</f>
        <v>3608486.6453550556</v>
      </c>
      <c r="AA4" s="235">
        <f>Y4*$C$4</f>
        <v>3698698.8114889315</v>
      </c>
      <c r="AC4" s="235">
        <f>AA4*$C$4</f>
        <v>3791166.2817761544</v>
      </c>
      <c r="AE4" s="235">
        <f>AC4*$C$4</f>
        <v>3885945.4388205581</v>
      </c>
      <c r="AG4" s="235">
        <f>AE4*$C$4</f>
        <v>3983094.0747910719</v>
      </c>
    </row>
    <row r="5" spans="1:33" s="225" customFormat="1" ht="14.25">
      <c r="B5" s="225" t="s">
        <v>849</v>
      </c>
      <c r="C5" s="254">
        <f>IF(Application!$D$211="Special Needs",0.1,0.05)</f>
        <v>0.05</v>
      </c>
      <c r="E5" s="237">
        <f>-E4*$C$5</f>
        <v>-140947.20000000001</v>
      </c>
      <c r="F5" s="237"/>
      <c r="G5" s="237">
        <f>-G4*$C$5</f>
        <v>-144470.87999999998</v>
      </c>
      <c r="H5" s="237"/>
      <c r="I5" s="237">
        <f>-I4*$C$5</f>
        <v>-148082.65199999997</v>
      </c>
      <c r="J5" s="237"/>
      <c r="K5" s="237">
        <f>-K4*$C$5</f>
        <v>-151784.71829999998</v>
      </c>
      <c r="L5" s="237"/>
      <c r="M5" s="237">
        <f>-M4*$C$5</f>
        <v>-155579.33625749996</v>
      </c>
      <c r="N5" s="237"/>
      <c r="O5" s="237">
        <f>-O4*$C$5</f>
        <v>-159468.81966393747</v>
      </c>
      <c r="P5" s="237"/>
      <c r="Q5" s="237">
        <f>-Q4*$C$5</f>
        <v>-163455.54015553591</v>
      </c>
      <c r="R5" s="237"/>
      <c r="S5" s="237">
        <f>-S4*$C$5</f>
        <v>-167541.9286594243</v>
      </c>
      <c r="T5" s="237"/>
      <c r="U5" s="237">
        <f>-U4*$C$5</f>
        <v>-171730.47687590987</v>
      </c>
      <c r="V5" s="237"/>
      <c r="W5" s="237">
        <f>-W4*$C$5</f>
        <v>-176023.7387978076</v>
      </c>
      <c r="X5" s="237"/>
      <c r="Y5" s="237">
        <f>-Y4*$C$5</f>
        <v>-180424.33226775279</v>
      </c>
      <c r="Z5" s="237"/>
      <c r="AA5" s="237">
        <f>-AA4*$C$5</f>
        <v>-184934.94057444658</v>
      </c>
      <c r="AB5" s="237"/>
      <c r="AC5" s="237">
        <f>-AC4*$C$5</f>
        <v>-189558.31408880773</v>
      </c>
      <c r="AD5" s="237"/>
      <c r="AE5" s="237">
        <f>-AE4*$C$5</f>
        <v>-194297.27194102792</v>
      </c>
      <c r="AF5" s="237"/>
      <c r="AG5" s="237">
        <f>-AG4*$C$5</f>
        <v>-199154.7037395536</v>
      </c>
    </row>
    <row r="6" spans="1:33" s="225" customFormat="1" ht="14.25">
      <c r="A6" s="225" t="s">
        <v>847</v>
      </c>
      <c r="C6" s="253">
        <v>1.0249999999999999</v>
      </c>
      <c r="E6" s="238">
        <f>Application!Z809</f>
        <v>1283040</v>
      </c>
      <c r="F6" s="238"/>
      <c r="G6" s="238">
        <f>E6*$C$6</f>
        <v>1315116</v>
      </c>
      <c r="H6" s="238"/>
      <c r="I6" s="238">
        <f>G6*$C$6</f>
        <v>1347993.9</v>
      </c>
      <c r="J6" s="238"/>
      <c r="K6" s="238">
        <f>I6*$C$6</f>
        <v>1381693.7474999998</v>
      </c>
      <c r="L6" s="238"/>
      <c r="M6" s="238">
        <f>K6*$C$6</f>
        <v>1416236.0911874997</v>
      </c>
      <c r="N6" s="238"/>
      <c r="O6" s="238">
        <f>M6*$C$6</f>
        <v>1451641.993467187</v>
      </c>
      <c r="P6" s="238"/>
      <c r="Q6" s="238">
        <f>O6*$C$6</f>
        <v>1487933.0433038666</v>
      </c>
      <c r="R6" s="238"/>
      <c r="S6" s="238">
        <f>Q6*$C$6</f>
        <v>1525131.3693864632</v>
      </c>
      <c r="T6" s="238"/>
      <c r="U6" s="238">
        <f>S6*$C$6</f>
        <v>1563259.6536211246</v>
      </c>
      <c r="V6" s="238"/>
      <c r="W6" s="238">
        <f>U6*$C$6</f>
        <v>1602341.1449616526</v>
      </c>
      <c r="X6" s="238"/>
      <c r="Y6" s="238">
        <f>W6*$C$6</f>
        <v>1642399.6735856938</v>
      </c>
      <c r="Z6" s="238"/>
      <c r="AA6" s="238">
        <f>Y6*$C$6</f>
        <v>1683459.665425336</v>
      </c>
      <c r="AB6" s="238"/>
      <c r="AC6" s="238">
        <f>AA6*$C$6</f>
        <v>1725546.1570609692</v>
      </c>
      <c r="AD6" s="238"/>
      <c r="AE6" s="238">
        <f>AC6*$C$6</f>
        <v>1768684.8109874933</v>
      </c>
      <c r="AF6" s="238"/>
      <c r="AG6" s="238">
        <f>AE6*$C$6</f>
        <v>1812901.9312621804</v>
      </c>
    </row>
    <row r="7" spans="1:33" s="225" customFormat="1" ht="14.25">
      <c r="B7" s="225" t="s">
        <v>849</v>
      </c>
      <c r="C7" s="254">
        <f>IF(Application!$D$211="Special Needs",0.1,0.05)</f>
        <v>0.05</v>
      </c>
      <c r="E7" s="237">
        <f>-E6*$C$7</f>
        <v>-64152</v>
      </c>
      <c r="F7" s="237"/>
      <c r="G7" s="237">
        <f>-G6*$C$7</f>
        <v>-65755.8</v>
      </c>
      <c r="H7" s="237"/>
      <c r="I7" s="237">
        <f>-I6*$C$7</f>
        <v>-67399.694999999992</v>
      </c>
      <c r="J7" s="237"/>
      <c r="K7" s="237">
        <f>-K6*$C$7</f>
        <v>-69084.687374999994</v>
      </c>
      <c r="L7" s="237"/>
      <c r="M7" s="237">
        <f>-M6*$C$7</f>
        <v>-70811.804559374985</v>
      </c>
      <c r="N7" s="237"/>
      <c r="O7" s="237">
        <f>-O6*$C$7</f>
        <v>-72582.099673359349</v>
      </c>
      <c r="P7" s="237"/>
      <c r="Q7" s="237">
        <f>-Q6*$C$7</f>
        <v>-74396.652165193329</v>
      </c>
      <c r="R7" s="237"/>
      <c r="S7" s="237">
        <f>-S6*$C$7</f>
        <v>-76256.56846932316</v>
      </c>
      <c r="T7" s="237"/>
      <c r="U7" s="237">
        <f>-U6*$C$7</f>
        <v>-78162.982681056237</v>
      </c>
      <c r="V7" s="237"/>
      <c r="W7" s="237">
        <f>-W6*$C$7</f>
        <v>-80117.057248082638</v>
      </c>
      <c r="X7" s="237"/>
      <c r="Y7" s="237">
        <f>-Y6*$C$7</f>
        <v>-82119.983679284691</v>
      </c>
      <c r="Z7" s="237"/>
      <c r="AA7" s="237">
        <f>-AA6*$C$7</f>
        <v>-84172.983271266799</v>
      </c>
      <c r="AB7" s="237"/>
      <c r="AC7" s="237">
        <f>-AC6*$C$7</f>
        <v>-86277.307853048464</v>
      </c>
      <c r="AD7" s="237"/>
      <c r="AE7" s="237">
        <f>-AE6*$C$7</f>
        <v>-88434.240549374663</v>
      </c>
      <c r="AF7" s="237"/>
      <c r="AG7" s="237">
        <f>-AG6*$C$7</f>
        <v>-90645.096563109022</v>
      </c>
    </row>
    <row r="8" spans="1:33" s="225" customFormat="1" ht="14.25">
      <c r="A8" s="225" t="s">
        <v>289</v>
      </c>
      <c r="C8" s="253">
        <v>1.0249999999999999</v>
      </c>
      <c r="E8" s="238">
        <f>Application!Z817</f>
        <v>38400</v>
      </c>
      <c r="F8" s="238"/>
      <c r="G8" s="238">
        <f>E8*$C$8</f>
        <v>39360</v>
      </c>
      <c r="H8" s="238"/>
      <c r="I8" s="238">
        <f>G8*$C$8</f>
        <v>40344</v>
      </c>
      <c r="J8" s="238"/>
      <c r="K8" s="238">
        <f>I8*$C$8</f>
        <v>41352.6</v>
      </c>
      <c r="L8" s="238"/>
      <c r="M8" s="238">
        <f>K8*$C$8</f>
        <v>42386.414999999994</v>
      </c>
      <c r="N8" s="238"/>
      <c r="O8" s="238">
        <f>M8*$C$8</f>
        <v>43446.075374999993</v>
      </c>
      <c r="P8" s="238"/>
      <c r="Q8" s="238">
        <f>O8*$C$8</f>
        <v>44532.227259374988</v>
      </c>
      <c r="R8" s="238"/>
      <c r="S8" s="238">
        <f>Q8*$C$8</f>
        <v>45645.532940859361</v>
      </c>
      <c r="T8" s="238"/>
      <c r="U8" s="238">
        <f>S8*$C$8</f>
        <v>46786.671264380842</v>
      </c>
      <c r="V8" s="238"/>
      <c r="W8" s="238">
        <f>U8*$C$8</f>
        <v>47956.338045990356</v>
      </c>
      <c r="X8" s="238"/>
      <c r="Y8" s="238">
        <f>W8*$C$8</f>
        <v>49155.246497140113</v>
      </c>
      <c r="Z8" s="238"/>
      <c r="AA8" s="238">
        <f>Y8*$C$8</f>
        <v>50384.127659568614</v>
      </c>
      <c r="AB8" s="238"/>
      <c r="AC8" s="238">
        <f>AA8*$C$8</f>
        <v>51643.730851057822</v>
      </c>
      <c r="AD8" s="238"/>
      <c r="AE8" s="238">
        <f>AC8*$C$8</f>
        <v>52934.824122334263</v>
      </c>
      <c r="AF8" s="238"/>
      <c r="AG8" s="238">
        <f>AE8*$C$8</f>
        <v>54258.194725392612</v>
      </c>
    </row>
    <row r="9" spans="1:33" s="225" customFormat="1" ht="14.25">
      <c r="B9" s="225" t="s">
        <v>849</v>
      </c>
      <c r="C9" s="254">
        <f>IF(Application!$D$211="Special Needs",0.1,0.05)</f>
        <v>0.05</v>
      </c>
      <c r="E9" s="237">
        <f>-E8*$C$9</f>
        <v>-1920</v>
      </c>
      <c r="F9" s="237"/>
      <c r="G9" s="237">
        <f>-G8*$C$9</f>
        <v>-1968</v>
      </c>
      <c r="H9" s="237"/>
      <c r="I9" s="237">
        <f>-I8*$C$9</f>
        <v>-2017.2</v>
      </c>
      <c r="J9" s="237"/>
      <c r="K9" s="237">
        <f>-K8*$C$9</f>
        <v>-2067.63</v>
      </c>
      <c r="L9" s="237"/>
      <c r="M9" s="237">
        <f>-M8*$C$9</f>
        <v>-2119.3207499999999</v>
      </c>
      <c r="N9" s="237"/>
      <c r="O9" s="237">
        <f>-O8*$C$9</f>
        <v>-2172.3037687499996</v>
      </c>
      <c r="P9" s="237"/>
      <c r="Q9" s="237">
        <f>-Q8*$C$9</f>
        <v>-2226.6113629687493</v>
      </c>
      <c r="R9" s="237"/>
      <c r="S9" s="237">
        <f>-S8*$C$9</f>
        <v>-2282.2766470429683</v>
      </c>
      <c r="T9" s="237"/>
      <c r="U9" s="237">
        <f>-U8*$C$9</f>
        <v>-2339.3335632190424</v>
      </c>
      <c r="V9" s="237"/>
      <c r="W9" s="237">
        <f>-W8*$C$9</f>
        <v>-2397.816902299518</v>
      </c>
      <c r="X9" s="237"/>
      <c r="Y9" s="237">
        <f>-Y8*$C$9</f>
        <v>-2457.7623248570058</v>
      </c>
      <c r="Z9" s="237"/>
      <c r="AA9" s="237">
        <f>-AA8*$C$9</f>
        <v>-2519.2063829784311</v>
      </c>
      <c r="AB9" s="237"/>
      <c r="AC9" s="237">
        <f>-AC8*$C$9</f>
        <v>-2582.1865425528913</v>
      </c>
      <c r="AD9" s="237"/>
      <c r="AE9" s="237">
        <f>-AE8*$C$9</f>
        <v>-2646.7412061167133</v>
      </c>
      <c r="AF9" s="237"/>
      <c r="AG9" s="237">
        <f>-AG8*$C$9</f>
        <v>-2712.9097362696307</v>
      </c>
    </row>
    <row r="10" spans="1:33" s="225" customFormat="1" ht="14.25">
      <c r="A10" s="1187" t="s">
        <v>2633</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3" s="239" customFormat="1" ht="15">
      <c r="A11" s="239" t="s">
        <v>870</v>
      </c>
      <c r="C11" s="231"/>
      <c r="E11" s="239">
        <f>SUM(E4:E10)</f>
        <v>3933364.8</v>
      </c>
      <c r="G11" s="239">
        <f>SUM(G4:G10)</f>
        <v>4031698.92</v>
      </c>
      <c r="I11" s="239">
        <f>SUM(I4:I10)</f>
        <v>4132491.3929999997</v>
      </c>
      <c r="K11" s="239">
        <f>SUM(K4:K10)</f>
        <v>4235803.6778249992</v>
      </c>
      <c r="M11" s="239">
        <f>SUM(M4:M10)</f>
        <v>4341698.7697706241</v>
      </c>
      <c r="O11" s="239">
        <f>SUM(O4:O10)</f>
        <v>4450241.2390148891</v>
      </c>
      <c r="Q11" s="239">
        <f>SUM(Q4:Q10)</f>
        <v>4561497.2699902616</v>
      </c>
      <c r="S11" s="239">
        <f>SUM(S4:S10)</f>
        <v>4675534.7017400172</v>
      </c>
      <c r="U11" s="239">
        <f>SUM(U4:U10)</f>
        <v>4792423.0692835171</v>
      </c>
      <c r="W11" s="239">
        <f>SUM(W4:W10)</f>
        <v>4912233.646015605</v>
      </c>
      <c r="Y11" s="239">
        <f>SUM(Y4:Y10)</f>
        <v>5035039.4871659959</v>
      </c>
      <c r="AA11" s="239">
        <f>SUM(AA4:AA10)</f>
        <v>5160915.4743451439</v>
      </c>
      <c r="AC11" s="239">
        <f>SUM(AC4:AC10)</f>
        <v>5289938.361203772</v>
      </c>
      <c r="AE11" s="239">
        <f>SUM(AE4:AE10)</f>
        <v>5422186.8202338656</v>
      </c>
      <c r="AG11" s="239">
        <f>SUM(AG4:AG10)</f>
        <v>5557741.4907397116</v>
      </c>
    </row>
    <row r="12" spans="1:33">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3" ht="15.7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3" s="225" customFormat="1" ht="14.25">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3" s="235" customFormat="1" ht="14.25">
      <c r="A15" s="235" t="s">
        <v>852</v>
      </c>
      <c r="C15" s="185"/>
      <c r="E15" s="235">
        <f>Application!W847</f>
        <v>119200</v>
      </c>
      <c r="G15" s="235">
        <f>E15*$C$14</f>
        <v>123371.99999999999</v>
      </c>
      <c r="I15" s="235">
        <f>G15*$C$14</f>
        <v>127690.01999999997</v>
      </c>
      <c r="K15" s="235">
        <f>I15*$C$14</f>
        <v>132159.17069999996</v>
      </c>
      <c r="M15" s="235">
        <f>K15*$C$14</f>
        <v>136784.74167449994</v>
      </c>
      <c r="O15" s="235">
        <f>M15*$C$14</f>
        <v>141572.20763310743</v>
      </c>
      <c r="Q15" s="235">
        <f>O15*$C$14</f>
        <v>146527.23490026619</v>
      </c>
      <c r="S15" s="235">
        <f>Q15*$C$14</f>
        <v>151655.68812177549</v>
      </c>
      <c r="U15" s="235">
        <f>S15*$C$14</f>
        <v>156963.63720603762</v>
      </c>
      <c r="W15" s="235">
        <f>U15*$C$14</f>
        <v>162457.36450824892</v>
      </c>
      <c r="Y15" s="235">
        <f>W15*$C$14</f>
        <v>168143.37226603762</v>
      </c>
      <c r="AA15" s="235">
        <f>Y15*$C$14</f>
        <v>174028.39029534892</v>
      </c>
      <c r="AC15" s="235">
        <f>AA15*$C$14</f>
        <v>180119.38395568612</v>
      </c>
      <c r="AE15" s="235">
        <f>AC15*$C$14</f>
        <v>186423.56239413511</v>
      </c>
      <c r="AG15" s="235">
        <f>AE15*$C$14</f>
        <v>192948.38707792983</v>
      </c>
    </row>
    <row r="16" spans="1:33" s="225" customFormat="1" ht="14.25">
      <c r="A16" s="225" t="s">
        <v>345</v>
      </c>
      <c r="C16" s="249"/>
      <c r="E16" s="238">
        <f>Application!W849</f>
        <v>157334.592</v>
      </c>
      <c r="F16" s="238"/>
      <c r="G16" s="238">
        <f t="shared" ref="G16:AG21" si="0">E16*$C$14</f>
        <v>162841.30271999998</v>
      </c>
      <c r="H16" s="238"/>
      <c r="I16" s="238">
        <f t="shared" si="0"/>
        <v>168540.74831519998</v>
      </c>
      <c r="J16" s="238"/>
      <c r="K16" s="238">
        <f t="shared" si="0"/>
        <v>174439.67450623197</v>
      </c>
      <c r="L16" s="238"/>
      <c r="M16" s="238">
        <f t="shared" si="0"/>
        <v>180545.06311395008</v>
      </c>
      <c r="N16" s="238"/>
      <c r="O16" s="238">
        <f t="shared" si="0"/>
        <v>186864.14032293833</v>
      </c>
      <c r="P16" s="238"/>
      <c r="Q16" s="238">
        <f t="shared" si="0"/>
        <v>193404.38523424114</v>
      </c>
      <c r="R16" s="238"/>
      <c r="S16" s="238">
        <f t="shared" si="0"/>
        <v>200173.53871743957</v>
      </c>
      <c r="T16" s="238"/>
      <c r="U16" s="238">
        <f t="shared" si="0"/>
        <v>207179.61257254993</v>
      </c>
      <c r="V16" s="238"/>
      <c r="W16" s="238">
        <f t="shared" si="0"/>
        <v>214430.89901258916</v>
      </c>
      <c r="X16" s="238"/>
      <c r="Y16" s="238">
        <f t="shared" si="0"/>
        <v>221935.98047802976</v>
      </c>
      <c r="Z16" s="238"/>
      <c r="AA16" s="238">
        <f t="shared" si="0"/>
        <v>229703.73979476077</v>
      </c>
      <c r="AB16" s="238"/>
      <c r="AC16" s="238">
        <f t="shared" si="0"/>
        <v>237743.37068757738</v>
      </c>
      <c r="AD16" s="238"/>
      <c r="AE16" s="238">
        <f t="shared" si="0"/>
        <v>246064.38866164256</v>
      </c>
      <c r="AF16" s="238"/>
      <c r="AG16" s="238">
        <f t="shared" si="0"/>
        <v>254676.64226480003</v>
      </c>
    </row>
    <row r="17" spans="1:33" s="225" customFormat="1" ht="14.25">
      <c r="A17" s="225" t="s">
        <v>569</v>
      </c>
      <c r="C17" s="249"/>
      <c r="E17" s="238">
        <f>Application!W855</f>
        <v>264000</v>
      </c>
      <c r="F17" s="238"/>
      <c r="G17" s="238">
        <f t="shared" si="0"/>
        <v>273240</v>
      </c>
      <c r="H17" s="238"/>
      <c r="I17" s="238">
        <f t="shared" si="0"/>
        <v>282803.39999999997</v>
      </c>
      <c r="J17" s="238"/>
      <c r="K17" s="238">
        <f t="shared" si="0"/>
        <v>292701.51899999991</v>
      </c>
      <c r="L17" s="238"/>
      <c r="M17" s="238">
        <f t="shared" si="0"/>
        <v>302946.0721649999</v>
      </c>
      <c r="N17" s="238"/>
      <c r="O17" s="238">
        <f t="shared" si="0"/>
        <v>313549.18469077488</v>
      </c>
      <c r="P17" s="238"/>
      <c r="Q17" s="238">
        <f t="shared" si="0"/>
        <v>324523.40615495195</v>
      </c>
      <c r="R17" s="238"/>
      <c r="S17" s="238">
        <f t="shared" si="0"/>
        <v>335881.72537037526</v>
      </c>
      <c r="T17" s="238"/>
      <c r="U17" s="238">
        <f t="shared" si="0"/>
        <v>347637.58575833839</v>
      </c>
      <c r="V17" s="238"/>
      <c r="W17" s="238">
        <f t="shared" si="0"/>
        <v>359804.90125988022</v>
      </c>
      <c r="X17" s="238"/>
      <c r="Y17" s="238">
        <f t="shared" si="0"/>
        <v>372398.07280397601</v>
      </c>
      <c r="Z17" s="238"/>
      <c r="AA17" s="238">
        <f t="shared" si="0"/>
        <v>385432.00535211514</v>
      </c>
      <c r="AB17" s="238"/>
      <c r="AC17" s="238">
        <f t="shared" si="0"/>
        <v>398922.12553943915</v>
      </c>
      <c r="AD17" s="238"/>
      <c r="AE17" s="238">
        <f t="shared" si="0"/>
        <v>412884.39993331948</v>
      </c>
      <c r="AF17" s="238"/>
      <c r="AG17" s="238">
        <f t="shared" si="0"/>
        <v>427335.35393098561</v>
      </c>
    </row>
    <row r="18" spans="1:33" s="225" customFormat="1" ht="14.25">
      <c r="A18" s="225" t="s">
        <v>853</v>
      </c>
      <c r="C18" s="249"/>
      <c r="E18" s="238">
        <f>Application!W862</f>
        <v>424000</v>
      </c>
      <c r="F18" s="238"/>
      <c r="G18" s="238">
        <f t="shared" si="0"/>
        <v>438839.99999999994</v>
      </c>
      <c r="H18" s="238"/>
      <c r="I18" s="238">
        <f t="shared" si="0"/>
        <v>454199.39999999991</v>
      </c>
      <c r="J18" s="238"/>
      <c r="K18" s="238">
        <f t="shared" si="0"/>
        <v>470096.37899999984</v>
      </c>
      <c r="L18" s="238"/>
      <c r="M18" s="238">
        <f t="shared" si="0"/>
        <v>486549.75226499978</v>
      </c>
      <c r="N18" s="238"/>
      <c r="O18" s="238">
        <f t="shared" si="0"/>
        <v>503578.99359427474</v>
      </c>
      <c r="P18" s="238"/>
      <c r="Q18" s="238">
        <f t="shared" si="0"/>
        <v>521204.25837007433</v>
      </c>
      <c r="R18" s="238"/>
      <c r="S18" s="238">
        <f t="shared" si="0"/>
        <v>539446.4074130269</v>
      </c>
      <c r="T18" s="238"/>
      <c r="U18" s="238">
        <f t="shared" si="0"/>
        <v>558327.03167248284</v>
      </c>
      <c r="V18" s="238"/>
      <c r="W18" s="238">
        <f t="shared" si="0"/>
        <v>577868.47778101976</v>
      </c>
      <c r="X18" s="238"/>
      <c r="Y18" s="238">
        <f t="shared" si="0"/>
        <v>598093.87450335536</v>
      </c>
      <c r="Z18" s="238"/>
      <c r="AA18" s="238">
        <f t="shared" si="0"/>
        <v>619027.16011097271</v>
      </c>
      <c r="AB18" s="238"/>
      <c r="AC18" s="238">
        <f t="shared" si="0"/>
        <v>640693.11071485665</v>
      </c>
      <c r="AD18" s="238"/>
      <c r="AE18" s="238">
        <f t="shared" si="0"/>
        <v>663117.36958987662</v>
      </c>
      <c r="AF18" s="238"/>
      <c r="AG18" s="238">
        <f t="shared" si="0"/>
        <v>686326.47752552223</v>
      </c>
    </row>
    <row r="19" spans="1:33" s="225" customFormat="1" ht="14.25">
      <c r="A19" s="225" t="s">
        <v>155</v>
      </c>
      <c r="C19" s="249"/>
      <c r="E19" s="238">
        <f>Application!W863</f>
        <v>80000</v>
      </c>
      <c r="F19" s="238"/>
      <c r="G19" s="238">
        <f t="shared" si="0"/>
        <v>82800</v>
      </c>
      <c r="H19" s="238"/>
      <c r="I19" s="238">
        <f t="shared" si="0"/>
        <v>85698</v>
      </c>
      <c r="J19" s="238"/>
      <c r="K19" s="238">
        <f t="shared" si="0"/>
        <v>88697.43</v>
      </c>
      <c r="L19" s="238"/>
      <c r="M19" s="238">
        <f t="shared" si="0"/>
        <v>91801.840049999984</v>
      </c>
      <c r="N19" s="238"/>
      <c r="O19" s="238">
        <f t="shared" si="0"/>
        <v>95014.904451749971</v>
      </c>
      <c r="P19" s="238"/>
      <c r="Q19" s="238">
        <f t="shared" si="0"/>
        <v>98340.426107561216</v>
      </c>
      <c r="R19" s="238"/>
      <c r="S19" s="238">
        <f t="shared" si="0"/>
        <v>101782.34102132585</v>
      </c>
      <c r="T19" s="238"/>
      <c r="U19" s="238">
        <f t="shared" si="0"/>
        <v>105344.72295707224</v>
      </c>
      <c r="V19" s="238"/>
      <c r="W19" s="238">
        <f t="shared" si="0"/>
        <v>109031.78826056977</v>
      </c>
      <c r="X19" s="238"/>
      <c r="Y19" s="238">
        <f t="shared" si="0"/>
        <v>112847.9008496897</v>
      </c>
      <c r="Z19" s="238"/>
      <c r="AA19" s="238">
        <f t="shared" si="0"/>
        <v>116797.57737942883</v>
      </c>
      <c r="AB19" s="238"/>
      <c r="AC19" s="238">
        <f t="shared" si="0"/>
        <v>120885.49258770882</v>
      </c>
      <c r="AD19" s="238"/>
      <c r="AE19" s="238">
        <f t="shared" si="0"/>
        <v>125116.48482827863</v>
      </c>
      <c r="AF19" s="238"/>
      <c r="AG19" s="238">
        <f t="shared" si="0"/>
        <v>129495.56179726837</v>
      </c>
    </row>
    <row r="20" spans="1:33" s="225" customFormat="1" ht="14.25">
      <c r="A20" s="225" t="s">
        <v>391</v>
      </c>
      <c r="C20" s="249"/>
      <c r="E20" s="238">
        <f>Application!W872</f>
        <v>259200</v>
      </c>
      <c r="F20" s="238"/>
      <c r="G20" s="238">
        <f t="shared" si="0"/>
        <v>268272</v>
      </c>
      <c r="H20" s="238"/>
      <c r="I20" s="238">
        <f t="shared" si="0"/>
        <v>277661.51999999996</v>
      </c>
      <c r="J20" s="238"/>
      <c r="K20" s="238">
        <f t="shared" si="0"/>
        <v>287379.67319999996</v>
      </c>
      <c r="L20" s="238"/>
      <c r="M20" s="238">
        <f t="shared" si="0"/>
        <v>297437.96176199993</v>
      </c>
      <c r="N20" s="238"/>
      <c r="O20" s="238">
        <f t="shared" si="0"/>
        <v>307848.29042366991</v>
      </c>
      <c r="P20" s="238"/>
      <c r="Q20" s="238">
        <f t="shared" si="0"/>
        <v>318622.98058849835</v>
      </c>
      <c r="R20" s="238"/>
      <c r="S20" s="238">
        <f t="shared" si="0"/>
        <v>329774.78490909579</v>
      </c>
      <c r="T20" s="238"/>
      <c r="U20" s="238">
        <f t="shared" si="0"/>
        <v>341316.90238091414</v>
      </c>
      <c r="V20" s="238"/>
      <c r="W20" s="238">
        <f t="shared" si="0"/>
        <v>353262.99396424612</v>
      </c>
      <c r="X20" s="238"/>
      <c r="Y20" s="238">
        <f t="shared" si="0"/>
        <v>365627.19875299471</v>
      </c>
      <c r="Z20" s="238"/>
      <c r="AA20" s="238">
        <f t="shared" si="0"/>
        <v>378424.15070934949</v>
      </c>
      <c r="AB20" s="238"/>
      <c r="AC20" s="238">
        <f t="shared" si="0"/>
        <v>391668.9959841767</v>
      </c>
      <c r="AD20" s="238"/>
      <c r="AE20" s="238">
        <f t="shared" si="0"/>
        <v>405377.41084362287</v>
      </c>
      <c r="AF20" s="238"/>
      <c r="AG20" s="238">
        <f t="shared" si="0"/>
        <v>419565.62022314966</v>
      </c>
    </row>
    <row r="21" spans="1:33" s="225" customFormat="1" ht="14.25">
      <c r="A21" s="242" t="s">
        <v>981</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854</v>
      </c>
      <c r="C22" s="249"/>
      <c r="E22" s="239">
        <f>SUM(E15:E21)</f>
        <v>1303734.5919999999</v>
      </c>
      <c r="G22" s="239">
        <f>SUM(G15:G21)</f>
        <v>1349365.30272</v>
      </c>
      <c r="I22" s="239">
        <f>SUM(I15:I21)</f>
        <v>1396593.0883151998</v>
      </c>
      <c r="K22" s="239">
        <f>SUM(K15:K21)</f>
        <v>1445473.8464062316</v>
      </c>
      <c r="M22" s="239">
        <f>SUM(M15:M21)</f>
        <v>1496065.4310304497</v>
      </c>
      <c r="O22" s="239">
        <f>SUM(O15:O21)</f>
        <v>1548427.7211165151</v>
      </c>
      <c r="Q22" s="239">
        <f>SUM(Q15:Q21)</f>
        <v>1602622.6913555933</v>
      </c>
      <c r="S22" s="239">
        <f>SUM(S15:S21)</f>
        <v>1658714.485553039</v>
      </c>
      <c r="U22" s="239">
        <f>SUM(U15:U21)</f>
        <v>1716769.4925473954</v>
      </c>
      <c r="W22" s="239">
        <f>SUM(W15:W21)</f>
        <v>1776856.4247865537</v>
      </c>
      <c r="Y22" s="239">
        <f>SUM(Y15:Y21)</f>
        <v>1839046.399654083</v>
      </c>
      <c r="AA22" s="239">
        <f>SUM(AA15:AA21)</f>
        <v>1903413.0236419758</v>
      </c>
      <c r="AC22" s="239">
        <f>SUM(AC15:AC21)</f>
        <v>1970032.4794694448</v>
      </c>
      <c r="AE22" s="239">
        <f>SUM(AE15:AE21)</f>
        <v>2038983.6162508752</v>
      </c>
      <c r="AG22" s="239">
        <f>SUM(AG15:AG21)</f>
        <v>2110348.0428196555</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1871</v>
      </c>
      <c r="C24" s="249"/>
      <c r="E24" s="945">
        <v>1</v>
      </c>
      <c r="F24" s="238"/>
      <c r="G24" s="238">
        <f>E24</f>
        <v>1</v>
      </c>
      <c r="H24" s="238"/>
      <c r="I24" s="238">
        <f>G24</f>
        <v>1</v>
      </c>
      <c r="J24" s="238"/>
      <c r="K24" s="238">
        <f t="shared" ref="K24:AG24" si="1">I24</f>
        <v>1</v>
      </c>
      <c r="L24" s="238"/>
      <c r="M24" s="238">
        <f t="shared" si="1"/>
        <v>1</v>
      </c>
      <c r="N24" s="238"/>
      <c r="O24" s="238">
        <f t="shared" si="1"/>
        <v>1</v>
      </c>
      <c r="P24" s="238"/>
      <c r="Q24" s="238">
        <f t="shared" si="1"/>
        <v>1</v>
      </c>
      <c r="R24" s="238"/>
      <c r="S24" s="238">
        <f t="shared" si="1"/>
        <v>1</v>
      </c>
      <c r="T24" s="238"/>
      <c r="U24" s="238">
        <f t="shared" si="1"/>
        <v>1</v>
      </c>
      <c r="V24" s="238"/>
      <c r="W24" s="238">
        <f t="shared" si="1"/>
        <v>1</v>
      </c>
      <c r="X24" s="238"/>
      <c r="Y24" s="238">
        <f t="shared" si="1"/>
        <v>1</v>
      </c>
      <c r="Z24" s="238"/>
      <c r="AA24" s="238">
        <f t="shared" si="1"/>
        <v>1</v>
      </c>
      <c r="AB24" s="238"/>
      <c r="AC24" s="238">
        <f t="shared" si="1"/>
        <v>1</v>
      </c>
      <c r="AD24" s="238"/>
      <c r="AE24" s="238">
        <f t="shared" si="1"/>
        <v>1</v>
      </c>
      <c r="AF24" s="238"/>
      <c r="AG24" s="238">
        <f t="shared" si="1"/>
        <v>1</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856</v>
      </c>
      <c r="C27" s="253">
        <v>1.0349999999999999</v>
      </c>
      <c r="E27" s="238">
        <f>Application!AC888</f>
        <v>144095</v>
      </c>
      <c r="F27" s="238"/>
      <c r="G27" s="238">
        <f>E27*$C$27</f>
        <v>149138.32499999998</v>
      </c>
      <c r="H27" s="238"/>
      <c r="I27" s="238">
        <f>G27*$C$27</f>
        <v>154358.16637499997</v>
      </c>
      <c r="J27" s="238"/>
      <c r="K27" s="238">
        <f>I27*$C$27</f>
        <v>159760.70219812496</v>
      </c>
      <c r="L27" s="238"/>
      <c r="M27" s="238">
        <f>K27*$C$27</f>
        <v>165352.32677505931</v>
      </c>
      <c r="N27" s="238"/>
      <c r="O27" s="238">
        <f>M27*$C$27</f>
        <v>171139.65821218636</v>
      </c>
      <c r="P27" s="238"/>
      <c r="Q27" s="238">
        <f>O27*$C$27</f>
        <v>177129.54624961287</v>
      </c>
      <c r="R27" s="238"/>
      <c r="S27" s="238">
        <f>Q27*$C$27</f>
        <v>183329.0803683493</v>
      </c>
      <c r="T27" s="238"/>
      <c r="U27" s="238">
        <f>S27*$C$27</f>
        <v>189745.59818124151</v>
      </c>
      <c r="V27" s="238"/>
      <c r="W27" s="238">
        <f>U27*$C$27</f>
        <v>196386.69411758496</v>
      </c>
      <c r="X27" s="238"/>
      <c r="Y27" s="238">
        <f>W27*$C$27</f>
        <v>203260.22841170043</v>
      </c>
      <c r="Z27" s="238"/>
      <c r="AA27" s="238">
        <f>Y27*$C$27</f>
        <v>210374.33640610994</v>
      </c>
      <c r="AB27" s="238"/>
      <c r="AC27" s="238">
        <f>AA27*$C$27</f>
        <v>217737.43818032378</v>
      </c>
      <c r="AD27" s="238"/>
      <c r="AE27" s="238">
        <f>AC27*$C$27</f>
        <v>225358.2485166351</v>
      </c>
      <c r="AF27" s="238"/>
      <c r="AG27" s="238">
        <f>AE27*$C$27</f>
        <v>233245.7872147173</v>
      </c>
    </row>
    <row r="28" spans="1:33" s="225" customFormat="1" ht="14.25">
      <c r="A28" s="225" t="s">
        <v>857</v>
      </c>
      <c r="C28" s="253"/>
      <c r="E28" s="238">
        <f>Application!AC889</f>
        <v>56000</v>
      </c>
      <c r="F28" s="238"/>
      <c r="G28" s="238">
        <f>$E$28</f>
        <v>56000</v>
      </c>
      <c r="H28" s="238"/>
      <c r="I28" s="238">
        <f>$E$28</f>
        <v>56000</v>
      </c>
      <c r="J28" s="238"/>
      <c r="K28" s="238">
        <f>$E$28</f>
        <v>56000</v>
      </c>
      <c r="L28" s="238"/>
      <c r="M28" s="238">
        <f>$E$28</f>
        <v>56000</v>
      </c>
      <c r="N28" s="238"/>
      <c r="O28" s="238">
        <f>$E$28</f>
        <v>56000</v>
      </c>
      <c r="P28" s="238"/>
      <c r="Q28" s="238">
        <f>$E$28</f>
        <v>56000</v>
      </c>
      <c r="R28" s="238"/>
      <c r="S28" s="238">
        <f>$E$28</f>
        <v>56000</v>
      </c>
      <c r="T28" s="238"/>
      <c r="U28" s="238">
        <f>$E$28</f>
        <v>56000</v>
      </c>
      <c r="V28" s="238"/>
      <c r="W28" s="238">
        <f>$E$28</f>
        <v>56000</v>
      </c>
      <c r="X28" s="238"/>
      <c r="Y28" s="238">
        <f>$E$28</f>
        <v>56000</v>
      </c>
      <c r="Z28" s="238"/>
      <c r="AA28" s="238">
        <f>$E$28</f>
        <v>56000</v>
      </c>
      <c r="AB28" s="238"/>
      <c r="AC28" s="238">
        <f>$E$28</f>
        <v>56000</v>
      </c>
      <c r="AD28" s="238"/>
      <c r="AE28" s="238">
        <f>$E$28</f>
        <v>56000</v>
      </c>
      <c r="AF28" s="238"/>
      <c r="AG28" s="238">
        <f>$E$28</f>
        <v>56000</v>
      </c>
    </row>
    <row r="29" spans="1:33" s="225" customFormat="1" ht="14.25">
      <c r="A29" s="225" t="s">
        <v>1869</v>
      </c>
      <c r="C29" s="253"/>
      <c r="E29" s="238">
        <f>Application!AC890</f>
        <v>125364</v>
      </c>
      <c r="F29" s="238"/>
      <c r="G29" s="238">
        <f>$E$29</f>
        <v>125364</v>
      </c>
      <c r="H29" s="238"/>
      <c r="I29" s="238">
        <f>$E$29</f>
        <v>125364</v>
      </c>
      <c r="J29" s="238"/>
      <c r="K29" s="238">
        <f>$E$29</f>
        <v>125364</v>
      </c>
      <c r="L29" s="238"/>
      <c r="M29" s="238">
        <f>$E$29</f>
        <v>125364</v>
      </c>
      <c r="N29" s="238"/>
      <c r="O29" s="238">
        <f>$E$29</f>
        <v>125364</v>
      </c>
      <c r="P29" s="238"/>
      <c r="Q29" s="238">
        <f>$E$29</f>
        <v>125364</v>
      </c>
      <c r="R29" s="238"/>
      <c r="S29" s="238">
        <f>$E$29</f>
        <v>125364</v>
      </c>
      <c r="T29" s="238"/>
      <c r="U29" s="238">
        <f>$E$29</f>
        <v>125364</v>
      </c>
      <c r="V29" s="238"/>
      <c r="W29" s="238">
        <f>$E$29</f>
        <v>125364</v>
      </c>
      <c r="X29" s="238"/>
      <c r="Y29" s="238">
        <f>$E$29</f>
        <v>125364</v>
      </c>
      <c r="Z29" s="238"/>
      <c r="AA29" s="238">
        <f>$E$29</f>
        <v>125364</v>
      </c>
      <c r="AB29" s="238"/>
      <c r="AC29" s="238">
        <f>$E$29</f>
        <v>125364</v>
      </c>
      <c r="AD29" s="238"/>
      <c r="AE29" s="238">
        <f>$E$29</f>
        <v>125364</v>
      </c>
      <c r="AF29" s="238"/>
      <c r="AG29" s="238">
        <f>$E$29</f>
        <v>125364</v>
      </c>
    </row>
    <row r="30" spans="1:33" s="225" customFormat="1" ht="14.25">
      <c r="A30" s="225" t="s">
        <v>855</v>
      </c>
      <c r="C30" s="253">
        <v>1.02</v>
      </c>
      <c r="E30" s="238">
        <f>Application!AC891</f>
        <v>5000</v>
      </c>
      <c r="F30" s="238"/>
      <c r="G30" s="238">
        <f>E30*$C$30</f>
        <v>5100</v>
      </c>
      <c r="H30" s="238"/>
      <c r="I30" s="238">
        <f>G30*$C$30</f>
        <v>5202</v>
      </c>
      <c r="J30" s="238"/>
      <c r="K30" s="238">
        <f>I30*$C$30</f>
        <v>5306.04</v>
      </c>
      <c r="L30" s="238"/>
      <c r="M30" s="238">
        <f>K30*$C$30</f>
        <v>5412.1607999999997</v>
      </c>
      <c r="N30" s="238"/>
      <c r="O30" s="238">
        <f>M30*$C$30</f>
        <v>5520.4040159999995</v>
      </c>
      <c r="P30" s="238"/>
      <c r="Q30" s="238">
        <f>O30*$C$30</f>
        <v>5630.8120963199999</v>
      </c>
      <c r="R30" s="238"/>
      <c r="S30" s="238">
        <f>Q30*$C$30</f>
        <v>5743.4283382464</v>
      </c>
      <c r="T30" s="238"/>
      <c r="U30" s="238">
        <f>S30*$C$30</f>
        <v>5858.2969050113279</v>
      </c>
      <c r="V30" s="238"/>
      <c r="W30" s="238">
        <f>U30*$C$30</f>
        <v>5975.4628431115543</v>
      </c>
      <c r="X30" s="238"/>
      <c r="Y30" s="238">
        <f>W30*$C$30</f>
        <v>6094.9720999737856</v>
      </c>
      <c r="Z30" s="238"/>
      <c r="AA30" s="238">
        <f>Y30*$C$30</f>
        <v>6216.8715419732616</v>
      </c>
      <c r="AB30" s="238"/>
      <c r="AC30" s="238">
        <f>AA30*$C$30</f>
        <v>6341.2089728127266</v>
      </c>
      <c r="AD30" s="238"/>
      <c r="AE30" s="238">
        <f>AC30*$C$30</f>
        <v>6468.0331522689812</v>
      </c>
      <c r="AF30" s="238"/>
      <c r="AG30" s="238">
        <f>AE30*$C$30</f>
        <v>6597.3938153143608</v>
      </c>
    </row>
    <row r="31" spans="1:33" s="225" customFormat="1" ht="14.25">
      <c r="A31" s="225" t="s">
        <v>1870</v>
      </c>
      <c r="C31" s="253">
        <v>1.02</v>
      </c>
      <c r="E31" s="238">
        <f>Application!AC892</f>
        <v>57080</v>
      </c>
      <c r="F31" s="238"/>
      <c r="G31" s="238">
        <f>E31*$C$31</f>
        <v>58221.599999999999</v>
      </c>
      <c r="H31" s="238"/>
      <c r="I31" s="238">
        <f>G31*$C$31</f>
        <v>59386.031999999999</v>
      </c>
      <c r="J31" s="238"/>
      <c r="K31" s="238">
        <f>I31*$C$31</f>
        <v>60573.752639999999</v>
      </c>
      <c r="L31" s="238"/>
      <c r="M31" s="238">
        <f>K31*$C$31</f>
        <v>61785.227692799999</v>
      </c>
      <c r="N31" s="238"/>
      <c r="O31" s="238">
        <f>M31*$C$31</f>
        <v>63020.932246655997</v>
      </c>
      <c r="P31" s="238"/>
      <c r="Q31" s="238">
        <f>O31*$C$31</f>
        <v>64281.350891589122</v>
      </c>
      <c r="R31" s="238"/>
      <c r="S31" s="238">
        <f>Q31*$C$31</f>
        <v>65566.977909420908</v>
      </c>
      <c r="T31" s="238"/>
      <c r="U31" s="238">
        <f>S31*$C$31</f>
        <v>66878.317467609333</v>
      </c>
      <c r="V31" s="238"/>
      <c r="W31" s="238">
        <f>U31*$C$31</f>
        <v>68215.883816961519</v>
      </c>
      <c r="X31" s="238"/>
      <c r="Y31" s="238">
        <f>W31*$C$31</f>
        <v>69580.201493300745</v>
      </c>
      <c r="Z31" s="238"/>
      <c r="AA31" s="238">
        <f>Y31*$C$31</f>
        <v>70971.805523166768</v>
      </c>
      <c r="AB31" s="238"/>
      <c r="AC31" s="238">
        <f>AA31*$C$31</f>
        <v>72391.24163363011</v>
      </c>
      <c r="AD31" s="238"/>
      <c r="AE31" s="238">
        <f>AC31*$C$31</f>
        <v>73839.066466302713</v>
      </c>
      <c r="AF31" s="238"/>
      <c r="AG31" s="238">
        <f>AE31*$C$31</f>
        <v>75315.847795628768</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1691274.5919999999</v>
      </c>
      <c r="G35" s="239">
        <f>SUM(G22:G33)</f>
        <v>1743190.2277200001</v>
      </c>
      <c r="I35" s="239">
        <f>SUM(I22:I33)</f>
        <v>1796904.2866901997</v>
      </c>
      <c r="K35" s="239">
        <f>SUM(K22:K33)</f>
        <v>1852479.3412443567</v>
      </c>
      <c r="M35" s="239">
        <f>SUM(M22:M33)</f>
        <v>1909980.1462983091</v>
      </c>
      <c r="O35" s="239">
        <f>SUM(O22:O33)</f>
        <v>1969473.7155913573</v>
      </c>
      <c r="Q35" s="239">
        <f>SUM(Q22:Q33)</f>
        <v>2031029.4005931155</v>
      </c>
      <c r="S35" s="239">
        <f>SUM(S22:S33)</f>
        <v>2094718.9721690556</v>
      </c>
      <c r="U35" s="239">
        <f>SUM(U22:U33)</f>
        <v>2160616.7051012577</v>
      </c>
      <c r="W35" s="239">
        <f>SUM(W22:W33)</f>
        <v>2228799.4655642123</v>
      </c>
      <c r="Y35" s="239">
        <f>SUM(Y22:Y33)</f>
        <v>2299346.8016590583</v>
      </c>
      <c r="AA35" s="239">
        <f>SUM(AA22:AA33)</f>
        <v>2372341.037113226</v>
      </c>
      <c r="AC35" s="239">
        <f>SUM(AC22:AC33)</f>
        <v>2447867.3682562113</v>
      </c>
      <c r="AE35" s="239">
        <f>SUM(AE22:AE33)</f>
        <v>2526013.9643860823</v>
      </c>
      <c r="AG35" s="239">
        <f>SUM(AG22:AG33)</f>
        <v>2606872.0716453162</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858</v>
      </c>
      <c r="C37" s="240"/>
      <c r="E37" s="239">
        <f>E11-E35</f>
        <v>2242090.2079999996</v>
      </c>
      <c r="G37" s="239">
        <f>G11-G35</f>
        <v>2288508.6922800001</v>
      </c>
      <c r="I37" s="239">
        <f>I11-I35</f>
        <v>2335587.1063097999</v>
      </c>
      <c r="K37" s="239">
        <f>K11-K35</f>
        <v>2383324.3365806425</v>
      </c>
      <c r="M37" s="239">
        <f>M11-M35</f>
        <v>2431718.6234723153</v>
      </c>
      <c r="O37" s="239">
        <f>O11-O35</f>
        <v>2480767.523423532</v>
      </c>
      <c r="Q37" s="239">
        <f>Q11-Q35</f>
        <v>2530467.8693971462</v>
      </c>
      <c r="S37" s="239">
        <f>S11-S35</f>
        <v>2580815.7295709616</v>
      </c>
      <c r="U37" s="239">
        <f>U11-U35</f>
        <v>2631806.3641822594</v>
      </c>
      <c r="W37" s="239">
        <f>W11-W35</f>
        <v>2683434.1804513927</v>
      </c>
      <c r="Y37" s="239">
        <f>Y11-Y35</f>
        <v>2735692.6855069376</v>
      </c>
      <c r="AA37" s="239">
        <f>AA11-AA35</f>
        <v>2788574.4372319179</v>
      </c>
      <c r="AC37" s="239">
        <f>AC11-AC35</f>
        <v>2842070.9929475607</v>
      </c>
      <c r="AE37" s="239">
        <f>AE11-AE35</f>
        <v>2896172.8558477834</v>
      </c>
      <c r="AG37" s="239">
        <f>AG11-AG35</f>
        <v>2950869.4190943954</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Citibank Tax- Exempt</v>
      </c>
      <c r="B40" s="242"/>
      <c r="C40" s="236"/>
      <c r="E40" s="238">
        <f>Application!AF627</f>
        <v>1945774</v>
      </c>
      <c r="F40" s="238"/>
      <c r="G40" s="238">
        <f>$E$40</f>
        <v>1945774</v>
      </c>
      <c r="H40" s="238"/>
      <c r="I40" s="238">
        <f>$E$40</f>
        <v>1945774</v>
      </c>
      <c r="J40" s="238"/>
      <c r="K40" s="238">
        <f>$E$40</f>
        <v>1945774</v>
      </c>
      <c r="L40" s="238"/>
      <c r="M40" s="238">
        <f>$E$40</f>
        <v>1945774</v>
      </c>
      <c r="N40" s="238"/>
      <c r="O40" s="238">
        <f>$E$40</f>
        <v>1945774</v>
      </c>
      <c r="P40" s="238"/>
      <c r="Q40" s="238">
        <f>$E$40</f>
        <v>1945774</v>
      </c>
      <c r="R40" s="238"/>
      <c r="S40" s="238">
        <f>$E$40</f>
        <v>1945774</v>
      </c>
      <c r="T40" s="238"/>
      <c r="U40" s="238">
        <f>$E$40</f>
        <v>1945774</v>
      </c>
      <c r="V40" s="238"/>
      <c r="W40" s="238">
        <f>$E$40</f>
        <v>1945774</v>
      </c>
      <c r="X40" s="238"/>
      <c r="Y40" s="238">
        <f>$E$40</f>
        <v>1945774</v>
      </c>
      <c r="Z40" s="238"/>
      <c r="AA40" s="238">
        <f>$E$40</f>
        <v>1945774</v>
      </c>
      <c r="AB40" s="238"/>
      <c r="AC40" s="238">
        <f>$E$40</f>
        <v>1945774</v>
      </c>
      <c r="AD40" s="238"/>
      <c r="AE40" s="238">
        <f>$E$40</f>
        <v>1945774</v>
      </c>
      <c r="AF40" s="238"/>
      <c r="AG40" s="238">
        <f>$E$40</f>
        <v>1945774</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859</v>
      </c>
      <c r="C43" s="240"/>
      <c r="E43" s="239">
        <f>SUM(E40:E42)</f>
        <v>1945774</v>
      </c>
      <c r="G43" s="239">
        <f>SUM(G40:G42)</f>
        <v>1945774</v>
      </c>
      <c r="I43" s="239">
        <f>SUM(I40:I42)</f>
        <v>1945774</v>
      </c>
      <c r="K43" s="239">
        <f>SUM(K40:K42)</f>
        <v>1945774</v>
      </c>
      <c r="M43" s="239">
        <f>SUM(M40:M42)</f>
        <v>1945774</v>
      </c>
      <c r="O43" s="239">
        <f>SUM(O40:O42)</f>
        <v>1945774</v>
      </c>
      <c r="Q43" s="239">
        <f>SUM(Q40:Q42)</f>
        <v>1945774</v>
      </c>
      <c r="S43" s="239">
        <f>SUM(S40:S42)</f>
        <v>1945774</v>
      </c>
      <c r="U43" s="239">
        <f>SUM(U40:U42)</f>
        <v>1945774</v>
      </c>
      <c r="W43" s="239">
        <f>SUM(W40:W42)</f>
        <v>1945774</v>
      </c>
      <c r="Y43" s="239">
        <f>SUM(Y40:Y42)</f>
        <v>1945774</v>
      </c>
      <c r="AA43" s="239">
        <f>SUM(AA40:AA42)</f>
        <v>1945774</v>
      </c>
      <c r="AC43" s="239">
        <f>SUM(AC40:AC42)</f>
        <v>1945774</v>
      </c>
      <c r="AE43" s="239">
        <f>SUM(AE40:AE42)</f>
        <v>1945774</v>
      </c>
      <c r="AG43" s="239">
        <f>SUM(AG40:AG42)</f>
        <v>1945774</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860</v>
      </c>
      <c r="C45" s="240"/>
      <c r="E45" s="239">
        <f>E37-E43</f>
        <v>296316.20799999963</v>
      </c>
      <c r="G45" s="239">
        <f>G37-G43</f>
        <v>342734.69228000008</v>
      </c>
      <c r="I45" s="239">
        <f>I37-I43</f>
        <v>389813.10630979994</v>
      </c>
      <c r="K45" s="239">
        <f>K37-K43</f>
        <v>437550.3365806425</v>
      </c>
      <c r="M45" s="239">
        <f>M37-M43</f>
        <v>485944.62347231526</v>
      </c>
      <c r="O45" s="239">
        <f>O37-O43</f>
        <v>534993.52342353202</v>
      </c>
      <c r="Q45" s="239">
        <f>Q37-Q43</f>
        <v>584693.86939714616</v>
      </c>
      <c r="S45" s="239">
        <f>S37-S43</f>
        <v>635041.72957096156</v>
      </c>
      <c r="U45" s="239">
        <f>U37-U43</f>
        <v>686032.36418225942</v>
      </c>
      <c r="W45" s="239">
        <f>W37-W43</f>
        <v>737660.18045139266</v>
      </c>
      <c r="Y45" s="239">
        <f>Y37-Y43</f>
        <v>789918.68550693756</v>
      </c>
      <c r="AA45" s="239">
        <f>AA37-AA43</f>
        <v>842800.43723191787</v>
      </c>
      <c r="AC45" s="239">
        <f>AC37-AC43</f>
        <v>896296.99294756074</v>
      </c>
      <c r="AE45" s="239">
        <f>AE37-AE43</f>
        <v>950398.85584778339</v>
      </c>
      <c r="AG45" s="239">
        <f>AG37-AG43</f>
        <v>1005095.4190943954</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862</v>
      </c>
      <c r="C47" s="236"/>
      <c r="E47" s="243">
        <f>E45/(E4+E6+E8)</f>
        <v>7.1567325156313921E-2</v>
      </c>
      <c r="G47" s="243">
        <f>G45/(G4+G6+G8)</f>
        <v>8.0759492245517206E-2</v>
      </c>
      <c r="I47" s="243">
        <f>I45/(I4+I6+I8)</f>
        <v>8.9612394988068639E-2</v>
      </c>
      <c r="K47" s="243">
        <f>K45/(K4+K6+K8)</f>
        <v>9.8133164652486948E-2</v>
      </c>
      <c r="M47" s="243">
        <f>M45/(M4+M6+M8)</f>
        <v>0.10632874751996872</v>
      </c>
      <c r="O47" s="243">
        <f>O45/(O4+O6+O8)</f>
        <v>0.11420590928793353</v>
      </c>
      <c r="Q47" s="243">
        <f>Q45/(Q4+Q6+Q8)</f>
        <v>0.12177123936511194</v>
      </c>
      <c r="S47" s="243">
        <f>S45/(S4+S6+S8)</f>
        <v>0.12903115506080984</v>
      </c>
      <c r="U47" s="243">
        <f>U45/(U4+U6+U8)</f>
        <v>0.13599190567092029</v>
      </c>
      <c r="W47" s="243">
        <f>W45/(W4+W6+W8)</f>
        <v>0.14265957646319108</v>
      </c>
      <c r="Y47" s="243">
        <f>Y45/(Y4+Y6+Y8)</f>
        <v>0.14904009256419379</v>
      </c>
      <c r="AA47" s="243">
        <f>AA45/(AA4+AA6+AA8)</f>
        <v>0.15513922275038144</v>
      </c>
      <c r="AC47" s="243">
        <f>AC45/(AC4+AC6+AC8)</f>
        <v>0.16096258314556625</v>
      </c>
      <c r="AE47" s="243">
        <f>AE45/(AE4+AE6+AE8)</f>
        <v>0.16651564082708087</v>
      </c>
      <c r="AG47" s="243">
        <f>AG45/(AG4+AG6+AG8)</f>
        <v>0.17180371734285005</v>
      </c>
    </row>
    <row r="48" spans="1:33" s="243" customFormat="1" ht="14.25">
      <c r="A48" s="243" t="s">
        <v>863</v>
      </c>
      <c r="C48" s="236"/>
      <c r="E48" s="243">
        <f>E45/E43</f>
        <v>0.15228706314299587</v>
      </c>
      <c r="G48" s="243">
        <f>G45/G43</f>
        <v>0.17614311440074751</v>
      </c>
      <c r="I48" s="243">
        <f>I45/I43</f>
        <v>0.20033832619296996</v>
      </c>
      <c r="K48" s="243">
        <f>K45/K43</f>
        <v>0.22487212624931904</v>
      </c>
      <c r="M48" s="243">
        <f>M45/M43</f>
        <v>0.24974361024061131</v>
      </c>
      <c r="O48" s="243">
        <f>O45/O43</f>
        <v>0.27495152233688602</v>
      </c>
      <c r="Q48" s="243">
        <f>Q45/Q43</f>
        <v>0.30049423488912186</v>
      </c>
      <c r="S48" s="243">
        <f>S45/S43</f>
        <v>0.32636972719902801</v>
      </c>
      <c r="U48" s="243">
        <f>U45/U43</f>
        <v>0.3525755633399662</v>
      </c>
      <c r="W48" s="243">
        <f>W45/W43</f>
        <v>0.37910886899063956</v>
      </c>
      <c r="Y48" s="243">
        <f>Y45/Y43</f>
        <v>0.40596630724171334</v>
      </c>
      <c r="AA48" s="243">
        <f>AA45/AA43</f>
        <v>0.4331440533340038</v>
      </c>
      <c r="AC48" s="243">
        <f>AC45/AC43</f>
        <v>0.46063776828529968</v>
      </c>
      <c r="AE48" s="243">
        <f>AE45/AE43</f>
        <v>0.48844257136120811</v>
      </c>
      <c r="AG48" s="243">
        <f>AG45/AG43</f>
        <v>0.51655301134376108</v>
      </c>
    </row>
    <row r="49" spans="1:33" s="244" customFormat="1" ht="14.25">
      <c r="A49" s="244" t="s">
        <v>861</v>
      </c>
      <c r="C49" s="245"/>
      <c r="E49" s="244">
        <f>E37/E43</f>
        <v>1.1522870631429958</v>
      </c>
      <c r="G49" s="244">
        <f>G37/G43</f>
        <v>1.1761431144007475</v>
      </c>
      <c r="I49" s="244">
        <f>I37/I43</f>
        <v>1.2003383261929699</v>
      </c>
      <c r="K49" s="244">
        <f>K37/K43</f>
        <v>1.224872126249319</v>
      </c>
      <c r="M49" s="244">
        <f>M37/M43</f>
        <v>1.2497436102406114</v>
      </c>
      <c r="O49" s="244">
        <f>O37/O43</f>
        <v>1.2749515223368859</v>
      </c>
      <c r="Q49" s="244">
        <f>Q37/Q43</f>
        <v>1.3004942348891217</v>
      </c>
      <c r="S49" s="244">
        <f>S37/S43</f>
        <v>1.326369727199028</v>
      </c>
      <c r="U49" s="244">
        <f>U37/U43</f>
        <v>1.3525755633399663</v>
      </c>
      <c r="W49" s="244">
        <f>W37/W43</f>
        <v>1.3791088689906394</v>
      </c>
      <c r="Y49" s="244">
        <f>Y37/Y43</f>
        <v>1.4059663072417135</v>
      </c>
      <c r="AA49" s="244">
        <f>AA37/AA43</f>
        <v>1.4331440533340039</v>
      </c>
      <c r="AC49" s="244">
        <f>AC37/AC43</f>
        <v>1.4606377682852998</v>
      </c>
      <c r="AE49" s="244">
        <f>AE37/AE43</f>
        <v>1.4884425713612082</v>
      </c>
      <c r="AG49" s="244">
        <f>AG37/AG43</f>
        <v>1.5165530113437611</v>
      </c>
    </row>
    <row r="50" spans="1:33"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3"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3" s="3" customFormat="1">
      <c r="A52" s="2683" t="s">
        <v>2813</v>
      </c>
      <c r="B52" s="2683"/>
      <c r="C52" s="2683"/>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3" s="997" customFormat="1">
      <c r="A53" s="997" t="s">
        <v>865</v>
      </c>
      <c r="C53" s="998">
        <v>1</v>
      </c>
      <c r="E53" s="999">
        <v>12500</v>
      </c>
      <c r="G53" s="995">
        <f>E53*$C$53</f>
        <v>12500</v>
      </c>
      <c r="I53" s="995">
        <f>G53*$C$53</f>
        <v>12500</v>
      </c>
      <c r="K53" s="995">
        <f>I53*$C$53</f>
        <v>12500</v>
      </c>
      <c r="M53" s="995">
        <f>K53*$C$53</f>
        <v>12500</v>
      </c>
      <c r="O53" s="995">
        <f>M53*$C$53</f>
        <v>12500</v>
      </c>
      <c r="Q53" s="995">
        <f>O53*$C$53</f>
        <v>12500</v>
      </c>
      <c r="S53" s="995">
        <f>Q53*$C$53</f>
        <v>12500</v>
      </c>
      <c r="U53" s="995">
        <f>S53*$C$53</f>
        <v>12500</v>
      </c>
      <c r="W53" s="995">
        <f>U53*$C$53</f>
        <v>12500</v>
      </c>
      <c r="Y53" s="995">
        <f>W53*$C$53</f>
        <v>12500</v>
      </c>
      <c r="AA53" s="995">
        <f>Y53*$C$53</f>
        <v>12500</v>
      </c>
      <c r="AC53" s="995">
        <f>AA53*$C$53</f>
        <v>12500</v>
      </c>
      <c r="AE53" s="995">
        <f>AC53*$C$53</f>
        <v>12500</v>
      </c>
      <c r="AG53" s="995">
        <f>AE53*$C$53</f>
        <v>12500</v>
      </c>
    </row>
    <row r="54" spans="1:33" s="3" customFormat="1">
      <c r="A54" s="3" t="s">
        <v>866</v>
      </c>
      <c r="C54" s="993"/>
      <c r="E54" s="1000">
        <v>12500</v>
      </c>
      <c r="F54" s="995"/>
      <c r="G54" s="995">
        <f t="shared" ref="G54:AG57" si="2">E54*$C$53</f>
        <v>12500</v>
      </c>
      <c r="H54" s="995"/>
      <c r="I54" s="995">
        <f t="shared" si="2"/>
        <v>12500</v>
      </c>
      <c r="J54" s="995"/>
      <c r="K54" s="995">
        <f t="shared" si="2"/>
        <v>12500</v>
      </c>
      <c r="L54" s="995"/>
      <c r="M54" s="995">
        <f t="shared" si="2"/>
        <v>12500</v>
      </c>
      <c r="N54" s="995"/>
      <c r="O54" s="995">
        <f t="shared" si="2"/>
        <v>12500</v>
      </c>
      <c r="P54" s="995"/>
      <c r="Q54" s="995">
        <f t="shared" si="2"/>
        <v>12500</v>
      </c>
      <c r="R54" s="995"/>
      <c r="S54" s="995">
        <f t="shared" si="2"/>
        <v>12500</v>
      </c>
      <c r="T54" s="995"/>
      <c r="U54" s="995">
        <f t="shared" si="2"/>
        <v>12500</v>
      </c>
      <c r="V54" s="995"/>
      <c r="W54" s="995">
        <f t="shared" si="2"/>
        <v>12500</v>
      </c>
      <c r="X54" s="995"/>
      <c r="Y54" s="995">
        <f t="shared" si="2"/>
        <v>12500</v>
      </c>
      <c r="Z54" s="995"/>
      <c r="AA54" s="995">
        <f t="shared" si="2"/>
        <v>12500</v>
      </c>
      <c r="AB54" s="995"/>
      <c r="AC54" s="995">
        <f t="shared" si="2"/>
        <v>12500</v>
      </c>
      <c r="AD54" s="995"/>
      <c r="AE54" s="995">
        <f t="shared" si="2"/>
        <v>12500</v>
      </c>
      <c r="AF54" s="995"/>
      <c r="AG54" s="995">
        <f t="shared" si="2"/>
        <v>12500</v>
      </c>
    </row>
    <row r="55" spans="1:33" s="3" customFormat="1">
      <c r="A55" s="3" t="s">
        <v>867</v>
      </c>
      <c r="C55" s="993"/>
      <c r="E55" s="1000"/>
      <c r="F55" s="995"/>
      <c r="G55" s="995">
        <f t="shared" si="2"/>
        <v>0</v>
      </c>
      <c r="H55" s="995"/>
      <c r="I55" s="995">
        <f t="shared" si="2"/>
        <v>0</v>
      </c>
      <c r="J55" s="995"/>
      <c r="K55" s="995">
        <f t="shared" si="2"/>
        <v>0</v>
      </c>
      <c r="L55" s="995"/>
      <c r="M55" s="995">
        <f t="shared" si="2"/>
        <v>0</v>
      </c>
      <c r="N55" s="995"/>
      <c r="O55" s="995">
        <f t="shared" si="2"/>
        <v>0</v>
      </c>
      <c r="P55" s="995"/>
      <c r="Q55" s="995">
        <f t="shared" si="2"/>
        <v>0</v>
      </c>
      <c r="R55" s="995"/>
      <c r="S55" s="995">
        <f t="shared" si="2"/>
        <v>0</v>
      </c>
      <c r="T55" s="995"/>
      <c r="U55" s="995">
        <f t="shared" si="2"/>
        <v>0</v>
      </c>
      <c r="V55" s="995"/>
      <c r="W55" s="995">
        <f t="shared" si="2"/>
        <v>0</v>
      </c>
      <c r="X55" s="995"/>
      <c r="Y55" s="995">
        <f t="shared" si="2"/>
        <v>0</v>
      </c>
      <c r="Z55" s="995"/>
      <c r="AA55" s="995">
        <f t="shared" si="2"/>
        <v>0</v>
      </c>
      <c r="AB55" s="995"/>
      <c r="AC55" s="995">
        <f t="shared" si="2"/>
        <v>0</v>
      </c>
      <c r="AD55" s="995"/>
      <c r="AE55" s="995">
        <f t="shared" si="2"/>
        <v>0</v>
      </c>
      <c r="AF55" s="995"/>
      <c r="AG55" s="995">
        <f t="shared" si="2"/>
        <v>0</v>
      </c>
    </row>
    <row r="56" spans="1:33" s="3" customFormat="1">
      <c r="A56" s="1001"/>
      <c r="B56" s="1001"/>
      <c r="C56" s="993"/>
      <c r="E56" s="1000"/>
      <c r="F56" s="995"/>
      <c r="G56" s="995">
        <f t="shared" si="2"/>
        <v>0</v>
      </c>
      <c r="H56" s="995"/>
      <c r="I56" s="995">
        <f t="shared" si="2"/>
        <v>0</v>
      </c>
      <c r="J56" s="995"/>
      <c r="K56" s="995">
        <f t="shared" si="2"/>
        <v>0</v>
      </c>
      <c r="L56" s="995"/>
      <c r="M56" s="995">
        <f t="shared" si="2"/>
        <v>0</v>
      </c>
      <c r="N56" s="995"/>
      <c r="O56" s="995">
        <f t="shared" si="2"/>
        <v>0</v>
      </c>
      <c r="P56" s="995"/>
      <c r="Q56" s="995">
        <f t="shared" si="2"/>
        <v>0</v>
      </c>
      <c r="R56" s="995"/>
      <c r="S56" s="995">
        <f t="shared" si="2"/>
        <v>0</v>
      </c>
      <c r="T56" s="995"/>
      <c r="U56" s="995">
        <f t="shared" si="2"/>
        <v>0</v>
      </c>
      <c r="V56" s="995"/>
      <c r="W56" s="995">
        <f t="shared" si="2"/>
        <v>0</v>
      </c>
      <c r="X56" s="995"/>
      <c r="Y56" s="995">
        <f t="shared" si="2"/>
        <v>0</v>
      </c>
      <c r="Z56" s="995"/>
      <c r="AA56" s="995">
        <f t="shared" si="2"/>
        <v>0</v>
      </c>
      <c r="AB56" s="995"/>
      <c r="AC56" s="995">
        <f t="shared" si="2"/>
        <v>0</v>
      </c>
      <c r="AD56" s="995"/>
      <c r="AE56" s="995">
        <f t="shared" si="2"/>
        <v>0</v>
      </c>
      <c r="AF56" s="995"/>
      <c r="AG56" s="995">
        <f t="shared" si="2"/>
        <v>0</v>
      </c>
    </row>
    <row r="57" spans="1:33" s="3" customFormat="1">
      <c r="A57" s="1001"/>
      <c r="B57" s="1001"/>
      <c r="C57" s="993"/>
      <c r="E57" s="1002"/>
      <c r="F57" s="995"/>
      <c r="G57" s="1003">
        <f t="shared" si="2"/>
        <v>0</v>
      </c>
      <c r="H57" s="995"/>
      <c r="I57" s="1003">
        <f t="shared" si="2"/>
        <v>0</v>
      </c>
      <c r="J57" s="995"/>
      <c r="K57" s="1003">
        <f t="shared" si="2"/>
        <v>0</v>
      </c>
      <c r="L57" s="995"/>
      <c r="M57" s="1003">
        <f t="shared" si="2"/>
        <v>0</v>
      </c>
      <c r="N57" s="995"/>
      <c r="O57" s="1003">
        <f t="shared" si="2"/>
        <v>0</v>
      </c>
      <c r="P57" s="995"/>
      <c r="Q57" s="1003">
        <f t="shared" si="2"/>
        <v>0</v>
      </c>
      <c r="R57" s="995"/>
      <c r="S57" s="1003">
        <f t="shared" si="2"/>
        <v>0</v>
      </c>
      <c r="T57" s="995"/>
      <c r="U57" s="1003">
        <f t="shared" si="2"/>
        <v>0</v>
      </c>
      <c r="V57" s="995"/>
      <c r="W57" s="1003">
        <f t="shared" si="2"/>
        <v>0</v>
      </c>
      <c r="X57" s="995"/>
      <c r="Y57" s="1003">
        <f t="shared" si="2"/>
        <v>0</v>
      </c>
      <c r="Z57" s="995"/>
      <c r="AA57" s="1003">
        <f t="shared" si="2"/>
        <v>0</v>
      </c>
      <c r="AB57" s="995"/>
      <c r="AC57" s="1003">
        <f t="shared" si="2"/>
        <v>0</v>
      </c>
      <c r="AD57" s="995"/>
      <c r="AE57" s="1003">
        <f t="shared" si="2"/>
        <v>0</v>
      </c>
      <c r="AF57" s="995"/>
      <c r="AG57" s="1003">
        <f t="shared" si="2"/>
        <v>0</v>
      </c>
    </row>
    <row r="58" spans="1:33" s="3" customFormat="1">
      <c r="A58" s="997" t="s">
        <v>864</v>
      </c>
      <c r="C58" s="996"/>
      <c r="E58" s="995">
        <f>SUM(E53:E57)</f>
        <v>25000</v>
      </c>
      <c r="F58" s="995"/>
      <c r="G58" s="995">
        <f>SUM(G53:G57)</f>
        <v>25000</v>
      </c>
      <c r="H58" s="995"/>
      <c r="I58" s="995">
        <f>SUM(I53:I57)</f>
        <v>25000</v>
      </c>
      <c r="J58" s="995"/>
      <c r="K58" s="995">
        <f>SUM(K53:K57)</f>
        <v>25000</v>
      </c>
      <c r="L58" s="995"/>
      <c r="M58" s="995">
        <f>SUM(M53:M57)</f>
        <v>25000</v>
      </c>
      <c r="N58" s="995"/>
      <c r="O58" s="995">
        <f>SUM(O53:O57)</f>
        <v>25000</v>
      </c>
      <c r="P58" s="995"/>
      <c r="Q58" s="995">
        <f>SUM(Q53:Q57)</f>
        <v>25000</v>
      </c>
      <c r="R58" s="995"/>
      <c r="S58" s="995">
        <f>SUM(S53:S57)</f>
        <v>25000</v>
      </c>
      <c r="T58" s="995"/>
      <c r="U58" s="995">
        <f>SUM(U53:U57)</f>
        <v>25000</v>
      </c>
      <c r="V58" s="995"/>
      <c r="W58" s="995">
        <f>SUM(W53:W57)</f>
        <v>25000</v>
      </c>
      <c r="X58" s="995"/>
      <c r="Y58" s="995">
        <f>SUM(Y53:Y57)</f>
        <v>25000</v>
      </c>
      <c r="Z58" s="995"/>
      <c r="AA58" s="995">
        <f>SUM(AA53:AA57)</f>
        <v>25000</v>
      </c>
      <c r="AB58" s="995"/>
      <c r="AC58" s="995">
        <f>SUM(AC53:AC57)</f>
        <v>25000</v>
      </c>
      <c r="AD58" s="995"/>
      <c r="AE58" s="995">
        <f>SUM(AE53:AE57)</f>
        <v>25000</v>
      </c>
      <c r="AF58" s="995"/>
      <c r="AG58" s="995">
        <f>SUM(AG53:AG57)</f>
        <v>25000</v>
      </c>
    </row>
    <row r="59" spans="1:33"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row>
    <row r="60" spans="1:33" s="997" customFormat="1">
      <c r="A60" s="997" t="s">
        <v>869</v>
      </c>
      <c r="C60" s="1004"/>
      <c r="E60" s="997">
        <f>E45-E58</f>
        <v>271316.20799999963</v>
      </c>
      <c r="G60" s="997">
        <f>G45-G58</f>
        <v>317734.69228000008</v>
      </c>
      <c r="I60" s="997">
        <f>I45-I58</f>
        <v>364813.10630979994</v>
      </c>
      <c r="K60" s="997">
        <f>K45-K58</f>
        <v>412550.3365806425</v>
      </c>
      <c r="M60" s="997">
        <f>M45-M58</f>
        <v>460944.62347231526</v>
      </c>
      <c r="O60" s="997">
        <f>O45-O58</f>
        <v>509993.52342353202</v>
      </c>
      <c r="Q60" s="997">
        <f>Q45-Q58</f>
        <v>559693.86939714616</v>
      </c>
      <c r="S60" s="997">
        <f>S45-S58</f>
        <v>610041.72957096156</v>
      </c>
      <c r="U60" s="997">
        <f>U45-U58</f>
        <v>661032.36418225942</v>
      </c>
      <c r="W60" s="997">
        <f>W45-W58</f>
        <v>712660.18045139266</v>
      </c>
      <c r="Y60" s="997">
        <f>Y45-Y58</f>
        <v>764918.68550693756</v>
      </c>
      <c r="AA60" s="997">
        <f>AA45-AA58</f>
        <v>817800.43723191787</v>
      </c>
      <c r="AC60" s="997">
        <f>AC45-AC58</f>
        <v>871296.99294756074</v>
      </c>
      <c r="AE60" s="997">
        <f>AE45-AE58</f>
        <v>925398.85584778339</v>
      </c>
      <c r="AG60" s="997">
        <f>AG45-AG58</f>
        <v>980095.41909439536</v>
      </c>
    </row>
    <row r="61" spans="1:33"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row>
    <row r="62" spans="1:33" s="997" customFormat="1">
      <c r="A62" s="997" t="s">
        <v>868</v>
      </c>
      <c r="C62" s="994">
        <v>0.75</v>
      </c>
      <c r="E62" s="999">
        <f>E60*$C$62</f>
        <v>203487.15599999973</v>
      </c>
      <c r="G62" s="997">
        <f>G60*$C$62</f>
        <v>238301.01921000006</v>
      </c>
      <c r="I62" s="997">
        <f>I60*$C$62</f>
        <v>273609.82973234996</v>
      </c>
      <c r="K62" s="997">
        <f>K60*$C$62</f>
        <v>309412.75243548187</v>
      </c>
      <c r="M62" s="997">
        <f>M60*$C$62</f>
        <v>345708.46760423644</v>
      </c>
      <c r="O62" s="997">
        <f>O60*$C$62</f>
        <v>382495.14256764902</v>
      </c>
      <c r="Q62" s="997">
        <f>Q60*$C$62</f>
        <v>419770.40204785962</v>
      </c>
      <c r="S62" s="997">
        <f>S60*$C$62</f>
        <v>457531.29717822117</v>
      </c>
      <c r="U62" s="997">
        <f>U60*$C$62</f>
        <v>495774.27313669457</v>
      </c>
      <c r="W62" s="997">
        <f>W60*$C$62</f>
        <v>534495.1353385445</v>
      </c>
      <c r="Y62" s="997">
        <f>Y60*$C$62</f>
        <v>573689.01413020317</v>
      </c>
      <c r="AA62" s="997">
        <f>AA60*$C$62</f>
        <v>613350.3279239384</v>
      </c>
      <c r="AC62" s="997">
        <f>AC60*$C$62</f>
        <v>653472.74471067055</v>
      </c>
      <c r="AE62" s="997">
        <f>AE60*$C$62</f>
        <v>694049.14188583754</v>
      </c>
      <c r="AG62" s="997">
        <f>AG60*$C$62</f>
        <v>735071.56432079652</v>
      </c>
    </row>
    <row r="63" spans="1:33" s="997" customFormat="1">
      <c r="A63" s="2683" t="s">
        <v>1290</v>
      </c>
      <c r="B63" s="2683"/>
      <c r="C63" s="2683"/>
    </row>
    <row r="64" spans="1:33"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row>
    <row r="65" spans="1:33" s="3" customFormat="1">
      <c r="A65" s="3" t="s">
        <v>872</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row>
    <row r="66" spans="1:33" s="997" customFormat="1">
      <c r="A66" s="999"/>
      <c r="B66" s="999" t="s">
        <v>2639</v>
      </c>
      <c r="C66" s="1267">
        <v>0.76800000000000002</v>
      </c>
      <c r="E66" s="999">
        <f>(E60*$C$65)*$C$66</f>
        <v>52092.711935999934</v>
      </c>
      <c r="F66" s="999"/>
      <c r="G66" s="999">
        <f>(G60*$C$65)*$C$66</f>
        <v>61005.060917760013</v>
      </c>
      <c r="H66" s="999"/>
      <c r="I66" s="999">
        <f t="shared" ref="I66:AG66" si="3">(I60*$C$65)*$C$66</f>
        <v>70044.116411481591</v>
      </c>
      <c r="J66" s="999"/>
      <c r="K66" s="999">
        <f t="shared" si="3"/>
        <v>79209.664623483361</v>
      </c>
      <c r="L66" s="999"/>
      <c r="M66" s="999">
        <f t="shared" si="3"/>
        <v>88501.367706684527</v>
      </c>
      <c r="N66" s="999"/>
      <c r="O66" s="999">
        <f t="shared" si="3"/>
        <v>97918.756497318158</v>
      </c>
      <c r="P66" s="999"/>
      <c r="Q66" s="999">
        <f t="shared" si="3"/>
        <v>107461.22292425207</v>
      </c>
      <c r="R66" s="999"/>
      <c r="S66" s="999">
        <f t="shared" si="3"/>
        <v>117128.01207762462</v>
      </c>
      <c r="T66" s="999"/>
      <c r="U66" s="999">
        <f t="shared" si="3"/>
        <v>126918.21392299382</v>
      </c>
      <c r="V66" s="999"/>
      <c r="W66" s="999">
        <f t="shared" si="3"/>
        <v>136830.7546466674</v>
      </c>
      <c r="X66" s="999"/>
      <c r="Y66" s="999">
        <f t="shared" si="3"/>
        <v>146864.38761733202</v>
      </c>
      <c r="Z66" s="999"/>
      <c r="AA66" s="999">
        <f t="shared" si="3"/>
        <v>157017.68394852823</v>
      </c>
      <c r="AB66" s="999"/>
      <c r="AC66" s="999">
        <f t="shared" si="3"/>
        <v>167289.02264593166</v>
      </c>
      <c r="AD66" s="999"/>
      <c r="AE66" s="999">
        <f t="shared" si="3"/>
        <v>177676.58032277442</v>
      </c>
      <c r="AF66" s="999"/>
      <c r="AG66" s="999">
        <f t="shared" si="3"/>
        <v>188178.3204661239</v>
      </c>
    </row>
    <row r="67" spans="1:33" s="995" customFormat="1">
      <c r="A67" s="1000"/>
      <c r="B67" s="1000" t="s">
        <v>2792</v>
      </c>
      <c r="C67" s="1266">
        <v>0.23200000000000001</v>
      </c>
      <c r="E67" s="999">
        <f>(E60*$C$65)*$C$67</f>
        <v>15736.34006399998</v>
      </c>
      <c r="F67" s="999"/>
      <c r="G67" s="999">
        <f t="shared" ref="G67:AG67" si="4">(G60*$C$65)*$C$67</f>
        <v>18428.612152240006</v>
      </c>
      <c r="H67" s="999"/>
      <c r="I67" s="999">
        <f t="shared" si="4"/>
        <v>21159.160165968398</v>
      </c>
      <c r="J67" s="999"/>
      <c r="K67" s="999">
        <f t="shared" si="4"/>
        <v>23927.919521677268</v>
      </c>
      <c r="L67" s="999"/>
      <c r="M67" s="999">
        <f t="shared" si="4"/>
        <v>26734.788161394288</v>
      </c>
      <c r="N67" s="999"/>
      <c r="O67" s="999">
        <f t="shared" si="4"/>
        <v>29579.624358564859</v>
      </c>
      <c r="P67" s="999"/>
      <c r="Q67" s="999">
        <f t="shared" si="4"/>
        <v>32462.244425034478</v>
      </c>
      <c r="R67" s="999"/>
      <c r="S67" s="999">
        <f t="shared" si="4"/>
        <v>35382.420315115771</v>
      </c>
      <c r="T67" s="999"/>
      <c r="U67" s="999">
        <f t="shared" si="4"/>
        <v>38339.877122571052</v>
      </c>
      <c r="V67" s="999"/>
      <c r="W67" s="999">
        <f t="shared" si="4"/>
        <v>41334.290466180777</v>
      </c>
      <c r="X67" s="999"/>
      <c r="Y67" s="999">
        <f t="shared" si="4"/>
        <v>44365.28375940238</v>
      </c>
      <c r="Z67" s="999"/>
      <c r="AA67" s="999">
        <f t="shared" si="4"/>
        <v>47432.425359451241</v>
      </c>
      <c r="AB67" s="999"/>
      <c r="AC67" s="999">
        <f t="shared" si="4"/>
        <v>50535.225590958522</v>
      </c>
      <c r="AD67" s="999"/>
      <c r="AE67" s="999">
        <f t="shared" si="4"/>
        <v>53673.133639171436</v>
      </c>
      <c r="AF67" s="999"/>
      <c r="AG67" s="999">
        <f t="shared" si="4"/>
        <v>56845.534307474933</v>
      </c>
    </row>
    <row r="68" spans="1:33" s="995" customFormat="1">
      <c r="A68" s="1000"/>
      <c r="B68" s="1000"/>
      <c r="C68" s="1005"/>
      <c r="E68" s="1000"/>
      <c r="G68" s="995">
        <f t="shared" ref="G68:AG69" si="5">E68*$C$66</f>
        <v>0</v>
      </c>
      <c r="I68" s="995">
        <f t="shared" si="5"/>
        <v>0</v>
      </c>
      <c r="K68" s="995">
        <f t="shared" si="5"/>
        <v>0</v>
      </c>
      <c r="M68" s="995">
        <f t="shared" si="5"/>
        <v>0</v>
      </c>
      <c r="O68" s="995">
        <f t="shared" si="5"/>
        <v>0</v>
      </c>
      <c r="Q68" s="995">
        <f t="shared" si="5"/>
        <v>0</v>
      </c>
      <c r="S68" s="995">
        <f t="shared" si="5"/>
        <v>0</v>
      </c>
      <c r="U68" s="995">
        <f t="shared" si="5"/>
        <v>0</v>
      </c>
      <c r="W68" s="995">
        <f t="shared" si="5"/>
        <v>0</v>
      </c>
      <c r="Y68" s="995">
        <f t="shared" si="5"/>
        <v>0</v>
      </c>
      <c r="AA68" s="995">
        <f t="shared" si="5"/>
        <v>0</v>
      </c>
      <c r="AC68" s="995">
        <f t="shared" si="5"/>
        <v>0</v>
      </c>
      <c r="AE68" s="995">
        <f t="shared" si="5"/>
        <v>0</v>
      </c>
      <c r="AG68" s="995">
        <f t="shared" si="5"/>
        <v>0</v>
      </c>
    </row>
    <row r="69" spans="1:33" s="995" customFormat="1">
      <c r="A69" s="1000"/>
      <c r="B69" s="1000"/>
      <c r="C69" s="1005"/>
      <c r="E69" s="1002"/>
      <c r="G69" s="1003">
        <f t="shared" si="5"/>
        <v>0</v>
      </c>
      <c r="I69" s="1003">
        <f t="shared" si="5"/>
        <v>0</v>
      </c>
      <c r="K69" s="1003">
        <f t="shared" si="5"/>
        <v>0</v>
      </c>
      <c r="M69" s="1003">
        <f t="shared" si="5"/>
        <v>0</v>
      </c>
      <c r="O69" s="1003">
        <f t="shared" si="5"/>
        <v>0</v>
      </c>
      <c r="Q69" s="1003">
        <f t="shared" si="5"/>
        <v>0</v>
      </c>
      <c r="S69" s="1003">
        <f t="shared" si="5"/>
        <v>0</v>
      </c>
      <c r="U69" s="1003">
        <f t="shared" si="5"/>
        <v>0</v>
      </c>
      <c r="W69" s="1003">
        <f t="shared" si="5"/>
        <v>0</v>
      </c>
      <c r="Y69" s="1003">
        <f t="shared" si="5"/>
        <v>0</v>
      </c>
      <c r="AA69" s="1003">
        <f t="shared" si="5"/>
        <v>0</v>
      </c>
      <c r="AC69" s="1003">
        <f t="shared" si="5"/>
        <v>0</v>
      </c>
      <c r="AE69" s="1003">
        <f t="shared" si="5"/>
        <v>0</v>
      </c>
      <c r="AG69" s="1003">
        <f t="shared" si="5"/>
        <v>0</v>
      </c>
    </row>
    <row r="70" spans="1:33" s="995" customFormat="1">
      <c r="A70" s="997" t="s">
        <v>864</v>
      </c>
      <c r="C70" s="1005"/>
      <c r="E70" s="995">
        <f>SUM(E66:E69)</f>
        <v>67829.051999999909</v>
      </c>
      <c r="G70" s="995">
        <f>SUM(G66:G69)</f>
        <v>79433.673070000019</v>
      </c>
      <c r="I70" s="995">
        <f>SUM(I66:I69)</f>
        <v>91203.276577449986</v>
      </c>
      <c r="K70" s="995">
        <f>SUM(K66:K69)</f>
        <v>103137.58414516062</v>
      </c>
      <c r="M70" s="995">
        <f>SUM(M66:M69)</f>
        <v>115236.15586807881</v>
      </c>
      <c r="O70" s="995">
        <f>SUM(O66:O69)</f>
        <v>127498.38085588302</v>
      </c>
      <c r="Q70" s="995">
        <f>SUM(Q66:Q69)</f>
        <v>139923.46734928654</v>
      </c>
      <c r="S70" s="995">
        <f>SUM(S66:S69)</f>
        <v>152510.43239274039</v>
      </c>
      <c r="U70" s="995">
        <f>SUM(U66:U69)</f>
        <v>165258.09104556486</v>
      </c>
      <c r="W70" s="995">
        <f>SUM(W66:W69)</f>
        <v>178165.04511284817</v>
      </c>
      <c r="Y70" s="995">
        <f>SUM(Y66:Y69)</f>
        <v>191229.67137673439</v>
      </c>
      <c r="AA70" s="995">
        <f>SUM(AA66:AA69)</f>
        <v>204450.10930797947</v>
      </c>
      <c r="AC70" s="995">
        <f>SUM(AC66:AC69)</f>
        <v>217824.24823689018</v>
      </c>
      <c r="AE70" s="995">
        <f>SUM(AE66:AE69)</f>
        <v>231349.71396194585</v>
      </c>
      <c r="AG70" s="995">
        <f>SUM(AG66:AG69)</f>
        <v>245023.85477359884</v>
      </c>
    </row>
    <row r="71" spans="1:33" s="995" customFormat="1">
      <c r="A71" s="997"/>
      <c r="C71" s="1005"/>
    </row>
    <row r="72" spans="1:33" s="995" customFormat="1">
      <c r="A72" s="997" t="s">
        <v>1913</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3" s="995" customFormat="1">
      <c r="A73" s="563"/>
      <c r="C73" s="1005"/>
    </row>
    <row r="74" spans="1:33" s="233" customFormat="1">
      <c r="A74" s="563"/>
      <c r="C74" s="192"/>
    </row>
    <row r="75" spans="1:33" s="233" customFormat="1">
      <c r="A75" s="995" t="s">
        <v>1912</v>
      </c>
      <c r="C75" s="192"/>
    </row>
    <row r="76" spans="1:33" s="233" customFormat="1">
      <c r="C76" s="192"/>
    </row>
    <row r="77" spans="1:33" s="250" customFormat="1" ht="30" customHeight="1">
      <c r="A77" s="2681" t="s">
        <v>1911</v>
      </c>
      <c r="B77" s="2682"/>
      <c r="C77" s="2682"/>
      <c r="D77" s="2682"/>
      <c r="E77" s="2682"/>
      <c r="F77" s="2682"/>
      <c r="G77" s="2682"/>
      <c r="H77" s="2682"/>
      <c r="I77" s="2682"/>
      <c r="J77" s="2682"/>
      <c r="K77" s="2682"/>
      <c r="L77" s="2682"/>
      <c r="M77" s="2682"/>
      <c r="N77" s="2682"/>
      <c r="O77" s="2682"/>
      <c r="P77" s="2682"/>
      <c r="Q77" s="2682"/>
      <c r="R77" s="2682"/>
      <c r="S77" s="2682"/>
      <c r="T77" s="2682"/>
      <c r="U77" s="2682"/>
      <c r="V77" s="2682"/>
      <c r="W77" s="2682"/>
      <c r="X77" s="2682"/>
      <c r="Y77" s="2682"/>
      <c r="Z77" s="2682"/>
      <c r="AA77" s="2682"/>
      <c r="AB77" s="2682"/>
      <c r="AC77" s="2682"/>
      <c r="AD77" s="2682"/>
      <c r="AE77" s="2682"/>
      <c r="AF77" s="2682"/>
      <c r="AG77" s="2682"/>
    </row>
    <row r="78" spans="1:33" s="230" customFormat="1" hidden="1">
      <c r="C78" s="232"/>
    </row>
    <row r="79" spans="1:33" s="230" customFormat="1" hidden="1">
      <c r="C79" s="232"/>
    </row>
    <row r="80" spans="1:33"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990</v>
      </c>
    </row>
    <row r="2" spans="1:1" ht="15.75">
      <c r="A2" s="338"/>
    </row>
    <row r="3" spans="1:1" ht="15.75">
      <c r="A3" s="339" t="s">
        <v>985</v>
      </c>
    </row>
    <row r="4" spans="1:1" ht="15.75">
      <c r="A4" s="339" t="s">
        <v>986</v>
      </c>
    </row>
    <row r="5" spans="1:1" ht="15.75">
      <c r="A5" s="339" t="s">
        <v>987</v>
      </c>
    </row>
    <row r="6" spans="1:1" ht="15.75">
      <c r="A6" s="339" t="s">
        <v>989</v>
      </c>
    </row>
    <row r="7" spans="1:1" ht="15.75">
      <c r="A7" s="339" t="s">
        <v>988</v>
      </c>
    </row>
    <row r="8" spans="1:1" ht="15.75">
      <c r="A8" s="374" t="s">
        <v>1048</v>
      </c>
    </row>
    <row r="9" spans="1:1" ht="15.75">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topLeftCell="A19920" workbookViewId="0">
      <selection activeCell="O23" sqref="O23"/>
    </sheetView>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1323</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6500000</v>
      </c>
      <c r="C5" s="286">
        <f>'Sources and Uses Budget'!$C4</f>
        <v>6500000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6500000</v>
      </c>
      <c r="C9" s="290">
        <f>SUM(C5:C8)</f>
        <v>6500000</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0</v>
      </c>
      <c r="C11" s="286">
        <f>'Sources and Uses Budget'!$C10</f>
        <v>0</v>
      </c>
      <c r="D11" s="290">
        <f t="shared" si="0"/>
        <v>0</v>
      </c>
      <c r="E11" s="288"/>
      <c r="F11" s="287"/>
      <c r="G11" s="383"/>
    </row>
    <row r="12" spans="1:7" s="380" customFormat="1">
      <c r="A12" s="396" t="s">
        <v>604</v>
      </c>
      <c r="B12" s="290">
        <f>SUM(B10:B11)</f>
        <v>0</v>
      </c>
      <c r="C12" s="290">
        <f>SUM(C10:C11)</f>
        <v>0</v>
      </c>
      <c r="D12" s="290">
        <f t="shared" si="0"/>
        <v>0</v>
      </c>
      <c r="E12" s="288"/>
      <c r="F12" s="287"/>
      <c r="G12" s="383"/>
    </row>
    <row r="13" spans="1:7" s="380" customFormat="1">
      <c r="A13" s="396" t="s">
        <v>84</v>
      </c>
      <c r="B13" s="290">
        <f>SUM(B9+B12)</f>
        <v>6500000</v>
      </c>
      <c r="C13" s="290">
        <f>SUM(C9+C12)</f>
        <v>6500000</v>
      </c>
      <c r="D13" s="290">
        <f t="shared" si="0"/>
        <v>0</v>
      </c>
      <c r="E13" s="288"/>
      <c r="F13" s="287"/>
      <c r="G13" s="383"/>
    </row>
    <row r="14" spans="1:7" s="380" customFormat="1">
      <c r="A14" s="397" t="s">
        <v>917</v>
      </c>
      <c r="B14" s="286">
        <f>'Sources and Uses Budget'!$C13</f>
        <v>930883</v>
      </c>
      <c r="C14" s="286">
        <f>'Sources and Uses Budget'!$C13</f>
        <v>930883</v>
      </c>
      <c r="D14" s="290">
        <f t="shared" si="0"/>
        <v>0</v>
      </c>
      <c r="E14" s="288"/>
      <c r="F14" s="287"/>
      <c r="G14" s="383"/>
    </row>
    <row r="15" spans="1:7" s="380" customFormat="1" ht="24">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1753</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2400000</v>
      </c>
      <c r="C30" s="286">
        <f>'Sources and Uses Budget'!$C29</f>
        <v>2400000</v>
      </c>
      <c r="D30" s="290">
        <f t="shared" si="0"/>
        <v>0</v>
      </c>
      <c r="E30" s="288"/>
      <c r="F30" s="287"/>
      <c r="G30" s="383"/>
    </row>
    <row r="31" spans="1:7" s="380" customFormat="1">
      <c r="A31" s="145" t="s">
        <v>607</v>
      </c>
      <c r="B31" s="286">
        <f>'Sources and Uses Budget'!$C30</f>
        <v>65388254.37062937</v>
      </c>
      <c r="C31" s="286">
        <f>'Sources and Uses Budget'!$C30</f>
        <v>65388254.37062937</v>
      </c>
      <c r="D31" s="290">
        <f t="shared" si="0"/>
        <v>0</v>
      </c>
      <c r="E31" s="288"/>
      <c r="F31" s="287"/>
      <c r="G31" s="383"/>
    </row>
    <row r="32" spans="1:7" s="380" customFormat="1">
      <c r="A32" s="145" t="s">
        <v>608</v>
      </c>
      <c r="B32" s="286">
        <f>'Sources and Uses Budget'!$C31</f>
        <v>2699530.1748251747</v>
      </c>
      <c r="C32" s="286">
        <f>'Sources and Uses Budget'!$C31</f>
        <v>2699530.1748251747</v>
      </c>
      <c r="D32" s="290">
        <f t="shared" si="0"/>
        <v>0</v>
      </c>
      <c r="E32" s="288"/>
      <c r="F32" s="287"/>
      <c r="G32" s="383"/>
    </row>
    <row r="33" spans="1:7" s="380" customFormat="1">
      <c r="A33" s="145" t="s">
        <v>137</v>
      </c>
      <c r="B33" s="286">
        <f>'Sources and Uses Budget'!$C32</f>
        <v>2105633.5363636361</v>
      </c>
      <c r="C33" s="286">
        <f>'Sources and Uses Budget'!$C32</f>
        <v>2105633.5363636361</v>
      </c>
      <c r="D33" s="290">
        <f t="shared" si="0"/>
        <v>0</v>
      </c>
      <c r="E33" s="288"/>
      <c r="F33" s="287"/>
      <c r="G33" s="383"/>
    </row>
    <row r="34" spans="1:7" s="380" customFormat="1">
      <c r="A34" s="145" t="s">
        <v>138</v>
      </c>
      <c r="B34" s="286">
        <f>'Sources and Uses Budget'!$C33</f>
        <v>4613144.9181818198</v>
      </c>
      <c r="C34" s="286">
        <f>'Sources and Uses Budget'!$C33</f>
        <v>4613144.9181818198</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1351114.8525</v>
      </c>
      <c r="C36" s="286">
        <f>'Sources and Uses Budget'!$C35</f>
        <v>1351114.8525</v>
      </c>
      <c r="D36" s="290">
        <f t="shared" si="0"/>
        <v>0</v>
      </c>
      <c r="E36" s="288"/>
      <c r="F36" s="287"/>
      <c r="G36" s="383"/>
    </row>
    <row r="37" spans="1:7" s="380" customFormat="1">
      <c r="A37" s="304" t="s">
        <v>1753</v>
      </c>
      <c r="B37" s="286">
        <f>'Sources and Uses Budget'!$C36</f>
        <v>615000</v>
      </c>
      <c r="C37" s="286">
        <f>'Sources and Uses Budget'!$C36</f>
        <v>615000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79172677.852500007</v>
      </c>
      <c r="C39" s="290">
        <f>SUM(C30:C38)</f>
        <v>79172677.852500007</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3270041.7142857146</v>
      </c>
      <c r="C41" s="286">
        <f>'Sources and Uses Budget'!$C40</f>
        <v>3270041.7142857146</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3270041.7142857146</v>
      </c>
      <c r="C43" s="290">
        <f>SUM(C41:C42)</f>
        <v>3270041.7142857146</v>
      </c>
      <c r="D43" s="290">
        <f t="shared" si="0"/>
        <v>0</v>
      </c>
      <c r="E43" s="288"/>
      <c r="F43" s="287"/>
      <c r="G43" s="383"/>
    </row>
    <row r="44" spans="1:7" s="380" customFormat="1">
      <c r="A44" s="291" t="s">
        <v>148</v>
      </c>
      <c r="B44" s="286">
        <f>'Sources and Uses Budget'!$C43</f>
        <v>325500</v>
      </c>
      <c r="C44" s="286">
        <f>'Sources and Uses Budget'!$C43</f>
        <v>325500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6281258.3513925672</v>
      </c>
      <c r="C46" s="286">
        <f>'Sources and Uses Budget'!$C45</f>
        <v>6281258.3513925672</v>
      </c>
      <c r="D46" s="290">
        <f t="shared" si="0"/>
        <v>0</v>
      </c>
      <c r="E46" s="288"/>
      <c r="F46" s="287"/>
      <c r="G46" s="383"/>
    </row>
    <row r="47" spans="1:7" s="380" customFormat="1">
      <c r="A47" s="145" t="s">
        <v>151</v>
      </c>
      <c r="B47" s="286">
        <f>'Sources and Uses Budget'!$C46</f>
        <v>477000</v>
      </c>
      <c r="C47" s="286">
        <f>'Sources and Uses Budget'!$C46</f>
        <v>477000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272260</v>
      </c>
      <c r="C50" s="286">
        <f>'Sources and Uses Budget'!$C49</f>
        <v>272260</v>
      </c>
      <c r="D50" s="290">
        <f t="shared" si="0"/>
        <v>0</v>
      </c>
      <c r="E50" s="288"/>
      <c r="F50" s="287"/>
      <c r="G50" s="383"/>
    </row>
    <row r="51" spans="1:7" s="380" customFormat="1">
      <c r="A51" s="145" t="s">
        <v>156</v>
      </c>
      <c r="B51" s="286">
        <f>'Sources and Uses Budget'!$C50</f>
        <v>85000</v>
      </c>
      <c r="C51" s="286">
        <f>'Sources and Uses Budget'!$C50</f>
        <v>85000</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3300000</v>
      </c>
      <c r="C53" s="286">
        <f>'Sources and Uses Budget'!$C52</f>
        <v>3300000</v>
      </c>
      <c r="D53" s="290">
        <f t="shared" si="0"/>
        <v>0</v>
      </c>
      <c r="E53" s="288"/>
      <c r="F53" s="287"/>
      <c r="G53" s="383"/>
    </row>
    <row r="54" spans="1:7" s="380" customFormat="1">
      <c r="A54" s="155" t="str">
        <f>'Sources and Uses Budget'!A53</f>
        <v>Other: (Lender Inspection Reports)</v>
      </c>
      <c r="B54" s="286">
        <f>'Sources and Uses Budget'!$C53</f>
        <v>58000</v>
      </c>
      <c r="C54" s="286">
        <f>'Sources and Uses Budget'!$C53</f>
        <v>58000</v>
      </c>
      <c r="D54" s="290">
        <f t="shared" si="0"/>
        <v>0</v>
      </c>
      <c r="E54" s="288"/>
      <c r="F54" s="287"/>
      <c r="G54" s="383"/>
    </row>
    <row r="55" spans="1:7" s="381" customFormat="1">
      <c r="A55" s="291" t="s">
        <v>157</v>
      </c>
      <c r="B55" s="293">
        <f>SUM(B46:B54)</f>
        <v>10473518.351392567</v>
      </c>
      <c r="C55" s="293">
        <f>SUM(C46:C54)</f>
        <v>10473518.351392567</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206850</v>
      </c>
      <c r="C57" s="286">
        <f>'Sources and Uses Budget'!$C56</f>
        <v>206850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5000</v>
      </c>
      <c r="C59" s="286">
        <f>'Sources and Uses Budget'!$C58</f>
        <v>5000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 customHeight="1">
      <c r="A63" s="291" t="s">
        <v>302</v>
      </c>
      <c r="B63" s="290">
        <f>SUM(B57:B62)</f>
        <v>211850</v>
      </c>
      <c r="C63" s="290">
        <f>SUM(C57:C62)</f>
        <v>211850</v>
      </c>
      <c r="D63" s="290">
        <f t="shared" si="0"/>
        <v>0</v>
      </c>
      <c r="E63" s="288"/>
      <c r="F63" s="287"/>
      <c r="G63" s="383"/>
    </row>
    <row r="64" spans="1:7" s="380" customFormat="1">
      <c r="A64" s="294" t="s">
        <v>303</v>
      </c>
      <c r="B64" s="290">
        <f>SUM(B9+B12+B14+B15+B17+B26+B28+B39+B43+B44+B55+B63)</f>
        <v>100884470.91817829</v>
      </c>
      <c r="C64" s="290">
        <f>SUM(C9+C12+C14+C15+C17+C26+C28+C39+C43+C44+C55+C63)</f>
        <v>100884470.91817829</v>
      </c>
      <c r="D64" s="290">
        <f t="shared" si="0"/>
        <v>0</v>
      </c>
      <c r="E64" s="288"/>
      <c r="F64" s="287"/>
      <c r="G64" s="383"/>
    </row>
    <row r="65" spans="1:7" s="380" customFormat="1" ht="24">
      <c r="A65" s="141" t="s">
        <v>1757</v>
      </c>
      <c r="B65" s="284"/>
      <c r="C65" s="284"/>
      <c r="D65" s="284"/>
      <c r="E65" s="303"/>
      <c r="F65" s="284"/>
      <c r="G65" s="383"/>
    </row>
    <row r="66" spans="1:7" s="380" customFormat="1">
      <c r="A66" s="145" t="s">
        <v>171</v>
      </c>
      <c r="B66" s="286">
        <f>'Sources and Uses Budget'!$C65</f>
        <v>452595</v>
      </c>
      <c r="C66" s="286">
        <f>'Sources and Uses Budget'!$C65</f>
        <v>452595</v>
      </c>
      <c r="D66" s="290">
        <f t="shared" si="0"/>
        <v>0</v>
      </c>
      <c r="E66" s="288"/>
      <c r="F66" s="287"/>
      <c r="G66" s="383"/>
    </row>
    <row r="67" spans="1:7" s="380" customFormat="1" ht="24">
      <c r="A67" s="304" t="s">
        <v>1754</v>
      </c>
      <c r="B67" s="286">
        <f>'Sources and Uses Budget'!$C66</f>
        <v>0</v>
      </c>
      <c r="C67" s="286">
        <f>'Sources and Uses Budget'!$C66</f>
        <v>0</v>
      </c>
      <c r="D67" s="290"/>
      <c r="E67" s="288"/>
      <c r="F67" s="287"/>
      <c r="G67" s="383"/>
    </row>
    <row r="68" spans="1:7" s="380" customFormat="1" ht="24">
      <c r="A68" s="304" t="s">
        <v>1755</v>
      </c>
      <c r="B68" s="286">
        <f>'Sources and Uses Budget'!$C67</f>
        <v>0</v>
      </c>
      <c r="C68" s="286">
        <f>'Sources and Uses Budget'!$C67</f>
        <v>0</v>
      </c>
      <c r="D68" s="290"/>
      <c r="E68" s="288"/>
      <c r="F68" s="287"/>
      <c r="G68" s="383"/>
    </row>
    <row r="69" spans="1:7" s="380" customFormat="1">
      <c r="A69" s="304" t="s">
        <v>1761</v>
      </c>
      <c r="B69" s="286">
        <f>'Sources and Uses Budget'!$C68</f>
        <v>0</v>
      </c>
      <c r="C69" s="286">
        <f>'Sources and Uses Budget'!$C68</f>
        <v>0</v>
      </c>
      <c r="D69" s="290"/>
      <c r="E69" s="288"/>
      <c r="F69" s="287"/>
      <c r="G69" s="383"/>
    </row>
    <row r="70" spans="1:7" s="380" customFormat="1">
      <c r="A70" s="155" t="str">
        <f>'Sources and Uses Budget'!A69</f>
        <v>Other: (Specify)</v>
      </c>
      <c r="B70" s="286">
        <f>'Sources and Uses Budget'!$C69</f>
        <v>0</v>
      </c>
      <c r="C70" s="286">
        <f>'Sources and Uses Budget'!$C69</f>
        <v>0</v>
      </c>
      <c r="D70" s="290">
        <f t="shared" si="0"/>
        <v>0</v>
      </c>
      <c r="E70" s="288"/>
      <c r="F70" s="287"/>
      <c r="G70" s="383"/>
    </row>
    <row r="71" spans="1:7" s="380" customFormat="1">
      <c r="A71" s="149" t="s">
        <v>1758</v>
      </c>
      <c r="B71" s="290">
        <f>SUM(B66:B70)</f>
        <v>452595</v>
      </c>
      <c r="C71" s="290">
        <f>SUM(C66:C70)</f>
        <v>452595</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c r="A76" s="289" t="s">
        <v>613</v>
      </c>
      <c r="B76" s="286">
        <f>'Sources and Uses Budget'!$C75</f>
        <v>906175.5834271214</v>
      </c>
      <c r="C76" s="286">
        <f>'Sources and Uses Budget'!$C75</f>
        <v>906175.5834271214</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614</v>
      </c>
      <c r="B78" s="290">
        <f>SUM(B73:B77)</f>
        <v>906175.5834271214</v>
      </c>
      <c r="C78" s="290">
        <f>SUM(C73:C77)</f>
        <v>906175.5834271214</v>
      </c>
      <c r="D78" s="290">
        <f t="shared" ref="D78:D106" si="1">C78-B78</f>
        <v>0</v>
      </c>
      <c r="E78" s="288"/>
      <c r="F78" s="287"/>
      <c r="G78" s="383"/>
    </row>
    <row r="79" spans="1:7" s="380" customFormat="1">
      <c r="A79" s="284" t="s">
        <v>1316</v>
      </c>
      <c r="B79" s="284"/>
      <c r="C79" s="284"/>
      <c r="D79" s="284"/>
      <c r="E79" s="303"/>
      <c r="F79" s="284"/>
      <c r="G79" s="383"/>
    </row>
    <row r="80" spans="1:7" s="380" customFormat="1">
      <c r="A80" s="544" t="s">
        <v>1318</v>
      </c>
      <c r="B80" s="286">
        <f>'Sources and Uses Budget'!$C79</f>
        <v>3927883.8926250003</v>
      </c>
      <c r="C80" s="286">
        <f>'Sources and Uses Budget'!$C79</f>
        <v>3927883.8926250003</v>
      </c>
      <c r="D80" s="290">
        <f t="shared" si="1"/>
        <v>0</v>
      </c>
      <c r="E80" s="288"/>
      <c r="F80" s="287"/>
      <c r="G80" s="383"/>
    </row>
    <row r="81" spans="1:7" s="380" customFormat="1">
      <c r="A81" s="544" t="s">
        <v>58</v>
      </c>
      <c r="B81" s="286">
        <f>'Sources and Uses Budget'!$C80</f>
        <v>558867.26528936147</v>
      </c>
      <c r="C81" s="286">
        <f>'Sources and Uses Budget'!$C80</f>
        <v>558867.26528936147</v>
      </c>
      <c r="D81" s="290">
        <f>C81-B81</f>
        <v>0</v>
      </c>
      <c r="E81" s="288"/>
      <c r="F81" s="287"/>
      <c r="G81" s="383"/>
    </row>
    <row r="82" spans="1:7" s="380" customFormat="1">
      <c r="A82" s="291" t="s">
        <v>1315</v>
      </c>
      <c r="B82" s="290">
        <f>SUM(B80:B81)</f>
        <v>4486751.1579143619</v>
      </c>
      <c r="C82" s="290">
        <f>SUM(C80:C81)</f>
        <v>4486751.1579143619</v>
      </c>
      <c r="D82" s="290">
        <f t="shared" si="1"/>
        <v>0</v>
      </c>
      <c r="E82" s="288"/>
      <c r="F82" s="287"/>
      <c r="G82" s="383"/>
    </row>
    <row r="83" spans="1:7" s="380" customFormat="1">
      <c r="A83" s="284" t="s">
        <v>774</v>
      </c>
      <c r="B83" s="284"/>
      <c r="C83" s="284"/>
      <c r="D83" s="284"/>
      <c r="E83" s="303"/>
      <c r="F83" s="284"/>
      <c r="G83" s="383"/>
    </row>
    <row r="84" spans="1:7" s="380" customFormat="1" ht="13.7" customHeight="1">
      <c r="A84" s="289" t="s">
        <v>775</v>
      </c>
      <c r="B84" s="286">
        <f>'Sources and Uses Budget'!$C83</f>
        <v>115450.94287561768</v>
      </c>
      <c r="C84" s="286">
        <f>'Sources and Uses Budget'!$C83</f>
        <v>115450.94287561768</v>
      </c>
      <c r="D84" s="290">
        <f t="shared" si="1"/>
        <v>0</v>
      </c>
      <c r="E84" s="288"/>
      <c r="F84" s="287"/>
      <c r="G84" s="383"/>
    </row>
    <row r="85" spans="1:7" s="380" customFormat="1">
      <c r="A85" s="289" t="s">
        <v>776</v>
      </c>
      <c r="B85" s="286">
        <f>'Sources and Uses Budget'!$C84</f>
        <v>43000</v>
      </c>
      <c r="C85" s="286">
        <f>'Sources and Uses Budget'!$C84</f>
        <v>43000</v>
      </c>
      <c r="D85" s="290">
        <f t="shared" si="1"/>
        <v>0</v>
      </c>
      <c r="E85" s="288"/>
      <c r="F85" s="287"/>
      <c r="G85" s="383"/>
    </row>
    <row r="86" spans="1:7" s="380" customFormat="1">
      <c r="A86" s="289" t="s">
        <v>777</v>
      </c>
      <c r="B86" s="286">
        <f>'Sources and Uses Budget'!$C85</f>
        <v>1375976</v>
      </c>
      <c r="C86" s="286">
        <f>'Sources and Uses Budget'!$C85</f>
        <v>1375976</v>
      </c>
      <c r="D86" s="290">
        <f t="shared" si="1"/>
        <v>0</v>
      </c>
      <c r="E86" s="288"/>
      <c r="F86" s="287"/>
      <c r="G86" s="383"/>
    </row>
    <row r="87" spans="1:7" s="380" customFormat="1">
      <c r="A87" s="289" t="s">
        <v>778</v>
      </c>
      <c r="B87" s="286">
        <f>'Sources and Uses Budget'!$C86</f>
        <v>837796</v>
      </c>
      <c r="C87" s="286">
        <f>'Sources and Uses Budget'!$C86</f>
        <v>837796</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132639</v>
      </c>
      <c r="C89" s="286">
        <f>'Sources and Uses Budget'!$C88</f>
        <v>132639</v>
      </c>
      <c r="D89" s="290">
        <f t="shared" si="1"/>
        <v>0</v>
      </c>
      <c r="E89" s="288"/>
      <c r="F89" s="287"/>
      <c r="G89" s="383"/>
    </row>
    <row r="90" spans="1:7" s="380" customFormat="1">
      <c r="A90" s="289" t="s">
        <v>781</v>
      </c>
      <c r="B90" s="286">
        <f>'Sources and Uses Budget'!$C89</f>
        <v>550000</v>
      </c>
      <c r="C90" s="286">
        <f>'Sources and Uses Budget'!$C89</f>
        <v>550000</v>
      </c>
      <c r="D90" s="290">
        <f t="shared" si="1"/>
        <v>0</v>
      </c>
      <c r="E90" s="288"/>
      <c r="F90" s="287"/>
      <c r="G90" s="383"/>
    </row>
    <row r="91" spans="1:7" s="380" customFormat="1">
      <c r="A91" s="289" t="s">
        <v>782</v>
      </c>
      <c r="B91" s="286">
        <f>'Sources and Uses Budget'!$C90</f>
        <v>15000</v>
      </c>
      <c r="C91" s="286">
        <f>'Sources and Uses Budget'!$C90</f>
        <v>15000</v>
      </c>
      <c r="D91" s="290">
        <f t="shared" si="1"/>
        <v>0</v>
      </c>
      <c r="E91" s="288"/>
      <c r="F91" s="287"/>
      <c r="G91" s="383"/>
    </row>
    <row r="92" spans="1:7" s="380" customFormat="1">
      <c r="A92" s="289" t="s">
        <v>373</v>
      </c>
      <c r="B92" s="286">
        <f>'Sources and Uses Budget'!$C91</f>
        <v>85000</v>
      </c>
      <c r="C92" s="286">
        <f>'Sources and Uses Budget'!$C91</f>
        <v>85000</v>
      </c>
      <c r="D92" s="290">
        <f t="shared" si="1"/>
        <v>0</v>
      </c>
      <c r="E92" s="288"/>
      <c r="F92" s="287"/>
      <c r="G92" s="383"/>
    </row>
    <row r="93" spans="1:7" s="380" customFormat="1">
      <c r="A93" s="544" t="s">
        <v>1317</v>
      </c>
      <c r="B93" s="286">
        <f>'Sources and Uses Budget'!$C92</f>
        <v>15000</v>
      </c>
      <c r="C93" s="286">
        <f>'Sources and Uses Budget'!$C92</f>
        <v>15000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82000</v>
      </c>
      <c r="C95" s="286">
        <f>'Sources and Uses Budget'!$C94</f>
        <v>82000</v>
      </c>
      <c r="D95" s="290">
        <f t="shared" si="1"/>
        <v>0</v>
      </c>
      <c r="E95" s="288"/>
      <c r="F95" s="287"/>
      <c r="G95" s="383"/>
    </row>
    <row r="96" spans="1:7" s="380" customFormat="1">
      <c r="A96" s="292" t="s">
        <v>34</v>
      </c>
      <c r="B96" s="286">
        <f>'Sources and Uses Budget'!$C95</f>
        <v>16000</v>
      </c>
      <c r="C96" s="286">
        <f>'Sources and Uses Budget'!$C95</f>
        <v>16000</v>
      </c>
      <c r="D96" s="290">
        <f t="shared" si="1"/>
        <v>0</v>
      </c>
      <c r="E96" s="288"/>
      <c r="F96" s="287"/>
      <c r="G96" s="383"/>
    </row>
    <row r="97" spans="1:7" s="380" customFormat="1">
      <c r="A97" s="291" t="s">
        <v>783</v>
      </c>
      <c r="B97" s="290">
        <f>SUM(B84:B96)</f>
        <v>3267861.9428756176</v>
      </c>
      <c r="C97" s="290">
        <f>SUM(C84:C96)</f>
        <v>3267861.9428756176</v>
      </c>
      <c r="D97" s="290">
        <f t="shared" si="1"/>
        <v>0</v>
      </c>
      <c r="E97" s="288"/>
      <c r="F97" s="287"/>
      <c r="G97" s="383"/>
    </row>
    <row r="98" spans="1:7" s="380" customFormat="1">
      <c r="A98" s="291" t="s">
        <v>784</v>
      </c>
      <c r="B98" s="290">
        <f>SUM(B64+B71+B78+B82+B97)</f>
        <v>109997854.60239539</v>
      </c>
      <c r="C98" s="290">
        <f>SUM(C64+C71+C78+C82+C97)</f>
        <v>109997854.60239539</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12000000</v>
      </c>
      <c r="C100" s="286">
        <f>'Sources and Uses Budget'!$C99</f>
        <v>12000000</v>
      </c>
      <c r="D100" s="290">
        <f t="shared" si="1"/>
        <v>0</v>
      </c>
      <c r="E100" s="288"/>
      <c r="F100" s="287"/>
      <c r="G100" s="383"/>
    </row>
    <row r="101" spans="1:7" s="380" customFormat="1">
      <c r="A101" s="304" t="s">
        <v>1759</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1760</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788</v>
      </c>
      <c r="B105" s="290">
        <f>SUM(B100:B104)</f>
        <v>12000000</v>
      </c>
      <c r="C105" s="290">
        <f>SUM(C100:C104)</f>
        <v>12000000</v>
      </c>
      <c r="D105" s="290">
        <f t="shared" si="1"/>
        <v>0</v>
      </c>
      <c r="E105" s="288"/>
      <c r="F105" s="287"/>
      <c r="G105" s="383"/>
    </row>
    <row r="106" spans="1:7" s="380" customFormat="1">
      <c r="A106" s="291" t="s">
        <v>789</v>
      </c>
      <c r="B106" s="293">
        <f>SUM(B98+B105)</f>
        <v>121997854.60239539</v>
      </c>
      <c r="C106" s="293">
        <f>SUM(C98+C105)</f>
        <v>121997854.60239539</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4" t="s">
        <v>1068</v>
      </c>
      <c r="B2" s="1304"/>
      <c r="C2" s="1278"/>
      <c r="D2" s="1278"/>
      <c r="E2" s="1278"/>
      <c r="F2" s="1278"/>
      <c r="G2" s="1278"/>
    </row>
    <row r="3" spans="1:9" s="173" customFormat="1">
      <c r="A3" s="1304" t="s">
        <v>1009</v>
      </c>
      <c r="B3" s="1304"/>
      <c r="C3" s="1278"/>
      <c r="D3" s="1278"/>
      <c r="E3" s="1278"/>
      <c r="F3" s="1278"/>
      <c r="G3" s="1278"/>
      <c r="I3" t="s">
        <v>308</v>
      </c>
    </row>
    <row r="4" spans="1:9">
      <c r="I4" s="3" t="s">
        <v>1069</v>
      </c>
    </row>
    <row r="5" spans="1:9">
      <c r="A5" s="1306" t="s">
        <v>1010</v>
      </c>
      <c r="B5" s="1306"/>
      <c r="C5" s="1278"/>
      <c r="D5" s="1278"/>
      <c r="E5" s="1278"/>
      <c r="F5" s="1278"/>
      <c r="G5" s="1278"/>
      <c r="I5" s="3" t="s">
        <v>1070</v>
      </c>
    </row>
    <row r="6" spans="1:9">
      <c r="A6" s="1306" t="s">
        <v>828</v>
      </c>
      <c r="B6" s="1306"/>
      <c r="C6" s="1278"/>
      <c r="D6" s="1278"/>
      <c r="E6" s="1278"/>
      <c r="F6" s="1278"/>
      <c r="G6" s="1278"/>
      <c r="I6" t="s">
        <v>599</v>
      </c>
    </row>
    <row r="7" spans="1:9" ht="11.85" customHeight="1"/>
    <row r="8" spans="1:9">
      <c r="A8" s="1304" t="s">
        <v>1165</v>
      </c>
      <c r="B8" s="1304"/>
      <c r="C8" s="1305"/>
      <c r="D8" s="1305"/>
      <c r="E8" s="1305"/>
      <c r="F8" s="1305"/>
      <c r="G8" s="1305"/>
    </row>
    <row r="9" spans="1:9">
      <c r="A9" s="1304" t="s">
        <v>1166</v>
      </c>
      <c r="B9" s="1304"/>
      <c r="C9" s="1305"/>
      <c r="D9" s="1305"/>
      <c r="E9" s="1305"/>
      <c r="F9" s="1305"/>
      <c r="G9" s="1305"/>
    </row>
    <row r="10" spans="1:9">
      <c r="A10" s="174"/>
      <c r="B10" s="174"/>
      <c r="C10" s="172"/>
      <c r="D10" s="172"/>
      <c r="E10" s="172"/>
      <c r="F10" s="172"/>
    </row>
    <row r="11" spans="1:9">
      <c r="A11" s="1285" t="s">
        <v>1168</v>
      </c>
      <c r="B11" s="1285"/>
      <c r="C11" s="1285"/>
      <c r="D11" s="1285"/>
      <c r="E11" s="1285"/>
      <c r="F11" s="1285"/>
      <c r="G11" s="1285"/>
    </row>
    <row r="12" spans="1:9">
      <c r="A12" s="172"/>
      <c r="B12" s="172"/>
      <c r="E12" s="2"/>
    </row>
    <row r="13" spans="1:9" ht="13.15" customHeight="1">
      <c r="C13" s="172"/>
      <c r="D13" s="1318" t="s">
        <v>1167</v>
      </c>
      <c r="E13" s="1318"/>
      <c r="F13" s="1318"/>
    </row>
    <row r="14" spans="1:9">
      <c r="C14" s="172"/>
      <c r="D14" s="1318"/>
      <c r="E14" s="1318"/>
      <c r="F14" s="1318"/>
    </row>
    <row r="15" spans="1:9">
      <c r="A15" s="175"/>
      <c r="B15" s="175"/>
      <c r="C15" s="175"/>
      <c r="D15" s="1281" t="s">
        <v>1150</v>
      </c>
      <c r="E15" s="1281"/>
      <c r="F15" s="1281"/>
    </row>
    <row r="16" spans="1:9">
      <c r="A16" s="175"/>
      <c r="B16" s="175"/>
      <c r="C16" s="175"/>
      <c r="D16" s="218"/>
    </row>
    <row r="17" spans="1:6" ht="14.25">
      <c r="A17" s="176"/>
      <c r="B17" s="468" t="s">
        <v>308</v>
      </c>
      <c r="C17" s="175"/>
      <c r="D17" s="1270" t="s">
        <v>1151</v>
      </c>
      <c r="E17" s="1270"/>
      <c r="F17" s="1270"/>
    </row>
    <row r="18" spans="1:6">
      <c r="A18" s="175"/>
      <c r="B18" s="175"/>
      <c r="C18" s="175"/>
      <c r="D18" s="1270"/>
      <c r="E18" s="1270"/>
      <c r="F18" s="1270"/>
    </row>
    <row r="19" spans="1:6">
      <c r="A19" s="175"/>
      <c r="B19" s="175"/>
      <c r="C19" s="175"/>
      <c r="D19" s="1270"/>
      <c r="E19" s="1270"/>
      <c r="F19" s="1270"/>
    </row>
    <row r="20" spans="1:6">
      <c r="A20" s="175"/>
      <c r="B20" s="175"/>
      <c r="C20" s="175"/>
    </row>
    <row r="21" spans="1:6" ht="14.25">
      <c r="A21" s="176"/>
      <c r="B21" s="468" t="s">
        <v>308</v>
      </c>
      <c r="D21" s="1313" t="s">
        <v>1152</v>
      </c>
      <c r="E21" s="1313"/>
      <c r="F21" s="1313"/>
    </row>
    <row r="22" spans="1:6" ht="14.25">
      <c r="A22" s="176"/>
      <c r="B22" s="176"/>
      <c r="D22" s="35"/>
    </row>
    <row r="23" spans="1:6" ht="14.25">
      <c r="A23" s="176"/>
      <c r="B23" s="468" t="s">
        <v>308</v>
      </c>
      <c r="D23" s="1270" t="s">
        <v>1153</v>
      </c>
      <c r="E23" s="1270"/>
      <c r="F23" s="1270"/>
    </row>
    <row r="24" spans="1:6" ht="14.25">
      <c r="A24" s="176"/>
      <c r="B24" s="176"/>
      <c r="D24" s="1270"/>
      <c r="E24" s="1270"/>
      <c r="F24" s="1270"/>
    </row>
    <row r="25" spans="1:6"/>
    <row r="26" spans="1:6" ht="14.25">
      <c r="A26" s="176"/>
      <c r="B26" s="468" t="s">
        <v>308</v>
      </c>
      <c r="D26" s="1270" t="s">
        <v>1154</v>
      </c>
      <c r="E26" s="1270"/>
      <c r="F26" s="1270"/>
    </row>
    <row r="27" spans="1:6">
      <c r="D27" s="1270"/>
      <c r="E27" s="1270"/>
      <c r="F27" s="1270"/>
    </row>
    <row r="28" spans="1:6">
      <c r="D28" s="1270"/>
      <c r="E28" s="1270"/>
      <c r="F28" s="1270"/>
    </row>
    <row r="29" spans="1:6">
      <c r="D29" s="1270"/>
      <c r="E29" s="1270"/>
      <c r="F29" s="1270"/>
    </row>
    <row r="30" spans="1:6">
      <c r="D30" s="1270"/>
      <c r="E30" s="1270"/>
      <c r="F30" s="1270"/>
    </row>
    <row r="31" spans="1:6">
      <c r="D31" s="220"/>
    </row>
    <row r="32" spans="1:6">
      <c r="B32" s="468" t="s">
        <v>308</v>
      </c>
      <c r="D32" s="1270" t="s">
        <v>1155</v>
      </c>
      <c r="E32" s="1270"/>
      <c r="F32" s="1270"/>
    </row>
    <row r="33" spans="1:6">
      <c r="D33" s="1270"/>
      <c r="E33" s="1270"/>
      <c r="F33" s="1270"/>
    </row>
    <row r="34" spans="1:6" ht="14.25">
      <c r="A34" s="176"/>
      <c r="B34" s="176"/>
      <c r="D34" s="220"/>
    </row>
    <row r="35" spans="1:6" ht="14.45" customHeight="1">
      <c r="A35" s="176"/>
      <c r="B35" s="468" t="s">
        <v>308</v>
      </c>
      <c r="D35" s="1270" t="s">
        <v>1156</v>
      </c>
      <c r="E35" s="1270"/>
      <c r="F35" s="1270"/>
    </row>
    <row r="36" spans="1:6" ht="14.25">
      <c r="A36" s="176"/>
      <c r="B36" s="176"/>
      <c r="D36" s="1270"/>
      <c r="E36" s="1270"/>
      <c r="F36" s="1270"/>
    </row>
    <row r="37" spans="1:6" ht="14.25">
      <c r="A37" s="176"/>
      <c r="B37" s="176"/>
      <c r="D37" s="1270"/>
      <c r="E37" s="1270"/>
      <c r="F37" s="1270"/>
    </row>
    <row r="38" spans="1:6" ht="14.25">
      <c r="A38" s="176"/>
      <c r="B38" s="176"/>
      <c r="D38"/>
    </row>
    <row r="39" spans="1:6" ht="14.25">
      <c r="A39" s="176"/>
      <c r="B39" s="468" t="s">
        <v>308</v>
      </c>
      <c r="D39" s="1270" t="s">
        <v>1157</v>
      </c>
      <c r="E39" s="1270"/>
      <c r="F39" s="1270"/>
    </row>
    <row r="40" spans="1:6" ht="14.25">
      <c r="A40" s="176"/>
      <c r="B40" s="176"/>
      <c r="D40" s="1270"/>
      <c r="E40" s="1270"/>
      <c r="F40" s="1270"/>
    </row>
    <row r="41" spans="1:6" ht="14.25">
      <c r="A41" s="176"/>
      <c r="B41" s="176"/>
      <c r="D41" s="1270"/>
      <c r="E41" s="1270"/>
      <c r="F41" s="1270"/>
    </row>
    <row r="42" spans="1:6" ht="14.25">
      <c r="A42" s="176"/>
      <c r="B42" s="176"/>
      <c r="D42" s="1270"/>
      <c r="E42" s="1270"/>
      <c r="F42" s="1270"/>
    </row>
    <row r="43" spans="1:6" ht="14.25">
      <c r="A43" s="176"/>
      <c r="B43" s="176"/>
      <c r="D43" s="1270"/>
      <c r="E43" s="1270"/>
      <c r="F43" s="1270"/>
    </row>
    <row r="44" spans="1:6" ht="14.25">
      <c r="A44" s="176"/>
      <c r="B44" s="176"/>
      <c r="D44" s="474"/>
      <c r="E44" s="474"/>
      <c r="F44" s="474"/>
    </row>
    <row r="45" spans="1:6" ht="14.25">
      <c r="A45" s="176"/>
      <c r="B45" s="468" t="s">
        <v>308</v>
      </c>
      <c r="D45" s="1270" t="s">
        <v>1158</v>
      </c>
      <c r="E45" s="1270"/>
      <c r="F45" s="1270"/>
    </row>
    <row r="46" spans="1:6" ht="14.25">
      <c r="A46" s="176"/>
      <c r="B46" s="176"/>
      <c r="D46" s="1270"/>
      <c r="E46" s="1270"/>
      <c r="F46" s="1270"/>
    </row>
    <row r="47" spans="1:6" ht="14.25">
      <c r="A47" s="176"/>
      <c r="B47" s="176"/>
      <c r="D47" s="1270"/>
      <c r="E47" s="1270"/>
      <c r="F47" s="1270"/>
    </row>
    <row r="48" spans="1:6" ht="23.25" customHeight="1">
      <c r="A48" s="176"/>
      <c r="B48" s="176"/>
      <c r="D48" s="1270"/>
      <c r="E48" s="1270"/>
      <c r="F48" s="1270"/>
    </row>
    <row r="49" spans="1:7" ht="14.25">
      <c r="A49" s="176"/>
      <c r="B49" s="176"/>
      <c r="D49" s="35"/>
    </row>
    <row r="50" spans="1:7" ht="14.45" customHeight="1">
      <c r="A50" s="176"/>
      <c r="B50" s="468" t="s">
        <v>308</v>
      </c>
      <c r="D50" s="1270" t="s">
        <v>1159</v>
      </c>
      <c r="E50" s="1270"/>
      <c r="F50" s="1270"/>
    </row>
    <row r="51" spans="1:7" ht="14.25">
      <c r="A51" s="176"/>
      <c r="B51" s="176"/>
      <c r="D51" s="1270"/>
      <c r="E51" s="1270"/>
      <c r="F51" s="1270"/>
    </row>
    <row r="52" spans="1:7" ht="14.25">
      <c r="A52" s="176"/>
      <c r="B52" s="176"/>
      <c r="D52" s="1270"/>
      <c r="E52" s="1270"/>
      <c r="F52" s="1270"/>
    </row>
    <row r="53" spans="1:7" ht="14.25">
      <c r="A53" s="176"/>
      <c r="B53" s="176"/>
      <c r="C53" s="385"/>
      <c r="D53" s="3"/>
      <c r="E53" s="3"/>
      <c r="F53" s="3"/>
      <c r="G53" s="3"/>
    </row>
    <row r="54" spans="1:7" ht="14.25">
      <c r="A54" s="176"/>
      <c r="B54" s="468" t="s">
        <v>308</v>
      </c>
      <c r="C54" s="385"/>
      <c r="D54" s="1270" t="s">
        <v>1160</v>
      </c>
      <c r="E54" s="1270"/>
      <c r="F54" s="1270"/>
      <c r="G54" s="3"/>
    </row>
    <row r="55" spans="1:7" ht="14.25">
      <c r="A55" s="176"/>
      <c r="B55" s="176"/>
      <c r="C55" s="385"/>
      <c r="D55" s="1270"/>
      <c r="E55" s="1270"/>
      <c r="F55" s="1270"/>
      <c r="G55" s="3"/>
    </row>
    <row r="56" spans="1:7">
      <c r="D56" s="220"/>
    </row>
    <row r="57" spans="1:7" ht="14.25">
      <c r="A57" s="176"/>
      <c r="B57" s="468" t="s">
        <v>308</v>
      </c>
      <c r="D57" s="1270" t="s">
        <v>1161</v>
      </c>
      <c r="E57" s="1270"/>
      <c r="F57" s="1270"/>
    </row>
    <row r="58" spans="1:7">
      <c r="D58" s="1270"/>
      <c r="E58" s="1270"/>
      <c r="F58" s="1270"/>
    </row>
    <row r="59" spans="1:7">
      <c r="D59" s="1270"/>
      <c r="E59" s="1270"/>
      <c r="F59" s="1270"/>
    </row>
    <row r="60" spans="1:7">
      <c r="D60" s="3"/>
    </row>
    <row r="61" spans="1:7" ht="14.25">
      <c r="A61" s="176"/>
      <c r="B61" s="468" t="s">
        <v>308</v>
      </c>
      <c r="D61" s="1270" t="s">
        <v>1162</v>
      </c>
      <c r="E61" s="1270"/>
      <c r="F61" s="1270"/>
    </row>
    <row r="62" spans="1:7">
      <c r="D62" s="1270"/>
      <c r="E62" s="1270"/>
      <c r="F62" s="1270"/>
    </row>
    <row r="63" spans="1:7"/>
    <row r="64" spans="1:7" ht="14.25">
      <c r="A64" s="176"/>
      <c r="B64" s="468" t="s">
        <v>308</v>
      </c>
      <c r="D64" s="1270" t="s">
        <v>1163</v>
      </c>
      <c r="E64" s="1270"/>
      <c r="F64" s="1270"/>
    </row>
    <row r="65" spans="1:7">
      <c r="D65" s="1270"/>
      <c r="E65" s="1270"/>
      <c r="F65" s="1270"/>
    </row>
    <row r="66" spans="1:7">
      <c r="D66" s="1270"/>
      <c r="E66" s="1270"/>
      <c r="F66" s="1270"/>
    </row>
    <row r="67" spans="1:7">
      <c r="D67"/>
    </row>
    <row r="68" spans="1:7" ht="14.25">
      <c r="A68" s="176"/>
      <c r="B68" s="468" t="s">
        <v>308</v>
      </c>
      <c r="D68" s="1270" t="s">
        <v>1164</v>
      </c>
      <c r="E68" s="1270"/>
      <c r="F68" s="1270"/>
    </row>
    <row r="69" spans="1:7">
      <c r="D69" s="1270"/>
      <c r="E69" s="1270"/>
      <c r="F69" s="1270"/>
    </row>
    <row r="70" spans="1:7" ht="14.25">
      <c r="A70" s="176"/>
      <c r="B70" s="176"/>
      <c r="D70" s="35"/>
    </row>
    <row r="71" spans="1:7">
      <c r="A71" s="1285" t="s">
        <v>1071</v>
      </c>
      <c r="B71" s="1285"/>
      <c r="C71" s="1285"/>
      <c r="D71" s="1285"/>
      <c r="E71" s="1285"/>
      <c r="F71" s="1285"/>
      <c r="G71" s="1285"/>
    </row>
    <row r="72" spans="1:7"/>
    <row r="73" spans="1:7">
      <c r="C73" s="177"/>
      <c r="D73" s="1303" t="s">
        <v>1169</v>
      </c>
      <c r="E73" s="1303"/>
      <c r="F73" s="1303"/>
    </row>
    <row r="74" spans="1:7">
      <c r="A74" s="35"/>
      <c r="B74" s="35"/>
      <c r="D74" s="1270" t="s">
        <v>1196</v>
      </c>
      <c r="E74" s="1270"/>
      <c r="F74" s="1270"/>
    </row>
    <row r="75" spans="1:7">
      <c r="A75" s="35"/>
      <c r="B75" s="35"/>
    </row>
    <row r="76" spans="1:7" ht="14.25">
      <c r="A76" s="176"/>
      <c r="B76" s="468" t="s">
        <v>308</v>
      </c>
      <c r="D76" s="1270" t="s">
        <v>1170</v>
      </c>
      <c r="E76" s="1270"/>
      <c r="F76" s="1270"/>
    </row>
    <row r="77" spans="1:7" ht="14.25">
      <c r="A77" s="176"/>
      <c r="B77" s="176"/>
      <c r="D77" s="1270"/>
      <c r="E77" s="1270"/>
      <c r="F77" s="1270"/>
    </row>
    <row r="78" spans="1:7" ht="14.25">
      <c r="A78" s="176"/>
      <c r="B78" s="176"/>
      <c r="D78" s="1270"/>
      <c r="E78" s="1270"/>
      <c r="F78" s="1270"/>
    </row>
    <row r="79" spans="1:7" ht="14.25">
      <c r="A79" s="176"/>
      <c r="B79" s="176"/>
      <c r="D79" s="1270"/>
      <c r="E79" s="1270"/>
      <c r="F79" s="1270"/>
    </row>
    <row r="80" spans="1:7" ht="14.25">
      <c r="A80" s="176"/>
      <c r="B80" s="176"/>
      <c r="D80" s="1270"/>
      <c r="E80" s="1270"/>
      <c r="F80" s="1270"/>
    </row>
    <row r="81" spans="1:6" ht="14.25">
      <c r="A81" s="176"/>
      <c r="B81" s="176"/>
      <c r="D81" s="1270"/>
      <c r="E81" s="1270"/>
      <c r="F81" s="1270"/>
    </row>
    <row r="82" spans="1:6" ht="14.25">
      <c r="A82" s="176"/>
      <c r="B82" s="176"/>
      <c r="D82" s="474"/>
      <c r="E82" s="474"/>
      <c r="F82" s="474"/>
    </row>
    <row r="83" spans="1:6" ht="14.45" customHeight="1">
      <c r="A83" s="176"/>
      <c r="B83" s="468" t="s">
        <v>308</v>
      </c>
      <c r="D83" s="1279" t="s">
        <v>1269</v>
      </c>
      <c r="E83" s="1279"/>
      <c r="F83" s="1279"/>
    </row>
    <row r="84" spans="1:6" ht="14.25">
      <c r="A84" s="176"/>
      <c r="B84" s="176"/>
      <c r="D84" s="1279"/>
      <c r="E84" s="1279"/>
      <c r="F84" s="1279"/>
    </row>
    <row r="85" spans="1:6" ht="14.25">
      <c r="A85" s="176"/>
      <c r="B85" s="176"/>
      <c r="D85" s="1279"/>
      <c r="E85" s="1279"/>
      <c r="F85" s="1279"/>
    </row>
    <row r="86" spans="1:6" ht="14.25">
      <c r="A86" s="176"/>
      <c r="B86" s="176"/>
      <c r="D86" s="1279"/>
      <c r="E86" s="1279"/>
      <c r="F86" s="1279"/>
    </row>
    <row r="87" spans="1:6" ht="14.25">
      <c r="A87" s="176"/>
      <c r="B87" s="176"/>
      <c r="D87" s="1279"/>
      <c r="E87" s="1279"/>
      <c r="F87" s="1279"/>
    </row>
    <row r="88" spans="1:6" ht="14.25">
      <c r="A88" s="176"/>
      <c r="B88" s="176"/>
      <c r="D88" s="1279"/>
      <c r="E88" s="1279"/>
      <c r="F88" s="1279"/>
    </row>
    <row r="89" spans="1:6" ht="14.25">
      <c r="A89" s="176"/>
      <c r="B89" s="176"/>
      <c r="D89" s="1279"/>
      <c r="E89" s="1279"/>
      <c r="F89" s="1279"/>
    </row>
    <row r="90" spans="1:6" ht="14.25">
      <c r="A90" s="176"/>
      <c r="B90" s="176"/>
      <c r="D90" s="1279"/>
      <c r="E90" s="1279"/>
      <c r="F90" s="1279"/>
    </row>
    <row r="91" spans="1:6" ht="14.25">
      <c r="A91" s="176"/>
      <c r="B91" s="176"/>
      <c r="D91" s="1279"/>
      <c r="E91" s="1279"/>
      <c r="F91" s="1279"/>
    </row>
    <row r="92" spans="1:6" ht="14.25">
      <c r="A92" s="176"/>
      <c r="B92" s="176"/>
      <c r="D92" s="1279"/>
      <c r="E92" s="1279"/>
      <c r="F92" s="1279"/>
    </row>
    <row r="93" spans="1:6" ht="14.25">
      <c r="A93" s="176"/>
      <c r="B93" s="176"/>
      <c r="D93" s="1279"/>
      <c r="E93" s="1279"/>
      <c r="F93" s="1279"/>
    </row>
    <row r="94" spans="1:6" ht="14.25">
      <c r="A94" s="176"/>
      <c r="B94" s="176"/>
      <c r="D94" s="1279"/>
      <c r="E94" s="1279"/>
      <c r="F94" s="1279"/>
    </row>
    <row r="95" spans="1:6" ht="14.25">
      <c r="A95" s="176"/>
      <c r="B95" s="176"/>
      <c r="D95" s="1279"/>
      <c r="E95" s="1279"/>
      <c r="F95" s="1279"/>
    </row>
    <row r="96" spans="1:6" ht="14.25">
      <c r="A96" s="176"/>
      <c r="B96" s="176"/>
      <c r="D96" s="1279"/>
      <c r="E96" s="1279"/>
      <c r="F96" s="1279"/>
    </row>
    <row r="97" spans="1:11" ht="14.25">
      <c r="A97" s="176"/>
      <c r="B97" s="468" t="s">
        <v>308</v>
      </c>
      <c r="D97" s="1270" t="s">
        <v>1171</v>
      </c>
      <c r="E97" s="1270"/>
      <c r="F97" s="1270"/>
    </row>
    <row r="98" spans="1:11" ht="14.25">
      <c r="A98" s="176"/>
      <c r="B98" s="176"/>
      <c r="D98" s="1270"/>
      <c r="E98" s="1270"/>
      <c r="F98" s="1270"/>
    </row>
    <row r="99" spans="1:11" ht="14.25">
      <c r="A99" s="176"/>
      <c r="B99" s="176"/>
      <c r="D99" s="1270"/>
      <c r="E99" s="1270"/>
      <c r="F99" s="1270"/>
    </row>
    <row r="100" spans="1:11" ht="14.25">
      <c r="A100" s="176"/>
      <c r="B100" s="176"/>
      <c r="D100" s="1270"/>
      <c r="E100" s="1270"/>
      <c r="F100" s="1270"/>
    </row>
    <row r="101" spans="1:11" ht="14.25">
      <c r="A101" s="176"/>
      <c r="B101" s="176"/>
      <c r="D101" s="1270"/>
      <c r="E101" s="1270"/>
      <c r="F101" s="1270"/>
    </row>
    <row r="102" spans="1:11" ht="14.25">
      <c r="A102" s="176"/>
      <c r="B102" s="176"/>
      <c r="D102" s="1270"/>
      <c r="E102" s="1270"/>
      <c r="F102" s="1270"/>
    </row>
    <row r="103" spans="1:11" ht="14.25">
      <c r="A103" s="176"/>
      <c r="B103" s="176"/>
      <c r="D103" s="1270"/>
      <c r="E103" s="1270"/>
      <c r="F103" s="1270"/>
    </row>
    <row r="104" spans="1:11" ht="14.25">
      <c r="A104" s="176"/>
      <c r="B104" s="176"/>
      <c r="D104" s="1270"/>
      <c r="E104" s="1270"/>
      <c r="F104" s="1270"/>
    </row>
    <row r="105" spans="1:11" ht="14.25">
      <c r="A105" s="176"/>
      <c r="B105" s="176"/>
      <c r="D105" s="474"/>
      <c r="E105" s="474"/>
      <c r="F105" s="474"/>
    </row>
    <row r="106" spans="1:11" ht="14.25">
      <c r="A106" s="176"/>
      <c r="B106" s="468" t="s">
        <v>308</v>
      </c>
      <c r="C106" s="179"/>
      <c r="D106" s="1307" t="s">
        <v>1172</v>
      </c>
      <c r="E106" s="1307"/>
      <c r="F106" s="1307"/>
      <c r="G106" s="183"/>
      <c r="H106" s="181"/>
      <c r="I106" s="181"/>
      <c r="J106" s="181"/>
      <c r="K106" s="181"/>
    </row>
    <row r="107" spans="1:11" ht="14.25">
      <c r="A107" s="176"/>
      <c r="B107" s="176"/>
      <c r="C107" s="179"/>
      <c r="D107" s="1307"/>
      <c r="E107" s="1307"/>
      <c r="F107" s="1307"/>
      <c r="G107" s="183"/>
      <c r="H107" s="181"/>
      <c r="I107" s="181"/>
      <c r="J107" s="181"/>
      <c r="K107" s="181"/>
    </row>
    <row r="108" spans="1:11" ht="14.25">
      <c r="A108" s="176"/>
      <c r="B108" s="176"/>
      <c r="C108" s="179"/>
      <c r="D108" s="1307"/>
      <c r="E108" s="1307"/>
      <c r="F108" s="1307"/>
      <c r="G108" s="183"/>
      <c r="H108" s="181"/>
      <c r="I108" s="181"/>
      <c r="J108" s="181"/>
      <c r="K108" s="181"/>
    </row>
    <row r="109" spans="1:11" ht="14.25">
      <c r="A109" s="176"/>
      <c r="B109" s="176"/>
      <c r="C109" s="179"/>
      <c r="D109" s="1307"/>
      <c r="E109" s="1307"/>
      <c r="F109" s="1307"/>
      <c r="G109" s="183"/>
      <c r="H109" s="181"/>
      <c r="I109" s="181"/>
      <c r="J109" s="181"/>
      <c r="K109" s="181"/>
    </row>
    <row r="110" spans="1:11" ht="14.25">
      <c r="A110" s="176"/>
      <c r="B110" s="176"/>
      <c r="C110" s="179"/>
      <c r="D110" s="1307"/>
      <c r="E110" s="1307"/>
      <c r="F110" s="1307"/>
      <c r="G110" s="183"/>
      <c r="H110" s="181"/>
      <c r="I110" s="181"/>
      <c r="J110" s="181"/>
      <c r="K110" s="181"/>
    </row>
    <row r="111" spans="1:11">
      <c r="C111"/>
      <c r="D111" s="1307"/>
      <c r="E111" s="1307"/>
      <c r="F111" s="1307"/>
      <c r="G111"/>
    </row>
    <row r="112" spans="1:11">
      <c r="C112"/>
      <c r="D112" s="1307"/>
      <c r="E112" s="1307"/>
      <c r="F112" s="1307"/>
      <c r="G112"/>
    </row>
    <row r="113" spans="1:7">
      <c r="C113"/>
      <c r="D113" s="330"/>
      <c r="E113"/>
      <c r="F113"/>
      <c r="G113"/>
    </row>
    <row r="114" spans="1:7" ht="14.25">
      <c r="A114" s="176"/>
      <c r="B114" s="468" t="s">
        <v>308</v>
      </c>
      <c r="C114"/>
      <c r="D114" s="1308" t="s">
        <v>1173</v>
      </c>
      <c r="E114" s="1308"/>
      <c r="F114" s="1308"/>
      <c r="G114"/>
    </row>
    <row r="115" spans="1:7" ht="14.25">
      <c r="A115" s="176"/>
      <c r="B115" s="176"/>
      <c r="C115"/>
      <c r="D115" s="1308"/>
      <c r="E115" s="1308"/>
      <c r="F115" s="1308"/>
      <c r="G115"/>
    </row>
    <row r="116" spans="1:7"/>
    <row r="117" spans="1:7" ht="14.25">
      <c r="A117" s="176"/>
      <c r="B117" s="468" t="s">
        <v>308</v>
      </c>
      <c r="D117" s="1270" t="s">
        <v>1174</v>
      </c>
      <c r="E117" s="1270"/>
      <c r="F117" s="1270"/>
    </row>
    <row r="118" spans="1:7">
      <c r="D118" s="1270"/>
      <c r="E118" s="1270"/>
      <c r="F118" s="1270"/>
    </row>
    <row r="119" spans="1:7">
      <c r="D119" s="1270"/>
      <c r="E119" s="1270"/>
      <c r="F119" s="1270"/>
    </row>
    <row r="120" spans="1:7">
      <c r="D120" s="1270"/>
      <c r="E120" s="1270"/>
      <c r="F120" s="1270"/>
    </row>
    <row r="121" spans="1:7">
      <c r="D121" s="1270"/>
      <c r="E121" s="1270"/>
      <c r="F121" s="1270"/>
    </row>
    <row r="122" spans="1:7"/>
    <row r="123" spans="1:7" ht="14.25">
      <c r="A123" s="176"/>
      <c r="B123" s="468" t="s">
        <v>308</v>
      </c>
      <c r="D123" s="1270" t="s">
        <v>1175</v>
      </c>
      <c r="E123" s="1270"/>
      <c r="F123" s="1270"/>
    </row>
    <row r="124" spans="1:7" s="197" customFormat="1" ht="13.7" customHeight="1">
      <c r="A124" s="195"/>
      <c r="B124" s="195"/>
      <c r="C124" s="195"/>
      <c r="D124" s="1270"/>
      <c r="E124" s="1270"/>
      <c r="F124" s="1270"/>
      <c r="G124" s="196"/>
    </row>
    <row r="125" spans="1:7" ht="13.7" customHeight="1">
      <c r="D125" s="1270"/>
      <c r="E125" s="1270"/>
      <c r="F125" s="1270"/>
    </row>
    <row r="126" spans="1:7" ht="13.7" customHeight="1">
      <c r="D126" s="1270"/>
      <c r="E126" s="1270"/>
      <c r="F126" s="1270"/>
    </row>
    <row r="127" spans="1:7" ht="13.7" customHeight="1">
      <c r="D127" s="1270"/>
      <c r="E127" s="1270"/>
      <c r="F127" s="1270"/>
    </row>
    <row r="128" spans="1:7" ht="13.7" customHeight="1">
      <c r="A128" s="256"/>
      <c r="B128" s="256"/>
      <c r="D128" s="1270"/>
      <c r="E128" s="1270"/>
      <c r="F128" s="1270"/>
    </row>
    <row r="129" spans="2:6" ht="13.7" customHeight="1">
      <c r="D129" s="1270"/>
      <c r="E129" s="1270"/>
      <c r="F129" s="1270"/>
    </row>
    <row r="130" spans="2:6" ht="13.7" customHeight="1">
      <c r="D130" s="1270"/>
      <c r="E130" s="1270"/>
      <c r="F130" s="1270"/>
    </row>
    <row r="131" spans="2:6" ht="13.7" customHeight="1">
      <c r="D131" s="1270"/>
      <c r="E131" s="1270"/>
      <c r="F131" s="1270"/>
    </row>
    <row r="132" spans="2:6" ht="13.7" customHeight="1">
      <c r="D132" s="1270"/>
      <c r="E132" s="1270"/>
      <c r="F132" s="1270"/>
    </row>
    <row r="133" spans="2:6" ht="13.7" customHeight="1">
      <c r="D133" s="1270"/>
      <c r="E133" s="1270"/>
      <c r="F133" s="1270"/>
    </row>
    <row r="134" spans="2:6" ht="13.7" customHeight="1">
      <c r="D134" s="1270"/>
      <c r="E134" s="1270"/>
      <c r="F134" s="1270"/>
    </row>
    <row r="135" spans="2:6" ht="13.7" customHeight="1">
      <c r="D135" s="218"/>
      <c r="E135" s="35"/>
      <c r="F135" s="35"/>
    </row>
    <row r="136" spans="2:6" ht="13.7" customHeight="1">
      <c r="B136" s="468" t="s">
        <v>308</v>
      </c>
      <c r="D136" s="1270" t="s">
        <v>1283</v>
      </c>
      <c r="E136" s="1270"/>
      <c r="F136" s="1270"/>
    </row>
    <row r="137" spans="2:6" ht="13.7" customHeight="1">
      <c r="D137" s="1270"/>
      <c r="E137" s="1270"/>
      <c r="F137" s="1270"/>
    </row>
    <row r="138" spans="2:6" ht="13.7" customHeight="1">
      <c r="D138" s="1270"/>
      <c r="E138" s="1270"/>
      <c r="F138" s="1270"/>
    </row>
    <row r="139" spans="2:6" ht="13.7" customHeight="1">
      <c r="D139" s="1270"/>
      <c r="E139" s="1270"/>
      <c r="F139" s="1270"/>
    </row>
    <row r="140" spans="2:6" ht="13.7" customHeight="1">
      <c r="D140" s="1270"/>
      <c r="E140" s="1270"/>
      <c r="F140" s="1270"/>
    </row>
    <row r="141" spans="2:6" ht="13.7" customHeight="1">
      <c r="D141" s="1270"/>
      <c r="E141" s="1270"/>
      <c r="F141" s="1270"/>
    </row>
    <row r="142" spans="2:6" ht="13.7" customHeight="1">
      <c r="D142" s="1270"/>
      <c r="E142" s="1270"/>
      <c r="F142" s="1270"/>
    </row>
    <row r="143" spans="2:6" ht="13.7" customHeight="1">
      <c r="D143" s="1270"/>
      <c r="E143" s="1270"/>
      <c r="F143" s="1270"/>
    </row>
    <row r="144" spans="2:6" ht="13.7" customHeight="1">
      <c r="D144" s="1270"/>
      <c r="E144" s="1270"/>
      <c r="F144" s="1270"/>
    </row>
    <row r="145" spans="1:7" ht="13.7" customHeight="1">
      <c r="D145" s="1270"/>
      <c r="E145" s="1270"/>
      <c r="F145" s="1270"/>
    </row>
    <row r="146" spans="1:7" ht="13.7" customHeight="1">
      <c r="D146" s="1270"/>
      <c r="E146" s="1270"/>
      <c r="F146" s="1270"/>
    </row>
    <row r="147" spans="1:7" ht="13.7" customHeight="1">
      <c r="D147" s="1270"/>
      <c r="E147" s="1270"/>
      <c r="F147" s="1270"/>
    </row>
    <row r="148" spans="1:7" ht="13.7" customHeight="1">
      <c r="D148" s="1270"/>
      <c r="E148" s="1270"/>
      <c r="F148" s="1270"/>
    </row>
    <row r="149" spans="1:7" ht="13.7" customHeight="1">
      <c r="D149" s="1270"/>
      <c r="E149" s="1270"/>
      <c r="F149" s="1270"/>
    </row>
    <row r="150" spans="1:7" ht="13.7" customHeight="1">
      <c r="D150" s="1270"/>
      <c r="E150" s="1270"/>
      <c r="F150" s="1270"/>
    </row>
    <row r="151" spans="1:7" ht="13.7" customHeight="1">
      <c r="D151" s="1270"/>
      <c r="E151" s="1270"/>
      <c r="F151" s="1270"/>
    </row>
    <row r="152" spans="1:7" ht="13.7" customHeight="1">
      <c r="D152" s="1270"/>
      <c r="E152" s="1270"/>
      <c r="F152" s="1270"/>
    </row>
    <row r="153" spans="1:7" ht="13.7" customHeight="1">
      <c r="D153" s="1270"/>
      <c r="E153" s="1270"/>
      <c r="F153" s="1270"/>
    </row>
    <row r="154" spans="1:7" ht="13.7" customHeight="1">
      <c r="D154" s="1270"/>
      <c r="E154" s="1270"/>
      <c r="F154" s="1270"/>
    </row>
    <row r="155" spans="1:7" ht="13.7" customHeight="1">
      <c r="D155" s="218"/>
      <c r="E155" s="35"/>
      <c r="F155" s="35"/>
    </row>
    <row r="156" spans="1:7" ht="13.7" customHeight="1">
      <c r="A156" s="256"/>
      <c r="B156" s="468" t="s">
        <v>308</v>
      </c>
      <c r="C156" s="218"/>
      <c r="D156" s="1279" t="s">
        <v>1176</v>
      </c>
      <c r="E156" s="1279"/>
      <c r="F156" s="1279"/>
      <c r="G156" s="218"/>
    </row>
    <row r="157" spans="1:7" ht="13.7" customHeight="1">
      <c r="A157" s="256"/>
      <c r="B157" s="256"/>
      <c r="C157" s="218"/>
      <c r="D157" s="1279"/>
      <c r="E157" s="1279"/>
      <c r="F157" s="1279"/>
      <c r="G157" s="218"/>
    </row>
    <row r="158" spans="1:7" ht="13.7" customHeight="1">
      <c r="A158" s="256"/>
      <c r="B158" s="256"/>
      <c r="C158" s="218"/>
      <c r="D158" s="218"/>
      <c r="E158" s="218"/>
      <c r="F158" s="218"/>
      <c r="G158" s="218"/>
    </row>
    <row r="159" spans="1:7" ht="13.7" customHeight="1">
      <c r="A159" s="256"/>
      <c r="B159" s="468" t="s">
        <v>308</v>
      </c>
      <c r="C159" s="218"/>
      <c r="D159" s="1279" t="s">
        <v>1177</v>
      </c>
      <c r="E159" s="1279"/>
      <c r="F159" s="1279"/>
      <c r="G159" s="218"/>
    </row>
    <row r="160" spans="1:7" ht="13.7" customHeight="1">
      <c r="A160" s="256"/>
      <c r="B160" s="256"/>
      <c r="C160" s="218"/>
      <c r="D160" s="1279"/>
      <c r="E160" s="1279"/>
      <c r="F160" s="1279"/>
      <c r="G160" s="218"/>
    </row>
    <row r="161" spans="1:7" ht="13.7" customHeight="1">
      <c r="A161" s="256"/>
      <c r="B161" s="256"/>
      <c r="C161" s="218"/>
      <c r="D161" s="1279"/>
      <c r="E161" s="1279"/>
      <c r="F161" s="1279"/>
      <c r="G161" s="218"/>
    </row>
    <row r="162" spans="1:7" ht="13.7" customHeight="1">
      <c r="A162" s="256"/>
      <c r="B162" s="256"/>
      <c r="C162" s="218"/>
      <c r="D162" s="1279"/>
      <c r="E162" s="1279"/>
      <c r="F162" s="1279"/>
      <c r="G162" s="218"/>
    </row>
    <row r="163" spans="1:7" ht="13.7" customHeight="1">
      <c r="D163" s="35"/>
      <c r="E163" s="35"/>
      <c r="F163" s="35"/>
    </row>
    <row r="164" spans="1:7" ht="13.7" customHeight="1">
      <c r="B164" s="468" t="s">
        <v>308</v>
      </c>
      <c r="D164" s="1284" t="s">
        <v>1178</v>
      </c>
      <c r="E164" s="1284"/>
      <c r="F164" s="1284"/>
    </row>
    <row r="165" spans="1:7" ht="13.7" customHeight="1">
      <c r="D165" s="1284"/>
      <c r="E165" s="1284"/>
      <c r="F165" s="1284"/>
    </row>
    <row r="166" spans="1:7" ht="13.7" customHeight="1">
      <c r="D166" s="1284"/>
      <c r="E166" s="1284"/>
      <c r="F166" s="1284"/>
    </row>
    <row r="167" spans="1:7" ht="13.7" customHeight="1">
      <c r="A167" s="13"/>
      <c r="B167" s="13"/>
      <c r="E167" s="35"/>
      <c r="F167" s="35"/>
    </row>
    <row r="168" spans="1:7">
      <c r="A168" s="1285" t="s">
        <v>1072</v>
      </c>
      <c r="B168" s="1285"/>
      <c r="C168" s="1285"/>
      <c r="D168" s="1285"/>
      <c r="E168" s="1285"/>
      <c r="F168" s="1285"/>
      <c r="G168" s="1285"/>
    </row>
    <row r="169" spans="1:7" ht="12" customHeight="1">
      <c r="D169" s="35"/>
      <c r="E169" s="35"/>
      <c r="F169" s="35"/>
    </row>
    <row r="170" spans="1:7">
      <c r="B170" s="1302" t="s">
        <v>448</v>
      </c>
      <c r="C170" s="1302"/>
      <c r="D170" s="1302"/>
      <c r="E170" s="1302"/>
      <c r="F170" s="1302"/>
    </row>
    <row r="171" spans="1:7" ht="12" customHeight="1">
      <c r="A171" s="172"/>
      <c r="B171" s="172"/>
      <c r="C171" s="172"/>
    </row>
    <row r="172" spans="1:7">
      <c r="A172" s="1285" t="s">
        <v>1073</v>
      </c>
      <c r="B172" s="1285"/>
      <c r="C172" s="1285"/>
      <c r="D172" s="1285"/>
      <c r="E172" s="1285"/>
      <c r="F172" s="1285"/>
      <c r="G172" s="1285"/>
    </row>
    <row r="173" spans="1:7" ht="12" customHeight="1">
      <c r="A173" s="2"/>
      <c r="B173" s="2"/>
      <c r="E173" s="2"/>
    </row>
    <row r="174" spans="1:7" ht="13.15" customHeight="1">
      <c r="A174" s="2"/>
      <c r="B174" s="2"/>
      <c r="D174" s="1299" t="s">
        <v>1181</v>
      </c>
      <c r="E174" s="1299"/>
      <c r="F174" s="1299"/>
    </row>
    <row r="175" spans="1:7">
      <c r="A175" s="2"/>
      <c r="B175" s="2"/>
      <c r="D175" s="1299"/>
      <c r="E175" s="1299"/>
      <c r="F175" s="1299"/>
    </row>
    <row r="176" spans="1:7">
      <c r="A176" s="2"/>
      <c r="B176" s="2"/>
      <c r="D176" s="1300" t="s">
        <v>1182</v>
      </c>
      <c r="E176" s="1300"/>
      <c r="F176" s="1300"/>
    </row>
    <row r="177" spans="1:7" ht="12" customHeight="1">
      <c r="A177" s="2"/>
      <c r="B177" s="2"/>
      <c r="E177" s="2"/>
    </row>
    <row r="178" spans="1:7" ht="14.25">
      <c r="A178" s="176"/>
      <c r="B178" s="468" t="s">
        <v>308</v>
      </c>
      <c r="D178" s="1297" t="s">
        <v>1180</v>
      </c>
      <c r="E178" s="1297"/>
      <c r="F178" s="1297"/>
    </row>
    <row r="179" spans="1:7" ht="14.25">
      <c r="A179" s="176"/>
      <c r="B179" s="176"/>
      <c r="D179" s="1297"/>
      <c r="E179" s="1297"/>
      <c r="F179" s="1297"/>
    </row>
    <row r="180" spans="1:7" ht="14.25">
      <c r="A180" s="176"/>
      <c r="B180" s="176"/>
      <c r="D180" s="1297"/>
      <c r="E180" s="1297"/>
      <c r="F180" s="1297"/>
    </row>
    <row r="181" spans="1:7">
      <c r="D181" s="1297"/>
      <c r="E181" s="1297"/>
      <c r="F181" s="1297"/>
    </row>
    <row r="182" spans="1:7">
      <c r="D182" s="220"/>
    </row>
    <row r="183" spans="1:7">
      <c r="D183" s="1301" t="s">
        <v>1089</v>
      </c>
      <c r="E183" s="1301"/>
      <c r="F183" s="1301"/>
    </row>
    <row r="184" spans="1:7">
      <c r="D184" s="1301"/>
      <c r="E184" s="1301"/>
      <c r="F184" s="1301"/>
    </row>
    <row r="185" spans="1:7">
      <c r="D185" s="475"/>
      <c r="E185" s="475"/>
      <c r="F185" s="475"/>
    </row>
    <row r="186" spans="1:7" ht="14.25">
      <c r="A186" s="176"/>
      <c r="B186" s="468" t="s">
        <v>308</v>
      </c>
      <c r="C186" s="385"/>
      <c r="D186" s="1270" t="s">
        <v>1179</v>
      </c>
      <c r="E186" s="1270"/>
      <c r="F186" s="1270"/>
      <c r="G186" s="3"/>
    </row>
    <row r="187" spans="1:7" ht="14.45" customHeight="1">
      <c r="A187" s="176"/>
      <c r="B187"/>
      <c r="C187" s="385"/>
      <c r="D187" s="1270"/>
      <c r="E187" s="1270"/>
      <c r="F187" s="1270"/>
      <c r="G187" s="3"/>
    </row>
    <row r="188" spans="1:7" ht="14.25">
      <c r="A188" s="176"/>
      <c r="B188" s="385"/>
      <c r="C188" s="385"/>
      <c r="D188" s="1270"/>
      <c r="E188" s="1270"/>
      <c r="F188" s="1270"/>
      <c r="G188" s="3"/>
    </row>
    <row r="189" spans="1:7" ht="14.25">
      <c r="A189" s="176"/>
      <c r="B189" s="385"/>
      <c r="C189" s="385"/>
      <c r="D189" s="1270"/>
      <c r="E189" s="1270"/>
      <c r="F189" s="1270"/>
      <c r="G189" s="3"/>
    </row>
    <row r="190" spans="1:7">
      <c r="D190" s="475"/>
      <c r="E190" s="475"/>
      <c r="F190" s="475"/>
    </row>
    <row r="191" spans="1:7">
      <c r="A191" s="1285" t="s">
        <v>1074</v>
      </c>
      <c r="B191" s="1285"/>
      <c r="C191" s="1285"/>
      <c r="D191" s="1285"/>
      <c r="E191" s="1285"/>
      <c r="F191" s="1285"/>
      <c r="G191" s="1285"/>
    </row>
    <row r="192" spans="1:7" ht="12" customHeight="1">
      <c r="D192" s="35"/>
      <c r="E192" s="35"/>
      <c r="F192" s="35"/>
    </row>
    <row r="193" spans="1:6">
      <c r="C193" s="177"/>
      <c r="D193" s="1286" t="s">
        <v>209</v>
      </c>
      <c r="E193" s="1286"/>
      <c r="F193" s="1286"/>
    </row>
    <row r="194" spans="1:6">
      <c r="A194" s="172"/>
      <c r="B194" s="172"/>
      <c r="C194" s="172"/>
      <c r="D194" s="1281" t="s">
        <v>1203</v>
      </c>
      <c r="E194" s="1289"/>
      <c r="F194" s="1289"/>
    </row>
    <row r="195" spans="1:6" ht="12" customHeight="1">
      <c r="A195" s="13"/>
      <c r="B195" s="13"/>
      <c r="C195" s="13"/>
    </row>
    <row r="196" spans="1:6" ht="13.15" customHeight="1">
      <c r="A196" s="13"/>
      <c r="C196" s="13"/>
      <c r="D196" s="1286" t="s">
        <v>554</v>
      </c>
      <c r="E196" s="1286"/>
      <c r="F196" s="1286"/>
    </row>
    <row r="197" spans="1:6" ht="14.25">
      <c r="A197" s="176"/>
      <c r="B197" s="468" t="s">
        <v>308</v>
      </c>
      <c r="D197" s="1270" t="s">
        <v>1197</v>
      </c>
      <c r="E197" s="1270"/>
      <c r="F197" s="1270"/>
    </row>
    <row r="198" spans="1:6" ht="14.25">
      <c r="A198" s="176"/>
      <c r="B198" s="176"/>
      <c r="D198" s="1270"/>
      <c r="E198" s="1270"/>
      <c r="F198" s="1270"/>
    </row>
    <row r="199" spans="1:6"/>
    <row r="200" spans="1:6" ht="14.25">
      <c r="A200" s="176"/>
      <c r="B200" s="468" t="s">
        <v>308</v>
      </c>
      <c r="D200" s="1270" t="s">
        <v>1198</v>
      </c>
      <c r="E200" s="1270"/>
      <c r="F200" s="1270"/>
    </row>
    <row r="201" spans="1:6" ht="14.25">
      <c r="A201" s="176"/>
      <c r="B201" s="176"/>
      <c r="D201" s="1270"/>
      <c r="E201" s="1270"/>
      <c r="F201" s="1270"/>
    </row>
    <row r="202" spans="1:6" ht="14.25">
      <c r="A202" s="176"/>
      <c r="B202" s="176"/>
      <c r="D202" s="1270"/>
      <c r="E202" s="1270"/>
      <c r="F202" s="1270"/>
    </row>
    <row r="203" spans="1:6" ht="5.0999999999999996" customHeight="1">
      <c r="A203" s="176"/>
      <c r="B203" s="176"/>
      <c r="D203" s="35"/>
      <c r="E203" s="35"/>
      <c r="F203" s="35"/>
    </row>
    <row r="204" spans="1:6" ht="14.25">
      <c r="A204" s="176"/>
      <c r="B204" s="176"/>
      <c r="D204" s="1270" t="s">
        <v>1199</v>
      </c>
      <c r="E204" s="1270"/>
      <c r="F204" s="1270"/>
    </row>
    <row r="205" spans="1:6" ht="14.25">
      <c r="A205" s="176"/>
      <c r="B205" s="176"/>
      <c r="D205" s="1270"/>
      <c r="E205" s="1270"/>
      <c r="F205" s="1270"/>
    </row>
    <row r="206" spans="1:6" ht="14.25">
      <c r="A206" s="176"/>
      <c r="B206" s="176"/>
      <c r="D206" s="1270"/>
      <c r="E206" s="1270"/>
      <c r="F206" s="1270"/>
    </row>
    <row r="207" spans="1:6" ht="14.25">
      <c r="A207" s="176"/>
      <c r="B207" s="176"/>
      <c r="D207" s="1270"/>
      <c r="E207" s="1270"/>
      <c r="F207" s="1270"/>
    </row>
    <row r="208" spans="1:6" ht="14.25">
      <c r="A208" s="176"/>
      <c r="B208" s="176"/>
      <c r="D208" s="1270"/>
      <c r="E208" s="1270"/>
      <c r="F208" s="1270"/>
    </row>
    <row r="209" spans="1:7" ht="14.25">
      <c r="A209" s="176"/>
      <c r="B209" s="176"/>
      <c r="D209" s="35"/>
      <c r="E209" s="35"/>
      <c r="F209" s="35"/>
    </row>
    <row r="210" spans="1:7" ht="14.25">
      <c r="A210" s="176"/>
      <c r="B210" s="468" t="s">
        <v>308</v>
      </c>
      <c r="D210" s="1270" t="s">
        <v>1200</v>
      </c>
      <c r="E210" s="1270"/>
      <c r="F210" s="1270"/>
    </row>
    <row r="211" spans="1:7" ht="14.25">
      <c r="A211" s="176"/>
      <c r="B211" s="176"/>
      <c r="D211" s="1270"/>
      <c r="E211" s="1270"/>
      <c r="F211" s="1270"/>
    </row>
    <row r="212" spans="1:7" ht="14.25">
      <c r="A212" s="176"/>
      <c r="B212" s="176"/>
      <c r="D212" s="1302" t="s">
        <v>909</v>
      </c>
      <c r="E212" s="1302"/>
      <c r="F212" s="1302"/>
    </row>
    <row r="213" spans="1:7" ht="14.25">
      <c r="A213" s="176"/>
      <c r="B213" s="176"/>
      <c r="D213" s="35"/>
      <c r="E213" s="35"/>
      <c r="F213" s="35"/>
    </row>
    <row r="214" spans="1:7" ht="14.45" customHeight="1">
      <c r="A214" s="176"/>
      <c r="B214" s="468" t="s">
        <v>308</v>
      </c>
      <c r="D214" s="1270" t="s">
        <v>1202</v>
      </c>
      <c r="E214" s="1270"/>
      <c r="F214" s="1270"/>
    </row>
    <row r="215" spans="1:7" ht="14.25">
      <c r="A215" s="176"/>
      <c r="B215" s="176"/>
      <c r="D215" s="1270"/>
      <c r="E215" s="1270"/>
      <c r="F215" s="1270"/>
    </row>
    <row r="216" spans="1:7" ht="14.25">
      <c r="A216" s="176"/>
      <c r="B216" s="176"/>
      <c r="D216" s="1270"/>
      <c r="E216" s="1270"/>
      <c r="F216" s="1270"/>
    </row>
    <row r="217" spans="1:7" ht="14.25">
      <c r="A217" s="176"/>
      <c r="B217" s="176"/>
      <c r="D217" s="1270"/>
      <c r="E217" s="1270"/>
      <c r="F217" s="1270"/>
    </row>
    <row r="218" spans="1:7" ht="14.25">
      <c r="A218" s="176"/>
      <c r="B218" s="176"/>
      <c r="D218" s="1270"/>
      <c r="E218" s="1270"/>
      <c r="F218" s="1270"/>
    </row>
    <row r="219" spans="1:7">
      <c r="D219" s="35"/>
      <c r="E219" s="35"/>
      <c r="F219" s="35"/>
    </row>
    <row r="220" spans="1:7" ht="14.25">
      <c r="A220" s="176"/>
      <c r="B220" s="468" t="s">
        <v>308</v>
      </c>
      <c r="D220" s="1270" t="s">
        <v>1201</v>
      </c>
      <c r="E220" s="1270"/>
      <c r="F220" s="1270"/>
    </row>
    <row r="221" spans="1:7" ht="14.25">
      <c r="A221" s="176"/>
      <c r="B221" s="176"/>
      <c r="D221" s="1270"/>
      <c r="E221" s="1270"/>
      <c r="F221" s="1270"/>
    </row>
    <row r="222" spans="1:7">
      <c r="D222" s="19"/>
    </row>
    <row r="223" spans="1:7">
      <c r="A223" s="1285" t="s">
        <v>1075</v>
      </c>
      <c r="B223" s="1285"/>
      <c r="C223" s="1285"/>
      <c r="D223" s="1285"/>
      <c r="E223" s="1285"/>
      <c r="F223" s="1285"/>
      <c r="G223" s="1285"/>
    </row>
    <row r="224" spans="1:7">
      <c r="D224" s="19"/>
    </row>
    <row r="225" spans="1:6">
      <c r="C225" s="177"/>
      <c r="D225" s="1286" t="s">
        <v>1204</v>
      </c>
      <c r="E225" s="1286"/>
      <c r="F225" s="1286"/>
    </row>
    <row r="226" spans="1:6">
      <c r="A226" s="172"/>
      <c r="B226" s="172"/>
      <c r="C226" s="172"/>
      <c r="D226" s="35"/>
      <c r="E226" s="35"/>
      <c r="F226" s="35"/>
    </row>
    <row r="227" spans="1:6">
      <c r="A227" s="175"/>
      <c r="B227" s="175"/>
      <c r="C227" s="175"/>
      <c r="D227" s="1286" t="s">
        <v>270</v>
      </c>
      <c r="E227" s="1286"/>
      <c r="F227" s="1286"/>
    </row>
    <row r="228" spans="1:6" ht="14.25">
      <c r="A228" s="176"/>
      <c r="B228" s="468" t="s">
        <v>308</v>
      </c>
      <c r="D228" s="1288" t="s">
        <v>1205</v>
      </c>
      <c r="E228" s="1288"/>
      <c r="F228" s="1288"/>
    </row>
    <row r="229" spans="1:6" ht="14.25">
      <c r="A229" s="176"/>
      <c r="B229" s="176"/>
      <c r="D229" s="1288"/>
      <c r="E229" s="1288"/>
      <c r="F229" s="1288"/>
    </row>
    <row r="230" spans="1:6">
      <c r="D230" s="35"/>
      <c r="E230" s="35"/>
      <c r="F230" s="35"/>
    </row>
    <row r="231" spans="1:6" ht="14.45" customHeight="1">
      <c r="A231" s="176"/>
      <c r="B231" s="468" t="s">
        <v>308</v>
      </c>
      <c r="D231" s="1270" t="s">
        <v>1206</v>
      </c>
      <c r="E231" s="1270"/>
      <c r="F231" s="1270"/>
    </row>
    <row r="232" spans="1:6">
      <c r="D232" s="1270"/>
      <c r="E232" s="1270"/>
      <c r="F232" s="1270"/>
    </row>
    <row r="233" spans="1:6">
      <c r="D233" s="1289" t="s">
        <v>901</v>
      </c>
      <c r="E233" s="1289"/>
      <c r="F233" s="1289"/>
    </row>
    <row r="234" spans="1:6">
      <c r="D234" s="35"/>
      <c r="E234" s="35"/>
      <c r="F234" s="35"/>
    </row>
    <row r="235" spans="1:6" ht="14.45" customHeight="1">
      <c r="A235" s="176"/>
      <c r="B235" s="468" t="s">
        <v>308</v>
      </c>
      <c r="D235" s="1270" t="s">
        <v>1208</v>
      </c>
      <c r="E235" s="1270"/>
      <c r="F235" s="1270"/>
    </row>
    <row r="236" spans="1:6">
      <c r="D236" s="1270"/>
      <c r="E236" s="1270"/>
      <c r="F236" s="1270"/>
    </row>
    <row r="237" spans="1:6">
      <c r="D237" s="1270"/>
      <c r="E237" s="1270"/>
      <c r="F237" s="1270"/>
    </row>
    <row r="238" spans="1:6">
      <c r="D238" s="1270"/>
      <c r="E238" s="1270"/>
      <c r="F238" s="1270"/>
    </row>
    <row r="239" spans="1:6">
      <c r="D239" s="1270"/>
      <c r="E239" s="1270"/>
      <c r="F239" s="1270"/>
    </row>
    <row r="240" spans="1:6">
      <c r="D240" s="35"/>
      <c r="E240" s="35"/>
      <c r="F240" s="35"/>
    </row>
    <row r="241" spans="1:7" ht="14.25">
      <c r="A241" s="176"/>
      <c r="B241" s="468" t="s">
        <v>308</v>
      </c>
      <c r="D241" s="1270" t="s">
        <v>1207</v>
      </c>
      <c r="E241" s="1270"/>
      <c r="F241" s="1270"/>
    </row>
    <row r="242" spans="1:7">
      <c r="D242" s="1270"/>
      <c r="E242" s="1270"/>
      <c r="F242" s="1270"/>
    </row>
    <row r="243" spans="1:7">
      <c r="D243" s="1270"/>
      <c r="E243" s="1270"/>
      <c r="F243" s="1270"/>
    </row>
    <row r="244" spans="1:7">
      <c r="D244" s="178"/>
      <c r="E244" s="35"/>
      <c r="F244" s="35"/>
    </row>
    <row r="245" spans="1:7">
      <c r="A245" s="1285" t="s">
        <v>1076</v>
      </c>
      <c r="B245" s="1285"/>
      <c r="C245" s="1285"/>
      <c r="D245" s="1285"/>
      <c r="E245" s="1285"/>
      <c r="F245" s="1285"/>
      <c r="G245" s="1285"/>
    </row>
    <row r="246" spans="1:7">
      <c r="D246" s="178"/>
      <c r="E246" s="35"/>
      <c r="F246" s="35"/>
    </row>
    <row r="247" spans="1:7">
      <c r="C247" s="172"/>
      <c r="D247" s="1303" t="s">
        <v>1209</v>
      </c>
      <c r="E247" s="1303"/>
      <c r="F247" s="1303"/>
    </row>
    <row r="248" spans="1:7">
      <c r="C248" s="172"/>
      <c r="D248" s="1303"/>
      <c r="E248" s="1303"/>
      <c r="F248" s="1303"/>
    </row>
    <row r="249" spans="1:7">
      <c r="A249" s="175"/>
      <c r="B249" s="175"/>
      <c r="C249" s="175"/>
      <c r="D249" s="2"/>
      <c r="E249" s="3"/>
      <c r="F249" s="3"/>
    </row>
    <row r="250" spans="1:7">
      <c r="C250" s="175"/>
      <c r="D250" s="1286" t="s">
        <v>210</v>
      </c>
      <c r="E250" s="1286"/>
      <c r="F250" s="1286"/>
    </row>
    <row r="251" spans="1:7" ht="15.75" customHeight="1">
      <c r="A251" s="176"/>
      <c r="B251" s="176"/>
      <c r="D251" s="1292" t="s">
        <v>1210</v>
      </c>
      <c r="E251" s="1292"/>
      <c r="F251" s="1292"/>
    </row>
    <row r="252" spans="1:7">
      <c r="E252" s="35"/>
      <c r="F252" s="35"/>
    </row>
    <row r="253" spans="1:7" ht="14.25">
      <c r="A253" s="176"/>
      <c r="B253" s="468" t="s">
        <v>308</v>
      </c>
      <c r="D253" s="1270" t="s">
        <v>1211</v>
      </c>
      <c r="E253" s="1270"/>
      <c r="F253" s="1270"/>
    </row>
    <row r="254" spans="1:7" ht="14.25">
      <c r="A254" s="176"/>
      <c r="B254" s="176"/>
      <c r="D254" s="1270"/>
      <c r="E254" s="1270"/>
      <c r="F254" s="1270"/>
    </row>
    <row r="255" spans="1:7">
      <c r="D255" s="35"/>
      <c r="E255" s="35"/>
      <c r="F255" s="35"/>
    </row>
    <row r="256" spans="1:7" ht="14.25">
      <c r="A256" s="176"/>
      <c r="B256" s="468" t="s">
        <v>308</v>
      </c>
      <c r="D256" s="1270" t="s">
        <v>1212</v>
      </c>
      <c r="E256" s="1270"/>
      <c r="F256" s="1270"/>
    </row>
    <row r="257" spans="1:7" ht="14.25">
      <c r="A257" s="176"/>
      <c r="B257" s="176"/>
      <c r="D257" s="1270"/>
      <c r="E257" s="1270"/>
      <c r="F257" s="1270"/>
    </row>
    <row r="258" spans="1:7" ht="14.25">
      <c r="A258" s="176"/>
      <c r="B258" s="176"/>
      <c r="D258" s="1270"/>
      <c r="E258" s="1270"/>
      <c r="F258" s="1270"/>
    </row>
    <row r="259" spans="1:7">
      <c r="D259" s="35"/>
      <c r="E259" s="35"/>
      <c r="F259" s="35"/>
    </row>
    <row r="260" spans="1:7" ht="14.25">
      <c r="A260" s="176"/>
      <c r="B260" s="468" t="s">
        <v>308</v>
      </c>
      <c r="D260" s="1270" t="s">
        <v>1213</v>
      </c>
      <c r="E260" s="1270"/>
      <c r="F260" s="1270"/>
    </row>
    <row r="261" spans="1:7" ht="14.25">
      <c r="A261" s="176"/>
      <c r="B261" s="176"/>
      <c r="D261" s="1270"/>
      <c r="E261" s="1270"/>
      <c r="F261" s="1270"/>
    </row>
    <row r="262" spans="1:7">
      <c r="A262" s="13"/>
      <c r="B262" s="13"/>
      <c r="E262" s="35"/>
      <c r="F262" s="35"/>
    </row>
    <row r="263" spans="1:7">
      <c r="A263" s="1285" t="s">
        <v>1077</v>
      </c>
      <c r="B263" s="1285"/>
      <c r="C263" s="1285"/>
      <c r="D263" s="1285"/>
      <c r="E263" s="1285"/>
      <c r="F263" s="1285"/>
      <c r="G263" s="1285"/>
    </row>
    <row r="264" spans="1:7">
      <c r="A264" s="13"/>
      <c r="B264" s="13"/>
      <c r="D264" s="35"/>
      <c r="E264" s="35"/>
      <c r="F264" s="35"/>
    </row>
    <row r="265" spans="1:7">
      <c r="C265" s="13"/>
      <c r="D265" s="1286" t="s">
        <v>690</v>
      </c>
      <c r="E265" s="1286"/>
      <c r="F265" s="1286"/>
    </row>
    <row r="266" spans="1:7">
      <c r="C266" s="13"/>
      <c r="D266" s="1281" t="s">
        <v>1214</v>
      </c>
      <c r="E266" s="1281"/>
      <c r="F266" s="1281"/>
    </row>
    <row r="267" spans="1:7">
      <c r="C267" s="13"/>
      <c r="D267" s="173"/>
    </row>
    <row r="268" spans="1:7">
      <c r="B268" s="468" t="s">
        <v>308</v>
      </c>
      <c r="D268" s="1281" t="s">
        <v>1215</v>
      </c>
      <c r="E268" s="1281"/>
      <c r="F268" s="1281"/>
    </row>
    <row r="269" spans="1:7" ht="14.25">
      <c r="A269" s="176"/>
      <c r="B269" s="176"/>
      <c r="D269" s="341"/>
      <c r="E269" s="342"/>
      <c r="F269" s="342"/>
    </row>
    <row r="270" spans="1:7" ht="13.15" customHeight="1">
      <c r="B270" s="468" t="s">
        <v>308</v>
      </c>
      <c r="D270" s="1290" t="s">
        <v>1216</v>
      </c>
      <c r="E270" s="1290"/>
      <c r="F270" s="1290"/>
    </row>
    <row r="271" spans="1:7" ht="14.25">
      <c r="A271" s="176"/>
      <c r="B271" s="176"/>
      <c r="D271" s="1290"/>
      <c r="E271" s="1290"/>
      <c r="F271" s="1290"/>
    </row>
    <row r="272" spans="1:7" ht="14.25">
      <c r="A272" s="176"/>
      <c r="B272" s="176"/>
      <c r="D272" s="1290"/>
      <c r="E272" s="1290"/>
      <c r="F272" s="1290"/>
    </row>
    <row r="273" spans="1:6" ht="14.25">
      <c r="A273" s="176"/>
      <c r="B273" s="176"/>
      <c r="D273" s="1290"/>
      <c r="E273" s="1290"/>
      <c r="F273" s="1290"/>
    </row>
    <row r="274" spans="1:6" ht="14.25">
      <c r="A274" s="176"/>
      <c r="B274" s="176"/>
      <c r="D274" s="1290"/>
      <c r="E274" s="1290"/>
      <c r="F274" s="1290"/>
    </row>
    <row r="275" spans="1:6" ht="14.25">
      <c r="A275" s="176"/>
      <c r="B275" s="176"/>
      <c r="D275" s="341"/>
      <c r="E275" s="342"/>
      <c r="F275" s="342"/>
    </row>
    <row r="276" spans="1:6" ht="13.15" customHeight="1">
      <c r="B276" s="468" t="s">
        <v>308</v>
      </c>
      <c r="D276" s="1290" t="s">
        <v>1217</v>
      </c>
      <c r="E276" s="1290"/>
      <c r="F276" s="1290"/>
    </row>
    <row r="277" spans="1:6">
      <c r="D277" s="1290"/>
      <c r="E277" s="1290"/>
      <c r="F277" s="1290"/>
    </row>
    <row r="278" spans="1:6" ht="14.25">
      <c r="A278" s="176"/>
      <c r="B278" s="176"/>
      <c r="D278" s="341"/>
      <c r="E278" s="342"/>
      <c r="F278" s="342"/>
    </row>
    <row r="279" spans="1:6">
      <c r="B279" s="468" t="s">
        <v>308</v>
      </c>
      <c r="D279" s="1281" t="s">
        <v>1218</v>
      </c>
      <c r="E279" s="1281"/>
      <c r="F279" s="1281"/>
    </row>
    <row r="280" spans="1:6">
      <c r="E280" s="35"/>
      <c r="F280" s="35"/>
    </row>
    <row r="281" spans="1:6" ht="14.25">
      <c r="A281" s="176"/>
      <c r="B281" s="468" t="s">
        <v>308</v>
      </c>
      <c r="D281" s="1270" t="s">
        <v>1219</v>
      </c>
      <c r="E281" s="1270"/>
      <c r="F281" s="1270"/>
    </row>
    <row r="282" spans="1:6" ht="14.25">
      <c r="A282" s="176"/>
      <c r="B282" s="176"/>
      <c r="D282" s="1270"/>
      <c r="E282" s="1270"/>
      <c r="F282" s="1270"/>
    </row>
    <row r="283" spans="1:6" ht="14.25">
      <c r="A283" s="176"/>
      <c r="B283" s="176"/>
      <c r="D283" s="1270"/>
      <c r="E283" s="1270"/>
      <c r="F283" s="1270"/>
    </row>
    <row r="284" spans="1:6" ht="14.25">
      <c r="A284" s="176"/>
      <c r="B284" s="176"/>
      <c r="D284" s="1270"/>
      <c r="E284" s="1270"/>
      <c r="F284" s="1270"/>
    </row>
    <row r="285" spans="1:6" ht="14.25">
      <c r="A285" s="176"/>
      <c r="B285" s="176"/>
      <c r="D285" s="1270"/>
      <c r="E285" s="1270"/>
      <c r="F285" s="1270"/>
    </row>
    <row r="286" spans="1:6" ht="14.25">
      <c r="A286" s="176"/>
      <c r="B286" s="176"/>
      <c r="D286" s="1270"/>
      <c r="E286" s="1270"/>
      <c r="F286" s="1270"/>
    </row>
    <row r="287" spans="1:6" ht="14.25">
      <c r="A287" s="176"/>
      <c r="B287" s="176"/>
      <c r="D287" s="1270"/>
      <c r="E287" s="1270"/>
      <c r="F287" s="1270"/>
    </row>
    <row r="288" spans="1:6" ht="14.25">
      <c r="A288" s="176"/>
      <c r="B288" s="176"/>
      <c r="D288" s="1270"/>
      <c r="E288" s="1270"/>
      <c r="F288" s="1270"/>
    </row>
    <row r="289" spans="1:6" ht="14.25">
      <c r="A289" s="176"/>
      <c r="B289" s="176"/>
      <c r="D289" s="1270"/>
      <c r="E289" s="1270"/>
      <c r="F289" s="1270"/>
    </row>
    <row r="290" spans="1:6" ht="14.25">
      <c r="A290" s="176"/>
      <c r="B290" s="176"/>
      <c r="D290" s="1270"/>
      <c r="E290" s="1270"/>
      <c r="F290" s="1270"/>
    </row>
    <row r="291" spans="1:6" ht="14.25">
      <c r="A291" s="176"/>
      <c r="B291" s="176"/>
      <c r="D291" s="1270"/>
      <c r="E291" s="1270"/>
      <c r="F291" s="1270"/>
    </row>
    <row r="292" spans="1:6" ht="14.25">
      <c r="A292" s="176"/>
      <c r="B292" s="176"/>
      <c r="D292" s="1270"/>
      <c r="E292" s="1270"/>
      <c r="F292" s="1270"/>
    </row>
    <row r="293" spans="1:6" ht="14.25">
      <c r="A293" s="176"/>
      <c r="B293" s="176"/>
      <c r="D293" s="1270"/>
      <c r="E293" s="1270"/>
      <c r="F293" s="1270"/>
    </row>
    <row r="294" spans="1:6" ht="14.25">
      <c r="A294" s="176"/>
      <c r="B294" s="176"/>
      <c r="D294" s="1270"/>
      <c r="E294" s="1270"/>
      <c r="F294" s="1270"/>
    </row>
    <row r="295" spans="1:6" ht="14.25">
      <c r="A295" s="176"/>
      <c r="B295" s="176"/>
      <c r="D295" s="1270"/>
      <c r="E295" s="1270"/>
      <c r="F295" s="1270"/>
    </row>
    <row r="296" spans="1:6">
      <c r="D296" s="35"/>
      <c r="E296" s="35"/>
      <c r="F296" s="35"/>
    </row>
    <row r="297" spans="1:6" ht="14.25">
      <c r="A297" s="176"/>
      <c r="B297" s="468" t="s">
        <v>308</v>
      </c>
      <c r="D297" s="1270" t="s">
        <v>1220</v>
      </c>
      <c r="E297" s="1270"/>
      <c r="F297" s="1270"/>
    </row>
    <row r="298" spans="1:6">
      <c r="D298" s="1270"/>
      <c r="E298" s="1270"/>
      <c r="F298" s="1270"/>
    </row>
    <row r="299" spans="1:6">
      <c r="D299" s="1270"/>
      <c r="E299" s="1270"/>
      <c r="F299" s="1270"/>
    </row>
    <row r="300" spans="1:6">
      <c r="D300" s="1270"/>
      <c r="E300" s="1270"/>
      <c r="F300" s="1270"/>
    </row>
    <row r="301" spans="1:6">
      <c r="D301" s="1270"/>
      <c r="E301" s="1270"/>
      <c r="F301" s="1270"/>
    </row>
    <row r="302" spans="1:6">
      <c r="D302" s="1270"/>
      <c r="E302" s="1270"/>
      <c r="F302" s="1270"/>
    </row>
    <row r="303" spans="1:6">
      <c r="D303" s="1270"/>
      <c r="E303" s="1270"/>
      <c r="F303" s="1270"/>
    </row>
    <row r="304" spans="1:6">
      <c r="D304" s="1270"/>
      <c r="E304" s="1270"/>
      <c r="F304" s="1270"/>
    </row>
    <row r="305" spans="1:7">
      <c r="D305" s="1270"/>
      <c r="E305" s="1270"/>
      <c r="F305" s="1270"/>
    </row>
    <row r="306" spans="1:7">
      <c r="D306" s="35"/>
      <c r="E306" s="35"/>
      <c r="F306" s="35"/>
    </row>
    <row r="307" spans="1:7" ht="14.25">
      <c r="A307" s="176"/>
      <c r="B307" s="468" t="s">
        <v>308</v>
      </c>
      <c r="D307" s="1270" t="s">
        <v>1221</v>
      </c>
      <c r="E307" s="1270"/>
      <c r="F307" s="1270"/>
    </row>
    <row r="308" spans="1:7">
      <c r="D308" s="1270"/>
      <c r="E308" s="1270"/>
      <c r="F308" s="1270"/>
      <c r="G308"/>
    </row>
    <row r="309" spans="1:7">
      <c r="D309" s="1270"/>
      <c r="E309" s="1270"/>
      <c r="F309" s="1270"/>
      <c r="G309"/>
    </row>
    <row r="310" spans="1:7">
      <c r="D310" s="1270"/>
      <c r="E310" s="1270"/>
      <c r="F310" s="1270"/>
      <c r="G310"/>
    </row>
    <row r="311" spans="1:7">
      <c r="D311" s="1270"/>
      <c r="E311" s="1270"/>
      <c r="F311" s="1270"/>
      <c r="G311"/>
    </row>
    <row r="312" spans="1:7">
      <c r="D312" s="1270"/>
      <c r="E312" s="1270"/>
      <c r="F312" s="1270"/>
      <c r="G312"/>
    </row>
    <row r="313" spans="1:7">
      <c r="D313" s="474"/>
      <c r="E313" s="474"/>
      <c r="F313" s="474"/>
      <c r="G313"/>
    </row>
    <row r="314" spans="1:7" ht="13.5" thickBot="1">
      <c r="D314" s="1293" t="s">
        <v>998</v>
      </c>
      <c r="E314" s="1293"/>
      <c r="F314" s="1293"/>
      <c r="G314"/>
    </row>
    <row r="315" spans="1:7" ht="13.5" thickTop="1">
      <c r="D315" s="1294" t="s">
        <v>1222</v>
      </c>
      <c r="E315" s="1294"/>
      <c r="F315" s="1294"/>
      <c r="G315"/>
    </row>
    <row r="316" spans="1:7">
      <c r="A316" s="218"/>
      <c r="B316" s="218"/>
      <c r="C316" s="218"/>
      <c r="D316" s="220"/>
      <c r="E316" s="220"/>
      <c r="F316" s="35"/>
      <c r="G316"/>
    </row>
    <row r="317" spans="1:7" ht="14.25">
      <c r="A317" s="176"/>
      <c r="B317" s="468" t="s">
        <v>308</v>
      </c>
      <c r="C317" s="218"/>
      <c r="D317" s="1283" t="s">
        <v>1223</v>
      </c>
      <c r="E317" s="1283"/>
      <c r="F317" s="1283"/>
      <c r="G317"/>
    </row>
    <row r="318" spans="1:7">
      <c r="A318" s="218"/>
      <c r="B318" s="218"/>
      <c r="C318" s="218"/>
      <c r="D318" s="220"/>
      <c r="E318" s="220"/>
      <c r="F318" s="35"/>
      <c r="G318"/>
    </row>
    <row r="319" spans="1:7">
      <c r="A319" s="218"/>
      <c r="B319" s="468" t="s">
        <v>308</v>
      </c>
      <c r="C319" s="218"/>
      <c r="D319" s="1279" t="s">
        <v>1224</v>
      </c>
      <c r="E319" s="1279"/>
      <c r="F319" s="1279"/>
      <c r="G319"/>
    </row>
    <row r="320" spans="1:7">
      <c r="A320" s="218"/>
      <c r="B320" s="218"/>
      <c r="C320" s="218"/>
      <c r="D320" s="1279"/>
      <c r="E320" s="1279"/>
      <c r="F320" s="1279"/>
      <c r="G320"/>
    </row>
    <row r="321" spans="1:7">
      <c r="A321" s="218"/>
      <c r="B321" s="218"/>
      <c r="C321" s="218"/>
      <c r="D321" s="1279"/>
      <c r="E321" s="1279"/>
      <c r="F321" s="1279"/>
      <c r="G321"/>
    </row>
    <row r="322" spans="1:7">
      <c r="A322" s="218"/>
      <c r="B322" s="218"/>
      <c r="C322" s="218"/>
      <c r="D322" s="1279"/>
      <c r="E322" s="1279"/>
      <c r="F322" s="1279"/>
      <c r="G322"/>
    </row>
    <row r="323" spans="1:7">
      <c r="A323" s="218"/>
      <c r="B323" s="218"/>
      <c r="C323" s="218"/>
      <c r="D323" s="1279"/>
      <c r="E323" s="1279"/>
      <c r="F323" s="1279"/>
      <c r="G323"/>
    </row>
    <row r="324" spans="1:7">
      <c r="A324" s="218"/>
      <c r="B324" s="218"/>
      <c r="C324" s="218"/>
      <c r="D324" s="1279"/>
      <c r="E324" s="1279"/>
      <c r="F324" s="1279"/>
      <c r="G324"/>
    </row>
    <row r="325" spans="1:7">
      <c r="A325" s="218"/>
      <c r="B325" s="218"/>
      <c r="C325" s="218"/>
      <c r="D325" s="1279"/>
      <c r="E325" s="1279"/>
      <c r="F325" s="1279"/>
      <c r="G325"/>
    </row>
    <row r="326" spans="1:7">
      <c r="A326" s="218"/>
      <c r="B326" s="218"/>
      <c r="C326" s="218"/>
      <c r="D326" s="1279"/>
      <c r="E326" s="1279"/>
      <c r="F326" s="1279"/>
      <c r="G326"/>
    </row>
    <row r="327" spans="1:7">
      <c r="A327" s="218"/>
      <c r="B327" s="218"/>
      <c r="C327" s="218"/>
      <c r="D327" s="1279"/>
      <c r="E327" s="1279"/>
      <c r="F327" s="1279"/>
      <c r="G327"/>
    </row>
    <row r="328" spans="1:7">
      <c r="A328" s="218"/>
      <c r="B328" s="218"/>
      <c r="C328" s="218"/>
      <c r="D328" s="1279"/>
      <c r="E328" s="1279"/>
      <c r="F328" s="1279"/>
      <c r="G328"/>
    </row>
    <row r="329" spans="1:7">
      <c r="A329" s="218"/>
      <c r="B329" s="218"/>
      <c r="C329" s="218"/>
      <c r="D329" s="1279"/>
      <c r="E329" s="1279"/>
      <c r="F329" s="1279"/>
      <c r="G329"/>
    </row>
    <row r="330" spans="1:7">
      <c r="A330" s="218"/>
      <c r="B330" s="218"/>
      <c r="C330" s="218"/>
      <c r="D330"/>
      <c r="E330" s="220"/>
      <c r="F330" s="35"/>
      <c r="G330"/>
    </row>
    <row r="331" spans="1:7" ht="14.25">
      <c r="A331" s="176"/>
      <c r="B331" s="468" t="s">
        <v>308</v>
      </c>
      <c r="C331" s="218"/>
      <c r="D331" s="1279" t="s">
        <v>1225</v>
      </c>
      <c r="E331" s="1279"/>
      <c r="F331" s="1279"/>
      <c r="G331"/>
    </row>
    <row r="332" spans="1:7">
      <c r="A332" s="218"/>
      <c r="B332" s="218"/>
      <c r="C332" s="218"/>
      <c r="D332" s="1279"/>
      <c r="E332" s="1279"/>
      <c r="F332" s="1279"/>
      <c r="G332"/>
    </row>
    <row r="333" spans="1:7">
      <c r="A333" s="218"/>
      <c r="B333" s="218"/>
      <c r="C333" s="218"/>
      <c r="D333" s="1279"/>
      <c r="E333" s="1279"/>
      <c r="F333" s="1279"/>
      <c r="G333"/>
    </row>
    <row r="334" spans="1:7">
      <c r="A334" s="218"/>
      <c r="B334" s="218"/>
      <c r="C334" s="218"/>
      <c r="D334" s="1279"/>
      <c r="E334" s="1279"/>
      <c r="F334" s="1279"/>
      <c r="G334"/>
    </row>
    <row r="335" spans="1:7">
      <c r="A335" s="218"/>
      <c r="B335" s="218"/>
      <c r="C335" s="218"/>
      <c r="D335" s="220"/>
      <c r="E335" s="220"/>
      <c r="F335" s="35"/>
      <c r="G335"/>
    </row>
    <row r="336" spans="1:7">
      <c r="A336" s="218"/>
      <c r="B336" s="218"/>
      <c r="C336" s="218"/>
      <c r="D336" s="1279" t="s">
        <v>1226</v>
      </c>
      <c r="E336" s="1279"/>
      <c r="F336" s="1279"/>
      <c r="G336"/>
    </row>
    <row r="337" spans="1:7">
      <c r="A337" s="218"/>
      <c r="B337" s="218"/>
      <c r="C337" s="218"/>
      <c r="D337" s="1279"/>
      <c r="E337" s="1279"/>
      <c r="F337" s="1279"/>
      <c r="G337"/>
    </row>
    <row r="338" spans="1:7">
      <c r="A338" s="218"/>
      <c r="B338" s="218"/>
      <c r="C338" s="218"/>
      <c r="D338" s="1279"/>
      <c r="E338" s="1279"/>
      <c r="F338" s="1279"/>
      <c r="G338"/>
    </row>
    <row r="339" spans="1:7">
      <c r="A339" s="218"/>
      <c r="B339" s="218"/>
      <c r="C339" s="218"/>
      <c r="D339" s="1279"/>
      <c r="E339" s="1279"/>
      <c r="F339" s="1279"/>
      <c r="G339"/>
    </row>
    <row r="340" spans="1:7" ht="18" customHeight="1">
      <c r="A340" s="218"/>
      <c r="B340" s="218"/>
      <c r="C340" s="218"/>
      <c r="D340" s="1279"/>
      <c r="E340" s="1279"/>
      <c r="F340" s="1279"/>
      <c r="G340"/>
    </row>
    <row r="341" spans="1:7">
      <c r="A341" s="218"/>
      <c r="B341" s="218"/>
      <c r="C341" s="218"/>
      <c r="D341" s="1279"/>
      <c r="E341" s="1279"/>
      <c r="F341" s="1279"/>
      <c r="G341"/>
    </row>
    <row r="342" spans="1:7">
      <c r="A342" s="218"/>
      <c r="B342" s="218"/>
      <c r="C342" s="218"/>
      <c r="D342" s="1279"/>
      <c r="E342" s="1279"/>
      <c r="F342" s="1279"/>
      <c r="G342"/>
    </row>
    <row r="343" spans="1:7">
      <c r="A343" s="218"/>
      <c r="B343" s="218"/>
      <c r="C343" s="218"/>
      <c r="D343" s="1279"/>
      <c r="E343" s="1279"/>
      <c r="F343" s="1279"/>
      <c r="G343"/>
    </row>
    <row r="344" spans="1:7" ht="8.25" customHeight="1">
      <c r="A344" s="218"/>
      <c r="B344" s="218"/>
      <c r="C344" s="218"/>
      <c r="D344" s="1279"/>
      <c r="E344" s="1279"/>
      <c r="F344" s="1279"/>
      <c r="G344"/>
    </row>
    <row r="345" spans="1:7" ht="13.15" customHeight="1">
      <c r="A345" s="218"/>
      <c r="B345" s="218"/>
      <c r="C345" s="218"/>
      <c r="D345" s="1279" t="s">
        <v>1227</v>
      </c>
      <c r="E345" s="1279"/>
      <c r="F345" s="1279"/>
      <c r="G345"/>
    </row>
    <row r="346" spans="1:7">
      <c r="A346" s="218"/>
      <c r="B346" s="218"/>
      <c r="C346" s="218"/>
      <c r="D346" s="1279"/>
      <c r="E346" s="1279"/>
      <c r="F346" s="1279"/>
      <c r="G346"/>
    </row>
    <row r="347" spans="1:7">
      <c r="A347" s="218"/>
      <c r="B347" s="218"/>
      <c r="C347" s="218"/>
      <c r="D347" s="1279"/>
      <c r="E347" s="1279"/>
      <c r="F347" s="1279"/>
      <c r="G347"/>
    </row>
    <row r="348" spans="1:7">
      <c r="A348" s="218"/>
      <c r="B348" s="218"/>
      <c r="C348" s="218"/>
      <c r="D348" s="1279"/>
      <c r="E348" s="1279"/>
      <c r="F348" s="1279"/>
      <c r="G348"/>
    </row>
    <row r="349" spans="1:7">
      <c r="A349" s="218"/>
      <c r="B349" s="218"/>
      <c r="C349" s="218"/>
      <c r="D349" s="1279"/>
      <c r="E349" s="1279"/>
      <c r="F349" s="1279"/>
      <c r="G349"/>
    </row>
    <row r="350" spans="1:7">
      <c r="A350" s="218"/>
      <c r="B350" s="218"/>
      <c r="C350" s="218"/>
      <c r="D350" s="1279"/>
      <c r="E350" s="1279"/>
      <c r="F350" s="1279"/>
      <c r="G350"/>
    </row>
    <row r="351" spans="1:7">
      <c r="A351" s="218"/>
      <c r="B351" s="218"/>
      <c r="C351" s="218"/>
      <c r="D351" s="1279"/>
      <c r="E351" s="1279"/>
      <c r="F351" s="1279"/>
      <c r="G351"/>
    </row>
    <row r="352" spans="1:7">
      <c r="A352" s="218"/>
      <c r="B352" s="218"/>
      <c r="C352" s="218"/>
      <c r="D352" s="1279"/>
      <c r="E352" s="1279"/>
      <c r="F352" s="1279"/>
      <c r="G352"/>
    </row>
    <row r="353" spans="1:7">
      <c r="A353" s="218"/>
      <c r="B353" s="218"/>
      <c r="C353" s="218"/>
      <c r="D353" s="1279"/>
      <c r="E353" s="1279"/>
      <c r="F353" s="1279"/>
      <c r="G353"/>
    </row>
    <row r="354" spans="1:7">
      <c r="A354" s="218"/>
      <c r="B354" s="218"/>
      <c r="C354" s="218"/>
      <c r="D354" s="1279"/>
      <c r="E354" s="1279"/>
      <c r="F354" s="1279"/>
      <c r="G354"/>
    </row>
    <row r="355" spans="1:7">
      <c r="A355" s="218"/>
      <c r="B355" s="218"/>
      <c r="C355" s="218"/>
      <c r="D355" s="1279"/>
      <c r="E355" s="1279"/>
      <c r="F355" s="1279"/>
      <c r="G355"/>
    </row>
    <row r="356" spans="1:7">
      <c r="A356" s="218"/>
      <c r="B356" s="218"/>
      <c r="C356" s="218"/>
      <c r="D356" s="1279"/>
      <c r="E356" s="1279"/>
      <c r="F356" s="1279"/>
      <c r="G356"/>
    </row>
    <row r="357" spans="1:7">
      <c r="A357" s="218"/>
      <c r="B357" s="218"/>
      <c r="C357" s="347"/>
      <c r="D357" s="1279"/>
      <c r="E357" s="1279"/>
      <c r="F357" s="1279"/>
      <c r="G357"/>
    </row>
    <row r="358" spans="1:7">
      <c r="A358" s="218"/>
      <c r="B358" s="218"/>
      <c r="C358" s="347"/>
      <c r="D358" s="1279"/>
      <c r="E358" s="1279"/>
      <c r="F358" s="1279"/>
      <c r="G358"/>
    </row>
    <row r="359" spans="1:7">
      <c r="A359" s="218"/>
      <c r="B359" s="218"/>
      <c r="C359" s="218"/>
      <c r="D359" s="1279"/>
      <c r="E359" s="1279"/>
      <c r="F359" s="1279"/>
      <c r="G359"/>
    </row>
    <row r="360" spans="1:7">
      <c r="A360" s="218"/>
      <c r="B360" s="218"/>
      <c r="C360" s="347"/>
      <c r="D360" s="1279"/>
      <c r="E360" s="1279"/>
      <c r="F360" s="1279"/>
      <c r="G360"/>
    </row>
    <row r="361" spans="1:7">
      <c r="A361" s="218"/>
      <c r="B361" s="218"/>
      <c r="C361" s="347"/>
      <c r="D361" s="1279"/>
      <c r="E361" s="1279"/>
      <c r="F361" s="1279"/>
      <c r="G361"/>
    </row>
    <row r="362" spans="1:7">
      <c r="A362" s="218"/>
      <c r="B362" s="218"/>
      <c r="C362" s="347"/>
      <c r="D362" s="1279"/>
      <c r="E362" s="1279"/>
      <c r="F362" s="1279"/>
      <c r="G362"/>
    </row>
    <row r="363" spans="1:7">
      <c r="A363" s="218"/>
      <c r="B363" s="218"/>
      <c r="C363" s="218"/>
      <c r="D363" s="220"/>
      <c r="E363" s="220"/>
      <c r="F363" s="35"/>
      <c r="G363"/>
    </row>
    <row r="364" spans="1:7">
      <c r="A364" s="218"/>
      <c r="B364" s="468" t="s">
        <v>308</v>
      </c>
      <c r="C364" s="218"/>
      <c r="D364" s="1279" t="s">
        <v>1228</v>
      </c>
      <c r="E364" s="1279"/>
      <c r="F364" s="1279"/>
      <c r="G364"/>
    </row>
    <row r="365" spans="1:7">
      <c r="A365" s="218"/>
      <c r="B365" s="218"/>
      <c r="C365" s="218"/>
      <c r="D365" s="1279"/>
      <c r="E365" s="1279"/>
      <c r="F365" s="1279"/>
      <c r="G365"/>
    </row>
    <row r="366" spans="1:7">
      <c r="A366" s="218"/>
      <c r="B366" s="218"/>
      <c r="C366" s="218"/>
      <c r="D366" s="220"/>
      <c r="E366" s="220"/>
      <c r="F366" s="35"/>
      <c r="G366"/>
    </row>
    <row r="367" spans="1:7" ht="14.25">
      <c r="A367" s="176"/>
      <c r="B367" s="468" t="s">
        <v>308</v>
      </c>
      <c r="C367" s="218"/>
      <c r="D367" s="1279" t="s">
        <v>1229</v>
      </c>
      <c r="E367" s="1279"/>
      <c r="F367" s="1279"/>
      <c r="G367"/>
    </row>
    <row r="368" spans="1:7" ht="14.25">
      <c r="A368" s="346"/>
      <c r="B368" s="346"/>
      <c r="C368" s="218"/>
      <c r="D368" s="1279"/>
      <c r="E368" s="1279"/>
      <c r="F368" s="1279"/>
      <c r="G368"/>
    </row>
    <row r="369" spans="1:7" ht="14.25">
      <c r="A369" s="346"/>
      <c r="B369" s="346"/>
      <c r="C369" s="218"/>
      <c r="D369" s="1279"/>
      <c r="E369" s="1279"/>
      <c r="F369" s="1279"/>
      <c r="G369"/>
    </row>
    <row r="370" spans="1:7" ht="14.25">
      <c r="A370" s="346"/>
      <c r="B370" s="346"/>
      <c r="C370" s="218"/>
      <c r="D370" s="1279"/>
      <c r="E370" s="1279"/>
      <c r="F370" s="1279"/>
      <c r="G370"/>
    </row>
    <row r="371" spans="1:7" ht="14.25">
      <c r="A371" s="346"/>
      <c r="B371" s="346"/>
      <c r="C371" s="218"/>
      <c r="D371" s="1279"/>
      <c r="E371" s="1279"/>
      <c r="F371" s="1279"/>
      <c r="G371"/>
    </row>
    <row r="372" spans="1:7">
      <c r="D372" s="35"/>
      <c r="E372" s="35"/>
      <c r="F372" s="35"/>
      <c r="G372"/>
    </row>
    <row r="373" spans="1:7" ht="14.25">
      <c r="A373" s="176"/>
      <c r="B373" s="468" t="s">
        <v>308</v>
      </c>
      <c r="C373" s="179"/>
      <c r="D373" s="1270" t="s">
        <v>1230</v>
      </c>
      <c r="E373" s="1270"/>
      <c r="F373" s="1270"/>
      <c r="G373"/>
    </row>
    <row r="374" spans="1:7" ht="14.25">
      <c r="A374" s="176"/>
      <c r="B374" s="176"/>
      <c r="D374" s="1270"/>
      <c r="E374" s="1270"/>
      <c r="F374" s="1270"/>
      <c r="G374"/>
    </row>
    <row r="375" spans="1:7">
      <c r="D375" s="1270"/>
      <c r="E375" s="1270"/>
      <c r="F375" s="1270"/>
      <c r="G375"/>
    </row>
    <row r="376" spans="1:7">
      <c r="D376" s="1270"/>
      <c r="E376" s="1270"/>
      <c r="F376" s="1270"/>
      <c r="G376"/>
    </row>
    <row r="377" spans="1:7">
      <c r="D377" s="1270"/>
      <c r="E377" s="1270"/>
      <c r="F377" s="1270"/>
      <c r="G377"/>
    </row>
    <row r="378" spans="1:7">
      <c r="D378" s="1270"/>
      <c r="E378" s="1270"/>
      <c r="F378" s="1270"/>
      <c r="G378"/>
    </row>
    <row r="379" spans="1:7">
      <c r="D379" s="1270"/>
      <c r="E379" s="1270"/>
      <c r="F379" s="1270"/>
      <c r="G379"/>
    </row>
    <row r="380" spans="1:7">
      <c r="D380" s="1270"/>
      <c r="E380" s="1270"/>
      <c r="F380" s="1270"/>
      <c r="G380"/>
    </row>
    <row r="381" spans="1:7">
      <c r="D381" s="1270"/>
      <c r="E381" s="1270"/>
      <c r="F381" s="1270"/>
      <c r="G381"/>
    </row>
    <row r="382" spans="1:7">
      <c r="D382" s="1270"/>
      <c r="E382" s="1270"/>
      <c r="F382" s="1270"/>
      <c r="G382"/>
    </row>
    <row r="383" spans="1:7">
      <c r="D383" s="1270"/>
      <c r="E383" s="1270"/>
      <c r="F383" s="1270"/>
      <c r="G383"/>
    </row>
    <row r="384" spans="1:7">
      <c r="D384" s="1270"/>
      <c r="E384" s="1270"/>
      <c r="F384" s="1270"/>
      <c r="G384"/>
    </row>
    <row r="385" spans="1:7">
      <c r="D385" s="1270"/>
      <c r="E385" s="1270"/>
      <c r="F385" s="1270"/>
      <c r="G385"/>
    </row>
    <row r="386" spans="1:7">
      <c r="A386"/>
      <c r="B386"/>
      <c r="C386"/>
      <c r="D386" s="1270"/>
      <c r="E386" s="1270"/>
      <c r="F386" s="1270"/>
      <c r="G386"/>
    </row>
    <row r="387" spans="1:7">
      <c r="A387"/>
      <c r="B387"/>
      <c r="C387"/>
      <c r="D387" s="1270"/>
      <c r="E387" s="1270"/>
      <c r="F387" s="1270"/>
      <c r="G387"/>
    </row>
    <row r="388" spans="1:7">
      <c r="A388"/>
      <c r="B388"/>
      <c r="C388"/>
      <c r="D388" s="1270"/>
      <c r="E388" s="1270"/>
      <c r="F388" s="1270"/>
      <c r="G388"/>
    </row>
    <row r="389" spans="1:7">
      <c r="A389"/>
      <c r="B389"/>
      <c r="C389"/>
      <c r="D389" s="1270"/>
      <c r="E389" s="1270"/>
      <c r="F389" s="1270"/>
      <c r="G389"/>
    </row>
    <row r="390" spans="1:7">
      <c r="A390"/>
      <c r="B390"/>
      <c r="C390"/>
      <c r="D390" s="1270"/>
      <c r="E390" s="1270"/>
      <c r="F390" s="1270"/>
      <c r="G390"/>
    </row>
    <row r="391" spans="1:7">
      <c r="A391"/>
      <c r="B391"/>
      <c r="C391"/>
      <c r="D391" s="1270"/>
      <c r="E391" s="1270"/>
      <c r="F391" s="1270"/>
      <c r="G391"/>
    </row>
    <row r="392" spans="1:7">
      <c r="A392"/>
      <c r="B392"/>
      <c r="C392"/>
      <c r="D392" s="1270"/>
      <c r="E392" s="1270"/>
      <c r="F392" s="1270"/>
      <c r="G392"/>
    </row>
    <row r="393" spans="1:7">
      <c r="A393"/>
      <c r="B393"/>
      <c r="C393"/>
      <c r="D393" s="1270"/>
      <c r="E393" s="1270"/>
      <c r="F393" s="1270"/>
      <c r="G393"/>
    </row>
    <row r="394" spans="1:7">
      <c r="A394"/>
      <c r="B394"/>
      <c r="C394"/>
      <c r="D394" s="1270"/>
      <c r="E394" s="1270"/>
      <c r="F394" s="1270"/>
      <c r="G394"/>
    </row>
    <row r="395" spans="1:7">
      <c r="A395"/>
      <c r="B395"/>
      <c r="C395"/>
      <c r="D395" s="1270"/>
      <c r="E395" s="1270"/>
      <c r="F395" s="1270"/>
      <c r="G395"/>
    </row>
    <row r="396" spans="1:7">
      <c r="A396"/>
      <c r="B396"/>
      <c r="C396"/>
      <c r="D396" s="1270"/>
      <c r="E396" s="1270"/>
      <c r="F396" s="1270"/>
      <c r="G396"/>
    </row>
    <row r="397" spans="1:7">
      <c r="A397"/>
      <c r="B397"/>
      <c r="C397"/>
      <c r="D397" s="1270"/>
      <c r="E397" s="1270"/>
      <c r="F397" s="1270"/>
      <c r="G397"/>
    </row>
    <row r="398" spans="1:7">
      <c r="A398"/>
      <c r="B398"/>
      <c r="C398"/>
      <c r="D398" s="1270"/>
      <c r="E398" s="1270"/>
      <c r="F398" s="1270"/>
      <c r="G398"/>
    </row>
    <row r="399" spans="1:7">
      <c r="A399"/>
      <c r="B399"/>
      <c r="C399"/>
      <c r="D399" s="1270"/>
      <c r="E399" s="1270"/>
      <c r="F399" s="1270"/>
      <c r="G399"/>
    </row>
    <row r="400" spans="1:7">
      <c r="A400"/>
      <c r="B400"/>
      <c r="C400"/>
      <c r="D400" s="1270"/>
      <c r="E400" s="1270"/>
      <c r="F400" s="1270"/>
      <c r="G400"/>
    </row>
    <row r="401" spans="1:7">
      <c r="A401"/>
      <c r="B401"/>
      <c r="C401"/>
      <c r="D401" s="1270"/>
      <c r="E401" s="1270"/>
      <c r="F401" s="1270"/>
      <c r="G401"/>
    </row>
    <row r="402" spans="1:7">
      <c r="D402" s="1270"/>
      <c r="E402" s="1270"/>
      <c r="F402" s="1270"/>
    </row>
    <row r="403" spans="1:7" ht="40.700000000000003" customHeight="1">
      <c r="D403" s="1270"/>
      <c r="E403" s="1270"/>
      <c r="F403" s="1270"/>
    </row>
    <row r="404" spans="1:7">
      <c r="D404" s="35"/>
      <c r="E404" s="35"/>
      <c r="F404" s="35"/>
    </row>
    <row r="405" spans="1:7" ht="14.25">
      <c r="A405" s="176"/>
      <c r="B405" s="468" t="s">
        <v>308</v>
      </c>
      <c r="C405" s="179"/>
      <c r="D405" s="1281" t="s">
        <v>1231</v>
      </c>
      <c r="E405" s="1281"/>
      <c r="F405" s="1281"/>
    </row>
    <row r="406" spans="1:7">
      <c r="D406" s="1291" t="s">
        <v>1006</v>
      </c>
      <c r="E406" s="1291"/>
      <c r="F406" s="1291"/>
    </row>
    <row r="407" spans="1:7">
      <c r="D407" s="1270" t="s">
        <v>1232</v>
      </c>
      <c r="E407" s="1270"/>
      <c r="F407" s="1270"/>
    </row>
    <row r="408" spans="1:7">
      <c r="D408" s="1270"/>
      <c r="E408" s="1270"/>
      <c r="F408" s="1270"/>
    </row>
    <row r="409" spans="1:7">
      <c r="D409" s="1270"/>
      <c r="E409" s="1270"/>
      <c r="F409" s="1270"/>
    </row>
    <row r="410" spans="1:7">
      <c r="D410" s="1270"/>
      <c r="E410" s="1270"/>
      <c r="F410" s="1270"/>
    </row>
    <row r="411" spans="1:7">
      <c r="D411" s="35"/>
      <c r="E411" s="35"/>
      <c r="F411" s="35"/>
      <c r="G411"/>
    </row>
    <row r="412" spans="1:7" ht="14.25">
      <c r="A412" s="176"/>
      <c r="B412" s="468" t="s">
        <v>308</v>
      </c>
      <c r="C412" s="179"/>
      <c r="D412" s="1270" t="s">
        <v>1233</v>
      </c>
      <c r="E412" s="1270"/>
      <c r="F412" s="1270"/>
      <c r="G412"/>
    </row>
    <row r="413" spans="1:7">
      <c r="D413" s="1270"/>
      <c r="E413" s="1270"/>
      <c r="F413" s="1270"/>
      <c r="G413"/>
    </row>
    <row r="414" spans="1:7">
      <c r="D414" s="1270"/>
      <c r="E414" s="1270"/>
      <c r="F414" s="1270"/>
      <c r="G414"/>
    </row>
    <row r="415" spans="1:7">
      <c r="D415" s="474"/>
      <c r="E415" s="474"/>
      <c r="F415" s="474"/>
      <c r="G415"/>
    </row>
    <row r="416" spans="1:7" ht="14.25">
      <c r="B416" s="468" t="s">
        <v>308</v>
      </c>
      <c r="C416" s="176"/>
      <c r="D416" s="1270" t="s">
        <v>1234</v>
      </c>
      <c r="E416" s="1270"/>
      <c r="F416" s="1270"/>
      <c r="G416"/>
    </row>
    <row r="417" spans="1:7">
      <c r="D417" s="1270"/>
      <c r="E417" s="1270"/>
      <c r="F417" s="1270"/>
      <c r="G417"/>
    </row>
    <row r="418" spans="1:7">
      <c r="D418" s="35"/>
      <c r="E418" s="35"/>
      <c r="F418" s="35"/>
      <c r="G418"/>
    </row>
    <row r="419" spans="1:7" ht="14.25">
      <c r="B419" s="468" t="s">
        <v>308</v>
      </c>
      <c r="C419" s="176"/>
      <c r="D419" s="1270" t="s">
        <v>1235</v>
      </c>
      <c r="E419" s="1270"/>
      <c r="F419" s="1270"/>
      <c r="G419"/>
    </row>
    <row r="420" spans="1:7">
      <c r="D420" s="1270"/>
      <c r="E420" s="1270"/>
      <c r="F420" s="1270"/>
      <c r="G420"/>
    </row>
    <row r="421" spans="1:7">
      <c r="D421" s="1270"/>
      <c r="E421" s="1270"/>
      <c r="F421" s="1270"/>
      <c r="G421"/>
    </row>
    <row r="422" spans="1:7">
      <c r="D422" s="1270"/>
      <c r="E422" s="1270"/>
      <c r="F422" s="1270"/>
      <c r="G422"/>
    </row>
    <row r="423" spans="1:7">
      <c r="B423" s="468" t="s">
        <v>308</v>
      </c>
      <c r="D423" s="1270"/>
      <c r="E423" s="1270"/>
      <c r="F423" s="1270"/>
      <c r="G423"/>
    </row>
    <row r="424" spans="1:7">
      <c r="A424"/>
      <c r="B424"/>
      <c r="C424"/>
      <c r="D424" s="1270"/>
      <c r="E424" s="1270"/>
      <c r="F424" s="1270"/>
      <c r="G424"/>
    </row>
    <row r="425" spans="1:7">
      <c r="A425"/>
      <c r="C425"/>
      <c r="D425" s="1270"/>
      <c r="E425" s="1270"/>
      <c r="F425" s="1270"/>
      <c r="G425"/>
    </row>
    <row r="426" spans="1:7">
      <c r="A426"/>
      <c r="B426" s="468" t="s">
        <v>308</v>
      </c>
      <c r="C426"/>
      <c r="D426" s="1270"/>
      <c r="E426" s="1270"/>
      <c r="F426" s="1270"/>
      <c r="G426"/>
    </row>
    <row r="427" spans="1:7">
      <c r="A427"/>
      <c r="B427"/>
      <c r="C427"/>
      <c r="D427" s="1270"/>
      <c r="E427" s="1270"/>
      <c r="F427" s="1270"/>
      <c r="G427"/>
    </row>
    <row r="428" spans="1:7">
      <c r="A428"/>
      <c r="C428"/>
      <c r="D428" s="1270"/>
      <c r="E428" s="1270"/>
      <c r="F428" s="1270"/>
      <c r="G428"/>
    </row>
    <row r="429" spans="1:7">
      <c r="A429"/>
      <c r="C429"/>
      <c r="D429" s="1270"/>
      <c r="E429" s="1270"/>
      <c r="F429" s="1270"/>
      <c r="G429"/>
    </row>
    <row r="430" spans="1:7">
      <c r="A430"/>
      <c r="B430" s="468" t="s">
        <v>308</v>
      </c>
      <c r="C430"/>
      <c r="D430" s="1270"/>
      <c r="E430" s="1270"/>
      <c r="F430" s="1270"/>
      <c r="G430"/>
    </row>
    <row r="431" spans="1:7">
      <c r="A431"/>
      <c r="B431"/>
      <c r="C431"/>
      <c r="D431" s="1270"/>
      <c r="E431" s="1270"/>
      <c r="F431" s="1270"/>
      <c r="G431"/>
    </row>
    <row r="432" spans="1:7">
      <c r="A432"/>
      <c r="B432" s="468" t="s">
        <v>308</v>
      </c>
      <c r="C432"/>
      <c r="D432" s="1270"/>
      <c r="E432" s="1270"/>
      <c r="F432" s="1270"/>
      <c r="G432"/>
    </row>
    <row r="433" spans="1:7">
      <c r="A433"/>
      <c r="B433"/>
      <c r="C433"/>
      <c r="D433" s="474"/>
      <c r="E433" s="474"/>
      <c r="F433" s="474"/>
      <c r="G433"/>
    </row>
    <row r="434" spans="1:7">
      <c r="A434"/>
      <c r="B434" s="468" t="s">
        <v>308</v>
      </c>
      <c r="C434"/>
      <c r="D434" s="1270" t="s">
        <v>1236</v>
      </c>
      <c r="E434" s="1270"/>
      <c r="F434" s="1270"/>
      <c r="G434"/>
    </row>
    <row r="435" spans="1:7">
      <c r="A435"/>
      <c r="B435"/>
      <c r="C435"/>
      <c r="D435" s="1270"/>
      <c r="E435" s="1270"/>
      <c r="F435" s="1270"/>
      <c r="G435"/>
    </row>
    <row r="436" spans="1:7">
      <c r="A436"/>
      <c r="B436"/>
      <c r="C436"/>
      <c r="D436" s="1270"/>
      <c r="E436" s="1270"/>
      <c r="F436" s="1270"/>
      <c r="G436"/>
    </row>
    <row r="437" spans="1:7">
      <c r="A437"/>
      <c r="B437"/>
      <c r="C437"/>
      <c r="D437" s="1270"/>
      <c r="E437" s="1270"/>
      <c r="F437" s="1270"/>
      <c r="G437"/>
    </row>
    <row r="438" spans="1:7">
      <c r="D438" s="1270"/>
      <c r="E438" s="1270"/>
      <c r="F438" s="1270"/>
    </row>
    <row r="439" spans="1:7">
      <c r="D439" s="35"/>
      <c r="E439" s="35"/>
      <c r="F439" s="35"/>
    </row>
    <row r="440" spans="1:7">
      <c r="B440" s="468" t="s">
        <v>308</v>
      </c>
      <c r="D440" s="1281" t="s">
        <v>1237</v>
      </c>
      <c r="E440" s="1281"/>
      <c r="F440" s="1281"/>
    </row>
    <row r="441" spans="1:7">
      <c r="A441" s="35"/>
      <c r="B441" s="35"/>
    </row>
    <row r="442" spans="1:7">
      <c r="A442" s="1285" t="s">
        <v>1078</v>
      </c>
      <c r="B442" s="1285"/>
      <c r="C442" s="1285"/>
      <c r="D442" s="1285"/>
      <c r="E442" s="1285"/>
      <c r="F442" s="1285"/>
      <c r="G442" s="1285"/>
    </row>
    <row r="443" spans="1:7">
      <c r="A443" s="35"/>
      <c r="B443" s="35"/>
    </row>
    <row r="444" spans="1:7">
      <c r="D444" s="1282" t="s">
        <v>895</v>
      </c>
      <c r="E444" s="1282"/>
      <c r="F444" s="1282"/>
    </row>
    <row r="445" spans="1:7" ht="14.25">
      <c r="A445" s="176"/>
      <c r="B445" s="176"/>
      <c r="D445" s="1283" t="s">
        <v>1238</v>
      </c>
      <c r="E445" s="1283"/>
      <c r="F445" s="1283"/>
    </row>
    <row r="446" spans="1:7" ht="14.25">
      <c r="A446" s="176"/>
      <c r="B446" s="176"/>
      <c r="D446" s="481"/>
      <c r="E446" s="3"/>
      <c r="F446" s="3"/>
    </row>
    <row r="447" spans="1:7" ht="14.25">
      <c r="A447" s="176"/>
      <c r="B447" s="468" t="s">
        <v>308</v>
      </c>
      <c r="D447" s="1279" t="s">
        <v>1239</v>
      </c>
      <c r="E447" s="1279"/>
      <c r="F447" s="1279"/>
    </row>
    <row r="448" spans="1:7" ht="14.25">
      <c r="A448" s="176"/>
      <c r="B448" s="176"/>
      <c r="D448" s="1279"/>
      <c r="E448" s="1279"/>
      <c r="F448" s="1279"/>
    </row>
    <row r="449" spans="1:7" ht="14.25">
      <c r="A449" s="176"/>
      <c r="B449" s="176"/>
      <c r="D449" s="118"/>
      <c r="E449" s="3"/>
      <c r="F449" s="3"/>
    </row>
    <row r="450" spans="1:7">
      <c r="B450" s="468" t="s">
        <v>308</v>
      </c>
      <c r="D450" s="1284" t="s">
        <v>1240</v>
      </c>
      <c r="E450" s="1284"/>
      <c r="F450" s="1284"/>
    </row>
    <row r="451" spans="1:7" ht="14.25">
      <c r="A451" s="176"/>
      <c r="D451" s="1284"/>
      <c r="E451" s="1284"/>
      <c r="F451" s="1284"/>
    </row>
    <row r="452" spans="1:7" ht="14.25">
      <c r="A452" s="176"/>
      <c r="B452" s="176"/>
      <c r="D452" s="1284"/>
      <c r="E452" s="1284"/>
      <c r="F452" s="1284"/>
    </row>
    <row r="453" spans="1:7" ht="14.25">
      <c r="A453" s="176"/>
      <c r="B453" s="176"/>
      <c r="D453" s="1284"/>
      <c r="E453" s="1284"/>
      <c r="F453" s="1284"/>
    </row>
    <row r="454" spans="1:7">
      <c r="D454" s="3"/>
      <c r="E454" s="3"/>
      <c r="F454" s="3"/>
      <c r="G454"/>
    </row>
    <row r="455" spans="1:7" ht="14.25">
      <c r="A455" s="176"/>
      <c r="B455" s="468" t="s">
        <v>308</v>
      </c>
      <c r="D455" s="1270" t="s">
        <v>1241</v>
      </c>
      <c r="E455" s="1270"/>
      <c r="F455" s="1270"/>
      <c r="G455"/>
    </row>
    <row r="456" spans="1:7" ht="14.25">
      <c r="A456" s="176"/>
      <c r="B456" s="176"/>
      <c r="D456" s="1270"/>
      <c r="E456" s="1270"/>
      <c r="F456" s="1270"/>
      <c r="G456"/>
    </row>
    <row r="457" spans="1:7" ht="14.25">
      <c r="A457" s="176"/>
      <c r="D457" s="1270"/>
      <c r="E457" s="1270"/>
      <c r="F457" s="1270"/>
      <c r="G457"/>
    </row>
    <row r="458" spans="1:7" ht="14.25">
      <c r="A458" s="176"/>
      <c r="B458" s="176"/>
      <c r="D458" s="3"/>
      <c r="E458" s="3"/>
      <c r="F458" s="3"/>
      <c r="G458"/>
    </row>
    <row r="459" spans="1:7" ht="14.25">
      <c r="A459" s="176"/>
      <c r="B459" s="468" t="s">
        <v>308</v>
      </c>
      <c r="D459" s="1281" t="s">
        <v>1242</v>
      </c>
      <c r="E459" s="1281"/>
      <c r="F459" s="1281"/>
      <c r="G459"/>
    </row>
    <row r="460" spans="1:7" ht="14.25">
      <c r="A460" s="176"/>
      <c r="B460" s="176"/>
      <c r="D460" s="118"/>
      <c r="E460" s="3"/>
      <c r="F460" s="3"/>
      <c r="G460"/>
    </row>
    <row r="461" spans="1:7" ht="14.25">
      <c r="A461" s="176"/>
      <c r="B461" s="468" t="s">
        <v>308</v>
      </c>
      <c r="D461" s="1270" t="s">
        <v>1243</v>
      </c>
      <c r="E461" s="1270"/>
      <c r="F461" s="1270"/>
      <c r="G461"/>
    </row>
    <row r="462" spans="1:7" ht="14.25">
      <c r="A462" s="176"/>
      <c r="D462" s="1270"/>
      <c r="E462" s="1270"/>
      <c r="F462" s="1270"/>
      <c r="G462"/>
    </row>
    <row r="463" spans="1:7">
      <c r="A463" s="13"/>
      <c r="B463" s="13"/>
      <c r="D463" s="481"/>
      <c r="E463" s="3"/>
      <c r="F463" s="3"/>
      <c r="G463"/>
    </row>
    <row r="464" spans="1:7">
      <c r="A464" s="13"/>
      <c r="B464" s="468" t="s">
        <v>308</v>
      </c>
      <c r="D464" s="1281" t="s">
        <v>1244</v>
      </c>
      <c r="E464" s="1281"/>
      <c r="F464" s="1281"/>
      <c r="G464"/>
    </row>
    <row r="465" spans="1:7" ht="14.25">
      <c r="A465" s="176"/>
      <c r="B465" s="176"/>
      <c r="D465" s="35"/>
    </row>
    <row r="466" spans="1:7">
      <c r="A466" s="1285" t="s">
        <v>1079</v>
      </c>
      <c r="B466" s="1285"/>
      <c r="C466" s="1285"/>
      <c r="D466" s="1285"/>
      <c r="E466" s="1285"/>
      <c r="F466" s="1285"/>
      <c r="G466" s="1285"/>
    </row>
    <row r="467" spans="1:7" ht="12" customHeight="1">
      <c r="A467" s="176"/>
      <c r="B467" s="176"/>
      <c r="D467" s="35"/>
    </row>
    <row r="468" spans="1:7">
      <c r="C468" s="172"/>
      <c r="D468" s="1286" t="s">
        <v>802</v>
      </c>
      <c r="E468" s="1286"/>
      <c r="F468" s="1286"/>
    </row>
    <row r="469" spans="1:7" ht="13.15" customHeight="1">
      <c r="A469" s="175"/>
      <c r="B469" s="175"/>
      <c r="C469" s="175"/>
      <c r="D469" s="1287" t="s">
        <v>1122</v>
      </c>
      <c r="E469" s="1287"/>
      <c r="F469" s="1287"/>
    </row>
    <row r="470" spans="1:7">
      <c r="A470" s="175"/>
      <c r="B470" s="175"/>
      <c r="C470" s="175"/>
      <c r="D470" s="1287"/>
      <c r="E470" s="1287"/>
      <c r="F470" s="1287"/>
    </row>
    <row r="471" spans="1:7">
      <c r="A471" s="175"/>
      <c r="B471" s="175"/>
      <c r="C471" s="175"/>
      <c r="D471" s="1287"/>
      <c r="E471" s="1287"/>
      <c r="F471" s="1287"/>
    </row>
    <row r="472" spans="1:7">
      <c r="A472" s="175"/>
      <c r="B472" s="175"/>
      <c r="C472" s="175"/>
      <c r="D472" s="1287"/>
      <c r="E472" s="1287"/>
      <c r="F472" s="1287"/>
    </row>
    <row r="473" spans="1:7">
      <c r="A473" s="175"/>
      <c r="B473" s="175"/>
      <c r="C473" s="175"/>
      <c r="D473" s="1287"/>
      <c r="E473" s="1287"/>
      <c r="F473" s="1287"/>
    </row>
    <row r="474" spans="1:7">
      <c r="A474" s="175"/>
      <c r="B474" s="175"/>
      <c r="C474" s="175"/>
      <c r="D474" s="326"/>
      <c r="F474" s="35"/>
    </row>
    <row r="475" spans="1:7" ht="14.45" customHeight="1">
      <c r="A475" s="176"/>
      <c r="B475" s="468" t="s">
        <v>308</v>
      </c>
      <c r="C475" s="175"/>
      <c r="D475" s="1301" t="s">
        <v>1113</v>
      </c>
      <c r="E475" s="1301"/>
      <c r="F475" s="1301"/>
    </row>
    <row r="476" spans="1:7">
      <c r="A476" s="175"/>
      <c r="B476" s="175"/>
      <c r="C476" s="175"/>
      <c r="D476" s="1301"/>
      <c r="E476" s="1301"/>
      <c r="F476" s="1301"/>
    </row>
    <row r="477" spans="1:7">
      <c r="A477" s="175"/>
      <c r="B477" s="175"/>
      <c r="C477" s="175"/>
      <c r="D477" s="1301"/>
      <c r="E477" s="1301"/>
      <c r="F477" s="1301"/>
    </row>
    <row r="478" spans="1:7">
      <c r="A478" s="175"/>
      <c r="B478" s="175"/>
      <c r="C478" s="175"/>
      <c r="D478" s="1301"/>
      <c r="E478" s="1301"/>
      <c r="F478" s="1301"/>
    </row>
    <row r="479" spans="1:7">
      <c r="A479" s="175"/>
      <c r="B479" s="175"/>
      <c r="C479" s="175"/>
      <c r="D479" s="1301"/>
      <c r="E479" s="1301"/>
      <c r="F479" s="1301"/>
    </row>
    <row r="480" spans="1:7">
      <c r="A480" s="175"/>
      <c r="B480" s="175"/>
      <c r="C480" s="175"/>
      <c r="D480" s="220"/>
      <c r="F480" s="35"/>
    </row>
    <row r="481" spans="1:6" ht="14.45" customHeight="1">
      <c r="A481" s="176"/>
      <c r="B481" s="468" t="s">
        <v>308</v>
      </c>
      <c r="C481" s="175"/>
      <c r="D481" s="1301" t="s">
        <v>1116</v>
      </c>
      <c r="E481" s="1301"/>
      <c r="F481" s="1301"/>
    </row>
    <row r="482" spans="1:6">
      <c r="A482" s="175"/>
      <c r="B482" s="175"/>
      <c r="C482" s="175"/>
      <c r="D482" s="1301"/>
      <c r="E482" s="1301"/>
      <c r="F482" s="1301"/>
    </row>
    <row r="483" spans="1:6">
      <c r="A483" s="175"/>
      <c r="B483" s="175"/>
      <c r="C483" s="175"/>
      <c r="D483" s="1301"/>
      <c r="E483" s="1301"/>
      <c r="F483" s="1301"/>
    </row>
    <row r="484" spans="1:6">
      <c r="A484" s="175"/>
      <c r="B484" s="175"/>
      <c r="C484" s="175"/>
      <c r="D484" s="1301"/>
      <c r="E484" s="1301"/>
      <c r="F484" s="1301"/>
    </row>
    <row r="485" spans="1:6" ht="9.9499999999999993" customHeight="1">
      <c r="A485" s="175"/>
      <c r="B485" s="175"/>
      <c r="C485" s="175"/>
      <c r="D485" s="220"/>
      <c r="F485" s="35"/>
    </row>
    <row r="486" spans="1:6" ht="14.45" customHeight="1">
      <c r="A486" s="176"/>
      <c r="B486" s="468" t="s">
        <v>308</v>
      </c>
      <c r="C486" s="175"/>
      <c r="D486" s="1301" t="s">
        <v>1114</v>
      </c>
      <c r="E486" s="1301"/>
      <c r="F486" s="1301"/>
    </row>
    <row r="487" spans="1:6">
      <c r="A487" s="175"/>
      <c r="B487" s="175"/>
      <c r="C487" s="175"/>
      <c r="D487" s="1301"/>
      <c r="E487" s="1301"/>
      <c r="F487" s="1301"/>
    </row>
    <row r="488" spans="1:6">
      <c r="A488" s="175"/>
      <c r="B488" s="175"/>
      <c r="C488" s="175"/>
      <c r="D488" s="1301"/>
      <c r="E488" s="1301"/>
      <c r="F488" s="1301"/>
    </row>
    <row r="489" spans="1:6">
      <c r="A489" s="175"/>
      <c r="B489" s="175"/>
      <c r="C489" s="175"/>
      <c r="D489" s="475"/>
      <c r="E489" s="475"/>
      <c r="F489" s="475"/>
    </row>
    <row r="490" spans="1:6" ht="14.45" customHeight="1">
      <c r="A490" s="176"/>
      <c r="B490" s="468" t="s">
        <v>308</v>
      </c>
      <c r="C490" s="175"/>
      <c r="D490" s="1301" t="s">
        <v>1115</v>
      </c>
      <c r="E490" s="1301"/>
      <c r="F490" s="1301"/>
    </row>
    <row r="491" spans="1:6">
      <c r="A491" s="175"/>
      <c r="B491" s="175"/>
      <c r="C491" s="175"/>
      <c r="D491" s="1301"/>
      <c r="E491" s="1301"/>
      <c r="F491" s="1301"/>
    </row>
    <row r="492" spans="1:6">
      <c r="A492" s="175"/>
      <c r="B492" s="175"/>
      <c r="C492" s="175"/>
      <c r="D492" s="1301"/>
      <c r="E492" s="1301"/>
      <c r="F492" s="1301"/>
    </row>
    <row r="493" spans="1:6">
      <c r="A493" s="175"/>
      <c r="B493" s="175"/>
      <c r="C493" s="175"/>
      <c r="D493" s="1301"/>
      <c r="E493" s="1301"/>
      <c r="F493" s="1301"/>
    </row>
    <row r="494" spans="1:6">
      <c r="A494" s="175"/>
      <c r="B494" s="175"/>
      <c r="C494" s="175"/>
      <c r="D494" s="1301"/>
      <c r="E494" s="1301"/>
      <c r="F494" s="1301"/>
    </row>
    <row r="495" spans="1:6">
      <c r="A495" s="175"/>
      <c r="B495" s="175"/>
      <c r="C495" s="175"/>
      <c r="D495" s="1301"/>
      <c r="E495" s="1301"/>
      <c r="F495" s="1301"/>
    </row>
    <row r="496" spans="1:6">
      <c r="A496" s="175"/>
      <c r="B496" s="175"/>
      <c r="C496" s="175"/>
      <c r="D496" s="1301"/>
      <c r="E496" s="1301"/>
      <c r="F496" s="1301"/>
    </row>
    <row r="497" spans="1:7">
      <c r="A497" s="175"/>
      <c r="B497" s="175"/>
      <c r="C497" s="175"/>
      <c r="D497" s="1301"/>
      <c r="E497" s="1301"/>
      <c r="F497" s="1301"/>
    </row>
    <row r="498" spans="1:7">
      <c r="A498" s="175"/>
      <c r="B498" s="175"/>
      <c r="C498" s="175"/>
      <c r="D498" s="1301"/>
      <c r="E498" s="1301"/>
      <c r="F498" s="1301"/>
    </row>
    <row r="499" spans="1:7">
      <c r="A499" s="175"/>
      <c r="B499" s="175"/>
      <c r="C499" s="175"/>
      <c r="D499" s="220"/>
      <c r="F499" s="35"/>
    </row>
    <row r="500" spans="1:7" ht="13.15" customHeight="1">
      <c r="A500" s="175"/>
      <c r="B500" s="468" t="s">
        <v>308</v>
      </c>
      <c r="C500" s="175"/>
      <c r="D500" s="1279" t="s">
        <v>1259</v>
      </c>
      <c r="E500" s="1279"/>
      <c r="F500" s="1279"/>
    </row>
    <row r="501" spans="1:7">
      <c r="A501" s="175"/>
      <c r="B501" s="175"/>
      <c r="C501" s="175"/>
      <c r="D501" s="1279"/>
      <c r="E501" s="1279"/>
      <c r="F501" s="1279"/>
    </row>
    <row r="502" spans="1:7">
      <c r="A502" s="175"/>
      <c r="B502" s="175"/>
      <c r="C502" s="175"/>
      <c r="D502" s="1279"/>
      <c r="E502" s="1279"/>
      <c r="F502" s="1279"/>
    </row>
    <row r="503" spans="1:7">
      <c r="A503" s="175"/>
      <c r="B503" s="175"/>
      <c r="C503" s="175"/>
      <c r="D503" s="1279"/>
      <c r="E503" s="1279"/>
      <c r="F503" s="1279"/>
    </row>
    <row r="504" spans="1:7">
      <c r="A504" s="175"/>
      <c r="B504" s="175"/>
      <c r="C504" s="175"/>
      <c r="D504" s="1279"/>
      <c r="E504" s="1279"/>
      <c r="F504" s="1279"/>
    </row>
    <row r="505" spans="1:7">
      <c r="A505" s="175"/>
      <c r="B505" s="175"/>
      <c r="C505" s="175"/>
      <c r="D505" s="485"/>
      <c r="E505" s="485"/>
      <c r="F505" s="485"/>
    </row>
    <row r="506" spans="1:7" ht="14.45" customHeight="1">
      <c r="A506" s="176"/>
      <c r="B506" s="468" t="s">
        <v>308</v>
      </c>
      <c r="D506" s="1301" t="s">
        <v>1117</v>
      </c>
      <c r="E506" s="1301"/>
      <c r="F506" s="1301"/>
    </row>
    <row r="507" spans="1:7">
      <c r="D507" s="1301"/>
      <c r="E507" s="1301"/>
      <c r="F507" s="1301"/>
    </row>
    <row r="508" spans="1:7">
      <c r="D508" s="1301"/>
      <c r="E508" s="1301"/>
      <c r="F508" s="1301"/>
    </row>
    <row r="509" spans="1:7" ht="12" customHeight="1">
      <c r="A509" s="35"/>
      <c r="B509" s="35"/>
      <c r="C509" s="179"/>
      <c r="D509" s="35"/>
      <c r="F509" s="57"/>
    </row>
    <row r="510" spans="1:7">
      <c r="A510" s="1285" t="s">
        <v>1080</v>
      </c>
      <c r="B510" s="1285"/>
      <c r="C510" s="1285"/>
      <c r="D510" s="1285"/>
      <c r="E510" s="1285"/>
      <c r="F510" s="1285"/>
      <c r="G510" s="1285"/>
    </row>
    <row r="511" spans="1:7">
      <c r="A511" s="35"/>
      <c r="B511" s="35"/>
      <c r="C511" s="179"/>
      <c r="F511" s="57"/>
    </row>
    <row r="512" spans="1:7">
      <c r="B512" s="1302" t="s">
        <v>448</v>
      </c>
      <c r="C512" s="1302"/>
      <c r="D512" s="1302"/>
      <c r="E512" s="1302"/>
      <c r="F512" s="1302"/>
    </row>
    <row r="513" spans="1:7">
      <c r="A513" s="35"/>
      <c r="B513" s="35"/>
      <c r="C513" s="179"/>
      <c r="D513" s="35"/>
      <c r="F513" s="35"/>
    </row>
    <row r="514" spans="1:7">
      <c r="A514" s="1316" t="s">
        <v>1081</v>
      </c>
      <c r="B514" s="1316"/>
      <c r="C514" s="1316"/>
      <c r="D514" s="1316"/>
      <c r="E514" s="1316"/>
      <c r="F514" s="1316"/>
      <c r="G514" s="1316"/>
    </row>
    <row r="515" spans="1:7">
      <c r="A515" s="35"/>
      <c r="B515" s="35"/>
      <c r="C515" s="179"/>
      <c r="D515" s="35"/>
      <c r="F515" s="35"/>
    </row>
    <row r="516" spans="1:7">
      <c r="C516" s="179"/>
      <c r="D516" s="1286" t="s">
        <v>691</v>
      </c>
      <c r="E516" s="1286"/>
      <c r="F516" s="1286"/>
    </row>
    <row r="517" spans="1:7">
      <c r="C517" s="179"/>
      <c r="D517" s="1281" t="s">
        <v>1138</v>
      </c>
      <c r="E517" s="1281"/>
      <c r="F517" s="1281"/>
    </row>
    <row r="518" spans="1:7">
      <c r="C518" s="179"/>
      <c r="D518" s="118"/>
      <c r="E518" s="118"/>
      <c r="F518" s="118"/>
    </row>
    <row r="519" spans="1:7" ht="13.15" customHeight="1">
      <c r="A519" s="176"/>
      <c r="B519" s="468" t="s">
        <v>308</v>
      </c>
      <c r="C519" s="179"/>
      <c r="D519" s="1281" t="s">
        <v>896</v>
      </c>
      <c r="E519" s="1281"/>
      <c r="F519" s="1281"/>
      <c r="G519"/>
    </row>
    <row r="520" spans="1:7" ht="13.15" customHeight="1">
      <c r="A520" s="179"/>
      <c r="B520" s="179"/>
      <c r="C520" s="179"/>
      <c r="D520" s="118"/>
      <c r="E520"/>
      <c r="F520"/>
      <c r="G520"/>
    </row>
    <row r="521" spans="1:7" ht="14.25">
      <c r="A521" s="176"/>
      <c r="B521" s="468" t="s">
        <v>308</v>
      </c>
      <c r="C521" s="179"/>
      <c r="D521" s="1270" t="s">
        <v>1139</v>
      </c>
      <c r="E521" s="1270"/>
      <c r="F521" s="1270"/>
      <c r="G521"/>
    </row>
    <row r="522" spans="1:7">
      <c r="A522" s="179"/>
      <c r="B522" s="179"/>
      <c r="C522" s="179"/>
      <c r="D522" s="1270"/>
      <c r="E522" s="1270"/>
      <c r="F522" s="1270"/>
      <c r="G522"/>
    </row>
    <row r="523" spans="1:7">
      <c r="A523" s="179"/>
      <c r="B523" s="179"/>
      <c r="C523" s="179"/>
      <c r="D523" s="35"/>
      <c r="E523" s="35"/>
      <c r="F523" s="35"/>
      <c r="G523"/>
    </row>
    <row r="524" spans="1:7" ht="14.25">
      <c r="A524" s="176"/>
      <c r="B524" s="468" t="s">
        <v>308</v>
      </c>
      <c r="C524" s="179"/>
      <c r="D524" s="1270" t="s">
        <v>1140</v>
      </c>
      <c r="E524" s="1270"/>
      <c r="F524" s="1270"/>
      <c r="G524"/>
    </row>
    <row r="525" spans="1:7">
      <c r="A525" s="179"/>
      <c r="B525" s="179"/>
      <c r="C525" s="179"/>
      <c r="D525" s="1270"/>
      <c r="E525" s="1270"/>
      <c r="F525" s="1270"/>
      <c r="G525"/>
    </row>
    <row r="526" spans="1:7">
      <c r="A526" s="179"/>
      <c r="B526" s="179"/>
      <c r="C526" s="179"/>
      <c r="D526" s="35"/>
      <c r="E526" s="35"/>
      <c r="F526" s="35"/>
      <c r="G526"/>
    </row>
    <row r="527" spans="1:7" ht="14.25">
      <c r="A527" s="176"/>
      <c r="B527" s="468" t="s">
        <v>308</v>
      </c>
      <c r="C527" s="179"/>
      <c r="D527" s="1270" t="s">
        <v>1141</v>
      </c>
      <c r="E527" s="1270"/>
      <c r="F527" s="1270"/>
      <c r="G527"/>
    </row>
    <row r="528" spans="1:7">
      <c r="A528" s="179"/>
      <c r="B528" s="179"/>
      <c r="C528" s="179"/>
      <c r="D528" s="1270"/>
      <c r="E528" s="1270"/>
      <c r="F528" s="1270"/>
      <c r="G528"/>
    </row>
    <row r="529" spans="1:7">
      <c r="A529" s="179"/>
      <c r="B529" s="179"/>
      <c r="C529" s="179"/>
      <c r="D529" s="35"/>
      <c r="E529" s="35"/>
      <c r="F529" s="35"/>
      <c r="G529"/>
    </row>
    <row r="530" spans="1:7" ht="14.25">
      <c r="A530" s="176"/>
      <c r="B530" s="468" t="s">
        <v>308</v>
      </c>
      <c r="C530" s="179"/>
      <c r="D530" s="1270" t="s">
        <v>1142</v>
      </c>
      <c r="E530" s="1270"/>
      <c r="F530" s="1270"/>
      <c r="G530"/>
    </row>
    <row r="531" spans="1:7">
      <c r="A531" s="179"/>
      <c r="B531" s="179"/>
      <c r="C531" s="179"/>
      <c r="D531" s="1270"/>
      <c r="E531" s="1270"/>
      <c r="F531" s="1270"/>
      <c r="G531"/>
    </row>
    <row r="532" spans="1:7">
      <c r="A532" s="179"/>
      <c r="B532" s="179"/>
      <c r="C532" s="179"/>
      <c r="D532" s="1270"/>
      <c r="E532" s="1270"/>
      <c r="F532" s="1270"/>
      <c r="G532"/>
    </row>
    <row r="533" spans="1:7">
      <c r="A533" s="179"/>
      <c r="B533" s="179"/>
      <c r="C533" s="179"/>
      <c r="D533" s="35"/>
      <c r="E533" s="35"/>
      <c r="F533" s="35"/>
    </row>
    <row r="534" spans="1:7" ht="14.25">
      <c r="A534" s="176"/>
      <c r="B534" s="468" t="s">
        <v>308</v>
      </c>
      <c r="C534" s="179"/>
      <c r="D534" s="1270" t="s">
        <v>1260</v>
      </c>
      <c r="E534" s="1270"/>
      <c r="F534" s="1270"/>
    </row>
    <row r="535" spans="1:7">
      <c r="A535" s="179"/>
      <c r="B535" s="179"/>
      <c r="C535" s="179"/>
      <c r="D535" s="1270"/>
      <c r="E535" s="1270"/>
      <c r="F535" s="1270"/>
    </row>
    <row r="536" spans="1:7">
      <c r="A536" s="179"/>
      <c r="B536" s="179"/>
      <c r="C536" s="179"/>
      <c r="D536" s="35"/>
      <c r="E536" s="35"/>
      <c r="F536" s="35"/>
    </row>
    <row r="537" spans="1:7" ht="14.25">
      <c r="A537" s="176"/>
      <c r="B537" s="468" t="s">
        <v>308</v>
      </c>
      <c r="C537" s="179"/>
      <c r="D537" s="1270" t="s">
        <v>1143</v>
      </c>
      <c r="E537" s="1270"/>
      <c r="F537" s="1270"/>
    </row>
    <row r="538" spans="1:7">
      <c r="A538" s="179"/>
      <c r="B538" s="179"/>
      <c r="C538" s="179"/>
      <c r="D538" s="1270"/>
      <c r="E538" s="1270"/>
      <c r="F538" s="1270"/>
    </row>
    <row r="539" spans="1:7">
      <c r="A539" s="179"/>
      <c r="B539" s="179"/>
      <c r="C539" s="179"/>
      <c r="D539" s="35"/>
      <c r="E539" s="35"/>
      <c r="F539" s="35"/>
    </row>
    <row r="540" spans="1:7" ht="14.25">
      <c r="A540" s="176"/>
      <c r="B540" s="468" t="s">
        <v>308</v>
      </c>
      <c r="C540" s="179"/>
      <c r="D540" s="1270" t="s">
        <v>1144</v>
      </c>
      <c r="E540" s="1270"/>
      <c r="F540" s="1270"/>
    </row>
    <row r="541" spans="1:7">
      <c r="A541" s="179"/>
      <c r="B541" s="179"/>
      <c r="C541" s="179"/>
      <c r="D541" s="1270"/>
      <c r="E541" s="1270"/>
      <c r="F541" s="1270"/>
    </row>
    <row r="542" spans="1:7">
      <c r="A542" s="179"/>
      <c r="B542" s="179"/>
      <c r="C542" s="179"/>
      <c r="D542" s="35"/>
      <c r="E542" s="35"/>
      <c r="F542" s="35"/>
    </row>
    <row r="543" spans="1:7" ht="14.25">
      <c r="A543" s="176"/>
      <c r="B543" s="468" t="s">
        <v>308</v>
      </c>
      <c r="C543" s="179"/>
      <c r="D543" s="1281" t="s">
        <v>1145</v>
      </c>
      <c r="E543" s="1281"/>
      <c r="F543" s="1281"/>
    </row>
    <row r="544" spans="1:7">
      <c r="A544" s="13"/>
      <c r="B544" s="13"/>
      <c r="C544" s="179"/>
      <c r="D544" s="1281" t="s">
        <v>829</v>
      </c>
      <c r="E544" s="1281"/>
      <c r="F544" s="1281"/>
    </row>
    <row r="545" spans="1:7">
      <c r="A545" s="13"/>
      <c r="B545" s="13"/>
      <c r="C545" s="179"/>
      <c r="D545" s="3"/>
      <c r="E545" s="1292" t="s">
        <v>1146</v>
      </c>
      <c r="F545" s="1292"/>
    </row>
    <row r="546" spans="1:7" ht="14.25">
      <c r="A546" s="176"/>
      <c r="B546" s="176"/>
      <c r="C546" s="179"/>
      <c r="E546" s="35"/>
      <c r="F546" s="35"/>
    </row>
    <row r="547" spans="1:7" ht="14.25">
      <c r="A547" s="176"/>
      <c r="B547" s="468" t="s">
        <v>308</v>
      </c>
      <c r="C547" s="179"/>
      <c r="D547" s="1281" t="s">
        <v>1147</v>
      </c>
      <c r="E547" s="1281"/>
      <c r="F547" s="1281"/>
    </row>
    <row r="548" spans="1:7">
      <c r="C548" s="179"/>
      <c r="D548" s="1270" t="s">
        <v>1148</v>
      </c>
      <c r="E548" s="1270"/>
      <c r="F548" s="1270"/>
    </row>
    <row r="549" spans="1:7">
      <c r="A549" s="179"/>
      <c r="B549" s="179"/>
      <c r="C549" s="179"/>
      <c r="D549" s="1270"/>
      <c r="E549" s="1270"/>
      <c r="F549" s="1270"/>
    </row>
    <row r="550" spans="1:7">
      <c r="A550" s="179"/>
      <c r="B550" s="179"/>
      <c r="C550" s="179"/>
      <c r="D550" s="1270"/>
      <c r="E550" s="1270"/>
      <c r="F550" s="1270"/>
    </row>
    <row r="551" spans="1:7">
      <c r="A551" s="179"/>
      <c r="B551" s="179"/>
      <c r="C551" s="179"/>
      <c r="D551" s="35"/>
      <c r="E551" s="35"/>
      <c r="F551" s="35"/>
    </row>
    <row r="552" spans="1:7" ht="14.25">
      <c r="A552" s="176"/>
      <c r="B552" s="468" t="s">
        <v>308</v>
      </c>
      <c r="C552" s="179"/>
      <c r="D552" s="1270" t="s">
        <v>1149</v>
      </c>
      <c r="E552" s="1270"/>
      <c r="F552" s="1270"/>
    </row>
    <row r="553" spans="1:7" ht="14.25">
      <c r="A553" s="176"/>
      <c r="B553" s="176"/>
      <c r="C553" s="179"/>
      <c r="D553" s="1270"/>
      <c r="E553" s="1270"/>
      <c r="F553" s="1270"/>
    </row>
    <row r="554" spans="1:7" ht="14.25">
      <c r="A554" s="176"/>
      <c r="B554" s="176"/>
      <c r="C554" s="179"/>
      <c r="D554" s="1270"/>
      <c r="E554" s="1270"/>
      <c r="F554" s="1270"/>
    </row>
    <row r="555" spans="1:7" ht="14.25">
      <c r="A555" s="176"/>
      <c r="B555" s="176"/>
      <c r="C555" s="179"/>
      <c r="D555" s="1270"/>
      <c r="E555" s="1270"/>
      <c r="F555" s="1270"/>
    </row>
    <row r="556" spans="1:7" ht="14.25">
      <c r="A556" s="176"/>
      <c r="B556" s="176"/>
      <c r="C556" s="179"/>
      <c r="D556" s="35"/>
      <c r="E556" s="35"/>
      <c r="F556" s="35"/>
    </row>
    <row r="557" spans="1:7">
      <c r="A557" s="1285" t="s">
        <v>1082</v>
      </c>
      <c r="B557" s="1285"/>
      <c r="C557" s="1285"/>
      <c r="D557" s="1285"/>
      <c r="E557" s="1285"/>
      <c r="F557" s="1285"/>
      <c r="G557" s="1285"/>
    </row>
    <row r="558" spans="1:7">
      <c r="A558" s="179"/>
      <c r="B558" s="179"/>
      <c r="C558" s="179"/>
      <c r="E558" s="35"/>
      <c r="F558" s="35"/>
    </row>
    <row r="559" spans="1:7" ht="12.75" customHeight="1">
      <c r="C559" s="172"/>
      <c r="D559" s="1303" t="s">
        <v>211</v>
      </c>
      <c r="E559" s="1303"/>
      <c r="F559" s="1303"/>
    </row>
    <row r="560" spans="1:7">
      <c r="A560" s="175"/>
      <c r="B560" s="175"/>
      <c r="C560" s="175"/>
      <c r="D560" s="1284" t="s">
        <v>1098</v>
      </c>
      <c r="E560" s="1284"/>
      <c r="F560" s="1284"/>
    </row>
    <row r="561" spans="1:6">
      <c r="A561"/>
      <c r="B561"/>
      <c r="C561" s="175"/>
      <c r="D561" s="255"/>
    </row>
    <row r="562" spans="1:6">
      <c r="A562" s="175"/>
      <c r="B562" s="468" t="s">
        <v>308</v>
      </c>
      <c r="D562" s="1284" t="s">
        <v>902</v>
      </c>
      <c r="E562" s="1284"/>
      <c r="F562" s="1284"/>
    </row>
    <row r="563" spans="1:6">
      <c r="A563" s="13"/>
      <c r="B563" s="13"/>
      <c r="D563" s="218"/>
    </row>
    <row r="564" spans="1:6">
      <c r="A564" s="13"/>
      <c r="B564" s="468" t="s">
        <v>308</v>
      </c>
      <c r="D564" s="1284" t="s">
        <v>1099</v>
      </c>
      <c r="E564" s="1284"/>
      <c r="F564" s="1284"/>
    </row>
    <row r="565" spans="1:6">
      <c r="A565" s="13"/>
      <c r="B565" s="13"/>
      <c r="D565" s="1284"/>
      <c r="E565" s="1284"/>
      <c r="F565" s="1284"/>
    </row>
    <row r="566" spans="1:6">
      <c r="A566" s="13"/>
      <c r="B566" s="13"/>
      <c r="D566" s="1284"/>
      <c r="E566" s="1284"/>
      <c r="F566" s="1284"/>
    </row>
    <row r="567" spans="1:6">
      <c r="A567" s="13"/>
      <c r="B567" s="13"/>
      <c r="D567" s="255"/>
    </row>
    <row r="568" spans="1:6">
      <c r="A568" s="13"/>
      <c r="B568" s="468" t="s">
        <v>308</v>
      </c>
      <c r="D568" s="1284" t="s">
        <v>1100</v>
      </c>
      <c r="E568" s="1284"/>
      <c r="F568" s="1284"/>
    </row>
    <row r="569" spans="1:6">
      <c r="A569" s="13"/>
      <c r="B569" s="13"/>
      <c r="D569" s="1284"/>
      <c r="E569" s="1284"/>
      <c r="F569" s="1284"/>
    </row>
    <row r="570" spans="1:6">
      <c r="A570" s="13"/>
      <c r="B570" s="13"/>
      <c r="D570" s="1284"/>
      <c r="E570" s="1284"/>
      <c r="F570" s="1284"/>
    </row>
    <row r="571" spans="1:6">
      <c r="A571" s="13"/>
      <c r="B571" s="13"/>
      <c r="D571" s="1284"/>
      <c r="E571" s="1284"/>
      <c r="F571" s="1284"/>
    </row>
    <row r="572" spans="1:6">
      <c r="A572" s="13"/>
      <c r="B572" s="13"/>
      <c r="D572" s="473"/>
      <c r="E572" s="473"/>
      <c r="F572" s="473"/>
    </row>
    <row r="573" spans="1:6">
      <c r="A573" s="13"/>
      <c r="B573" s="468" t="s">
        <v>308</v>
      </c>
      <c r="D573" s="1284" t="s">
        <v>1101</v>
      </c>
      <c r="E573" s="1284"/>
      <c r="F573" s="1284"/>
    </row>
    <row r="574" spans="1:6">
      <c r="A574" s="13"/>
      <c r="B574" s="13"/>
      <c r="D574" s="1284"/>
      <c r="E574" s="1284"/>
      <c r="F574" s="1284"/>
    </row>
    <row r="575" spans="1:6">
      <c r="A575" s="13"/>
      <c r="B575" s="13"/>
      <c r="D575" s="255"/>
    </row>
    <row r="576" spans="1:6">
      <c r="A576" s="13"/>
      <c r="B576" s="468" t="s">
        <v>308</v>
      </c>
      <c r="D576" s="1284" t="s">
        <v>1102</v>
      </c>
      <c r="E576" s="1284"/>
      <c r="F576" s="1284"/>
    </row>
    <row r="577" spans="1:7">
      <c r="A577" s="13"/>
      <c r="B577" s="13"/>
      <c r="D577" s="1284"/>
      <c r="E577" s="1284"/>
      <c r="F577" s="1284"/>
    </row>
    <row r="578" spans="1:7">
      <c r="A578" s="13"/>
      <c r="B578" s="13"/>
      <c r="D578" s="255"/>
    </row>
    <row r="579" spans="1:7" ht="14.25">
      <c r="A579" s="176"/>
      <c r="B579" s="468" t="s">
        <v>308</v>
      </c>
      <c r="D579" s="1284" t="s">
        <v>897</v>
      </c>
      <c r="E579" s="1284"/>
      <c r="F579" s="1284"/>
    </row>
    <row r="580" spans="1:7" ht="14.25">
      <c r="A580" s="176"/>
      <c r="B580" s="176"/>
      <c r="D580" s="255"/>
    </row>
    <row r="581" spans="1:7" ht="14.25">
      <c r="A581" s="176"/>
      <c r="B581" s="468" t="s">
        <v>308</v>
      </c>
      <c r="D581" s="1284" t="s">
        <v>1103</v>
      </c>
      <c r="E581" s="1284"/>
      <c r="F581" s="1284"/>
    </row>
    <row r="582" spans="1:7" ht="14.25">
      <c r="A582" s="176"/>
      <c r="B582" s="176"/>
      <c r="D582" s="1284"/>
      <c r="E582" s="1284"/>
      <c r="F582" s="1284"/>
    </row>
    <row r="583" spans="1:7">
      <c r="D583" s="1284"/>
      <c r="E583" s="1284"/>
      <c r="F583" s="1284"/>
    </row>
    <row r="584" spans="1:7">
      <c r="D584" s="1284"/>
      <c r="E584" s="1284"/>
      <c r="F584" s="1284"/>
    </row>
    <row r="585" spans="1:7">
      <c r="D585" s="1284"/>
      <c r="E585" s="1284"/>
      <c r="F585" s="1284"/>
    </row>
    <row r="586" spans="1:7">
      <c r="D586" s="1284"/>
      <c r="E586" s="1284"/>
      <c r="F586" s="1284"/>
    </row>
    <row r="587" spans="1:7"/>
    <row r="588" spans="1:7">
      <c r="A588" s="1285" t="s">
        <v>1083</v>
      </c>
      <c r="B588" s="1285"/>
      <c r="C588" s="1285"/>
      <c r="D588" s="1285"/>
      <c r="E588" s="1285"/>
      <c r="F588" s="1285"/>
      <c r="G588" s="1285"/>
    </row>
    <row r="589" spans="1:7"/>
    <row r="590" spans="1:7">
      <c r="D590" s="1296" t="s">
        <v>1183</v>
      </c>
      <c r="E590" s="1296"/>
      <c r="F590" s="1296"/>
    </row>
    <row r="591" spans="1:7">
      <c r="D591" s="1319" t="s">
        <v>1184</v>
      </c>
      <c r="E591" s="1319"/>
      <c r="F591" s="1319"/>
    </row>
    <row r="592" spans="1:7">
      <c r="D592" s="478"/>
      <c r="E592" s="433"/>
      <c r="F592" s="433"/>
    </row>
    <row r="593" spans="1:7" ht="14.25">
      <c r="A593" s="176"/>
      <c r="B593" s="468" t="s">
        <v>308</v>
      </c>
      <c r="D593" s="1297" t="s">
        <v>1185</v>
      </c>
      <c r="E593" s="1297"/>
      <c r="F593" s="1297"/>
    </row>
    <row r="594" spans="1:7">
      <c r="D594" s="1297"/>
      <c r="E594" s="1297"/>
      <c r="F594" s="1297"/>
    </row>
    <row r="595" spans="1:7">
      <c r="D595" s="1297"/>
      <c r="E595" s="1297"/>
      <c r="F595" s="1297"/>
    </row>
    <row r="596" spans="1:7"/>
    <row r="597" spans="1:7">
      <c r="A597" s="1285" t="s">
        <v>1084</v>
      </c>
      <c r="B597" s="1285"/>
      <c r="C597" s="1285"/>
      <c r="D597" s="1285"/>
      <c r="E597" s="1285"/>
      <c r="F597" s="1285"/>
      <c r="G597" s="1285"/>
    </row>
    <row r="598" spans="1:7">
      <c r="A598" s="35"/>
      <c r="B598" s="35"/>
    </row>
    <row r="599" spans="1:7">
      <c r="A599" s="172"/>
      <c r="B599" s="172"/>
      <c r="C599" s="172"/>
      <c r="D599" s="1320" t="s">
        <v>1186</v>
      </c>
      <c r="E599" s="1320"/>
      <c r="F599" s="1320"/>
    </row>
    <row r="600" spans="1:7">
      <c r="A600" s="172"/>
      <c r="B600" s="172"/>
      <c r="C600" s="172"/>
      <c r="D600" s="1320"/>
      <c r="E600" s="1320"/>
      <c r="F600" s="1320"/>
    </row>
    <row r="601" spans="1:7">
      <c r="C601" s="175"/>
      <c r="D601" s="1319" t="s">
        <v>1187</v>
      </c>
      <c r="E601" s="1319"/>
      <c r="F601" s="1319"/>
    </row>
    <row r="602" spans="1:7">
      <c r="C602" s="175"/>
      <c r="D602" s="478"/>
      <c r="E602" s="478"/>
      <c r="F602" s="478"/>
    </row>
    <row r="603" spans="1:7">
      <c r="A603" s="13"/>
      <c r="B603" s="468" t="s">
        <v>308</v>
      </c>
      <c r="D603" s="1319" t="s">
        <v>433</v>
      </c>
      <c r="E603" s="1319"/>
      <c r="F603" s="1319"/>
    </row>
    <row r="604" spans="1:7">
      <c r="C604" s="180"/>
      <c r="E604"/>
    </row>
    <row r="605" spans="1:7">
      <c r="A605" s="13"/>
      <c r="B605" s="468" t="s">
        <v>308</v>
      </c>
      <c r="D605" s="1295" t="s">
        <v>1188</v>
      </c>
      <c r="E605" s="1295"/>
      <c r="F605" s="1295"/>
    </row>
    <row r="606" spans="1:7">
      <c r="D606" s="1295"/>
      <c r="E606" s="1295"/>
      <c r="F606" s="1295"/>
    </row>
    <row r="607" spans="1:7">
      <c r="D607"/>
    </row>
    <row r="608" spans="1:7">
      <c r="B608" s="468" t="s">
        <v>308</v>
      </c>
      <c r="D608" s="1295" t="s">
        <v>1189</v>
      </c>
      <c r="E608" s="1295"/>
      <c r="F608" s="1295"/>
    </row>
    <row r="609" spans="1:7">
      <c r="C609" s="180"/>
      <c r="D609" s="1295"/>
      <c r="E609" s="1295"/>
      <c r="F609" s="1295"/>
    </row>
    <row r="610" spans="1:7">
      <c r="C610" s="180"/>
    </row>
    <row r="611" spans="1:7">
      <c r="B611" s="468" t="s">
        <v>308</v>
      </c>
      <c r="C611" s="180"/>
      <c r="D611" s="1295" t="s">
        <v>1190</v>
      </c>
      <c r="E611" s="1295"/>
      <c r="F611" s="1295"/>
    </row>
    <row r="612" spans="1:7">
      <c r="C612" s="180"/>
      <c r="D612" s="1295"/>
      <c r="E612" s="1295"/>
      <c r="F612" s="1295"/>
    </row>
    <row r="613" spans="1:7">
      <c r="C613" s="180"/>
    </row>
    <row r="614" spans="1:7">
      <c r="A614" s="1285" t="s">
        <v>1085</v>
      </c>
      <c r="B614" s="1285"/>
      <c r="C614" s="1285"/>
      <c r="D614" s="1285"/>
      <c r="E614" s="1285"/>
      <c r="F614" s="1285"/>
      <c r="G614" s="1285"/>
    </row>
    <row r="615" spans="1:7">
      <c r="A615" s="172"/>
      <c r="B615" s="172"/>
      <c r="C615" s="172"/>
    </row>
    <row r="616" spans="1:7">
      <c r="C616" s="13"/>
      <c r="D616" s="1296" t="s">
        <v>1191</v>
      </c>
      <c r="E616" s="1296"/>
      <c r="F616" s="1296"/>
    </row>
    <row r="617" spans="1:7">
      <c r="A617" s="13"/>
      <c r="B617" s="13"/>
      <c r="D617" s="2"/>
    </row>
    <row r="618" spans="1:7" ht="14.25">
      <c r="A618" s="176"/>
      <c r="B618" s="468" t="s">
        <v>308</v>
      </c>
      <c r="D618" s="1297" t="s">
        <v>1192</v>
      </c>
      <c r="E618" s="1297"/>
      <c r="F618" s="1297"/>
    </row>
    <row r="619" spans="1:7">
      <c r="D619" s="1297"/>
      <c r="E619" s="1297"/>
      <c r="F619" s="1297"/>
    </row>
    <row r="620" spans="1:7">
      <c r="D620" s="1297"/>
      <c r="E620" s="1297"/>
      <c r="F620" s="1297"/>
    </row>
    <row r="621" spans="1:7">
      <c r="D621" s="1297"/>
      <c r="E621" s="1297"/>
      <c r="F621" s="1297"/>
    </row>
    <row r="622" spans="1:7">
      <c r="D622" s="1297"/>
      <c r="E622" s="1297"/>
      <c r="F622" s="1297"/>
    </row>
    <row r="623" spans="1:7">
      <c r="D623" s="1297"/>
      <c r="E623" s="1297"/>
      <c r="F623" s="1297"/>
    </row>
    <row r="624" spans="1:7">
      <c r="D624" s="479"/>
      <c r="E624" s="479"/>
      <c r="F624" s="479"/>
    </row>
    <row r="625" spans="1:7" ht="14.25">
      <c r="A625" s="176"/>
      <c r="B625" s="468" t="s">
        <v>308</v>
      </c>
      <c r="D625" s="1297" t="s">
        <v>1193</v>
      </c>
      <c r="E625" s="1297"/>
      <c r="F625" s="1297"/>
    </row>
    <row r="626" spans="1:7">
      <c r="A626" s="179"/>
      <c r="B626" s="179"/>
      <c r="C626" s="179"/>
      <c r="D626" s="1297"/>
      <c r="E626" s="1297"/>
      <c r="F626" s="1297"/>
    </row>
    <row r="627" spans="1:7">
      <c r="A627" s="179"/>
      <c r="B627" s="179"/>
      <c r="C627" s="179"/>
      <c r="D627" s="35"/>
      <c r="E627" s="35"/>
      <c r="F627" s="35"/>
    </row>
    <row r="628" spans="1:7" ht="14.25">
      <c r="A628" s="176"/>
      <c r="B628" s="468" t="s">
        <v>308</v>
      </c>
      <c r="C628" s="179"/>
      <c r="D628" s="1297" t="s">
        <v>1194</v>
      </c>
      <c r="E628" s="1297"/>
      <c r="F628" s="1297"/>
    </row>
    <row r="629" spans="1:7" ht="14.25">
      <c r="A629" s="176"/>
      <c r="B629" s="176"/>
      <c r="C629" s="179"/>
      <c r="D629" s="1297"/>
      <c r="E629" s="1297"/>
      <c r="F629" s="1297"/>
    </row>
    <row r="630" spans="1:7" ht="14.25">
      <c r="A630" s="176"/>
      <c r="B630" s="176"/>
      <c r="C630" s="179"/>
      <c r="D630" s="1297"/>
      <c r="E630" s="1297"/>
      <c r="F630" s="1297"/>
    </row>
    <row r="631" spans="1:7">
      <c r="A631" s="179"/>
      <c r="B631" s="179"/>
      <c r="C631" s="179"/>
      <c r="D631" s="1297"/>
      <c r="E631" s="1297"/>
      <c r="F631" s="1297"/>
    </row>
    <row r="632" spans="1:7">
      <c r="A632" s="179"/>
      <c r="B632" s="179"/>
      <c r="C632" s="179"/>
      <c r="D632" s="479"/>
      <c r="E632" s="479"/>
      <c r="F632" s="479"/>
    </row>
    <row r="633" spans="1:7">
      <c r="A633" s="179"/>
      <c r="B633" s="468" t="s">
        <v>308</v>
      </c>
      <c r="C633" s="179"/>
      <c r="D633" s="1298" t="s">
        <v>1195</v>
      </c>
      <c r="E633" s="1298"/>
      <c r="F633" s="1298"/>
    </row>
    <row r="634" spans="1:7">
      <c r="A634" s="179"/>
      <c r="B634" s="179"/>
      <c r="C634" s="179"/>
      <c r="D634" s="480"/>
      <c r="E634" s="480"/>
      <c r="F634" s="480"/>
    </row>
    <row r="635" spans="1:7">
      <c r="A635" s="1285" t="s">
        <v>1086</v>
      </c>
      <c r="B635" s="1285"/>
      <c r="C635" s="1285"/>
      <c r="D635" s="1285"/>
      <c r="E635" s="1285"/>
      <c r="F635" s="1285"/>
      <c r="G635" s="1285"/>
    </row>
    <row r="636" spans="1:7">
      <c r="A636" s="35"/>
      <c r="B636" s="35"/>
      <c r="C636" s="179"/>
      <c r="D636" s="35"/>
      <c r="E636" s="35"/>
      <c r="F636" s="35"/>
    </row>
    <row r="637" spans="1:7">
      <c r="C637" s="172"/>
      <c r="D637" s="1286" t="s">
        <v>1245</v>
      </c>
      <c r="E637" s="1286"/>
      <c r="F637" s="1286"/>
    </row>
    <row r="638" spans="1:7">
      <c r="A638" s="175"/>
      <c r="B638" s="175"/>
      <c r="C638" s="175"/>
      <c r="D638" s="1281" t="s">
        <v>1246</v>
      </c>
      <c r="E638" s="1281"/>
      <c r="F638" s="1281"/>
    </row>
    <row r="639" spans="1:7">
      <c r="A639" s="175"/>
      <c r="B639" s="175"/>
      <c r="C639" s="175"/>
      <c r="D639" s="118"/>
      <c r="E639" s="118"/>
      <c r="F639" s="118"/>
    </row>
    <row r="640" spans="1:7" ht="14.45" customHeight="1">
      <c r="A640" s="176"/>
      <c r="B640" s="468" t="s">
        <v>308</v>
      </c>
      <c r="C640" s="179"/>
      <c r="D640" s="1270" t="s">
        <v>1247</v>
      </c>
      <c r="E640" s="1270"/>
      <c r="F640" s="1270"/>
    </row>
    <row r="641" spans="1:11" ht="14.25">
      <c r="A641" s="176"/>
      <c r="B641" s="176"/>
      <c r="C641" s="179"/>
      <c r="D641" s="1270"/>
      <c r="E641" s="1270"/>
      <c r="F641" s="1270"/>
    </row>
    <row r="642" spans="1:11" ht="14.25">
      <c r="A642" s="176"/>
      <c r="B642" s="176"/>
      <c r="C642" s="179"/>
      <c r="D642" s="1270"/>
      <c r="E642" s="1270"/>
      <c r="F642" s="1270"/>
    </row>
    <row r="643" spans="1:11" ht="14.25">
      <c r="A643" s="176"/>
      <c r="B643" s="176"/>
      <c r="C643" s="179"/>
      <c r="D643" s="1270"/>
      <c r="E643" s="1270"/>
      <c r="F643" s="1270"/>
    </row>
    <row r="644" spans="1:11" ht="14.25">
      <c r="A644" s="176"/>
      <c r="B644" s="176"/>
      <c r="C644" s="179"/>
      <c r="D644" s="1270"/>
      <c r="E644" s="1270"/>
      <c r="F644" s="1270"/>
    </row>
    <row r="645" spans="1:11" ht="14.25">
      <c r="A645" s="176"/>
      <c r="B645" s="176"/>
      <c r="C645" s="179"/>
      <c r="D645" s="474"/>
      <c r="E645" s="474"/>
      <c r="F645" s="474"/>
    </row>
    <row r="646" spans="1:11" ht="14.25">
      <c r="A646" s="176"/>
      <c r="B646" s="468" t="s">
        <v>308</v>
      </c>
      <c r="C646" s="179"/>
      <c r="D646" s="1309" t="s">
        <v>1097</v>
      </c>
      <c r="E646" s="1309"/>
      <c r="F646" s="1309"/>
    </row>
    <row r="647" spans="1:11" ht="14.25">
      <c r="A647" s="176"/>
      <c r="B647" s="176"/>
      <c r="C647" s="179"/>
      <c r="D647" s="1310" t="s">
        <v>1248</v>
      </c>
      <c r="E647" s="1310"/>
      <c r="F647" s="1310"/>
    </row>
    <row r="648" spans="1:11" ht="14.25">
      <c r="A648" s="176"/>
      <c r="B648" s="176"/>
      <c r="C648" s="179"/>
      <c r="D648" s="1310"/>
      <c r="E648" s="1310"/>
      <c r="F648" s="1310"/>
    </row>
    <row r="649" spans="1:11" ht="14.25">
      <c r="A649" s="176"/>
      <c r="B649" s="176"/>
      <c r="C649" s="179"/>
      <c r="D649" s="1310"/>
      <c r="E649" s="1310"/>
      <c r="F649" s="1310"/>
    </row>
    <row r="650" spans="1:11" ht="14.25">
      <c r="A650" s="176"/>
      <c r="B650" s="176"/>
      <c r="C650" s="179"/>
      <c r="D650" s="1310"/>
      <c r="E650" s="1310"/>
      <c r="F650" s="1310"/>
    </row>
    <row r="651" spans="1:11" ht="14.25">
      <c r="A651" s="176"/>
      <c r="B651" s="176"/>
      <c r="C651" s="179"/>
      <c r="D651" s="1310"/>
      <c r="E651" s="1310"/>
      <c r="F651" s="1310"/>
    </row>
    <row r="652" spans="1:11" ht="14.25">
      <c r="A652" s="176"/>
      <c r="B652" s="176"/>
      <c r="C652" s="179"/>
      <c r="D652" s="1311" t="s">
        <v>1249</v>
      </c>
      <c r="E652" s="1311"/>
      <c r="F652" s="1311"/>
    </row>
    <row r="653" spans="1:11">
      <c r="A653" s="179"/>
      <c r="B653" s="179"/>
      <c r="C653" s="179"/>
      <c r="D653" s="35"/>
      <c r="E653" s="35"/>
      <c r="F653" s="35"/>
    </row>
    <row r="654" spans="1:11">
      <c r="A654" s="1285" t="s">
        <v>1087</v>
      </c>
      <c r="B654" s="1285"/>
      <c r="C654" s="1285"/>
      <c r="D654" s="1285"/>
      <c r="E654" s="1285"/>
      <c r="F654" s="1285"/>
      <c r="G654" s="1285"/>
      <c r="H654" s="181"/>
      <c r="I654" s="181"/>
      <c r="J654" s="181"/>
      <c r="K654" s="181"/>
    </row>
    <row r="655" spans="1:11">
      <c r="A655" s="482"/>
      <c r="B655" s="482"/>
      <c r="C655" s="482"/>
      <c r="D655" s="482"/>
      <c r="E655" s="482"/>
      <c r="F655" s="482"/>
      <c r="G655" s="482"/>
      <c r="H655" s="181"/>
      <c r="I655" s="181"/>
      <c r="J655" s="181"/>
      <c r="K655" s="181"/>
    </row>
    <row r="656" spans="1:11">
      <c r="C656" s="172"/>
      <c r="D656" s="1286" t="s">
        <v>99</v>
      </c>
      <c r="E656" s="1286"/>
      <c r="F656" s="1286"/>
      <c r="H656" s="181"/>
      <c r="I656" s="181"/>
      <c r="J656" s="181"/>
      <c r="K656" s="181"/>
    </row>
    <row r="657" spans="1:11">
      <c r="A657" s="172"/>
      <c r="B657" s="172"/>
      <c r="C657" s="172"/>
      <c r="D657" s="1286" t="s">
        <v>123</v>
      </c>
      <c r="E657" s="1286"/>
      <c r="F657" s="1286"/>
      <c r="H657" s="181"/>
      <c r="I657" s="181"/>
      <c r="J657" s="181"/>
      <c r="K657" s="181"/>
    </row>
    <row r="658" spans="1:11">
      <c r="A658" s="175"/>
      <c r="B658" s="175"/>
      <c r="C658" s="175"/>
      <c r="D658" s="1281" t="s">
        <v>1123</v>
      </c>
      <c r="E658" s="1281"/>
      <c r="F658" s="1281"/>
      <c r="H658" s="181"/>
      <c r="I658" s="181"/>
      <c r="J658" s="181"/>
      <c r="K658" s="181"/>
    </row>
    <row r="659" spans="1:11">
      <c r="A659" s="175"/>
      <c r="B659" s="175"/>
      <c r="C659" s="175"/>
      <c r="H659" s="181"/>
      <c r="I659" s="181"/>
      <c r="J659" s="181"/>
      <c r="K659" s="181"/>
    </row>
    <row r="660" spans="1:11" ht="14.25">
      <c r="A660" s="176"/>
      <c r="B660" s="468" t="s">
        <v>308</v>
      </c>
      <c r="C660" s="175"/>
      <c r="D660" s="1281" t="s">
        <v>898</v>
      </c>
      <c r="E660" s="1281"/>
      <c r="F660" s="1281"/>
      <c r="H660" s="181"/>
      <c r="I660" s="181"/>
      <c r="J660" s="181"/>
      <c r="K660" s="181"/>
    </row>
    <row r="661" spans="1:11">
      <c r="A661" s="175"/>
      <c r="B661" s="175"/>
      <c r="C661" s="175"/>
      <c r="D661" s="1281" t="s">
        <v>908</v>
      </c>
      <c r="E661" s="1281"/>
      <c r="F661" s="1281"/>
      <c r="H661" s="181"/>
      <c r="I661" s="181"/>
      <c r="J661" s="181"/>
      <c r="K661" s="181"/>
    </row>
    <row r="662" spans="1:11">
      <c r="A662" s="175"/>
      <c r="B662" s="175"/>
      <c r="C662" s="175"/>
      <c r="D662" s="3"/>
      <c r="E662" s="1280" t="s">
        <v>1124</v>
      </c>
      <c r="F662" s="1280"/>
      <c r="H662" s="181"/>
      <c r="I662" s="181"/>
      <c r="J662" s="181"/>
      <c r="K662" s="181"/>
    </row>
    <row r="663" spans="1:11">
      <c r="A663" s="175"/>
      <c r="B663" s="175"/>
      <c r="C663" s="175"/>
      <c r="D663" s="3"/>
      <c r="E663" s="1280"/>
      <c r="F663" s="1280"/>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70" t="s">
        <v>1125</v>
      </c>
      <c r="E665" s="1270"/>
      <c r="F665" s="1270"/>
      <c r="H665" s="181"/>
      <c r="I665" s="181"/>
      <c r="J665" s="181"/>
      <c r="K665" s="181"/>
    </row>
    <row r="666" spans="1:11">
      <c r="A666" s="13"/>
      <c r="B666" s="13"/>
      <c r="C666" s="175"/>
      <c r="D666" s="1270"/>
      <c r="E666" s="1270"/>
      <c r="F666" s="1270"/>
      <c r="H666" s="181"/>
      <c r="I666" s="181"/>
      <c r="J666" s="181"/>
      <c r="K666" s="181"/>
    </row>
    <row r="667" spans="1:11">
      <c r="A667" s="175"/>
      <c r="B667" s="175"/>
      <c r="C667" s="175"/>
      <c r="D667" s="1270"/>
      <c r="E667" s="1270"/>
      <c r="F667" s="1270"/>
      <c r="H667" s="181"/>
      <c r="I667" s="181"/>
      <c r="J667" s="181"/>
      <c r="K667" s="181"/>
    </row>
    <row r="668" spans="1:11">
      <c r="A668" s="175"/>
      <c r="B668" s="175"/>
      <c r="C668" s="175"/>
      <c r="H668" s="181"/>
      <c r="I668" s="181"/>
      <c r="J668" s="181"/>
      <c r="K668" s="181"/>
    </row>
    <row r="669" spans="1:11" ht="14.25">
      <c r="A669" s="176"/>
      <c r="B669" s="468" t="s">
        <v>308</v>
      </c>
      <c r="C669" s="175"/>
      <c r="D669" s="1281" t="s">
        <v>936</v>
      </c>
      <c r="E669" s="1281"/>
      <c r="F669" s="1281"/>
      <c r="H669" s="181"/>
      <c r="I669" s="181"/>
      <c r="J669" s="181"/>
      <c r="K669" s="181"/>
    </row>
    <row r="670" spans="1:11" ht="14.25">
      <c r="A670" s="176"/>
      <c r="B670" s="176"/>
      <c r="C670" s="175"/>
      <c r="D670" s="1281" t="s">
        <v>908</v>
      </c>
      <c r="E670" s="1281"/>
      <c r="F670" s="1281"/>
      <c r="H670" s="181"/>
      <c r="I670" s="181"/>
      <c r="J670" s="181"/>
      <c r="K670" s="181"/>
    </row>
    <row r="671" spans="1:11">
      <c r="A671" s="175"/>
      <c r="B671" s="175"/>
      <c r="C671" s="175"/>
      <c r="D671" s="3"/>
      <c r="E671" s="1292" t="s">
        <v>1126</v>
      </c>
      <c r="F671" s="1292"/>
      <c r="H671" s="181"/>
      <c r="I671" s="181"/>
      <c r="J671" s="181"/>
      <c r="K671" s="181"/>
    </row>
    <row r="672" spans="1:11">
      <c r="A672" s="175"/>
      <c r="B672" s="175"/>
      <c r="C672" s="175"/>
      <c r="D672" s="2"/>
      <c r="H672" s="181"/>
      <c r="I672" s="181"/>
      <c r="J672" s="181"/>
      <c r="K672" s="181"/>
    </row>
    <row r="673" spans="1:11" ht="14.25">
      <c r="A673" s="176"/>
      <c r="B673" s="468" t="s">
        <v>308</v>
      </c>
      <c r="C673" s="175"/>
      <c r="D673" s="1270" t="s">
        <v>1136</v>
      </c>
      <c r="E673" s="1270"/>
      <c r="F673" s="1270"/>
      <c r="H673" s="181"/>
      <c r="I673" s="181"/>
      <c r="J673" s="181"/>
      <c r="K673" s="181"/>
    </row>
    <row r="674" spans="1:11">
      <c r="A674" s="175"/>
      <c r="B674" s="175"/>
      <c r="C674" s="175"/>
      <c r="D674" s="1270"/>
      <c r="E674" s="1270"/>
      <c r="F674" s="1270"/>
      <c r="H674" s="181"/>
      <c r="I674" s="181"/>
      <c r="J674" s="181"/>
      <c r="K674" s="181"/>
    </row>
    <row r="675" spans="1:11">
      <c r="A675" s="175"/>
      <c r="B675" s="175"/>
      <c r="C675" s="175"/>
      <c r="D675" s="1270"/>
      <c r="E675" s="1270"/>
      <c r="F675" s="1270"/>
      <c r="H675" s="181"/>
      <c r="I675" s="181"/>
      <c r="J675" s="181"/>
      <c r="K675" s="181"/>
    </row>
    <row r="676" spans="1:11">
      <c r="A676" s="175"/>
      <c r="B676" s="175"/>
      <c r="C676" s="175"/>
      <c r="D676" s="1270"/>
      <c r="E676" s="1270"/>
      <c r="F676" s="1270"/>
      <c r="H676" s="181"/>
      <c r="I676" s="181"/>
      <c r="J676" s="181"/>
      <c r="K676" s="181"/>
    </row>
    <row r="677" spans="1:11">
      <c r="A677" s="175"/>
      <c r="B677" s="175"/>
      <c r="C677" s="175"/>
      <c r="D677" s="1270"/>
      <c r="E677" s="1270"/>
      <c r="F677" s="1270"/>
      <c r="H677" s="181"/>
      <c r="I677" s="181"/>
      <c r="J677" s="181"/>
      <c r="K677" s="181"/>
    </row>
    <row r="678" spans="1:11">
      <c r="A678" s="175"/>
      <c r="B678" s="175"/>
      <c r="C678" s="175"/>
      <c r="D678" s="1270"/>
      <c r="E678" s="1270"/>
      <c r="F678" s="1270"/>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70" t="s">
        <v>1127</v>
      </c>
      <c r="E680" s="1270"/>
      <c r="F680" s="1270"/>
      <c r="H680" s="181"/>
      <c r="I680" s="181"/>
      <c r="J680" s="181"/>
      <c r="K680" s="181"/>
    </row>
    <row r="681" spans="1:11">
      <c r="A681" s="175"/>
      <c r="B681" s="175"/>
      <c r="C681" s="175"/>
      <c r="D681" s="1270"/>
      <c r="E681" s="1270"/>
      <c r="F681" s="1270"/>
      <c r="H681" s="181"/>
      <c r="I681" s="181"/>
      <c r="J681" s="181"/>
      <c r="K681" s="181"/>
    </row>
    <row r="682" spans="1:11">
      <c r="A682" s="175"/>
      <c r="B682" s="175"/>
      <c r="C682" s="175"/>
      <c r="D682" s="1270"/>
      <c r="E682" s="1270"/>
      <c r="F682" s="1270"/>
      <c r="H682" s="181"/>
      <c r="I682" s="181"/>
      <c r="J682" s="181"/>
      <c r="K682" s="181"/>
    </row>
    <row r="683" spans="1:11" ht="15" customHeight="1">
      <c r="A683" s="175"/>
      <c r="B683" s="175"/>
      <c r="C683" s="175"/>
      <c r="D683" s="1270"/>
      <c r="E683" s="1270"/>
      <c r="F683" s="1270"/>
      <c r="H683" s="181"/>
      <c r="I683" s="181"/>
      <c r="J683" s="181"/>
      <c r="K683" s="181"/>
    </row>
    <row r="684" spans="1:11" ht="15" customHeight="1">
      <c r="A684" s="175"/>
      <c r="B684" s="175"/>
      <c r="C684" s="175"/>
      <c r="D684" s="1270"/>
      <c r="E684" s="1270"/>
      <c r="F684" s="1270"/>
      <c r="H684" s="181"/>
      <c r="I684" s="181"/>
      <c r="J684" s="181"/>
      <c r="K684" s="181"/>
    </row>
    <row r="685" spans="1:11">
      <c r="A685" s="175"/>
      <c r="B685" s="175"/>
      <c r="C685" s="175"/>
      <c r="D685" s="1270"/>
      <c r="E685" s="1270"/>
      <c r="F685" s="1270"/>
      <c r="H685" s="181"/>
      <c r="I685" s="181"/>
      <c r="J685" s="181"/>
      <c r="K685" s="181"/>
    </row>
    <row r="686" spans="1:11">
      <c r="A686" s="175"/>
      <c r="B686" s="175"/>
      <c r="C686" s="175"/>
      <c r="D686" s="1270"/>
      <c r="E686" s="1270"/>
      <c r="F686" s="1270"/>
      <c r="H686" s="181"/>
      <c r="I686" s="181"/>
      <c r="J686" s="181"/>
      <c r="K686" s="181"/>
    </row>
    <row r="687" spans="1:11">
      <c r="A687" s="175"/>
      <c r="B687" s="175"/>
      <c r="C687" s="175"/>
      <c r="D687" s="1270"/>
      <c r="E687" s="1270"/>
      <c r="F687" s="1270"/>
      <c r="H687" s="181"/>
      <c r="I687" s="181"/>
      <c r="J687" s="181"/>
      <c r="K687" s="181"/>
    </row>
    <row r="688" spans="1:11" ht="15" customHeight="1">
      <c r="A688" s="175"/>
      <c r="B688" s="175"/>
      <c r="C688" s="175"/>
      <c r="D688" s="1270"/>
      <c r="E688" s="1270"/>
      <c r="F688" s="1270"/>
      <c r="H688" s="181"/>
      <c r="I688" s="181"/>
      <c r="J688" s="181"/>
      <c r="K688" s="181"/>
    </row>
    <row r="689" spans="1:11">
      <c r="A689" s="175"/>
      <c r="B689" s="175"/>
      <c r="C689" s="175"/>
      <c r="D689" s="1270"/>
      <c r="E689" s="1270"/>
      <c r="F689" s="1270"/>
      <c r="H689" s="181"/>
      <c r="I689" s="181"/>
      <c r="J689" s="181"/>
      <c r="K689" s="181"/>
    </row>
    <row r="690" spans="1:11">
      <c r="A690" s="175"/>
      <c r="B690" s="175"/>
      <c r="C690" s="175"/>
      <c r="D690" s="1270"/>
      <c r="E690" s="1270"/>
      <c r="F690" s="1270"/>
      <c r="H690" s="181"/>
      <c r="I690" s="181"/>
      <c r="J690" s="181"/>
      <c r="K690" s="181"/>
    </row>
    <row r="691" spans="1:11">
      <c r="A691" s="175"/>
      <c r="B691" s="175"/>
      <c r="C691" s="175"/>
      <c r="D691" s="1270"/>
      <c r="E691" s="1270"/>
      <c r="F691" s="1270"/>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70" t="s">
        <v>1137</v>
      </c>
      <c r="E693" s="1270"/>
      <c r="F693" s="1270"/>
      <c r="H693" s="181"/>
      <c r="I693" s="181"/>
      <c r="J693" s="181"/>
      <c r="K693" s="181"/>
    </row>
    <row r="694" spans="1:11">
      <c r="A694" s="175"/>
      <c r="B694" s="175"/>
      <c r="C694" s="175"/>
      <c r="D694" s="1270"/>
      <c r="E694" s="1270"/>
      <c r="F694" s="1270"/>
      <c r="H694" s="181"/>
      <c r="I694" s="181"/>
      <c r="J694" s="181"/>
      <c r="K694" s="181"/>
    </row>
    <row r="695" spans="1:11">
      <c r="A695" s="175"/>
      <c r="B695" s="175"/>
      <c r="C695" s="175"/>
      <c r="D695" s="1270"/>
      <c r="E695" s="1270"/>
      <c r="F695" s="1270"/>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70" t="s">
        <v>1134</v>
      </c>
      <c r="E697" s="1270"/>
      <c r="F697" s="1270"/>
      <c r="H697" s="181"/>
      <c r="I697" s="181"/>
      <c r="J697" s="181"/>
      <c r="K697" s="181"/>
    </row>
    <row r="698" spans="1:11">
      <c r="A698" s="175"/>
      <c r="B698" s="175"/>
      <c r="C698" s="175"/>
      <c r="D698" s="1270"/>
      <c r="E698" s="1270"/>
      <c r="F698" s="1270"/>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70" t="s">
        <v>1135</v>
      </c>
      <c r="E700" s="1270"/>
      <c r="F700" s="1270"/>
      <c r="H700" s="181"/>
      <c r="I700" s="181"/>
      <c r="J700" s="181"/>
      <c r="K700" s="181"/>
    </row>
    <row r="701" spans="1:11">
      <c r="A701" s="175"/>
      <c r="B701" s="175"/>
      <c r="C701" s="175"/>
      <c r="D701" s="1270"/>
      <c r="E701" s="1270"/>
      <c r="F701" s="1270"/>
      <c r="H701" s="181"/>
      <c r="I701" s="181"/>
      <c r="J701" s="181"/>
      <c r="K701" s="181"/>
    </row>
    <row r="702" spans="1:11">
      <c r="A702" s="175"/>
      <c r="B702" s="175"/>
      <c r="C702" s="175"/>
      <c r="D702" s="1270"/>
      <c r="E702" s="1270"/>
      <c r="F702" s="1270"/>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70" t="s">
        <v>1128</v>
      </c>
      <c r="E704" s="1270"/>
      <c r="F704" s="1270"/>
      <c r="H704" s="181"/>
      <c r="I704" s="181"/>
      <c r="J704" s="181"/>
      <c r="K704" s="181"/>
    </row>
    <row r="705" spans="1:11">
      <c r="A705" s="175"/>
      <c r="B705" s="175"/>
      <c r="C705" s="175"/>
      <c r="D705" s="1270"/>
      <c r="E705" s="1270"/>
      <c r="F705" s="1270"/>
      <c r="H705" s="181"/>
      <c r="I705" s="181"/>
      <c r="J705" s="181"/>
      <c r="K705" s="181"/>
    </row>
    <row r="706" spans="1:11">
      <c r="A706" s="175"/>
      <c r="B706" s="175"/>
      <c r="C706" s="175"/>
      <c r="D706" s="1270"/>
      <c r="E706" s="1270"/>
      <c r="F706" s="1270"/>
      <c r="H706" s="181"/>
      <c r="I706" s="181"/>
      <c r="J706" s="181"/>
      <c r="K706" s="181"/>
    </row>
    <row r="707" spans="1:11">
      <c r="A707" s="175"/>
      <c r="B707" s="175"/>
      <c r="C707" s="175"/>
      <c r="H707" s="181"/>
      <c r="I707" s="181"/>
      <c r="J707" s="181"/>
      <c r="K707" s="181"/>
    </row>
    <row r="708" spans="1:11">
      <c r="A708" s="175"/>
      <c r="B708" s="468" t="s">
        <v>308</v>
      </c>
      <c r="C708" s="175"/>
      <c r="D708" s="1270" t="s">
        <v>1129</v>
      </c>
      <c r="E708" s="1270"/>
      <c r="F708" s="1270"/>
      <c r="H708" s="181"/>
      <c r="I708" s="181"/>
      <c r="J708" s="181"/>
      <c r="K708" s="181"/>
    </row>
    <row r="709" spans="1:11">
      <c r="A709" s="175"/>
      <c r="B709" s="175"/>
      <c r="C709" s="175"/>
      <c r="D709" s="1270"/>
      <c r="E709" s="1270"/>
      <c r="F709" s="1270"/>
      <c r="H709" s="181"/>
      <c r="I709" s="181"/>
      <c r="J709" s="181"/>
      <c r="K709" s="181"/>
    </row>
    <row r="710" spans="1:11">
      <c r="A710" s="175"/>
      <c r="B710" s="175"/>
      <c r="C710" s="175"/>
      <c r="D710" s="1270"/>
      <c r="E710" s="1270"/>
      <c r="F710" s="1270"/>
      <c r="H710" s="181"/>
      <c r="I710" s="181"/>
      <c r="J710" s="181"/>
      <c r="K710" s="181"/>
    </row>
    <row r="711" spans="1:11">
      <c r="A711" s="175"/>
      <c r="B711" s="175"/>
      <c r="C711" s="175"/>
      <c r="D711"/>
      <c r="H711" s="181"/>
      <c r="I711" s="181"/>
      <c r="J711" s="181"/>
      <c r="K711" s="181"/>
    </row>
    <row r="712" spans="1:11" ht="14.25">
      <c r="A712" s="176"/>
      <c r="B712" s="468" t="s">
        <v>308</v>
      </c>
      <c r="C712" s="175"/>
      <c r="D712" s="1270" t="s">
        <v>1130</v>
      </c>
      <c r="E712" s="1270"/>
      <c r="F712" s="1270"/>
      <c r="H712" s="181"/>
      <c r="I712" s="181"/>
      <c r="J712" s="181"/>
      <c r="K712" s="181"/>
    </row>
    <row r="713" spans="1:11">
      <c r="A713" s="175"/>
      <c r="B713" s="175"/>
      <c r="C713" s="175"/>
      <c r="D713" s="1270"/>
      <c r="E713" s="1270"/>
      <c r="F713" s="1270"/>
      <c r="H713" s="181"/>
      <c r="I713" s="181"/>
      <c r="J713" s="181"/>
      <c r="K713" s="181"/>
    </row>
    <row r="714" spans="1:11">
      <c r="A714" s="175"/>
      <c r="B714" s="175"/>
      <c r="C714" s="175"/>
      <c r="D714" s="1270"/>
      <c r="E714" s="1270"/>
      <c r="F714" s="1270"/>
      <c r="H714" s="181"/>
      <c r="I714" s="181"/>
      <c r="J714" s="181"/>
      <c r="K714" s="181"/>
    </row>
    <row r="715" spans="1:11">
      <c r="A715" s="175"/>
      <c r="B715" s="175"/>
      <c r="C715" s="175"/>
      <c r="D715" s="1270"/>
      <c r="E715" s="1270"/>
      <c r="F715" s="1270"/>
      <c r="H715" s="181"/>
      <c r="I715" s="181"/>
      <c r="J715" s="181"/>
      <c r="K715" s="181"/>
    </row>
    <row r="716" spans="1:11">
      <c r="A716" s="175"/>
      <c r="B716" s="175"/>
      <c r="C716" s="175"/>
      <c r="D716" s="178"/>
      <c r="H716" s="181"/>
      <c r="I716" s="181"/>
      <c r="J716" s="181"/>
      <c r="K716" s="181"/>
    </row>
    <row r="717" spans="1:11" ht="14.25">
      <c r="A717" s="176"/>
      <c r="B717" s="468" t="s">
        <v>308</v>
      </c>
      <c r="C717" s="175"/>
      <c r="D717" s="1270" t="s">
        <v>1263</v>
      </c>
      <c r="E717" s="1270"/>
      <c r="F717" s="1270"/>
      <c r="H717" s="181"/>
      <c r="I717" s="181"/>
      <c r="J717" s="181"/>
      <c r="K717" s="181"/>
    </row>
    <row r="718" spans="1:11">
      <c r="A718" s="175"/>
      <c r="B718" s="175"/>
      <c r="C718" s="175"/>
      <c r="D718" s="1270"/>
      <c r="E718" s="1270"/>
      <c r="F718" s="1270"/>
      <c r="H718" s="181"/>
      <c r="I718" s="181"/>
      <c r="J718" s="181"/>
      <c r="K718" s="181"/>
    </row>
    <row r="719" spans="1:11">
      <c r="A719" s="175"/>
      <c r="B719" s="175"/>
      <c r="C719" s="175"/>
      <c r="D719" s="1270"/>
      <c r="E719" s="1270"/>
      <c r="F719" s="1270"/>
      <c r="H719" s="181"/>
      <c r="I719" s="181"/>
      <c r="J719" s="181"/>
      <c r="K719" s="181"/>
    </row>
    <row r="720" spans="1:11">
      <c r="A720" s="175"/>
      <c r="B720" s="175"/>
      <c r="C720" s="175"/>
      <c r="D720" s="1270"/>
      <c r="E720" s="1270"/>
      <c r="F720" s="1270"/>
      <c r="H720" s="181"/>
      <c r="I720" s="181"/>
      <c r="J720" s="181"/>
      <c r="K720" s="181"/>
    </row>
    <row r="721" spans="1:11">
      <c r="A721" s="175"/>
      <c r="B721" s="175"/>
      <c r="C721" s="175"/>
      <c r="D721" s="1270"/>
      <c r="E721" s="1270"/>
      <c r="F721" s="1270"/>
      <c r="H721" s="181"/>
      <c r="I721" s="181"/>
      <c r="J721" s="181"/>
      <c r="K721" s="181"/>
    </row>
    <row r="722" spans="1:11">
      <c r="A722" s="175"/>
      <c r="B722" s="175"/>
      <c r="C722" s="175"/>
      <c r="D722" s="1270"/>
      <c r="E722" s="1270"/>
      <c r="F722" s="1270"/>
      <c r="H722" s="181"/>
      <c r="I722" s="181"/>
      <c r="J722" s="181"/>
      <c r="K722" s="181"/>
    </row>
    <row r="723" spans="1:11">
      <c r="A723" s="175"/>
      <c r="B723" s="175"/>
      <c r="C723" s="175"/>
      <c r="D723" s="1270"/>
      <c r="E723" s="1270"/>
      <c r="F723" s="1270"/>
      <c r="H723" s="181"/>
      <c r="I723" s="181"/>
      <c r="J723" s="181"/>
      <c r="K723" s="181"/>
    </row>
    <row r="724" spans="1:11">
      <c r="A724" s="175"/>
      <c r="B724" s="175"/>
      <c r="C724" s="175"/>
      <c r="D724" s="1314" t="s">
        <v>1131</v>
      </c>
      <c r="E724" s="1314"/>
      <c r="F724" s="1314"/>
      <c r="H724" s="181"/>
      <c r="I724" s="181"/>
      <c r="J724" s="181"/>
      <c r="K724" s="181"/>
    </row>
    <row r="725" spans="1:11">
      <c r="A725" s="175"/>
      <c r="B725" s="175"/>
      <c r="C725" s="175"/>
      <c r="D725" s="369"/>
      <c r="H725" s="181"/>
      <c r="I725" s="181"/>
      <c r="J725" s="181"/>
      <c r="K725" s="181"/>
    </row>
    <row r="726" spans="1:11">
      <c r="A726" s="1316" t="s">
        <v>1088</v>
      </c>
      <c r="B726" s="1316"/>
      <c r="C726" s="1316"/>
      <c r="D726" s="1316"/>
      <c r="E726" s="1316"/>
      <c r="F726" s="1316"/>
      <c r="G726" s="1316"/>
      <c r="H726" s="181"/>
      <c r="I726" s="181"/>
      <c r="J726" s="181"/>
      <c r="K726" s="181"/>
    </row>
    <row r="727" spans="1:11">
      <c r="A727" s="175"/>
      <c r="B727" s="175"/>
      <c r="C727" s="175"/>
      <c r="D727" s="178"/>
      <c r="G727" s="183"/>
      <c r="H727" s="181"/>
      <c r="I727" s="181"/>
      <c r="J727" s="181"/>
      <c r="K727" s="181"/>
    </row>
    <row r="728" spans="1:11" ht="13.15" customHeight="1">
      <c r="C728" s="175"/>
      <c r="D728" s="1303" t="s">
        <v>1104</v>
      </c>
      <c r="E728" s="1303"/>
      <c r="F728" s="1303"/>
      <c r="G728" s="183"/>
      <c r="H728" s="181"/>
      <c r="I728" s="181"/>
      <c r="J728" s="181"/>
      <c r="K728" s="181"/>
    </row>
    <row r="729" spans="1:11">
      <c r="A729" s="175"/>
      <c r="B729" s="175"/>
      <c r="C729" s="175"/>
      <c r="D729" s="1313" t="s">
        <v>1105</v>
      </c>
      <c r="E729" s="1313"/>
      <c r="F729" s="1313"/>
      <c r="G729" s="183"/>
      <c r="H729" s="181"/>
      <c r="I729" s="181"/>
      <c r="J729" s="181"/>
      <c r="K729" s="181"/>
    </row>
    <row r="730" spans="1:11">
      <c r="A730" s="175"/>
      <c r="B730" s="175"/>
      <c r="C730" s="175"/>
      <c r="G730" s="183"/>
      <c r="H730" s="181"/>
      <c r="I730" s="181"/>
      <c r="J730" s="181"/>
      <c r="K730" s="181"/>
    </row>
    <row r="731" spans="1:11" ht="14.25">
      <c r="A731" s="176"/>
      <c r="B731" s="468" t="s">
        <v>308</v>
      </c>
      <c r="D731" s="1270" t="s">
        <v>1106</v>
      </c>
      <c r="E731" s="1270"/>
      <c r="F731" s="1270"/>
      <c r="G731" s="183"/>
      <c r="H731" s="181"/>
      <c r="I731" s="181"/>
      <c r="J731" s="181"/>
      <c r="K731" s="181"/>
    </row>
    <row r="732" spans="1:11" ht="10.5" customHeight="1">
      <c r="D732" s="1270"/>
      <c r="E732" s="1270"/>
      <c r="F732" s="1270"/>
      <c r="G732" s="183"/>
      <c r="H732" s="181"/>
      <c r="I732" s="181"/>
      <c r="J732" s="181"/>
      <c r="K732" s="181"/>
    </row>
    <row r="733" spans="1:11">
      <c r="D733" s="1270"/>
      <c r="E733" s="1270"/>
      <c r="F733" s="1270"/>
      <c r="G733" s="183"/>
      <c r="H733" s="181"/>
      <c r="I733" s="181"/>
      <c r="J733" s="181"/>
      <c r="K733" s="181"/>
    </row>
    <row r="734" spans="1:11">
      <c r="D734" s="1270"/>
      <c r="E734" s="1270"/>
      <c r="F734" s="1270"/>
      <c r="G734" s="183"/>
      <c r="H734" s="181"/>
      <c r="I734" s="181"/>
      <c r="J734" s="181"/>
      <c r="K734" s="181"/>
    </row>
    <row r="735" spans="1:11">
      <c r="D735" s="1270"/>
      <c r="E735" s="1270"/>
      <c r="F735" s="1270"/>
      <c r="G735" s="183"/>
      <c r="H735" s="181"/>
      <c r="I735" s="181"/>
      <c r="J735" s="181"/>
      <c r="K735" s="181"/>
    </row>
    <row r="736" spans="1:11" ht="15.6" customHeight="1">
      <c r="D736" s="1270"/>
      <c r="E736" s="1270"/>
      <c r="F736" s="1270"/>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70" t="s">
        <v>1107</v>
      </c>
      <c r="E738" s="1270"/>
      <c r="F738" s="1270"/>
      <c r="G738" s="210"/>
    </row>
    <row r="739" spans="1:11" s="274" customFormat="1">
      <c r="A739" s="273"/>
      <c r="B739" s="273"/>
      <c r="C739" s="273"/>
      <c r="D739" s="1270"/>
      <c r="E739" s="1270"/>
      <c r="F739" s="1270"/>
      <c r="G739" s="210"/>
    </row>
    <row r="740" spans="1:11" s="274" customFormat="1">
      <c r="A740" s="273"/>
      <c r="B740" s="273"/>
      <c r="C740" s="273"/>
      <c r="D740" s="1270"/>
      <c r="E740" s="1270"/>
      <c r="F740" s="1270"/>
      <c r="G740" s="210"/>
    </row>
    <row r="741" spans="1:11" s="274" customFormat="1">
      <c r="A741" s="273"/>
      <c r="B741" s="273"/>
      <c r="C741" s="273"/>
      <c r="D741" s="1270"/>
      <c r="E741" s="1270"/>
      <c r="F741" s="1270"/>
      <c r="G741" s="210"/>
    </row>
    <row r="742" spans="1:11" s="274" customFormat="1">
      <c r="A742" s="273"/>
      <c r="B742" s="273"/>
      <c r="C742" s="273"/>
      <c r="D742" s="255"/>
      <c r="E742" s="210"/>
      <c r="F742" s="210"/>
      <c r="G742" s="210"/>
    </row>
    <row r="743" spans="1:11" s="274" customFormat="1" ht="14.25">
      <c r="A743" s="176"/>
      <c r="B743" s="468" t="s">
        <v>308</v>
      </c>
      <c r="C743" s="273"/>
      <c r="D743" s="1310" t="s">
        <v>1108</v>
      </c>
      <c r="E743" s="1310"/>
      <c r="F743" s="1310"/>
      <c r="G743" s="210"/>
    </row>
    <row r="744" spans="1:11" s="274" customFormat="1">
      <c r="A744" s="273"/>
      <c r="B744" s="273"/>
      <c r="C744" s="273"/>
      <c r="D744" s="1310"/>
      <c r="E744" s="1310"/>
      <c r="F744" s="1310"/>
      <c r="G744" s="210"/>
    </row>
    <row r="745" spans="1:11" s="274" customFormat="1">
      <c r="A745" s="273"/>
      <c r="B745" s="273"/>
      <c r="C745" s="273"/>
      <c r="D745" s="1310"/>
      <c r="E745" s="1310"/>
      <c r="F745" s="1310"/>
      <c r="G745" s="210"/>
    </row>
    <row r="746" spans="1:11">
      <c r="D746" s="255"/>
      <c r="E746" s="35"/>
      <c r="F746" s="35"/>
      <c r="G746" s="183"/>
      <c r="H746" s="181"/>
      <c r="I746" s="181"/>
      <c r="J746" s="181"/>
      <c r="K746" s="181"/>
    </row>
    <row r="747" spans="1:11" ht="14.25">
      <c r="A747" s="176"/>
      <c r="B747" s="468" t="s">
        <v>308</v>
      </c>
      <c r="D747" s="1270" t="s">
        <v>1109</v>
      </c>
      <c r="E747" s="1270"/>
      <c r="F747" s="1270"/>
      <c r="G747" s="183"/>
      <c r="H747" s="181"/>
      <c r="I747" s="181"/>
      <c r="J747" s="181"/>
      <c r="K747" s="181"/>
    </row>
    <row r="748" spans="1:11">
      <c r="D748" s="1270"/>
      <c r="E748" s="1270"/>
      <c r="F748" s="1270"/>
      <c r="G748" s="183"/>
      <c r="H748" s="181"/>
      <c r="I748" s="181"/>
      <c r="J748" s="181"/>
      <c r="K748" s="181"/>
    </row>
    <row r="749" spans="1:11">
      <c r="D749" s="474"/>
      <c r="E749" s="474"/>
      <c r="F749" s="474"/>
      <c r="G749" s="183"/>
      <c r="H749" s="181"/>
      <c r="I749" s="181"/>
      <c r="J749" s="181"/>
      <c r="K749" s="181"/>
    </row>
    <row r="750" spans="1:11">
      <c r="B750" s="468" t="s">
        <v>308</v>
      </c>
      <c r="D750" s="1270" t="s">
        <v>1110</v>
      </c>
      <c r="E750" s="1270"/>
      <c r="F750" s="1270"/>
      <c r="G750" s="183"/>
      <c r="H750" s="181"/>
      <c r="I750" s="181"/>
      <c r="J750" s="181"/>
      <c r="K750" s="181"/>
    </row>
    <row r="751" spans="1:11">
      <c r="D751" s="1270"/>
      <c r="E751" s="1270"/>
      <c r="F751" s="1270"/>
      <c r="G751" s="183"/>
      <c r="H751" s="181"/>
      <c r="I751" s="181"/>
      <c r="J751" s="181"/>
      <c r="K751" s="181"/>
    </row>
    <row r="752" spans="1:11">
      <c r="D752" s="1270"/>
      <c r="E752" s="1270"/>
      <c r="F752" s="1270"/>
      <c r="G752" s="183"/>
      <c r="H752" s="181"/>
      <c r="I752" s="181"/>
      <c r="J752" s="181"/>
      <c r="K752" s="181"/>
    </row>
    <row r="753" spans="1:11">
      <c r="D753" s="474"/>
      <c r="E753" s="474"/>
      <c r="F753" s="474"/>
      <c r="G753" s="183"/>
      <c r="H753" s="181"/>
      <c r="I753" s="181"/>
      <c r="J753" s="181"/>
      <c r="K753" s="181"/>
    </row>
    <row r="754" spans="1:11">
      <c r="A754" s="1285" t="s">
        <v>1111</v>
      </c>
      <c r="B754" s="1285"/>
      <c r="C754" s="1285"/>
      <c r="D754" s="1285"/>
      <c r="E754" s="1285"/>
      <c r="F754" s="1285"/>
      <c r="G754" s="1285"/>
    </row>
    <row r="755" spans="1:11">
      <c r="A755" s="175"/>
      <c r="B755" s="175"/>
      <c r="C755" s="175"/>
      <c r="D755" s="184"/>
      <c r="F755" s="35"/>
      <c r="G755" s="183"/>
    </row>
    <row r="756" spans="1:11">
      <c r="D756" s="1317" t="s">
        <v>1095</v>
      </c>
      <c r="E756" s="1317"/>
      <c r="F756" s="1317"/>
      <c r="G756" s="183"/>
    </row>
    <row r="757" spans="1:11">
      <c r="A757" s="345"/>
      <c r="B757" s="345"/>
      <c r="C757" s="345"/>
      <c r="D757" s="1300" t="s">
        <v>1112</v>
      </c>
      <c r="E757" s="1300"/>
      <c r="F757" s="1300"/>
      <c r="G757" s="183"/>
    </row>
    <row r="758" spans="1:11">
      <c r="D758" s="433"/>
      <c r="E758" s="433"/>
      <c r="F758" s="433"/>
      <c r="G758" s="183"/>
    </row>
    <row r="759" spans="1:11" ht="14.25">
      <c r="A759" s="176"/>
      <c r="B759" s="468" t="s">
        <v>308</v>
      </c>
      <c r="D759" s="1300" t="s">
        <v>1005</v>
      </c>
      <c r="E759" s="1300"/>
      <c r="F759" s="1300"/>
      <c r="G759" s="183"/>
    </row>
    <row r="760" spans="1:11">
      <c r="D760" s="433"/>
      <c r="E760" s="1312" t="s">
        <v>1096</v>
      </c>
      <c r="F760" s="1312"/>
      <c r="G760" s="183"/>
    </row>
    <row r="761" spans="1:11">
      <c r="A761" s="172"/>
      <c r="B761" s="172"/>
      <c r="C761" s="172"/>
      <c r="D761" s="35"/>
      <c r="G761" s="183"/>
    </row>
    <row r="762" spans="1:11">
      <c r="A762" s="1315" t="s">
        <v>449</v>
      </c>
      <c r="B762" s="1315"/>
      <c r="C762" s="1315"/>
      <c r="D762" s="1315"/>
      <c r="E762" s="1315"/>
      <c r="F762" s="1315"/>
      <c r="G762" s="1315"/>
    </row>
    <row r="763" spans="1:11">
      <c r="A763" s="172"/>
      <c r="B763" s="172"/>
      <c r="C763" s="179"/>
      <c r="D763" s="183"/>
      <c r="E763" s="183"/>
      <c r="F763" s="183"/>
      <c r="G763" s="183"/>
    </row>
    <row r="764" spans="1:11">
      <c r="A764" s="35"/>
      <c r="B764" s="1313" t="s">
        <v>1004</v>
      </c>
      <c r="C764" s="1313"/>
      <c r="D764" s="1313"/>
      <c r="E764" s="1313"/>
      <c r="F764" s="1313"/>
      <c r="G764" s="183"/>
    </row>
    <row r="765" spans="1:11">
      <c r="A765" s="13"/>
      <c r="B765" s="13"/>
      <c r="G765" s="183"/>
    </row>
    <row r="766" spans="1:11">
      <c r="A766" s="1315" t="s">
        <v>450</v>
      </c>
      <c r="B766" s="1315"/>
      <c r="C766" s="1315"/>
      <c r="D766" s="1315"/>
      <c r="E766" s="1315"/>
      <c r="F766" s="1315"/>
      <c r="G766" s="1315"/>
    </row>
    <row r="767" spans="1:11">
      <c r="A767" s="172"/>
      <c r="B767" s="172"/>
      <c r="C767" s="172"/>
      <c r="D767" s="178"/>
      <c r="G767" s="183"/>
    </row>
    <row r="768" spans="1:11">
      <c r="A768" s="35"/>
      <c r="B768" s="1281" t="s">
        <v>448</v>
      </c>
      <c r="C768" s="1281"/>
      <c r="D768" s="1281"/>
      <c r="E768" s="1281"/>
      <c r="F768" s="1281"/>
      <c r="G768" s="183"/>
    </row>
    <row r="769" spans="1:7" ht="14.25">
      <c r="A769" s="176"/>
      <c r="B769" s="176"/>
      <c r="D769" s="35"/>
      <c r="E769" s="35"/>
      <c r="F769" s="183"/>
      <c r="G769" s="183"/>
    </row>
    <row r="770" spans="1:7">
      <c r="A770" s="1315" t="s">
        <v>451</v>
      </c>
      <c r="B770" s="1315"/>
      <c r="C770" s="1315"/>
      <c r="D770" s="1315"/>
      <c r="E770" s="1315"/>
      <c r="F770" s="1315"/>
      <c r="G770" s="1315"/>
    </row>
    <row r="771" spans="1:7">
      <c r="C771" s="175"/>
      <c r="D771" s="173"/>
      <c r="E771" s="35"/>
      <c r="F771" s="183"/>
      <c r="G771" s="183"/>
    </row>
    <row r="772" spans="1:7">
      <c r="A772" s="35"/>
      <c r="B772" s="1281" t="s">
        <v>448</v>
      </c>
      <c r="C772" s="1281"/>
      <c r="D772" s="1281"/>
      <c r="E772" s="1281"/>
      <c r="F772" s="1281"/>
      <c r="G772" s="183"/>
    </row>
    <row r="773" spans="1:7">
      <c r="A773" s="35"/>
      <c r="B773" s="35"/>
      <c r="C773" s="179"/>
      <c r="D773" s="183"/>
      <c r="E773" s="183"/>
      <c r="F773" s="183"/>
      <c r="G773" s="183"/>
    </row>
    <row r="774" spans="1:7">
      <c r="A774" s="1315" t="s">
        <v>452</v>
      </c>
      <c r="B774" s="1315"/>
      <c r="C774" s="1315"/>
      <c r="D774" s="1315"/>
      <c r="E774" s="1315"/>
      <c r="F774" s="1315"/>
      <c r="G774" s="1315"/>
    </row>
    <row r="775" spans="1:7">
      <c r="A775" s="35"/>
      <c r="B775" s="35"/>
    </row>
    <row r="776" spans="1:7">
      <c r="A776" s="35"/>
      <c r="B776" s="1281" t="s">
        <v>448</v>
      </c>
      <c r="C776" s="1281"/>
      <c r="D776" s="1281"/>
      <c r="E776" s="1281"/>
      <c r="F776" s="1281"/>
    </row>
    <row r="777" spans="1:7">
      <c r="A777" s="179"/>
      <c r="B777" s="179"/>
      <c r="C777" s="179"/>
      <c r="D777" s="174"/>
      <c r="F777" s="183"/>
    </row>
    <row r="778" spans="1:7">
      <c r="A778" s="1315" t="s">
        <v>453</v>
      </c>
      <c r="B778" s="1315"/>
      <c r="C778" s="1315"/>
      <c r="D778" s="1315"/>
      <c r="E778" s="1315"/>
      <c r="F778" s="1315"/>
      <c r="G778" s="1315"/>
    </row>
    <row r="779" spans="1:7">
      <c r="A779" s="35"/>
      <c r="B779" s="35"/>
    </row>
    <row r="780" spans="1:7">
      <c r="A780" s="35"/>
      <c r="B780" s="1281" t="s">
        <v>448</v>
      </c>
      <c r="C780" s="1281"/>
      <c r="D780" s="1281"/>
      <c r="E780" s="1281"/>
      <c r="F780" s="1281"/>
    </row>
    <row r="781" spans="1:7">
      <c r="A781" s="179"/>
      <c r="B781" s="179"/>
      <c r="C781" s="179"/>
      <c r="D781" s="174"/>
      <c r="F781" s="183"/>
    </row>
    <row r="782" spans="1:7">
      <c r="A782" s="1315" t="s">
        <v>454</v>
      </c>
      <c r="B782" s="1315"/>
      <c r="C782" s="1315"/>
      <c r="D782" s="1315"/>
      <c r="E782" s="1315"/>
      <c r="F782" s="1315"/>
      <c r="G782" s="1315"/>
    </row>
    <row r="783" spans="1:7">
      <c r="A783" s="35"/>
      <c r="B783" s="35"/>
    </row>
    <row r="784" spans="1:7">
      <c r="A784" s="35"/>
      <c r="B784" s="1281" t="s">
        <v>448</v>
      </c>
      <c r="C784" s="1281"/>
      <c r="D784" s="1281"/>
      <c r="E784" s="1281"/>
      <c r="F784" s="1281"/>
    </row>
    <row r="785" spans="1:7">
      <c r="D785" s="174"/>
    </row>
    <row r="786" spans="1:7">
      <c r="A786" s="1315" t="s">
        <v>187</v>
      </c>
      <c r="B786" s="1315"/>
      <c r="C786" s="1315"/>
      <c r="D786" s="1315"/>
      <c r="E786" s="1315"/>
      <c r="F786" s="1315"/>
      <c r="G786" s="1315"/>
    </row>
    <row r="787" spans="1:7">
      <c r="A787" s="35"/>
      <c r="B787" s="35"/>
    </row>
    <row r="788" spans="1:7">
      <c r="A788" s="35"/>
      <c r="B788" s="1281" t="s">
        <v>448</v>
      </c>
      <c r="C788" s="1281"/>
      <c r="D788" s="1281"/>
      <c r="E788" s="1281"/>
      <c r="F788" s="1281"/>
    </row>
    <row r="789" spans="1:7">
      <c r="A789" s="35"/>
      <c r="B789" s="35"/>
      <c r="D789" s="174"/>
    </row>
    <row r="790" spans="1:7">
      <c r="A790" s="1315" t="s">
        <v>885</v>
      </c>
      <c r="B790" s="1315"/>
      <c r="C790" s="1315"/>
      <c r="D790" s="1315"/>
      <c r="E790" s="1315"/>
      <c r="F790" s="1315"/>
      <c r="G790" s="1315"/>
    </row>
    <row r="791" spans="1:7">
      <c r="A791" s="35"/>
      <c r="B791" s="35"/>
    </row>
    <row r="792" spans="1:7">
      <c r="A792" s="35"/>
      <c r="B792" s="1281" t="s">
        <v>448</v>
      </c>
      <c r="C792" s="1281"/>
      <c r="D792" s="1281"/>
      <c r="E792" s="1281"/>
      <c r="F792" s="1281"/>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4"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21" t="s">
        <v>2060</v>
      </c>
      <c r="B2" s="1322"/>
      <c r="C2" s="1322"/>
      <c r="D2" s="1322"/>
      <c r="E2" s="1322"/>
      <c r="F2" s="1322"/>
      <c r="G2" s="1322"/>
      <c r="H2" s="1322"/>
      <c r="I2" s="1322"/>
      <c r="J2" s="1322"/>
    </row>
    <row r="3" spans="1:10" ht="15">
      <c r="A3" s="1325" t="s">
        <v>1378</v>
      </c>
      <c r="B3" s="1326"/>
      <c r="C3" s="1326"/>
      <c r="D3" s="1326"/>
      <c r="E3" s="1326"/>
      <c r="F3" s="1326"/>
      <c r="G3" s="1326"/>
      <c r="H3" s="1326"/>
      <c r="I3" s="1326"/>
      <c r="J3" s="1326"/>
    </row>
    <row r="4" spans="1:10" ht="12.75"/>
    <row r="5" spans="1:10" ht="12.75" customHeight="1">
      <c r="A5" s="1323" t="s">
        <v>2361</v>
      </c>
      <c r="B5" s="1323"/>
      <c r="C5" s="1323"/>
      <c r="D5" s="1323"/>
      <c r="E5" s="1323"/>
      <c r="F5" s="1323"/>
      <c r="G5" s="1323"/>
      <c r="H5" s="1323"/>
      <c r="I5" s="1323"/>
      <c r="J5" s="1323"/>
    </row>
    <row r="6" spans="1:10" ht="12.75">
      <c r="A6" s="1323"/>
      <c r="B6" s="1323"/>
      <c r="C6" s="1323"/>
      <c r="D6" s="1323"/>
      <c r="E6" s="1323"/>
      <c r="F6" s="1323"/>
      <c r="G6" s="1323"/>
      <c r="H6" s="1323"/>
      <c r="I6" s="1323"/>
      <c r="J6" s="1323"/>
    </row>
    <row r="7" spans="1:10" ht="30" customHeight="1">
      <c r="A7" s="1323"/>
      <c r="B7" s="1323"/>
      <c r="C7" s="1323"/>
      <c r="D7" s="1323"/>
      <c r="E7" s="1323"/>
      <c r="F7" s="1323"/>
      <c r="G7" s="1323"/>
      <c r="H7" s="1323"/>
      <c r="I7" s="1323"/>
      <c r="J7" s="1323"/>
    </row>
    <row r="8" spans="1:10" ht="12.75">
      <c r="A8" s="447"/>
      <c r="B8" s="447"/>
      <c r="C8" s="447"/>
      <c r="D8" s="447"/>
      <c r="E8" s="447"/>
      <c r="F8" s="447"/>
      <c r="G8" s="447"/>
      <c r="H8" s="447"/>
      <c r="I8" s="447"/>
      <c r="J8" s="447"/>
    </row>
    <row r="9" spans="1:10" ht="12.75" customHeight="1">
      <c r="A9" s="433" t="s">
        <v>2063</v>
      </c>
      <c r="B9" s="447"/>
      <c r="C9" s="447"/>
      <c r="D9" s="447"/>
      <c r="E9" s="447"/>
      <c r="F9" s="447"/>
      <c r="G9" s="447"/>
      <c r="H9" s="447"/>
      <c r="I9" s="447"/>
      <c r="J9" s="447"/>
    </row>
    <row r="10" spans="1:10" ht="12.75"/>
    <row r="11" spans="1:10" ht="12.75" customHeight="1">
      <c r="A11" s="1327" t="s">
        <v>2065</v>
      </c>
      <c r="B11" s="1327"/>
      <c r="C11" s="1327"/>
      <c r="D11" s="1327"/>
      <c r="E11" s="1327"/>
      <c r="F11" s="1327"/>
      <c r="G11" s="1327"/>
      <c r="H11" s="1327"/>
      <c r="I11" s="1327"/>
      <c r="J11" s="1327"/>
    </row>
    <row r="12" spans="1:10" ht="12.75">
      <c r="A12" s="1327"/>
      <c r="B12" s="1327"/>
      <c r="C12" s="1327"/>
      <c r="D12" s="1327"/>
      <c r="E12" s="1327"/>
      <c r="F12" s="1327"/>
      <c r="G12" s="1327"/>
      <c r="H12" s="1327"/>
      <c r="I12" s="1327"/>
      <c r="J12" s="1327"/>
    </row>
    <row r="13" spans="1:10" ht="12.75">
      <c r="A13" s="1327"/>
      <c r="B13" s="1327"/>
      <c r="C13" s="1327"/>
      <c r="D13" s="1327"/>
      <c r="E13" s="1327"/>
      <c r="F13" s="1327"/>
      <c r="G13" s="1327"/>
      <c r="H13" s="1327"/>
      <c r="I13" s="1327"/>
      <c r="J13" s="1327"/>
    </row>
    <row r="14" spans="1:10" ht="12.75">
      <c r="A14" s="1327"/>
      <c r="B14" s="1327"/>
      <c r="C14" s="1327"/>
      <c r="D14" s="1327"/>
      <c r="E14" s="1327"/>
      <c r="F14" s="1327"/>
      <c r="G14" s="1327"/>
      <c r="H14" s="1327"/>
      <c r="I14" s="1327"/>
      <c r="J14" s="1327"/>
    </row>
    <row r="15" spans="1:10" ht="12.75">
      <c r="A15" s="1327"/>
      <c r="B15" s="1327"/>
      <c r="C15" s="1327"/>
      <c r="D15" s="1327"/>
      <c r="E15" s="1327"/>
      <c r="F15" s="1327"/>
      <c r="G15" s="1327"/>
      <c r="H15" s="1327"/>
      <c r="I15" s="1327"/>
      <c r="J15" s="1327"/>
    </row>
    <row r="16" spans="1:10" ht="12.75">
      <c r="A16" s="1327"/>
      <c r="B16" s="1327"/>
      <c r="C16" s="1327"/>
      <c r="D16" s="1327"/>
      <c r="E16" s="1327"/>
      <c r="F16" s="1327"/>
      <c r="G16" s="1327"/>
      <c r="H16" s="1327"/>
      <c r="I16" s="1327"/>
      <c r="J16" s="1327"/>
    </row>
    <row r="17" spans="1:10" ht="12.75">
      <c r="A17" s="558"/>
      <c r="B17" s="558"/>
      <c r="C17" s="558"/>
      <c r="D17" s="558"/>
      <c r="E17" s="558"/>
      <c r="F17" s="558"/>
      <c r="G17" s="558"/>
      <c r="H17" s="558"/>
      <c r="I17" s="558"/>
      <c r="J17" s="558"/>
    </row>
    <row r="18" spans="1:10" ht="12.75">
      <c r="A18" s="510" t="s">
        <v>2064</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6" t="s">
        <v>1295</v>
      </c>
      <c r="B20" s="1326"/>
      <c r="C20" s="1326"/>
      <c r="D20" s="1326"/>
      <c r="E20" s="1326"/>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3" t="s">
        <v>1296</v>
      </c>
      <c r="B57" s="1323"/>
      <c r="C57" s="1323"/>
      <c r="D57" s="1323"/>
      <c r="E57" s="1323"/>
      <c r="F57" s="1323"/>
      <c r="G57" s="1323"/>
      <c r="H57" s="1323"/>
      <c r="I57" s="1323"/>
      <c r="J57" s="1323"/>
    </row>
    <row r="58" spans="1:10" ht="12.75">
      <c r="A58" s="1323"/>
      <c r="B58" s="1323"/>
      <c r="C58" s="1323"/>
      <c r="D58" s="1323"/>
      <c r="E58" s="1323"/>
      <c r="F58" s="1323"/>
      <c r="G58" s="1323"/>
      <c r="H58" s="1323"/>
      <c r="I58" s="1323"/>
      <c r="J58" s="1323"/>
    </row>
    <row r="59" spans="1:10" ht="12.75">
      <c r="A59" s="1323"/>
      <c r="B59" s="1323"/>
      <c r="C59" s="1323"/>
      <c r="D59" s="1323"/>
      <c r="E59" s="1323"/>
      <c r="F59" s="1323"/>
      <c r="G59" s="1323"/>
      <c r="H59" s="1323"/>
      <c r="I59" s="1323"/>
      <c r="J59" s="1323"/>
    </row>
    <row r="60" spans="1:10" ht="12.75"/>
    <row r="61" spans="1:10" ht="12.75">
      <c r="A61" s="433" t="s">
        <v>1295</v>
      </c>
    </row>
    <row r="62" spans="1:10" ht="12.75"/>
    <row r="63" spans="1:10" ht="12.75"/>
    <row r="64" spans="1:10" ht="12.75"/>
    <row r="65" spans="1:9" ht="12.75"/>
    <row r="66" spans="1:9" ht="12.75"/>
    <row r="67" spans="1:9" ht="12.75"/>
    <row r="68" spans="1:9" ht="12.75"/>
    <row r="69" spans="1:9" ht="12.75"/>
    <row r="70" spans="1:9" ht="12.75"/>
    <row r="71" spans="1:9" ht="12.75"/>
    <row r="72" spans="1:9" ht="12.75">
      <c r="A72" s="1324" t="s">
        <v>2061</v>
      </c>
      <c r="B72" s="1324"/>
      <c r="C72" s="1324"/>
      <c r="D72" s="1324"/>
      <c r="E72" s="1324"/>
      <c r="F72" s="1324"/>
      <c r="G72" s="1324"/>
      <c r="H72" s="1324"/>
      <c r="I72" s="1324"/>
    </row>
    <row r="73" spans="1:9" ht="12.75">
      <c r="A73" s="1276" t="s">
        <v>2359</v>
      </c>
      <c r="B73" s="1276"/>
      <c r="C73" s="1276"/>
      <c r="D73" s="1276"/>
      <c r="E73" s="1276"/>
    </row>
    <row r="74" spans="1:9" ht="12.75">
      <c r="A74" s="1276" t="s">
        <v>2360</v>
      </c>
      <c r="B74" s="1276"/>
      <c r="C74" s="1276"/>
      <c r="D74" s="1276"/>
      <c r="E74" s="1276"/>
    </row>
    <row r="75" spans="1:9" ht="12.75">
      <c r="A75" s="1276" t="s">
        <v>2062</v>
      </c>
      <c r="B75" s="1276"/>
      <c r="C75" s="1276"/>
      <c r="D75" s="1276"/>
      <c r="E75" s="1276"/>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topLeftCell="A661" workbookViewId="0">
      <selection activeCell="D664" sqref="D664:F672"/>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53" t="s">
        <v>2583</v>
      </c>
      <c r="B2" s="1353"/>
      <c r="C2" s="1353"/>
      <c r="D2" s="1353"/>
      <c r="E2" s="1353"/>
      <c r="F2" s="1353"/>
      <c r="G2" s="1353"/>
      <c r="H2" s="1353"/>
      <c r="I2" s="1353"/>
    </row>
    <row r="3" spans="1:13">
      <c r="A3" s="1341" t="s">
        <v>2629</v>
      </c>
      <c r="B3" s="1341"/>
      <c r="C3" s="1341"/>
      <c r="D3" s="1341"/>
      <c r="E3" s="1341"/>
      <c r="F3" s="1341"/>
      <c r="G3" s="1341"/>
      <c r="H3" s="1341"/>
      <c r="I3" s="1341"/>
    </row>
    <row r="4" spans="1:13">
      <c r="A4" s="1341"/>
      <c r="B4" s="1341"/>
      <c r="C4" s="1326"/>
      <c r="D4" s="1326"/>
      <c r="E4" s="1326"/>
      <c r="F4" s="1326"/>
      <c r="G4" s="1326"/>
    </row>
    <row r="5" spans="1:13">
      <c r="A5" s="1341"/>
      <c r="B5" s="1341"/>
      <c r="C5" s="1326"/>
      <c r="D5" s="1326"/>
      <c r="E5" s="1326"/>
      <c r="F5" s="1326"/>
      <c r="G5" s="1326"/>
    </row>
    <row r="6" spans="1:13" ht="12.75" customHeight="1">
      <c r="A6" s="1344" t="s">
        <v>2628</v>
      </c>
      <c r="B6" s="1344"/>
      <c r="C6" s="1344"/>
      <c r="D6" s="1344"/>
      <c r="E6" s="1344"/>
      <c r="F6" s="1344"/>
      <c r="G6" s="1344"/>
      <c r="I6" s="524" t="s">
        <v>2071</v>
      </c>
    </row>
    <row r="7" spans="1:13">
      <c r="A7" s="1344"/>
      <c r="B7" s="1344"/>
      <c r="C7" s="1344"/>
      <c r="D7" s="1344"/>
      <c r="E7" s="1344"/>
      <c r="F7" s="1344"/>
      <c r="G7" s="1344"/>
      <c r="I7" s="524" t="s">
        <v>2072</v>
      </c>
    </row>
    <row r="8" spans="1:13">
      <c r="A8" s="515"/>
      <c r="B8" s="515"/>
      <c r="C8" s="516"/>
      <c r="D8" s="516"/>
      <c r="E8" s="516"/>
      <c r="F8" s="516"/>
    </row>
    <row r="9" spans="1:13">
      <c r="A9" s="1285" t="s">
        <v>1168</v>
      </c>
      <c r="B9" s="1285"/>
      <c r="C9" s="1285"/>
      <c r="D9" s="1285"/>
      <c r="E9" s="1285"/>
      <c r="F9" s="1285"/>
      <c r="G9" s="1285"/>
      <c r="H9" s="1063"/>
      <c r="I9" s="1064"/>
    </row>
    <row r="10" spans="1:13">
      <c r="A10" s="516"/>
      <c r="B10" s="516"/>
      <c r="E10" s="435"/>
    </row>
    <row r="11" spans="1:13" ht="13.7" customHeight="1">
      <c r="C11" s="516"/>
      <c r="D11" s="1343" t="s">
        <v>1167</v>
      </c>
      <c r="E11" s="1343"/>
      <c r="F11" s="1343"/>
    </row>
    <row r="12" spans="1:13">
      <c r="C12" s="516"/>
      <c r="D12" s="1343"/>
      <c r="E12" s="1343"/>
      <c r="F12" s="1343"/>
    </row>
    <row r="13" spans="1:13">
      <c r="A13" s="517"/>
      <c r="B13" s="517"/>
      <c r="C13" s="517"/>
      <c r="D13" s="1298" t="s">
        <v>1150</v>
      </c>
      <c r="E13" s="1298"/>
      <c r="F13" s="1298"/>
      <c r="M13" s="96"/>
    </row>
    <row r="14" spans="1:13">
      <c r="A14" s="517"/>
      <c r="B14" s="517"/>
      <c r="C14" s="517"/>
      <c r="D14" s="510"/>
      <c r="L14" s="336"/>
    </row>
    <row r="15" spans="1:13" ht="14.25">
      <c r="A15" s="518"/>
      <c r="B15" s="519" t="s">
        <v>2802</v>
      </c>
      <c r="C15" s="517"/>
      <c r="D15" s="1297" t="s">
        <v>2222</v>
      </c>
      <c r="E15" s="1297"/>
      <c r="F15" s="1297"/>
      <c r="I15" s="524" t="s">
        <v>2073</v>
      </c>
    </row>
    <row r="16" spans="1:13">
      <c r="A16" s="517"/>
      <c r="B16" s="517"/>
      <c r="C16" s="517"/>
      <c r="D16" s="1297"/>
      <c r="E16" s="1297"/>
      <c r="F16" s="1297"/>
      <c r="I16" s="524"/>
    </row>
    <row r="17" spans="1:9">
      <c r="A17" s="517"/>
      <c r="B17" s="517"/>
      <c r="C17" s="517"/>
      <c r="D17" s="1297"/>
      <c r="E17" s="1297"/>
      <c r="F17" s="1297"/>
      <c r="I17" s="524"/>
    </row>
    <row r="18" spans="1:9">
      <c r="A18" s="517"/>
      <c r="B18" s="517"/>
      <c r="C18" s="517"/>
      <c r="D18" s="479"/>
      <c r="E18" s="336" t="s">
        <v>2220</v>
      </c>
      <c r="F18" s="479"/>
      <c r="I18" s="524"/>
    </row>
    <row r="19" spans="1:9">
      <c r="A19" s="517"/>
      <c r="B19" s="517"/>
      <c r="C19" s="517"/>
      <c r="I19" s="524"/>
    </row>
    <row r="20" spans="1:9" ht="14.25">
      <c r="A20" s="518"/>
      <c r="B20" s="519" t="s">
        <v>2802</v>
      </c>
      <c r="D20" s="1297" t="s">
        <v>2223</v>
      </c>
      <c r="E20" s="1297"/>
      <c r="F20" s="1297"/>
      <c r="I20" s="524" t="s">
        <v>2074</v>
      </c>
    </row>
    <row r="21" spans="1:9" ht="14.25">
      <c r="A21" s="518"/>
      <c r="D21" s="1297"/>
      <c r="E21" s="1297"/>
      <c r="F21" s="1297"/>
      <c r="I21" s="524"/>
    </row>
    <row r="22" spans="1:9" ht="14.25">
      <c r="A22" s="518"/>
      <c r="D22" s="423"/>
      <c r="E22" s="96" t="s">
        <v>2219</v>
      </c>
      <c r="F22" s="423"/>
      <c r="I22" s="524"/>
    </row>
    <row r="23" spans="1:9" ht="14.25">
      <c r="A23" s="518"/>
      <c r="B23" s="518"/>
      <c r="D23" s="480"/>
      <c r="I23" s="524"/>
    </row>
    <row r="24" spans="1:9" ht="14.25">
      <c r="A24" s="518"/>
      <c r="B24" s="519" t="s">
        <v>2803</v>
      </c>
      <c r="D24" s="1297" t="s">
        <v>1153</v>
      </c>
      <c r="E24" s="1297"/>
      <c r="F24" s="1297"/>
      <c r="I24" s="524" t="s">
        <v>2074</v>
      </c>
    </row>
    <row r="25" spans="1:9" ht="14.25">
      <c r="A25" s="518"/>
      <c r="B25" s="518"/>
      <c r="D25" s="1297"/>
      <c r="E25" s="1297"/>
      <c r="F25" s="1297"/>
      <c r="I25" s="524"/>
    </row>
    <row r="26" spans="1:9">
      <c r="I26" s="524"/>
    </row>
    <row r="27" spans="1:9" ht="14.25">
      <c r="A27" s="518"/>
      <c r="B27" s="519" t="s">
        <v>2802</v>
      </c>
      <c r="D27" s="1297" t="s">
        <v>2362</v>
      </c>
      <c r="E27" s="1297"/>
      <c r="F27" s="1297"/>
      <c r="I27" s="524" t="s">
        <v>2077</v>
      </c>
    </row>
    <row r="28" spans="1:9">
      <c r="D28" s="1297"/>
      <c r="E28" s="1297"/>
      <c r="F28" s="1297"/>
      <c r="I28" s="524"/>
    </row>
    <row r="29" spans="1:9">
      <c r="D29" s="1297"/>
      <c r="E29" s="1297"/>
      <c r="F29" s="1297"/>
      <c r="I29" s="524"/>
    </row>
    <row r="30" spans="1:9">
      <c r="D30" s="1297"/>
      <c r="E30" s="1297"/>
      <c r="F30" s="1297"/>
      <c r="I30" s="524"/>
    </row>
    <row r="31" spans="1:9">
      <c r="D31" s="1297"/>
      <c r="E31" s="1297"/>
      <c r="F31" s="1297"/>
      <c r="I31" s="524"/>
    </row>
    <row r="32" spans="1:9">
      <c r="D32" s="481"/>
      <c r="I32" s="524"/>
    </row>
    <row r="33" spans="1:9">
      <c r="B33" s="519" t="s">
        <v>2802</v>
      </c>
      <c r="D33" s="1297" t="s">
        <v>2363</v>
      </c>
      <c r="E33" s="1297"/>
      <c r="F33" s="1297"/>
      <c r="I33" s="524" t="s">
        <v>2073</v>
      </c>
    </row>
    <row r="34" spans="1:9">
      <c r="D34" s="1297"/>
      <c r="E34" s="1297"/>
      <c r="F34" s="1297"/>
      <c r="I34" s="524"/>
    </row>
    <row r="35" spans="1:9" ht="14.25">
      <c r="A35" s="518"/>
      <c r="B35" s="518"/>
      <c r="D35" s="481"/>
      <c r="I35" s="524"/>
    </row>
    <row r="36" spans="1:9" ht="14.45" customHeight="1">
      <c r="A36" s="518"/>
      <c r="B36" s="519" t="s">
        <v>2802</v>
      </c>
      <c r="D36" s="1297" t="s">
        <v>1320</v>
      </c>
      <c r="E36" s="1297"/>
      <c r="F36" s="1297"/>
      <c r="I36" s="524" t="s">
        <v>2144</v>
      </c>
    </row>
    <row r="37" spans="1:9" ht="14.25">
      <c r="A37" s="518"/>
      <c r="B37" s="518"/>
      <c r="D37" s="1297"/>
      <c r="E37" s="1297"/>
      <c r="F37" s="1297"/>
      <c r="I37" s="524"/>
    </row>
    <row r="38" spans="1:9" ht="14.25">
      <c r="A38" s="518"/>
      <c r="B38" s="518"/>
      <c r="D38" s="1297"/>
      <c r="E38" s="1297"/>
      <c r="F38" s="1297"/>
      <c r="I38" s="524"/>
    </row>
    <row r="39" spans="1:9" ht="14.25">
      <c r="A39" s="518"/>
      <c r="B39" s="518"/>
      <c r="D39" s="1297"/>
      <c r="E39" s="1297"/>
      <c r="F39" s="1297"/>
      <c r="I39" s="524"/>
    </row>
    <row r="40" spans="1:9" ht="14.25">
      <c r="A40" s="518"/>
      <c r="B40" s="518"/>
      <c r="I40" s="524"/>
    </row>
    <row r="41" spans="1:9" ht="14.25">
      <c r="A41" s="518"/>
      <c r="B41" s="519" t="s">
        <v>2803</v>
      </c>
      <c r="D41" s="1297" t="s">
        <v>1157</v>
      </c>
      <c r="E41" s="1297"/>
      <c r="F41" s="1297"/>
      <c r="I41" s="524"/>
    </row>
    <row r="42" spans="1:9" ht="14.25">
      <c r="A42" s="518"/>
      <c r="B42" s="518"/>
      <c r="D42" s="1297"/>
      <c r="E42" s="1297"/>
      <c r="F42" s="1297"/>
      <c r="I42" s="524"/>
    </row>
    <row r="43" spans="1:9" ht="14.25">
      <c r="A43" s="518"/>
      <c r="B43" s="518"/>
      <c r="D43" s="1297"/>
      <c r="E43" s="1297"/>
      <c r="F43" s="1297"/>
      <c r="I43" s="524"/>
    </row>
    <row r="44" spans="1:9" ht="14.25">
      <c r="A44" s="518"/>
      <c r="B44" s="518"/>
      <c r="D44" s="1297"/>
      <c r="E44" s="1297"/>
      <c r="F44" s="1297"/>
      <c r="I44" s="524"/>
    </row>
    <row r="45" spans="1:9" ht="14.25">
      <c r="A45" s="518"/>
      <c r="B45" s="518"/>
      <c r="D45" s="1297"/>
      <c r="E45" s="1297"/>
      <c r="F45" s="1297"/>
      <c r="I45" s="524"/>
    </row>
    <row r="46" spans="1:9" ht="14.25">
      <c r="A46" s="518"/>
      <c r="B46" s="518"/>
      <c r="D46" s="479"/>
      <c r="E46" s="479"/>
      <c r="F46" s="479"/>
      <c r="I46" s="524"/>
    </row>
    <row r="47" spans="1:9" ht="14.25">
      <c r="A47" s="518"/>
      <c r="B47" s="519" t="s">
        <v>2802</v>
      </c>
      <c r="D47" s="1297" t="s">
        <v>1158</v>
      </c>
      <c r="E47" s="1297"/>
      <c r="F47" s="1297"/>
      <c r="I47" s="524" t="s">
        <v>2144</v>
      </c>
    </row>
    <row r="48" spans="1:9" ht="14.25">
      <c r="A48" s="518"/>
      <c r="B48" s="518"/>
      <c r="D48" s="1297"/>
      <c r="E48" s="1297"/>
      <c r="F48" s="1297"/>
      <c r="I48" s="524"/>
    </row>
    <row r="49" spans="1:9" ht="14.25">
      <c r="A49" s="518"/>
      <c r="B49" s="518"/>
      <c r="D49" s="1297"/>
      <c r="E49" s="1297"/>
      <c r="F49" s="1297"/>
      <c r="I49" s="524"/>
    </row>
    <row r="50" spans="1:9" ht="23.25" customHeight="1">
      <c r="A50" s="518"/>
      <c r="B50" s="518"/>
      <c r="D50" s="1297"/>
      <c r="E50" s="1297"/>
      <c r="F50" s="1297"/>
      <c r="I50" s="524"/>
    </row>
    <row r="51" spans="1:9" ht="14.25">
      <c r="A51" s="518"/>
      <c r="B51" s="518"/>
      <c r="D51" s="480"/>
      <c r="I51" s="524"/>
    </row>
    <row r="52" spans="1:9" ht="14.45" customHeight="1">
      <c r="A52" s="518"/>
      <c r="B52" s="519" t="s">
        <v>2803</v>
      </c>
      <c r="D52" s="1297" t="s">
        <v>1159</v>
      </c>
      <c r="E52" s="1297"/>
      <c r="F52" s="1297"/>
      <c r="I52" s="524" t="s">
        <v>2144</v>
      </c>
    </row>
    <row r="53" spans="1:9" ht="14.25">
      <c r="A53" s="518"/>
      <c r="B53" s="518"/>
      <c r="D53" s="1297"/>
      <c r="E53" s="1297"/>
      <c r="F53" s="1297"/>
      <c r="I53" s="524"/>
    </row>
    <row r="54" spans="1:9" ht="14.25">
      <c r="A54" s="518"/>
      <c r="B54" s="518"/>
      <c r="D54" s="1297"/>
      <c r="E54" s="1297"/>
      <c r="F54" s="1297"/>
      <c r="I54" s="524"/>
    </row>
    <row r="55" spans="1:9" ht="14.25">
      <c r="A55" s="518"/>
      <c r="B55" s="518"/>
      <c r="I55" s="524"/>
    </row>
    <row r="56" spans="1:9" ht="14.25">
      <c r="A56" s="518"/>
      <c r="B56" s="519" t="s">
        <v>2802</v>
      </c>
      <c r="D56" s="1346" t="s">
        <v>1160</v>
      </c>
      <c r="E56" s="1346"/>
      <c r="F56" s="1346"/>
      <c r="I56" s="524"/>
    </row>
    <row r="57" spans="1:9" ht="14.25">
      <c r="A57" s="518"/>
      <c r="B57" s="518"/>
      <c r="D57" s="1346"/>
      <c r="E57" s="1346"/>
      <c r="F57" s="1346"/>
      <c r="I57" s="524"/>
    </row>
    <row r="58" spans="1:9" ht="14.25">
      <c r="A58" s="518"/>
      <c r="B58" s="518"/>
      <c r="D58" s="423" t="s">
        <v>2221</v>
      </c>
      <c r="E58" s="479"/>
      <c r="F58" s="479"/>
      <c r="I58" s="524"/>
    </row>
    <row r="59" spans="1:9" ht="14.25">
      <c r="A59" s="518"/>
      <c r="B59" s="518"/>
      <c r="D59" s="479"/>
      <c r="E59" s="336" t="s">
        <v>2220</v>
      </c>
      <c r="F59" s="479"/>
      <c r="I59" s="524"/>
    </row>
    <row r="60" spans="1:9">
      <c r="D60" s="481"/>
      <c r="I60" s="524"/>
    </row>
    <row r="61" spans="1:9" ht="14.25">
      <c r="A61" s="518"/>
      <c r="B61" s="519" t="s">
        <v>2803</v>
      </c>
      <c r="D61" s="1297" t="s">
        <v>1161</v>
      </c>
      <c r="E61" s="1297"/>
      <c r="F61" s="1297"/>
      <c r="I61" s="524" t="s">
        <v>2075</v>
      </c>
    </row>
    <row r="62" spans="1:9">
      <c r="D62" s="1297"/>
      <c r="E62" s="1297"/>
      <c r="F62" s="1297"/>
      <c r="I62" s="524"/>
    </row>
    <row r="63" spans="1:9">
      <c r="D63" s="1297"/>
      <c r="E63" s="1297"/>
      <c r="F63" s="1297"/>
      <c r="I63" s="524"/>
    </row>
    <row r="64" spans="1:9">
      <c r="I64" s="524"/>
    </row>
    <row r="65" spans="1:9" ht="14.25">
      <c r="A65" s="518"/>
      <c r="B65" s="519" t="s">
        <v>2803</v>
      </c>
      <c r="D65" s="1297" t="s">
        <v>1162</v>
      </c>
      <c r="E65" s="1297"/>
      <c r="F65" s="1297"/>
      <c r="I65" s="524" t="s">
        <v>2076</v>
      </c>
    </row>
    <row r="66" spans="1:9">
      <c r="D66" s="1297"/>
      <c r="E66" s="1297"/>
      <c r="F66" s="1297"/>
      <c r="I66" s="524"/>
    </row>
    <row r="67" spans="1:9">
      <c r="I67" s="524"/>
    </row>
    <row r="68" spans="1:9" ht="14.25">
      <c r="A68" s="518"/>
      <c r="B68" s="519" t="s">
        <v>2803</v>
      </c>
      <c r="D68" s="1297" t="s">
        <v>1163</v>
      </c>
      <c r="E68" s="1297"/>
      <c r="F68" s="1297"/>
      <c r="I68" s="524"/>
    </row>
    <row r="69" spans="1:9">
      <c r="D69" s="1297"/>
      <c r="E69" s="1297"/>
      <c r="F69" s="1297"/>
      <c r="I69" s="524" t="s">
        <v>2077</v>
      </c>
    </row>
    <row r="70" spans="1:9">
      <c r="D70" s="1297"/>
      <c r="E70" s="1297"/>
      <c r="F70" s="1297"/>
      <c r="I70" s="524"/>
    </row>
    <row r="71" spans="1:9">
      <c r="I71" s="524"/>
    </row>
    <row r="72" spans="1:9" ht="14.25">
      <c r="A72" s="518"/>
      <c r="B72" s="519" t="s">
        <v>2803</v>
      </c>
      <c r="D72" s="1297" t="s">
        <v>1164</v>
      </c>
      <c r="E72" s="1297"/>
      <c r="F72" s="1297"/>
      <c r="I72" s="524" t="s">
        <v>2077</v>
      </c>
    </row>
    <row r="73" spans="1:9">
      <c r="D73" s="1297"/>
      <c r="E73" s="1297"/>
      <c r="F73" s="1297"/>
      <c r="I73" s="524"/>
    </row>
    <row r="74" spans="1:9" ht="14.25">
      <c r="A74" s="518"/>
      <c r="B74" s="518"/>
      <c r="D74" s="480"/>
      <c r="I74" s="524"/>
    </row>
    <row r="75" spans="1:9">
      <c r="A75" s="1285" t="s">
        <v>1071</v>
      </c>
      <c r="B75" s="1285"/>
      <c r="C75" s="1285"/>
      <c r="D75" s="1285"/>
      <c r="E75" s="1285"/>
      <c r="F75" s="1285"/>
      <c r="G75" s="1285"/>
      <c r="H75" s="1063"/>
      <c r="I75" s="1259"/>
    </row>
    <row r="76" spans="1:9">
      <c r="I76" s="524"/>
    </row>
    <row r="77" spans="1:9">
      <c r="C77" s="520"/>
      <c r="D77" s="1299" t="s">
        <v>1169</v>
      </c>
      <c r="E77" s="1299"/>
      <c r="F77" s="1299"/>
      <c r="I77" s="524"/>
    </row>
    <row r="78" spans="1:9">
      <c r="A78" s="480"/>
      <c r="B78" s="480"/>
      <c r="D78" s="1297" t="s">
        <v>1196</v>
      </c>
      <c r="E78" s="1297"/>
      <c r="F78" s="1297"/>
      <c r="I78" s="524"/>
    </row>
    <row r="79" spans="1:9">
      <c r="A79" s="480"/>
      <c r="B79" s="480"/>
      <c r="I79" s="524"/>
    </row>
    <row r="80" spans="1:9" ht="13.7" customHeight="1">
      <c r="A80" s="518"/>
      <c r="B80" s="519" t="s">
        <v>2802</v>
      </c>
      <c r="D80" s="1297" t="s">
        <v>1353</v>
      </c>
      <c r="E80" s="1297"/>
      <c r="F80" s="1297"/>
      <c r="I80" s="524" t="s">
        <v>2078</v>
      </c>
    </row>
    <row r="81" spans="1:9" ht="14.25">
      <c r="A81" s="518"/>
      <c r="B81" s="518"/>
      <c r="D81" s="1297"/>
      <c r="E81" s="1297"/>
      <c r="F81" s="1297"/>
      <c r="I81" s="524"/>
    </row>
    <row r="82" spans="1:9" ht="14.25">
      <c r="A82" s="518"/>
      <c r="B82" s="518"/>
      <c r="D82" s="1297"/>
      <c r="E82" s="1297"/>
      <c r="F82" s="1297"/>
      <c r="I82" s="524"/>
    </row>
    <row r="83" spans="1:9" ht="14.25">
      <c r="A83" s="518"/>
      <c r="B83" s="518"/>
      <c r="D83" s="1297"/>
      <c r="E83" s="1297"/>
      <c r="F83" s="1297"/>
      <c r="I83" s="524"/>
    </row>
    <row r="84" spans="1:9" ht="14.25">
      <c r="A84" s="518"/>
      <c r="B84" s="518"/>
      <c r="D84" s="1297"/>
      <c r="E84" s="1297"/>
      <c r="F84" s="1297"/>
      <c r="I84" s="524"/>
    </row>
    <row r="85" spans="1:9" ht="14.25">
      <c r="A85" s="518"/>
      <c r="B85" s="518"/>
      <c r="D85" s="1297"/>
      <c r="E85" s="1297"/>
      <c r="F85" s="1297"/>
      <c r="I85" s="524"/>
    </row>
    <row r="86" spans="1:9" ht="14.25">
      <c r="A86" s="518"/>
      <c r="B86" s="518"/>
      <c r="D86" s="1297"/>
      <c r="E86" s="1297"/>
      <c r="F86" s="1297"/>
      <c r="I86" s="524"/>
    </row>
    <row r="87" spans="1:9" ht="14.25">
      <c r="A87" s="518"/>
      <c r="B87" s="518"/>
      <c r="D87" s="1297"/>
      <c r="E87" s="1297"/>
      <c r="F87" s="1297"/>
      <c r="I87" s="524"/>
    </row>
    <row r="88" spans="1:9" ht="14.25">
      <c r="A88" s="518"/>
      <c r="B88" s="518"/>
      <c r="D88" s="416"/>
      <c r="E88" s="416"/>
      <c r="F88" s="416"/>
      <c r="I88" s="524"/>
    </row>
    <row r="89" spans="1:9" ht="15" customHeight="1">
      <c r="A89" s="518"/>
      <c r="B89" s="519" t="s">
        <v>2802</v>
      </c>
      <c r="D89" s="1297" t="s">
        <v>1932</v>
      </c>
      <c r="E89" s="1297"/>
      <c r="F89" s="1297"/>
      <c r="I89" s="524" t="s">
        <v>2079</v>
      </c>
    </row>
    <row r="90" spans="1:9" ht="14.25">
      <c r="A90" s="518"/>
      <c r="B90" s="518"/>
      <c r="D90" s="1297"/>
      <c r="E90" s="1297"/>
      <c r="F90" s="1297"/>
      <c r="I90" s="524"/>
    </row>
    <row r="91" spans="1:9" ht="14.25">
      <c r="A91" s="518"/>
      <c r="B91" s="518"/>
      <c r="D91" s="479"/>
      <c r="E91" s="479"/>
      <c r="F91" s="479"/>
      <c r="I91" s="524"/>
    </row>
    <row r="92" spans="1:9" ht="14.25">
      <c r="A92" s="518"/>
      <c r="B92" s="519" t="s">
        <v>2802</v>
      </c>
      <c r="D92" s="1297" t="s">
        <v>1935</v>
      </c>
      <c r="E92" s="1297"/>
      <c r="F92" s="1297"/>
      <c r="I92" s="524" t="s">
        <v>2080</v>
      </c>
    </row>
    <row r="93" spans="1:9" ht="14.25">
      <c r="A93" s="518"/>
      <c r="B93" s="518"/>
      <c r="D93" s="1297"/>
      <c r="E93" s="1297"/>
      <c r="F93" s="1297"/>
      <c r="I93" s="524"/>
    </row>
    <row r="94" spans="1:9" ht="14.25">
      <c r="A94" s="518"/>
      <c r="B94" s="518"/>
      <c r="D94" s="1297"/>
      <c r="E94" s="1297"/>
      <c r="F94" s="1297"/>
      <c r="I94" s="524"/>
    </row>
    <row r="95" spans="1:9" ht="14.25">
      <c r="A95" s="518"/>
      <c r="B95" s="518"/>
      <c r="D95" s="479"/>
      <c r="E95" s="479"/>
      <c r="F95" s="479"/>
      <c r="I95" s="524"/>
    </row>
    <row r="96" spans="1:9" ht="14.25">
      <c r="A96" s="518"/>
      <c r="B96" s="519" t="s">
        <v>2802</v>
      </c>
      <c r="D96" s="1297" t="s">
        <v>1934</v>
      </c>
      <c r="E96" s="1297"/>
      <c r="F96" s="1297"/>
      <c r="I96" s="524" t="s">
        <v>2125</v>
      </c>
    </row>
    <row r="97" spans="1:9" s="1022" customFormat="1" ht="14.25">
      <c r="A97" s="1020"/>
      <c r="B97" s="1020"/>
      <c r="C97" s="1021"/>
      <c r="D97" s="1297"/>
      <c r="E97" s="1297"/>
      <c r="F97" s="1297"/>
      <c r="I97" s="1260"/>
    </row>
    <row r="98" spans="1:9" ht="14.25">
      <c r="A98" s="518"/>
      <c r="B98" s="518"/>
      <c r="D98" s="423"/>
      <c r="E98" s="336" t="s">
        <v>2224</v>
      </c>
      <c r="F98" s="479"/>
      <c r="I98" s="524"/>
    </row>
    <row r="99" spans="1:9" ht="14.25">
      <c r="A99" s="518"/>
      <c r="B99" s="518"/>
      <c r="D99" s="416"/>
      <c r="E99" s="416"/>
      <c r="F99" s="416"/>
      <c r="I99" s="524"/>
    </row>
    <row r="100" spans="1:9" ht="14.25">
      <c r="A100" s="518"/>
      <c r="B100" s="519" t="s">
        <v>2803</v>
      </c>
      <c r="D100" s="1297" t="s">
        <v>1933</v>
      </c>
      <c r="E100" s="1297"/>
      <c r="F100" s="1297"/>
      <c r="I100" s="524" t="s">
        <v>2081</v>
      </c>
    </row>
    <row r="101" spans="1:9" ht="14.25">
      <c r="A101" s="518"/>
      <c r="B101" s="518"/>
      <c r="D101" s="1297"/>
      <c r="E101" s="1297"/>
      <c r="F101" s="1297"/>
      <c r="I101" s="524"/>
    </row>
    <row r="102" spans="1:9" ht="14.25">
      <c r="A102" s="518"/>
      <c r="B102" s="518"/>
      <c r="D102" s="479"/>
      <c r="E102" s="479"/>
      <c r="F102" s="479"/>
      <c r="I102" s="524"/>
    </row>
    <row r="103" spans="1:9" ht="14.45" customHeight="1">
      <c r="A103" s="518"/>
      <c r="B103" s="519" t="s">
        <v>2803</v>
      </c>
      <c r="D103" s="1297" t="s">
        <v>1300</v>
      </c>
      <c r="E103" s="1297"/>
      <c r="F103" s="1297"/>
      <c r="I103" s="524" t="s">
        <v>2082</v>
      </c>
    </row>
    <row r="104" spans="1:9" ht="14.25">
      <c r="A104" s="518"/>
      <c r="B104" s="518"/>
      <c r="D104" s="1297"/>
      <c r="E104" s="1297"/>
      <c r="F104" s="1297"/>
      <c r="I104" s="524"/>
    </row>
    <row r="105" spans="1:9" ht="14.25">
      <c r="A105" s="518"/>
      <c r="B105" s="518"/>
      <c r="D105" s="1297"/>
      <c r="E105" s="1297"/>
      <c r="F105" s="1297"/>
      <c r="I105" s="524"/>
    </row>
    <row r="106" spans="1:9" ht="14.25">
      <c r="A106" s="518"/>
      <c r="B106" s="518"/>
      <c r="D106" s="1297"/>
      <c r="E106" s="1297"/>
      <c r="F106" s="1297"/>
      <c r="I106" s="524"/>
    </row>
    <row r="107" spans="1:9" ht="14.25">
      <c r="A107" s="518"/>
      <c r="B107" s="518"/>
      <c r="D107" s="1297"/>
      <c r="E107" s="1297"/>
      <c r="F107" s="1297"/>
      <c r="I107" s="524"/>
    </row>
    <row r="108" spans="1:9" ht="14.25">
      <c r="A108" s="518"/>
      <c r="B108" s="518"/>
      <c r="D108" s="1297"/>
      <c r="E108" s="1297"/>
      <c r="F108" s="1297"/>
      <c r="I108" s="524"/>
    </row>
    <row r="109" spans="1:9" ht="14.25">
      <c r="A109" s="518"/>
      <c r="B109" s="518"/>
      <c r="D109" s="1297"/>
      <c r="E109" s="1297"/>
      <c r="F109" s="1297"/>
      <c r="I109" s="524"/>
    </row>
    <row r="110" spans="1:9" ht="14.25">
      <c r="A110" s="518"/>
      <c r="B110" s="518"/>
      <c r="D110" s="1297"/>
      <c r="E110" s="1297"/>
      <c r="F110" s="1297"/>
      <c r="I110" s="524"/>
    </row>
    <row r="111" spans="1:9" ht="14.25">
      <c r="A111" s="518"/>
      <c r="B111" s="518"/>
      <c r="D111" s="1297"/>
      <c r="E111" s="1297"/>
      <c r="F111" s="1297"/>
      <c r="I111" s="524"/>
    </row>
    <row r="112" spans="1:9" ht="14.25">
      <c r="A112" s="518"/>
      <c r="B112" s="518"/>
      <c r="D112" s="1297"/>
      <c r="E112" s="1297"/>
      <c r="F112" s="1297"/>
      <c r="I112" s="524"/>
    </row>
    <row r="113" spans="1:9" ht="14.25">
      <c r="A113" s="518"/>
      <c r="B113" s="518"/>
      <c r="D113" s="1297"/>
      <c r="E113" s="1297"/>
      <c r="F113" s="1297"/>
      <c r="I113" s="524"/>
    </row>
    <row r="114" spans="1:9" ht="14.25">
      <c r="A114" s="518"/>
      <c r="B114" s="518"/>
      <c r="D114" s="1297"/>
      <c r="E114" s="1297"/>
      <c r="F114" s="1297"/>
      <c r="I114" s="524"/>
    </row>
    <row r="115" spans="1:9" ht="14.25">
      <c r="A115" s="518"/>
      <c r="B115" s="518"/>
      <c r="D115" s="1297"/>
      <c r="E115" s="1297"/>
      <c r="F115" s="1297"/>
      <c r="I115" s="524"/>
    </row>
    <row r="116" spans="1:9" ht="14.25">
      <c r="A116" s="518"/>
      <c r="B116" s="518"/>
      <c r="D116" s="1297"/>
      <c r="E116" s="1297"/>
      <c r="F116" s="1297"/>
      <c r="I116" s="524"/>
    </row>
    <row r="117" spans="1:9" ht="14.25">
      <c r="A117" s="518"/>
      <c r="B117" s="518"/>
      <c r="D117" s="1297"/>
      <c r="E117" s="1297"/>
      <c r="F117" s="1297"/>
      <c r="I117" s="524"/>
    </row>
    <row r="118" spans="1:9" ht="14.25">
      <c r="A118" s="518"/>
      <c r="B118" s="518"/>
      <c r="D118" s="558"/>
      <c r="E118" s="558"/>
      <c r="F118" s="558"/>
      <c r="I118" s="524"/>
    </row>
    <row r="119" spans="1:9" ht="14.25" customHeight="1">
      <c r="A119" s="518"/>
      <c r="B119" s="519" t="s">
        <v>2803</v>
      </c>
      <c r="D119" s="1308" t="s">
        <v>1171</v>
      </c>
      <c r="E119" s="1308"/>
      <c r="F119" s="1308"/>
      <c r="I119" s="524"/>
    </row>
    <row r="120" spans="1:9" ht="14.25">
      <c r="A120" s="518"/>
      <c r="B120" s="518"/>
      <c r="D120" s="1308"/>
      <c r="E120" s="1308"/>
      <c r="F120" s="1308"/>
      <c r="I120" s="524"/>
    </row>
    <row r="121" spans="1:9" ht="14.25">
      <c r="A121" s="518"/>
      <c r="B121" s="518"/>
      <c r="D121" s="1308"/>
      <c r="E121" s="1308"/>
      <c r="F121" s="1308"/>
      <c r="I121" s="524"/>
    </row>
    <row r="122" spans="1:9" ht="14.25">
      <c r="A122" s="518"/>
      <c r="B122" s="518"/>
      <c r="D122" s="1308"/>
      <c r="E122" s="1308"/>
      <c r="F122" s="1308"/>
      <c r="I122" s="524"/>
    </row>
    <row r="123" spans="1:9" ht="14.25">
      <c r="A123" s="518"/>
      <c r="B123" s="518"/>
      <c r="D123" s="1308"/>
      <c r="E123" s="1308"/>
      <c r="F123" s="1308"/>
      <c r="I123" s="524"/>
    </row>
    <row r="124" spans="1:9" ht="14.25">
      <c r="A124" s="518"/>
      <c r="B124" s="518"/>
      <c r="D124" s="1308"/>
      <c r="E124" s="1308"/>
      <c r="F124" s="1308"/>
      <c r="I124" s="524"/>
    </row>
    <row r="125" spans="1:9" ht="14.25">
      <c r="A125" s="518"/>
      <c r="B125" s="518"/>
      <c r="D125" s="1308"/>
      <c r="E125" s="1308"/>
      <c r="F125" s="1308"/>
      <c r="I125" s="524"/>
    </row>
    <row r="126" spans="1:9" ht="14.25">
      <c r="A126" s="518"/>
      <c r="B126" s="518"/>
      <c r="D126" s="1308"/>
      <c r="E126" s="1308"/>
      <c r="F126" s="1308"/>
      <c r="I126" s="524"/>
    </row>
    <row r="127" spans="1:9">
      <c r="C127" s="433"/>
      <c r="D127" s="559"/>
      <c r="E127" s="559"/>
      <c r="F127" s="559"/>
      <c r="I127" s="524"/>
    </row>
    <row r="128" spans="1:9" ht="14.25">
      <c r="A128" s="518"/>
      <c r="B128" s="519" t="s">
        <v>2802</v>
      </c>
      <c r="C128" s="433"/>
      <c r="D128" s="1308" t="s">
        <v>2364</v>
      </c>
      <c r="E128" s="1308"/>
      <c r="F128" s="1308"/>
      <c r="I128" s="524" t="s">
        <v>2083</v>
      </c>
    </row>
    <row r="129" spans="1:9" ht="14.25">
      <c r="A129" s="518"/>
      <c r="B129" s="518"/>
      <c r="C129" s="433"/>
      <c r="D129" s="1308"/>
      <c r="E129" s="1308"/>
      <c r="F129" s="1308"/>
      <c r="I129" s="524"/>
    </row>
    <row r="130" spans="1:9">
      <c r="I130" s="524"/>
    </row>
    <row r="131" spans="1:9" ht="14.25">
      <c r="A131" s="518"/>
      <c r="B131" s="519" t="s">
        <v>2802</v>
      </c>
      <c r="D131" s="1297" t="s">
        <v>1174</v>
      </c>
      <c r="E131" s="1297"/>
      <c r="F131" s="1297"/>
      <c r="I131" s="524" t="s">
        <v>2083</v>
      </c>
    </row>
    <row r="132" spans="1:9">
      <c r="D132" s="1297"/>
      <c r="E132" s="1297"/>
      <c r="F132" s="1297"/>
      <c r="I132" s="524"/>
    </row>
    <row r="133" spans="1:9">
      <c r="D133" s="1297"/>
      <c r="E133" s="1297"/>
      <c r="F133" s="1297"/>
      <c r="I133" s="524"/>
    </row>
    <row r="134" spans="1:9">
      <c r="D134" s="1297"/>
      <c r="E134" s="1297"/>
      <c r="F134" s="1297"/>
      <c r="I134" s="524"/>
    </row>
    <row r="135" spans="1:9">
      <c r="D135" s="1297"/>
      <c r="E135" s="1297"/>
      <c r="F135" s="1297"/>
      <c r="I135" s="524"/>
    </row>
    <row r="136" spans="1:9">
      <c r="I136" s="524"/>
    </row>
    <row r="137" spans="1:9" ht="14.25">
      <c r="A137" s="518"/>
      <c r="B137" s="519" t="s">
        <v>2802</v>
      </c>
      <c r="D137" s="1297" t="s">
        <v>1175</v>
      </c>
      <c r="E137" s="1297"/>
      <c r="F137" s="1297"/>
      <c r="I137" s="524" t="s">
        <v>2084</v>
      </c>
    </row>
    <row r="138" spans="1:9" s="448" customFormat="1" ht="13.7" customHeight="1">
      <c r="A138" s="522"/>
      <c r="B138" s="522"/>
      <c r="C138" s="522"/>
      <c r="D138" s="1297"/>
      <c r="E138" s="1297"/>
      <c r="F138" s="1297"/>
      <c r="I138" s="1261"/>
    </row>
    <row r="139" spans="1:9" ht="13.7" customHeight="1">
      <c r="D139" s="1297"/>
      <c r="E139" s="1297"/>
      <c r="F139" s="1297"/>
      <c r="I139" s="524"/>
    </row>
    <row r="140" spans="1:9" ht="13.7" customHeight="1">
      <c r="D140" s="1297"/>
      <c r="E140" s="1297"/>
      <c r="F140" s="1297"/>
      <c r="I140" s="524"/>
    </row>
    <row r="141" spans="1:9" ht="13.7" customHeight="1">
      <c r="D141" s="1297"/>
      <c r="E141" s="1297"/>
      <c r="F141" s="1297"/>
      <c r="I141" s="524"/>
    </row>
    <row r="142" spans="1:9" ht="13.7" customHeight="1">
      <c r="A142" s="523"/>
      <c r="B142" s="523"/>
      <c r="D142" s="1297"/>
      <c r="E142" s="1297"/>
      <c r="F142" s="1297"/>
      <c r="I142" s="524"/>
    </row>
    <row r="143" spans="1:9" ht="13.7" customHeight="1">
      <c r="D143" s="1297"/>
      <c r="E143" s="1297"/>
      <c r="F143" s="1297"/>
      <c r="I143" s="524"/>
    </row>
    <row r="144" spans="1:9" ht="13.7" customHeight="1">
      <c r="D144" s="1297"/>
      <c r="E144" s="1297"/>
      <c r="F144" s="1297"/>
      <c r="I144" s="524"/>
    </row>
    <row r="145" spans="2:9" ht="13.7" customHeight="1">
      <c r="D145" s="1297"/>
      <c r="E145" s="1297"/>
      <c r="F145" s="1297"/>
      <c r="I145" s="524"/>
    </row>
    <row r="146" spans="2:9" ht="13.7" customHeight="1">
      <c r="D146" s="1297"/>
      <c r="E146" s="1297"/>
      <c r="F146" s="1297"/>
      <c r="I146" s="524"/>
    </row>
    <row r="147" spans="2:9" ht="13.7" customHeight="1">
      <c r="D147" s="1297"/>
      <c r="E147" s="1297"/>
      <c r="F147" s="1297"/>
      <c r="I147" s="524"/>
    </row>
    <row r="148" spans="2:9" ht="13.7" customHeight="1">
      <c r="D148" s="1297"/>
      <c r="E148" s="1297"/>
      <c r="F148" s="1297"/>
      <c r="I148" s="524"/>
    </row>
    <row r="149" spans="2:9" ht="13.7" customHeight="1">
      <c r="D149" s="1297"/>
      <c r="E149" s="1297"/>
      <c r="F149" s="1297"/>
      <c r="I149" s="524"/>
    </row>
    <row r="150" spans="2:9" ht="13.7" customHeight="1">
      <c r="D150" s="510"/>
      <c r="E150" s="480"/>
      <c r="F150" s="480"/>
      <c r="I150" s="524"/>
    </row>
    <row r="151" spans="2:9" ht="13.7" customHeight="1">
      <c r="B151" s="519" t="s">
        <v>2803</v>
      </c>
      <c r="D151" s="1297" t="s">
        <v>1283</v>
      </c>
      <c r="E151" s="1297"/>
      <c r="F151" s="1297"/>
      <c r="I151" s="524" t="s">
        <v>2085</v>
      </c>
    </row>
    <row r="152" spans="2:9" ht="13.7" customHeight="1">
      <c r="D152" s="1297"/>
      <c r="E152" s="1297"/>
      <c r="F152" s="1297"/>
      <c r="I152" s="524"/>
    </row>
    <row r="153" spans="2:9" ht="13.7" customHeight="1">
      <c r="D153" s="1297"/>
      <c r="E153" s="1297"/>
      <c r="F153" s="1297"/>
      <c r="I153" s="524"/>
    </row>
    <row r="154" spans="2:9" ht="13.7" customHeight="1">
      <c r="D154" s="1297"/>
      <c r="E154" s="1297"/>
      <c r="F154" s="1297"/>
      <c r="I154" s="524"/>
    </row>
    <row r="155" spans="2:9" ht="13.7" customHeight="1">
      <c r="D155" s="1297"/>
      <c r="E155" s="1297"/>
      <c r="F155" s="1297"/>
      <c r="I155" s="524"/>
    </row>
    <row r="156" spans="2:9" ht="13.7" customHeight="1">
      <c r="D156" s="1297"/>
      <c r="E156" s="1297"/>
      <c r="F156" s="1297"/>
      <c r="I156" s="524"/>
    </row>
    <row r="157" spans="2:9" ht="13.7" customHeight="1">
      <c r="D157" s="1297"/>
      <c r="E157" s="1297"/>
      <c r="F157" s="1297"/>
      <c r="I157" s="524"/>
    </row>
    <row r="158" spans="2:9" ht="13.7" customHeight="1">
      <c r="D158" s="1297"/>
      <c r="E158" s="1297"/>
      <c r="F158" s="1297"/>
      <c r="I158" s="524"/>
    </row>
    <row r="159" spans="2:9" ht="13.7" customHeight="1">
      <c r="D159" s="1297"/>
      <c r="E159" s="1297"/>
      <c r="F159" s="1297"/>
      <c r="I159" s="524"/>
    </row>
    <row r="160" spans="2:9" ht="13.7" customHeight="1">
      <c r="D160" s="1297"/>
      <c r="E160" s="1297"/>
      <c r="F160" s="1297"/>
      <c r="I160" s="524"/>
    </row>
    <row r="161" spans="1:9" ht="13.7" customHeight="1">
      <c r="D161" s="1297"/>
      <c r="E161" s="1297"/>
      <c r="F161" s="1297"/>
      <c r="I161" s="524"/>
    </row>
    <row r="162" spans="1:9" ht="13.7" customHeight="1">
      <c r="D162" s="1297"/>
      <c r="E162" s="1297"/>
      <c r="F162" s="1297"/>
      <c r="I162" s="524"/>
    </row>
    <row r="163" spans="1:9" ht="13.7" customHeight="1">
      <c r="D163" s="1297"/>
      <c r="E163" s="1297"/>
      <c r="F163" s="1297"/>
      <c r="I163" s="524"/>
    </row>
    <row r="164" spans="1:9" ht="13.7" customHeight="1">
      <c r="D164" s="1297"/>
      <c r="E164" s="1297"/>
      <c r="F164" s="1297"/>
      <c r="I164" s="524"/>
    </row>
    <row r="165" spans="1:9" ht="13.7" customHeight="1">
      <c r="D165" s="1297"/>
      <c r="E165" s="1297"/>
      <c r="F165" s="1297"/>
      <c r="I165" s="524"/>
    </row>
    <row r="166" spans="1:9" ht="13.7" customHeight="1">
      <c r="D166" s="1297"/>
      <c r="E166" s="1297"/>
      <c r="F166" s="1297"/>
      <c r="I166" s="524"/>
    </row>
    <row r="167" spans="1:9" ht="13.7" customHeight="1">
      <c r="D167" s="1297"/>
      <c r="E167" s="1297"/>
      <c r="F167" s="1297"/>
      <c r="I167" s="524"/>
    </row>
    <row r="168" spans="1:9" ht="13.7" customHeight="1">
      <c r="D168" s="1297"/>
      <c r="E168" s="1297"/>
      <c r="F168" s="1297"/>
      <c r="I168" s="524"/>
    </row>
    <row r="169" spans="1:9" ht="13.7" customHeight="1">
      <c r="D169" s="1342" t="s">
        <v>2388</v>
      </c>
      <c r="E169" s="1342"/>
      <c r="F169" s="1342"/>
      <c r="G169" s="541"/>
      <c r="I169" s="524"/>
    </row>
    <row r="170" spans="1:9" ht="13.7" customHeight="1">
      <c r="D170" s="1283"/>
      <c r="E170" s="1283"/>
      <c r="F170" s="1283"/>
      <c r="G170" s="1283"/>
      <c r="I170" s="524"/>
    </row>
    <row r="171" spans="1:9" ht="14.45" customHeight="1">
      <c r="A171" s="523"/>
      <c r="B171" s="519" t="s">
        <v>2803</v>
      </c>
      <c r="C171" s="510"/>
      <c r="D171" s="1279" t="s">
        <v>2578</v>
      </c>
      <c r="E171" s="1279"/>
      <c r="F171" s="1279"/>
      <c r="G171" s="510"/>
      <c r="I171" s="524" t="s">
        <v>2080</v>
      </c>
    </row>
    <row r="172" spans="1:9" ht="14.45" customHeight="1">
      <c r="A172" s="523"/>
      <c r="B172" s="523"/>
      <c r="C172" s="510"/>
      <c r="D172" s="1279"/>
      <c r="E172" s="1279"/>
      <c r="F172" s="1279"/>
      <c r="G172" s="510"/>
      <c r="I172" s="524"/>
    </row>
    <row r="173" spans="1:9" ht="14.45" customHeight="1">
      <c r="A173" s="523"/>
      <c r="B173" s="523"/>
      <c r="C173" s="510"/>
      <c r="D173" s="1279"/>
      <c r="E173" s="1279"/>
      <c r="F173" s="1279"/>
      <c r="G173" s="510"/>
      <c r="I173" s="524"/>
    </row>
    <row r="174" spans="1:9" ht="14.45" customHeight="1">
      <c r="A174" s="523"/>
      <c r="B174" s="523"/>
      <c r="C174" s="510"/>
      <c r="D174" s="1279"/>
      <c r="E174" s="1279"/>
      <c r="F174" s="1279"/>
      <c r="G174" s="510"/>
      <c r="I174" s="524"/>
    </row>
    <row r="175" spans="1:9" ht="13.7" customHeight="1">
      <c r="A175" s="523"/>
      <c r="B175" s="523"/>
      <c r="C175" s="510"/>
      <c r="D175" s="1279"/>
      <c r="E175" s="1279"/>
      <c r="F175" s="1279"/>
      <c r="G175" s="510"/>
      <c r="I175" s="524"/>
    </row>
    <row r="176" spans="1:9" ht="13.7" customHeight="1">
      <c r="A176" s="523"/>
      <c r="B176" s="523"/>
      <c r="C176" s="510"/>
      <c r="D176" s="510"/>
      <c r="E176" s="510"/>
      <c r="F176" s="510"/>
      <c r="G176" s="510"/>
      <c r="I176" s="524"/>
    </row>
    <row r="177" spans="1:9" ht="13.7" customHeight="1">
      <c r="A177" s="523"/>
      <c r="B177" s="519" t="s">
        <v>2803</v>
      </c>
      <c r="C177" s="510"/>
      <c r="D177" s="1279" t="s">
        <v>1177</v>
      </c>
      <c r="E177" s="1279"/>
      <c r="F177" s="1279"/>
      <c r="G177" s="510"/>
      <c r="I177" s="524" t="s">
        <v>2086</v>
      </c>
    </row>
    <row r="178" spans="1:9" ht="13.7" customHeight="1">
      <c r="A178" s="523"/>
      <c r="B178" s="523"/>
      <c r="C178" s="510"/>
      <c r="D178" s="1279"/>
      <c r="E178" s="1279"/>
      <c r="F178" s="1279"/>
      <c r="G178" s="510"/>
      <c r="I178" s="524"/>
    </row>
    <row r="179" spans="1:9" ht="13.7" customHeight="1">
      <c r="A179" s="523"/>
      <c r="B179" s="523"/>
      <c r="C179" s="510"/>
      <c r="D179" s="1279"/>
      <c r="E179" s="1279"/>
      <c r="F179" s="1279"/>
      <c r="G179" s="510"/>
      <c r="I179" s="524"/>
    </row>
    <row r="180" spans="1:9" ht="13.7" customHeight="1">
      <c r="A180" s="523"/>
      <c r="B180" s="523"/>
      <c r="C180" s="510"/>
      <c r="D180" s="1279"/>
      <c r="E180" s="1279"/>
      <c r="F180" s="1279"/>
      <c r="G180" s="510"/>
      <c r="I180" s="524"/>
    </row>
    <row r="181" spans="1:9" ht="13.7" customHeight="1">
      <c r="D181" s="480"/>
      <c r="E181" s="480"/>
      <c r="F181" s="480"/>
      <c r="I181" s="524"/>
    </row>
    <row r="182" spans="1:9" ht="13.7" customHeight="1">
      <c r="B182" s="519" t="s">
        <v>2803</v>
      </c>
      <c r="D182" s="1284" t="s">
        <v>2365</v>
      </c>
      <c r="E182" s="1284"/>
      <c r="F182" s="1284"/>
      <c r="I182" s="524" t="s">
        <v>2087</v>
      </c>
    </row>
    <row r="183" spans="1:9" ht="13.7" customHeight="1">
      <c r="D183" s="1284"/>
      <c r="E183" s="1284"/>
      <c r="F183" s="1284"/>
      <c r="I183" s="524"/>
    </row>
    <row r="184" spans="1:9" ht="13.7" customHeight="1">
      <c r="D184" s="1284"/>
      <c r="E184" s="1284"/>
      <c r="F184" s="1284"/>
      <c r="I184" s="524"/>
    </row>
    <row r="185" spans="1:9" ht="13.7" customHeight="1">
      <c r="A185" s="524"/>
      <c r="B185" s="524"/>
      <c r="E185" s="480"/>
      <c r="F185" s="480"/>
      <c r="I185" s="524"/>
    </row>
    <row r="186" spans="1:9">
      <c r="A186" s="1285" t="s">
        <v>2366</v>
      </c>
      <c r="B186" s="1285"/>
      <c r="C186" s="1285"/>
      <c r="D186" s="1285"/>
      <c r="E186" s="1285"/>
      <c r="F186" s="1285"/>
      <c r="G186" s="1285"/>
      <c r="H186" s="1063"/>
      <c r="I186" s="1259"/>
    </row>
    <row r="187" spans="1:9" ht="12" customHeight="1">
      <c r="D187" s="480"/>
      <c r="E187" s="480"/>
      <c r="F187" s="480"/>
      <c r="I187" s="524"/>
    </row>
    <row r="188" spans="1:9">
      <c r="B188" s="1300" t="s">
        <v>448</v>
      </c>
      <c r="C188" s="1300"/>
      <c r="D188" s="1300"/>
      <c r="E188" s="1300"/>
      <c r="F188" s="1300"/>
      <c r="I188" s="524"/>
    </row>
    <row r="189" spans="1:9">
      <c r="B189" s="423" t="s">
        <v>2066</v>
      </c>
      <c r="C189" s="423"/>
      <c r="D189" s="423"/>
      <c r="E189" s="423"/>
      <c r="F189" s="423"/>
      <c r="I189" s="524"/>
    </row>
    <row r="190" spans="1:9" ht="12" customHeight="1">
      <c r="A190" s="516"/>
      <c r="B190" s="516"/>
      <c r="C190" s="516"/>
      <c r="I190" s="524"/>
    </row>
    <row r="191" spans="1:9">
      <c r="A191" s="1285" t="s">
        <v>1073</v>
      </c>
      <c r="B191" s="1285"/>
      <c r="C191" s="1285"/>
      <c r="D191" s="1285"/>
      <c r="E191" s="1285"/>
      <c r="F191" s="1285"/>
      <c r="G191" s="1285"/>
      <c r="H191" s="1063"/>
      <c r="I191" s="1259"/>
    </row>
    <row r="192" spans="1:9" ht="12" customHeight="1">
      <c r="A192" s="435"/>
      <c r="B192" s="435"/>
      <c r="E192" s="435"/>
      <c r="I192" s="524"/>
    </row>
    <row r="193" spans="1:9" ht="13.7" customHeight="1">
      <c r="A193" s="435"/>
      <c r="B193" s="435"/>
      <c r="D193" s="1299" t="s">
        <v>1936</v>
      </c>
      <c r="E193" s="1299"/>
      <c r="F193" s="1299"/>
      <c r="I193" s="524"/>
    </row>
    <row r="194" spans="1:9">
      <c r="A194" s="435"/>
      <c r="B194" s="435"/>
      <c r="D194" s="1299"/>
      <c r="E194" s="1299"/>
      <c r="F194" s="1299"/>
      <c r="I194" s="524"/>
    </row>
    <row r="195" spans="1:9">
      <c r="A195" s="435"/>
      <c r="B195" s="435"/>
      <c r="D195" s="1300" t="s">
        <v>1301</v>
      </c>
      <c r="E195" s="1300"/>
      <c r="F195" s="1300"/>
      <c r="I195" s="524"/>
    </row>
    <row r="196" spans="1:9">
      <c r="A196" s="435"/>
      <c r="B196" s="435"/>
      <c r="D196" s="423"/>
      <c r="E196" s="423"/>
      <c r="F196" s="423"/>
      <c r="I196" s="524"/>
    </row>
    <row r="197" spans="1:9">
      <c r="A197" s="435"/>
      <c r="B197" s="519" t="s">
        <v>2803</v>
      </c>
      <c r="D197" s="1281" t="s">
        <v>1937</v>
      </c>
      <c r="E197" s="1281"/>
      <c r="F197" s="1281"/>
      <c r="I197" s="524" t="s">
        <v>2136</v>
      </c>
    </row>
    <row r="198" spans="1:9">
      <c r="A198" s="435"/>
      <c r="B198" s="435"/>
      <c r="D198" s="1313" t="s">
        <v>2202</v>
      </c>
      <c r="E198" s="1313"/>
      <c r="F198" s="1313"/>
      <c r="I198" s="524"/>
    </row>
    <row r="199" spans="1:9">
      <c r="A199" s="435"/>
      <c r="B199" s="435"/>
      <c r="D199" s="96" t="s">
        <v>1938</v>
      </c>
      <c r="E199" s="1345" t="s">
        <v>2225</v>
      </c>
      <c r="F199" s="1345"/>
      <c r="I199" s="524"/>
    </row>
    <row r="200" spans="1:9">
      <c r="A200" s="435"/>
      <c r="B200" s="435"/>
      <c r="D200" s="3"/>
      <c r="E200" s="3"/>
      <c r="F200" s="3"/>
      <c r="I200" s="524"/>
    </row>
    <row r="201" spans="1:9">
      <c r="A201" s="435"/>
      <c r="B201" s="519" t="s">
        <v>2803</v>
      </c>
      <c r="D201" s="1313" t="s">
        <v>1939</v>
      </c>
      <c r="E201" s="1313"/>
      <c r="F201" s="1313"/>
      <c r="I201" s="524" t="s">
        <v>2137</v>
      </c>
    </row>
    <row r="202" spans="1:9">
      <c r="A202" s="435"/>
      <c r="B202" s="435"/>
      <c r="D202" s="1281" t="s">
        <v>2202</v>
      </c>
      <c r="E202" s="1281"/>
      <c r="F202" s="1281"/>
      <c r="I202" s="524"/>
    </row>
    <row r="203" spans="1:9">
      <c r="A203" s="435"/>
      <c r="B203" s="435"/>
      <c r="D203" s="57" t="s">
        <v>1940</v>
      </c>
      <c r="E203" s="1345" t="s">
        <v>2226</v>
      </c>
      <c r="F203" s="1345"/>
      <c r="I203" s="524"/>
    </row>
    <row r="204" spans="1:9">
      <c r="A204" s="435"/>
      <c r="B204" s="435"/>
      <c r="D204" s="3"/>
      <c r="E204" s="3"/>
      <c r="F204" s="3"/>
      <c r="I204" s="524"/>
    </row>
    <row r="205" spans="1:9">
      <c r="A205" s="435"/>
      <c r="B205" s="519" t="s">
        <v>2803</v>
      </c>
      <c r="D205" s="1313" t="s">
        <v>1941</v>
      </c>
      <c r="E205" s="1313"/>
      <c r="F205" s="1313"/>
      <c r="I205" s="524" t="s">
        <v>2138</v>
      </c>
    </row>
    <row r="206" spans="1:9">
      <c r="A206" s="435"/>
      <c r="B206" s="435"/>
      <c r="D206" s="1281" t="s">
        <v>2202</v>
      </c>
      <c r="E206" s="1281"/>
      <c r="F206" s="1281"/>
      <c r="I206" s="524"/>
    </row>
    <row r="207" spans="1:9">
      <c r="A207" s="435"/>
      <c r="B207" s="435"/>
      <c r="D207" s="57" t="s">
        <v>1938</v>
      </c>
      <c r="E207" s="1345" t="s">
        <v>2227</v>
      </c>
      <c r="F207" s="1345"/>
      <c r="I207" s="524"/>
    </row>
    <row r="208" spans="1:9">
      <c r="A208" s="435"/>
      <c r="B208" s="435"/>
      <c r="D208" s="423"/>
      <c r="E208" s="423"/>
      <c r="F208" s="423"/>
      <c r="I208" s="524"/>
    </row>
    <row r="209" spans="1:9" ht="14.25" customHeight="1">
      <c r="A209" s="518"/>
      <c r="B209" s="519" t="s">
        <v>2803</v>
      </c>
      <c r="D209" s="417" t="s">
        <v>2195</v>
      </c>
      <c r="E209" s="416"/>
      <c r="F209" s="416"/>
      <c r="I209" s="524" t="s">
        <v>2139</v>
      </c>
    </row>
    <row r="210" spans="1:9" ht="14.25">
      <c r="A210" s="518"/>
      <c r="B210" s="518"/>
      <c r="D210" s="1281" t="s">
        <v>2202</v>
      </c>
      <c r="E210" s="1281"/>
      <c r="F210" s="1281"/>
      <c r="I210" s="524"/>
    </row>
    <row r="211" spans="1:9">
      <c r="D211" s="416"/>
      <c r="E211" s="1345" t="s">
        <v>2228</v>
      </c>
      <c r="F211" s="1345"/>
      <c r="I211" s="524"/>
    </row>
    <row r="212" spans="1:9">
      <c r="D212" s="481"/>
      <c r="I212" s="524"/>
    </row>
    <row r="213" spans="1:9">
      <c r="B213" s="519" t="s">
        <v>2803</v>
      </c>
      <c r="D213" s="1313" t="s">
        <v>1942</v>
      </c>
      <c r="E213" s="1313"/>
      <c r="F213" s="1313"/>
      <c r="I213" s="524" t="s">
        <v>2140</v>
      </c>
    </row>
    <row r="214" spans="1:9">
      <c r="D214" s="1281" t="s">
        <v>2202</v>
      </c>
      <c r="E214" s="1281"/>
      <c r="F214" s="1281"/>
      <c r="I214" s="524"/>
    </row>
    <row r="215" spans="1:9">
      <c r="D215" s="57" t="s">
        <v>1938</v>
      </c>
      <c r="E215" s="1345" t="s">
        <v>2229</v>
      </c>
      <c r="F215" s="1345"/>
      <c r="I215" s="524"/>
    </row>
    <row r="216" spans="1:9">
      <c r="D216" s="485"/>
      <c r="E216" s="485"/>
      <c r="F216" s="485"/>
      <c r="I216" s="524"/>
    </row>
    <row r="217" spans="1:9" ht="14.25">
      <c r="A217" s="518"/>
      <c r="B217" s="519" t="s">
        <v>2803</v>
      </c>
      <c r="D217" s="1297" t="s">
        <v>1322</v>
      </c>
      <c r="E217" s="1297"/>
      <c r="F217" s="1297"/>
      <c r="I217" s="524"/>
    </row>
    <row r="218" spans="1:9" ht="14.45" customHeight="1">
      <c r="A218" s="518"/>
      <c r="B218" s="433"/>
      <c r="D218" s="1297"/>
      <c r="E218" s="1297"/>
      <c r="F218" s="1297"/>
      <c r="I218" s="524"/>
    </row>
    <row r="219" spans="1:9" ht="14.25">
      <c r="A219" s="518"/>
      <c r="D219" s="1297"/>
      <c r="E219" s="1297"/>
      <c r="F219" s="1297"/>
      <c r="I219" s="524"/>
    </row>
    <row r="220" spans="1:9" ht="14.25">
      <c r="A220" s="518"/>
      <c r="D220" s="1297"/>
      <c r="E220" s="1297"/>
      <c r="F220" s="1297"/>
      <c r="I220" s="524"/>
    </row>
    <row r="221" spans="1:9">
      <c r="D221" s="485"/>
      <c r="E221" s="485"/>
      <c r="F221" s="485"/>
      <c r="I221" s="524"/>
    </row>
    <row r="222" spans="1:9">
      <c r="A222" s="1285" t="s">
        <v>1074</v>
      </c>
      <c r="B222" s="1285"/>
      <c r="C222" s="1285"/>
      <c r="D222" s="1285"/>
      <c r="E222" s="1285"/>
      <c r="F222" s="1285"/>
      <c r="G222" s="1285"/>
      <c r="H222" s="1063"/>
      <c r="I222" s="1259"/>
    </row>
    <row r="223" spans="1:9" ht="12" customHeight="1">
      <c r="D223" s="480"/>
      <c r="E223" s="480"/>
      <c r="F223" s="480"/>
      <c r="I223" s="524"/>
    </row>
    <row r="224" spans="1:9">
      <c r="C224" s="520"/>
      <c r="D224" s="1296" t="s">
        <v>209</v>
      </c>
      <c r="E224" s="1296"/>
      <c r="F224" s="1296"/>
      <c r="I224" s="524"/>
    </row>
    <row r="225" spans="1:9">
      <c r="A225" s="516"/>
      <c r="B225" s="516"/>
      <c r="C225" s="516"/>
      <c r="D225" s="1298" t="s">
        <v>1203</v>
      </c>
      <c r="E225" s="1298"/>
      <c r="F225" s="1298"/>
      <c r="I225" s="524"/>
    </row>
    <row r="226" spans="1:9" ht="12" customHeight="1">
      <c r="A226" s="524"/>
      <c r="B226" s="524"/>
      <c r="C226" s="524"/>
      <c r="I226" s="524"/>
    </row>
    <row r="227" spans="1:9" ht="13.7" customHeight="1">
      <c r="A227" s="524"/>
      <c r="C227" s="524"/>
      <c r="D227" s="1296" t="s">
        <v>554</v>
      </c>
      <c r="E227" s="1296"/>
      <c r="F227" s="1296"/>
      <c r="I227" s="524" t="s">
        <v>2088</v>
      </c>
    </row>
    <row r="228" spans="1:9" ht="14.25">
      <c r="A228" s="518"/>
      <c r="B228" s="519" t="s">
        <v>2802</v>
      </c>
      <c r="D228" s="1297" t="s">
        <v>1943</v>
      </c>
      <c r="E228" s="1297"/>
      <c r="F228" s="1297"/>
      <c r="I228" s="524"/>
    </row>
    <row r="229" spans="1:9" ht="14.25" customHeight="1">
      <c r="A229" s="518"/>
      <c r="B229" s="518"/>
      <c r="D229" s="1297"/>
      <c r="E229" s="1297"/>
      <c r="F229" s="1297"/>
      <c r="I229" s="524"/>
    </row>
    <row r="230" spans="1:9" ht="14.25" customHeight="1">
      <c r="A230" s="518"/>
      <c r="B230" s="518"/>
      <c r="D230" s="1297"/>
      <c r="E230" s="1297"/>
      <c r="F230" s="1297"/>
      <c r="I230" s="524"/>
    </row>
    <row r="231" spans="1:9" ht="14.25">
      <c r="A231" s="518"/>
      <c r="B231" s="518"/>
      <c r="D231" s="1297"/>
      <c r="E231" s="1297"/>
      <c r="F231" s="1297"/>
      <c r="I231" s="524"/>
    </row>
    <row r="232" spans="1:9" ht="14.25">
      <c r="A232" s="518"/>
      <c r="B232" s="518"/>
      <c r="D232" s="479"/>
      <c r="E232" s="479"/>
      <c r="F232" s="479"/>
      <c r="I232" s="524"/>
    </row>
    <row r="233" spans="1:9" ht="14.25">
      <c r="A233" s="518"/>
      <c r="B233" s="519" t="s">
        <v>2802</v>
      </c>
      <c r="D233" s="1297" t="s">
        <v>1944</v>
      </c>
      <c r="E233" s="1297"/>
      <c r="F233" s="1297"/>
      <c r="I233" s="524" t="s">
        <v>2089</v>
      </c>
    </row>
    <row r="234" spans="1:9" ht="14.25">
      <c r="A234" s="518"/>
      <c r="B234" s="518"/>
      <c r="D234" s="1297"/>
      <c r="E234" s="1297"/>
      <c r="F234" s="1297"/>
      <c r="I234" s="524"/>
    </row>
    <row r="235" spans="1:9" ht="14.25">
      <c r="A235" s="518"/>
      <c r="B235" s="518"/>
      <c r="D235" s="1297"/>
      <c r="E235" s="1297"/>
      <c r="F235" s="1297"/>
      <c r="I235" s="524"/>
    </row>
    <row r="236" spans="1:9" ht="14.25">
      <c r="A236" s="518"/>
      <c r="B236" s="518"/>
      <c r="D236" s="1297"/>
      <c r="E236" s="1297"/>
      <c r="F236" s="1297"/>
      <c r="I236" s="524"/>
    </row>
    <row r="237" spans="1:9" ht="14.25" customHeight="1">
      <c r="A237" s="518"/>
      <c r="B237" s="518"/>
      <c r="D237" s="1297"/>
      <c r="E237" s="1297"/>
      <c r="F237" s="1297"/>
      <c r="I237" s="524"/>
    </row>
    <row r="238" spans="1:9" ht="14.25" customHeight="1">
      <c r="A238" s="518"/>
      <c r="B238" s="518"/>
      <c r="D238" s="479"/>
      <c r="E238" s="479"/>
      <c r="F238" s="479"/>
      <c r="I238" s="524"/>
    </row>
    <row r="239" spans="1:9" ht="14.25">
      <c r="A239" s="518"/>
      <c r="B239" s="518"/>
      <c r="D239" s="1297" t="s">
        <v>1199</v>
      </c>
      <c r="E239" s="1297"/>
      <c r="F239" s="1297"/>
      <c r="I239" s="524" t="s">
        <v>2088</v>
      </c>
    </row>
    <row r="240" spans="1:9" ht="14.25">
      <c r="A240" s="518"/>
      <c r="B240" s="518"/>
      <c r="D240" s="1297"/>
      <c r="E240" s="1297"/>
      <c r="F240" s="1297"/>
      <c r="I240" s="524"/>
    </row>
    <row r="241" spans="1:9" ht="14.25">
      <c r="A241" s="518"/>
      <c r="B241" s="518"/>
      <c r="D241" s="1297"/>
      <c r="E241" s="1297"/>
      <c r="F241" s="1297"/>
      <c r="I241" s="524"/>
    </row>
    <row r="242" spans="1:9" ht="14.25">
      <c r="A242" s="518"/>
      <c r="B242" s="518"/>
      <c r="D242" s="1297"/>
      <c r="E242" s="1297"/>
      <c r="F242" s="1297"/>
      <c r="I242" s="524"/>
    </row>
    <row r="243" spans="1:9" ht="14.25">
      <c r="A243" s="518"/>
      <c r="B243" s="518"/>
      <c r="D243" s="1297"/>
      <c r="E243" s="1297"/>
      <c r="F243" s="1297"/>
      <c r="I243" s="524"/>
    </row>
    <row r="244" spans="1:9" ht="14.25">
      <c r="A244" s="518"/>
      <c r="B244" s="518"/>
      <c r="D244" s="480"/>
      <c r="E244" s="480"/>
      <c r="F244" s="480"/>
      <c r="I244" s="524"/>
    </row>
    <row r="245" spans="1:9" ht="14.25">
      <c r="A245" s="518"/>
      <c r="B245" s="519" t="s">
        <v>2803</v>
      </c>
      <c r="D245" s="1297" t="s">
        <v>2367</v>
      </c>
      <c r="E245" s="1297"/>
      <c r="F245" s="1297"/>
      <c r="I245" s="524" t="s">
        <v>2127</v>
      </c>
    </row>
    <row r="246" spans="1:9" ht="14.25">
      <c r="A246" s="518"/>
      <c r="B246" s="518"/>
      <c r="D246" s="1297"/>
      <c r="E246" s="1297"/>
      <c r="F246" s="1297"/>
      <c r="I246" s="524"/>
    </row>
    <row r="247" spans="1:9" ht="14.25">
      <c r="A247" s="518"/>
      <c r="B247" s="518"/>
      <c r="D247" s="1297"/>
      <c r="E247" s="1297"/>
      <c r="F247" s="1297"/>
      <c r="I247" s="524"/>
    </row>
    <row r="248" spans="1:9" ht="14.25">
      <c r="A248" s="518"/>
      <c r="B248" s="518"/>
      <c r="E248" s="1071" t="s">
        <v>2196</v>
      </c>
      <c r="I248" s="524"/>
    </row>
    <row r="249" spans="1:9" ht="14.25">
      <c r="A249" s="518"/>
      <c r="B249" s="518"/>
      <c r="D249" s="480"/>
      <c r="E249" s="480"/>
      <c r="F249" s="480"/>
      <c r="I249" s="524"/>
    </row>
    <row r="250" spans="1:9" ht="14.45" customHeight="1">
      <c r="A250" s="518"/>
      <c r="B250" s="519" t="s">
        <v>2803</v>
      </c>
      <c r="D250" s="1297" t="s">
        <v>2368</v>
      </c>
      <c r="E250" s="1297"/>
      <c r="F250" s="1297"/>
      <c r="I250" s="524" t="s">
        <v>2145</v>
      </c>
    </row>
    <row r="251" spans="1:9" ht="14.25">
      <c r="A251" s="518"/>
      <c r="B251" s="518"/>
      <c r="D251" s="1297"/>
      <c r="E251" s="1297"/>
      <c r="F251" s="1297"/>
      <c r="I251" s="524"/>
    </row>
    <row r="252" spans="1:9" ht="14.25">
      <c r="A252" s="518"/>
      <c r="B252" s="518"/>
      <c r="D252" s="1297"/>
      <c r="E252" s="1297"/>
      <c r="F252" s="1297"/>
      <c r="I252" s="524"/>
    </row>
    <row r="253" spans="1:9" ht="14.25">
      <c r="A253" s="518"/>
      <c r="B253" s="518"/>
      <c r="D253" s="1297"/>
      <c r="E253" s="1297"/>
      <c r="F253" s="1297"/>
      <c r="I253" s="524"/>
    </row>
    <row r="254" spans="1:9" ht="14.25">
      <c r="A254" s="518"/>
      <c r="B254" s="518"/>
      <c r="D254" s="1297"/>
      <c r="E254" s="1297"/>
      <c r="F254" s="1297"/>
      <c r="I254" s="524"/>
    </row>
    <row r="255" spans="1:9" ht="14.25">
      <c r="A255" s="518"/>
      <c r="B255" s="518"/>
      <c r="D255" s="479"/>
      <c r="E255" s="479"/>
      <c r="F255" s="479"/>
      <c r="I255" s="524"/>
    </row>
    <row r="256" spans="1:9" ht="14.25">
      <c r="A256" s="518"/>
      <c r="B256" s="519" t="s">
        <v>2802</v>
      </c>
      <c r="D256" s="423" t="s">
        <v>2369</v>
      </c>
      <c r="E256" s="479"/>
      <c r="F256" s="479"/>
      <c r="I256" s="524" t="s">
        <v>2126</v>
      </c>
    </row>
    <row r="257" spans="1:9" ht="14.25">
      <c r="A257" s="518"/>
      <c r="B257" s="518"/>
      <c r="E257" s="1071" t="s">
        <v>2197</v>
      </c>
      <c r="I257" s="524"/>
    </row>
    <row r="258" spans="1:9">
      <c r="D258" s="480"/>
      <c r="E258" s="480"/>
      <c r="F258" s="480"/>
      <c r="I258" s="524"/>
    </row>
    <row r="259" spans="1:9" ht="14.25">
      <c r="A259" s="518"/>
      <c r="B259" s="519" t="s">
        <v>2802</v>
      </c>
      <c r="D259" s="1297" t="s">
        <v>1201</v>
      </c>
      <c r="E259" s="1297"/>
      <c r="F259" s="1297"/>
      <c r="I259" s="524"/>
    </row>
    <row r="260" spans="1:9" ht="14.25">
      <c r="A260" s="518"/>
      <c r="B260" s="518"/>
      <c r="D260" s="1297"/>
      <c r="E260" s="1297"/>
      <c r="F260" s="1297"/>
      <c r="I260" s="524"/>
    </row>
    <row r="261" spans="1:9">
      <c r="D261" s="525"/>
      <c r="I261" s="524"/>
    </row>
    <row r="262" spans="1:9">
      <c r="A262" s="1285" t="s">
        <v>1075</v>
      </c>
      <c r="B262" s="1285"/>
      <c r="C262" s="1285"/>
      <c r="D262" s="1285"/>
      <c r="E262" s="1285"/>
      <c r="F262" s="1285"/>
      <c r="G262" s="1285"/>
      <c r="H262" s="1063"/>
      <c r="I262" s="1259"/>
    </row>
    <row r="263" spans="1:9">
      <c r="D263" s="525"/>
      <c r="I263" s="524"/>
    </row>
    <row r="264" spans="1:9">
      <c r="C264" s="520"/>
      <c r="D264" s="1296" t="s">
        <v>1204</v>
      </c>
      <c r="E264" s="1296"/>
      <c r="F264" s="1296"/>
      <c r="I264" s="524"/>
    </row>
    <row r="265" spans="1:9">
      <c r="A265" s="516"/>
      <c r="B265" s="516"/>
      <c r="C265" s="516"/>
      <c r="D265" s="480"/>
      <c r="E265" s="480"/>
      <c r="F265" s="480"/>
      <c r="I265" s="524"/>
    </row>
    <row r="266" spans="1:9">
      <c r="A266" s="517"/>
      <c r="B266" s="517"/>
      <c r="C266" s="517"/>
      <c r="D266" s="1296" t="s">
        <v>270</v>
      </c>
      <c r="E266" s="1296"/>
      <c r="F266" s="1296"/>
      <c r="I266" s="524" t="s">
        <v>2128</v>
      </c>
    </row>
    <row r="267" spans="1:9" ht="14.45" customHeight="1">
      <c r="A267" s="518"/>
      <c r="B267" s="519" t="s">
        <v>2803</v>
      </c>
      <c r="D267" s="1297" t="s">
        <v>1302</v>
      </c>
      <c r="E267" s="1297"/>
      <c r="F267" s="1297"/>
      <c r="I267" s="524"/>
    </row>
    <row r="268" spans="1:9">
      <c r="D268" s="1297"/>
      <c r="E268" s="1297"/>
      <c r="F268" s="1297"/>
      <c r="I268" s="524"/>
    </row>
    <row r="269" spans="1:9">
      <c r="E269" s="1071" t="s">
        <v>2198</v>
      </c>
      <c r="I269" s="524"/>
    </row>
    <row r="270" spans="1:9">
      <c r="D270" s="480"/>
      <c r="E270" s="480"/>
      <c r="F270" s="480"/>
      <c r="I270" s="524"/>
    </row>
    <row r="271" spans="1:9" ht="14.45" customHeight="1">
      <c r="A271" s="518"/>
      <c r="B271" s="519" t="s">
        <v>2803</v>
      </c>
      <c r="D271" s="1297" t="s">
        <v>2370</v>
      </c>
      <c r="E271" s="1297"/>
      <c r="F271" s="1297"/>
      <c r="I271" s="524" t="s">
        <v>2146</v>
      </c>
    </row>
    <row r="272" spans="1:9">
      <c r="D272" s="1297"/>
      <c r="E272" s="1297"/>
      <c r="F272" s="1297"/>
      <c r="I272" s="524"/>
    </row>
    <row r="273" spans="1:9">
      <c r="D273" s="1297"/>
      <c r="E273" s="1297"/>
      <c r="F273" s="1297"/>
      <c r="I273" s="524"/>
    </row>
    <row r="274" spans="1:9">
      <c r="D274" s="1297"/>
      <c r="E274" s="1297"/>
      <c r="F274" s="1297"/>
      <c r="I274" s="524"/>
    </row>
    <row r="275" spans="1:9">
      <c r="D275" s="1297"/>
      <c r="E275" s="1297"/>
      <c r="F275" s="1297"/>
      <c r="I275" s="524"/>
    </row>
    <row r="276" spans="1:9">
      <c r="D276" s="1297"/>
      <c r="E276" s="1297"/>
      <c r="F276" s="1297"/>
      <c r="I276" s="524"/>
    </row>
    <row r="277" spans="1:9">
      <c r="D277" s="480"/>
      <c r="E277" s="480"/>
      <c r="F277" s="480"/>
      <c r="I277" s="524"/>
    </row>
    <row r="278" spans="1:9" ht="14.25">
      <c r="A278" s="518"/>
      <c r="B278" s="519" t="s">
        <v>2803</v>
      </c>
      <c r="D278" s="1297" t="s">
        <v>1207</v>
      </c>
      <c r="E278" s="1297"/>
      <c r="F278" s="1297"/>
      <c r="I278" s="524"/>
    </row>
    <row r="279" spans="1:9">
      <c r="D279" s="1297"/>
      <c r="E279" s="1297"/>
      <c r="F279" s="1297"/>
      <c r="I279" s="524"/>
    </row>
    <row r="280" spans="1:9">
      <c r="D280" s="1297"/>
      <c r="E280" s="1297"/>
      <c r="F280" s="1297"/>
      <c r="I280" s="524"/>
    </row>
    <row r="281" spans="1:9">
      <c r="D281" s="526"/>
      <c r="E281" s="480"/>
      <c r="F281" s="480"/>
      <c r="I281" s="524"/>
    </row>
    <row r="282" spans="1:9">
      <c r="A282" s="1285" t="s">
        <v>1076</v>
      </c>
      <c r="B282" s="1285"/>
      <c r="C282" s="1285"/>
      <c r="D282" s="1285"/>
      <c r="E282" s="1285"/>
      <c r="F282" s="1285"/>
      <c r="G282" s="1285"/>
      <c r="H282" s="1063"/>
      <c r="I282" s="1259"/>
    </row>
    <row r="283" spans="1:9">
      <c r="D283" s="526"/>
      <c r="E283" s="480"/>
      <c r="F283" s="480"/>
      <c r="I283" s="524"/>
    </row>
    <row r="284" spans="1:9">
      <c r="C284" s="516"/>
      <c r="D284" s="1299" t="s">
        <v>1209</v>
      </c>
      <c r="E284" s="1299"/>
      <c r="F284" s="1299"/>
      <c r="I284" s="524"/>
    </row>
    <row r="285" spans="1:9">
      <c r="C285" s="516"/>
      <c r="D285" s="1299"/>
      <c r="E285" s="1299"/>
      <c r="F285" s="1299"/>
      <c r="I285" s="524"/>
    </row>
    <row r="286" spans="1:9">
      <c r="A286" s="517"/>
      <c r="B286" s="517"/>
      <c r="C286" s="517"/>
      <c r="D286" s="435"/>
      <c r="I286" s="524"/>
    </row>
    <row r="287" spans="1:9">
      <c r="C287" s="517"/>
      <c r="D287" s="1296" t="s">
        <v>210</v>
      </c>
      <c r="E287" s="1296"/>
      <c r="F287" s="1296"/>
      <c r="I287" s="524"/>
    </row>
    <row r="288" spans="1:9" ht="15.75" customHeight="1">
      <c r="A288" s="518"/>
      <c r="B288" s="518"/>
      <c r="D288" s="1348" t="s">
        <v>1210</v>
      </c>
      <c r="E288" s="1348"/>
      <c r="F288" s="1348"/>
      <c r="I288" s="524"/>
    </row>
    <row r="289" spans="1:9">
      <c r="E289" s="480"/>
      <c r="F289" s="480"/>
      <c r="I289" s="524"/>
    </row>
    <row r="290" spans="1:9" ht="14.25">
      <c r="A290" s="518"/>
      <c r="B290" s="519" t="s">
        <v>2803</v>
      </c>
      <c r="D290" s="1297" t="s">
        <v>1211</v>
      </c>
      <c r="E290" s="1297"/>
      <c r="F290" s="1297"/>
      <c r="I290" s="524" t="s">
        <v>2090</v>
      </c>
    </row>
    <row r="291" spans="1:9" ht="14.25">
      <c r="A291" s="518"/>
      <c r="B291" s="518"/>
      <c r="D291" s="1297"/>
      <c r="E291" s="1297"/>
      <c r="F291" s="1297"/>
      <c r="I291" s="524"/>
    </row>
    <row r="292" spans="1:9">
      <c r="D292" s="480"/>
      <c r="E292" s="480"/>
      <c r="F292" s="480"/>
      <c r="I292" s="524"/>
    </row>
    <row r="293" spans="1:9" ht="14.25">
      <c r="A293" s="518"/>
      <c r="B293" s="519" t="s">
        <v>2803</v>
      </c>
      <c r="D293" s="1297" t="s">
        <v>1212</v>
      </c>
      <c r="E293" s="1297"/>
      <c r="F293" s="1297"/>
      <c r="I293" s="524" t="s">
        <v>2090</v>
      </c>
    </row>
    <row r="294" spans="1:9" ht="14.25">
      <c r="A294" s="518"/>
      <c r="B294" s="518"/>
      <c r="D294" s="1297"/>
      <c r="E294" s="1297"/>
      <c r="F294" s="1297"/>
      <c r="I294" s="524"/>
    </row>
    <row r="295" spans="1:9" ht="14.25">
      <c r="A295" s="518"/>
      <c r="B295" s="518"/>
      <c r="D295" s="1297"/>
      <c r="E295" s="1297"/>
      <c r="F295" s="1297"/>
      <c r="I295" s="524"/>
    </row>
    <row r="296" spans="1:9">
      <c r="D296" s="480"/>
      <c r="E296" s="480"/>
      <c r="F296" s="480"/>
      <c r="I296" s="524"/>
    </row>
    <row r="297" spans="1:9" ht="14.25">
      <c r="A297" s="518"/>
      <c r="B297" s="519" t="s">
        <v>2803</v>
      </c>
      <c r="D297" s="1297" t="s">
        <v>1213</v>
      </c>
      <c r="E297" s="1297"/>
      <c r="F297" s="1297"/>
      <c r="I297" s="524" t="s">
        <v>2090</v>
      </c>
    </row>
    <row r="298" spans="1:9" ht="14.25">
      <c r="A298" s="518"/>
      <c r="B298" s="518"/>
      <c r="D298" s="1297"/>
      <c r="E298" s="1297"/>
      <c r="F298" s="1297"/>
      <c r="I298" s="524"/>
    </row>
    <row r="299" spans="1:9">
      <c r="A299" s="524"/>
      <c r="B299" s="524"/>
      <c r="E299" s="480"/>
      <c r="F299" s="480"/>
      <c r="I299" s="524"/>
    </row>
    <row r="300" spans="1:9">
      <c r="A300" s="1285" t="s">
        <v>1077</v>
      </c>
      <c r="B300" s="1285"/>
      <c r="C300" s="1285"/>
      <c r="D300" s="1285"/>
      <c r="E300" s="1285"/>
      <c r="F300" s="1285"/>
      <c r="G300" s="1285"/>
      <c r="H300" s="1063"/>
      <c r="I300" s="1259"/>
    </row>
    <row r="301" spans="1:9">
      <c r="A301" s="524"/>
      <c r="B301" s="524"/>
      <c r="D301" s="480"/>
      <c r="E301" s="480"/>
      <c r="F301" s="480"/>
      <c r="I301" s="524"/>
    </row>
    <row r="302" spans="1:9">
      <c r="C302" s="524"/>
      <c r="D302" s="1296" t="s">
        <v>690</v>
      </c>
      <c r="E302" s="1296"/>
      <c r="F302" s="1296"/>
      <c r="I302" s="524"/>
    </row>
    <row r="303" spans="1:9">
      <c r="C303" s="524"/>
      <c r="D303" s="1298" t="s">
        <v>1214</v>
      </c>
      <c r="E303" s="1298"/>
      <c r="F303" s="1298"/>
      <c r="I303" s="524"/>
    </row>
    <row r="304" spans="1:9">
      <c r="C304" s="524"/>
      <c r="D304" s="527"/>
      <c r="I304" s="524"/>
    </row>
    <row r="305" spans="1:9">
      <c r="B305" s="519" t="s">
        <v>2803</v>
      </c>
      <c r="D305" s="1298" t="s">
        <v>1215</v>
      </c>
      <c r="E305" s="1298"/>
      <c r="F305" s="1298"/>
      <c r="I305" s="524" t="s">
        <v>2091</v>
      </c>
    </row>
    <row r="306" spans="1:9" ht="14.25">
      <c r="A306" s="518"/>
      <c r="B306" s="518"/>
      <c r="D306" s="528"/>
      <c r="E306" s="529"/>
      <c r="F306" s="529"/>
      <c r="I306" s="524"/>
    </row>
    <row r="307" spans="1:9" ht="13.7" customHeight="1">
      <c r="B307" s="519" t="s">
        <v>2803</v>
      </c>
      <c r="D307" s="1351" t="s">
        <v>1325</v>
      </c>
      <c r="E307" s="1351"/>
      <c r="F307" s="1351"/>
      <c r="I307" s="524" t="s">
        <v>2091</v>
      </c>
    </row>
    <row r="308" spans="1:9" ht="14.25">
      <c r="A308" s="518"/>
      <c r="B308" s="518"/>
      <c r="D308" s="1351"/>
      <c r="E308" s="1351"/>
      <c r="F308" s="1351"/>
      <c r="I308" s="524"/>
    </row>
    <row r="309" spans="1:9" ht="14.25">
      <c r="A309" s="518"/>
      <c r="B309" s="518"/>
      <c r="D309" s="1351"/>
      <c r="E309" s="1351"/>
      <c r="F309" s="1351"/>
      <c r="I309" s="524"/>
    </row>
    <row r="310" spans="1:9" ht="14.25">
      <c r="A310" s="518"/>
      <c r="B310" s="518"/>
      <c r="D310" s="1351"/>
      <c r="E310" s="1351"/>
      <c r="F310" s="1351"/>
      <c r="I310" s="524"/>
    </row>
    <row r="311" spans="1:9" ht="14.25">
      <c r="A311" s="518"/>
      <c r="B311" s="518"/>
      <c r="D311" s="1351"/>
      <c r="E311" s="1351"/>
      <c r="F311" s="1351"/>
      <c r="I311" s="524"/>
    </row>
    <row r="312" spans="1:9" ht="14.25">
      <c r="A312" s="518"/>
      <c r="B312" s="518"/>
      <c r="D312" s="528"/>
      <c r="E312" s="529"/>
      <c r="F312" s="529"/>
      <c r="I312" s="524"/>
    </row>
    <row r="313" spans="1:9" ht="13.7" customHeight="1">
      <c r="B313" s="519" t="s">
        <v>2803</v>
      </c>
      <c r="D313" s="1351" t="s">
        <v>1217</v>
      </c>
      <c r="E313" s="1351"/>
      <c r="F313" s="1351"/>
      <c r="I313" s="524" t="s">
        <v>2091</v>
      </c>
    </row>
    <row r="314" spans="1:9">
      <c r="D314" s="1351"/>
      <c r="E314" s="1351"/>
      <c r="F314" s="1351"/>
      <c r="I314" s="524"/>
    </row>
    <row r="315" spans="1:9" ht="14.25">
      <c r="A315" s="518"/>
      <c r="B315" s="518"/>
      <c r="D315" s="528"/>
      <c r="E315" s="529"/>
      <c r="F315" s="529"/>
      <c r="I315" s="524"/>
    </row>
    <row r="316" spans="1:9">
      <c r="B316" s="519" t="s">
        <v>2803</v>
      </c>
      <c r="D316" s="1298" t="s">
        <v>1218</v>
      </c>
      <c r="E316" s="1298"/>
      <c r="F316" s="1298"/>
      <c r="I316" s="524" t="s">
        <v>2077</v>
      </c>
    </row>
    <row r="317" spans="1:9">
      <c r="E317" s="480"/>
      <c r="F317" s="480"/>
      <c r="I317" s="524"/>
    </row>
    <row r="318" spans="1:9" ht="14.25">
      <c r="A318" s="518"/>
      <c r="B318" s="519" t="s">
        <v>2803</v>
      </c>
      <c r="D318" s="1297" t="s">
        <v>2389</v>
      </c>
      <c r="E318" s="1297"/>
      <c r="F318" s="1297"/>
      <c r="I318" s="524" t="s">
        <v>2092</v>
      </c>
    </row>
    <row r="319" spans="1:9" ht="14.25">
      <c r="A319" s="518"/>
      <c r="B319" s="518"/>
      <c r="D319" s="1297"/>
      <c r="E319" s="1297"/>
      <c r="F319" s="1297"/>
      <c r="I319" s="524"/>
    </row>
    <row r="320" spans="1:9" ht="14.25">
      <c r="A320" s="518"/>
      <c r="B320" s="518"/>
      <c r="D320" s="1297"/>
      <c r="E320" s="1297"/>
      <c r="F320" s="1297"/>
      <c r="I320" s="524"/>
    </row>
    <row r="321" spans="1:9" ht="14.25">
      <c r="A321" s="518"/>
      <c r="B321" s="518"/>
      <c r="D321" s="1297"/>
      <c r="E321" s="1297"/>
      <c r="F321" s="1297"/>
      <c r="I321" s="524"/>
    </row>
    <row r="322" spans="1:9" ht="14.25">
      <c r="A322" s="518"/>
      <c r="B322" s="518"/>
      <c r="D322" s="1297"/>
      <c r="E322" s="1297"/>
      <c r="F322" s="1297"/>
      <c r="I322" s="524"/>
    </row>
    <row r="323" spans="1:9" ht="14.25">
      <c r="A323" s="518"/>
      <c r="B323" s="518"/>
      <c r="D323" s="1297"/>
      <c r="E323" s="1297"/>
      <c r="F323" s="1297"/>
      <c r="I323" s="524"/>
    </row>
    <row r="324" spans="1:9" ht="14.25">
      <c r="A324" s="518"/>
      <c r="B324" s="518"/>
      <c r="D324" s="1297"/>
      <c r="E324" s="1297"/>
      <c r="F324" s="1297"/>
      <c r="I324" s="524"/>
    </row>
    <row r="325" spans="1:9" ht="14.25">
      <c r="A325" s="518"/>
      <c r="B325" s="518"/>
      <c r="D325" s="1297"/>
      <c r="E325" s="1297"/>
      <c r="F325" s="1297"/>
      <c r="I325" s="524"/>
    </row>
    <row r="326" spans="1:9" ht="14.25">
      <c r="A326" s="518"/>
      <c r="B326" s="518"/>
      <c r="D326" s="1297"/>
      <c r="E326" s="1297"/>
      <c r="F326" s="1297"/>
      <c r="I326" s="524"/>
    </row>
    <row r="327" spans="1:9" ht="14.25">
      <c r="A327" s="518"/>
      <c r="B327" s="518"/>
      <c r="D327" s="1297"/>
      <c r="E327" s="1297"/>
      <c r="F327" s="1297"/>
      <c r="I327" s="524"/>
    </row>
    <row r="328" spans="1:9" ht="14.25">
      <c r="A328" s="518"/>
      <c r="B328" s="518"/>
      <c r="D328" s="1297"/>
      <c r="E328" s="1297"/>
      <c r="F328" s="1297"/>
      <c r="I328" s="524"/>
    </row>
    <row r="329" spans="1:9" ht="14.25">
      <c r="A329" s="518"/>
      <c r="B329" s="518"/>
      <c r="D329" s="1297"/>
      <c r="E329" s="1297"/>
      <c r="F329" s="1297"/>
      <c r="I329" s="524"/>
    </row>
    <row r="330" spans="1:9" ht="14.25">
      <c r="A330" s="518"/>
      <c r="B330" s="518"/>
      <c r="D330" s="1297"/>
      <c r="E330" s="1297"/>
      <c r="F330" s="1297"/>
      <c r="I330" s="524"/>
    </row>
    <row r="331" spans="1:9" ht="14.25">
      <c r="A331" s="518"/>
      <c r="B331" s="518"/>
      <c r="D331" s="1297"/>
      <c r="E331" s="1297"/>
      <c r="F331" s="1297"/>
      <c r="I331" s="524"/>
    </row>
    <row r="332" spans="1:9" ht="14.25">
      <c r="A332" s="518"/>
      <c r="B332" s="518"/>
      <c r="D332" s="1297"/>
      <c r="E332" s="1297"/>
      <c r="F332" s="1297"/>
      <c r="I332" s="524"/>
    </row>
    <row r="333" spans="1:9">
      <c r="D333" s="480"/>
      <c r="E333" s="480"/>
      <c r="F333" s="480"/>
      <c r="I333" s="524"/>
    </row>
    <row r="334" spans="1:9" ht="14.25">
      <c r="A334" s="518"/>
      <c r="B334" s="519" t="s">
        <v>2803</v>
      </c>
      <c r="D334" s="1297" t="s">
        <v>1220</v>
      </c>
      <c r="E334" s="1297"/>
      <c r="F334" s="1297"/>
      <c r="I334" s="524" t="s">
        <v>2092</v>
      </c>
    </row>
    <row r="335" spans="1:9">
      <c r="D335" s="1297"/>
      <c r="E335" s="1297"/>
      <c r="F335" s="1297"/>
      <c r="I335" s="524"/>
    </row>
    <row r="336" spans="1:9">
      <c r="D336" s="1297"/>
      <c r="E336" s="1297"/>
      <c r="F336" s="1297"/>
      <c r="I336" s="524"/>
    </row>
    <row r="337" spans="1:9">
      <c r="D337" s="1297"/>
      <c r="E337" s="1297"/>
      <c r="F337" s="1297"/>
      <c r="I337" s="524"/>
    </row>
    <row r="338" spans="1:9">
      <c r="D338" s="1297"/>
      <c r="E338" s="1297"/>
      <c r="F338" s="1297"/>
      <c r="I338" s="524"/>
    </row>
    <row r="339" spans="1:9">
      <c r="D339" s="1297"/>
      <c r="E339" s="1297"/>
      <c r="F339" s="1297"/>
      <c r="I339" s="524"/>
    </row>
    <row r="340" spans="1:9">
      <c r="D340" s="1297"/>
      <c r="E340" s="1297"/>
      <c r="F340" s="1297"/>
      <c r="I340" s="524"/>
    </row>
    <row r="341" spans="1:9">
      <c r="D341" s="1297"/>
      <c r="E341" s="1297"/>
      <c r="F341" s="1297"/>
      <c r="I341" s="524"/>
    </row>
    <row r="342" spans="1:9">
      <c r="D342" s="1297"/>
      <c r="E342" s="1297"/>
      <c r="F342" s="1297"/>
      <c r="I342" s="524"/>
    </row>
    <row r="343" spans="1:9">
      <c r="D343" s="480"/>
      <c r="E343" s="480"/>
      <c r="F343" s="480"/>
      <c r="I343" s="524"/>
    </row>
    <row r="344" spans="1:9" ht="14.25" customHeight="1">
      <c r="A344" s="518"/>
      <c r="B344" s="519" t="s">
        <v>2803</v>
      </c>
      <c r="D344" s="1297" t="s">
        <v>2203</v>
      </c>
      <c r="E344" s="1297"/>
      <c r="F344" s="1297"/>
      <c r="I344" s="524" t="s">
        <v>2129</v>
      </c>
    </row>
    <row r="345" spans="1:9">
      <c r="D345" s="1297"/>
      <c r="E345" s="1297"/>
      <c r="F345" s="1297"/>
      <c r="I345" s="524"/>
    </row>
    <row r="346" spans="1:9">
      <c r="D346" s="1297"/>
      <c r="E346" s="1297"/>
      <c r="F346" s="1297"/>
      <c r="I346" s="524"/>
    </row>
    <row r="347" spans="1:9">
      <c r="D347" s="1297"/>
      <c r="E347" s="1297"/>
      <c r="F347" s="1297"/>
      <c r="I347" s="524"/>
    </row>
    <row r="348" spans="1:9">
      <c r="D348" s="417" t="s">
        <v>2202</v>
      </c>
      <c r="E348" s="416"/>
      <c r="F348" s="416"/>
      <c r="I348" s="524"/>
    </row>
    <row r="349" spans="1:9">
      <c r="D349" s="416"/>
      <c r="E349" s="96" t="s">
        <v>2199</v>
      </c>
      <c r="G349" s="96"/>
      <c r="I349" s="524"/>
    </row>
    <row r="350" spans="1:9">
      <c r="D350" s="479"/>
      <c r="E350" s="479"/>
      <c r="F350" s="479"/>
      <c r="I350" s="524"/>
    </row>
    <row r="351" spans="1:9" ht="13.5" thickBot="1">
      <c r="A351" s="1057"/>
      <c r="B351" s="1057"/>
      <c r="C351" s="1057"/>
      <c r="D351" s="1347" t="s">
        <v>998</v>
      </c>
      <c r="E351" s="1347"/>
      <c r="F351" s="1347"/>
      <c r="G351" s="1062"/>
      <c r="H351" s="1062"/>
      <c r="I351" s="1262"/>
    </row>
    <row r="352" spans="1:9" ht="13.5" thickTop="1">
      <c r="D352" s="1352" t="s">
        <v>1222</v>
      </c>
      <c r="E352" s="1352"/>
      <c r="F352" s="1352"/>
      <c r="I352" s="524"/>
    </row>
    <row r="353" spans="1:9">
      <c r="D353" s="480"/>
      <c r="E353" s="480"/>
      <c r="F353" s="480"/>
      <c r="I353" s="524"/>
    </row>
    <row r="354" spans="1:9">
      <c r="A354" s="510"/>
      <c r="B354" s="510"/>
      <c r="C354" s="510"/>
      <c r="D354" s="481"/>
      <c r="E354" s="481"/>
      <c r="F354" s="480"/>
      <c r="I354" s="524" t="s">
        <v>2093</v>
      </c>
    </row>
    <row r="355" spans="1:9" ht="14.25">
      <c r="A355" s="518"/>
      <c r="B355" s="519" t="s">
        <v>2803</v>
      </c>
      <c r="C355" s="521"/>
      <c r="D355" s="1298" t="s">
        <v>2201</v>
      </c>
      <c r="E355" s="1298"/>
      <c r="F355" s="1298"/>
      <c r="I355" s="1354" t="s">
        <v>2143</v>
      </c>
    </row>
    <row r="356" spans="1:9" ht="12.75" customHeight="1">
      <c r="D356" s="1072"/>
      <c r="E356" s="96" t="s">
        <v>2200</v>
      </c>
      <c r="F356" s="1072"/>
      <c r="I356" s="1355"/>
    </row>
    <row r="357" spans="1:9">
      <c r="D357" s="1297" t="s">
        <v>1346</v>
      </c>
      <c r="E357" s="1297"/>
      <c r="F357" s="1297"/>
      <c r="I357" s="1355"/>
    </row>
    <row r="358" spans="1:9">
      <c r="D358" s="1297"/>
      <c r="E358" s="1297"/>
      <c r="F358" s="1297"/>
      <c r="I358" s="1355"/>
    </row>
    <row r="359" spans="1:9">
      <c r="D359" s="1297"/>
      <c r="E359" s="1297"/>
      <c r="F359" s="1297"/>
      <c r="I359" s="1356"/>
    </row>
    <row r="360" spans="1:9" ht="14.25">
      <c r="A360" s="518"/>
      <c r="B360" s="519" t="s">
        <v>2803</v>
      </c>
      <c r="C360" s="510"/>
      <c r="D360" s="1283" t="s">
        <v>2371</v>
      </c>
      <c r="E360" s="1283"/>
      <c r="F360" s="1283"/>
      <c r="I360" s="514"/>
    </row>
    <row r="361" spans="1:9">
      <c r="A361" s="510"/>
      <c r="B361" s="510"/>
      <c r="C361" s="510"/>
      <c r="D361" s="481"/>
      <c r="E361" s="481"/>
      <c r="F361" s="480"/>
      <c r="I361" s="524"/>
    </row>
    <row r="362" spans="1:9">
      <c r="A362" s="510"/>
      <c r="B362" s="519" t="s">
        <v>2803</v>
      </c>
      <c r="C362" s="510"/>
      <c r="D362" s="1279" t="s">
        <v>2372</v>
      </c>
      <c r="E362" s="1279"/>
      <c r="F362" s="1279"/>
      <c r="I362" s="524"/>
    </row>
    <row r="363" spans="1:9">
      <c r="A363" s="510"/>
      <c r="B363" s="510"/>
      <c r="C363" s="510"/>
      <c r="D363" s="1279"/>
      <c r="E363" s="1279"/>
      <c r="F363" s="1279"/>
      <c r="I363" s="524"/>
    </row>
    <row r="364" spans="1:9">
      <c r="A364" s="510"/>
      <c r="B364" s="510"/>
      <c r="C364" s="510"/>
      <c r="D364" s="1279"/>
      <c r="E364" s="1279"/>
      <c r="F364" s="1279"/>
      <c r="I364" s="524"/>
    </row>
    <row r="365" spans="1:9">
      <c r="A365" s="510"/>
      <c r="B365" s="510"/>
      <c r="C365" s="510"/>
      <c r="D365" s="1279"/>
      <c r="E365" s="1279"/>
      <c r="F365" s="1279"/>
      <c r="I365" s="524"/>
    </row>
    <row r="366" spans="1:9">
      <c r="A366" s="510"/>
      <c r="B366" s="510"/>
      <c r="C366" s="510"/>
      <c r="D366" s="1279"/>
      <c r="E366" s="1279"/>
      <c r="F366" s="1279"/>
      <c r="I366" s="524"/>
    </row>
    <row r="367" spans="1:9">
      <c r="A367" s="510"/>
      <c r="B367" s="510"/>
      <c r="C367" s="510"/>
      <c r="D367" s="1279"/>
      <c r="E367" s="1279"/>
      <c r="F367" s="1279"/>
      <c r="I367" s="524"/>
    </row>
    <row r="368" spans="1:9">
      <c r="A368" s="510"/>
      <c r="B368" s="510"/>
      <c r="C368" s="510"/>
      <c r="D368" s="1279"/>
      <c r="E368" s="1279"/>
      <c r="F368" s="1279"/>
      <c r="I368" s="524"/>
    </row>
    <row r="369" spans="1:9">
      <c r="A369" s="510"/>
      <c r="B369" s="510"/>
      <c r="C369" s="510"/>
      <c r="D369" s="1279"/>
      <c r="E369" s="1279"/>
      <c r="F369" s="1279"/>
      <c r="I369" s="524"/>
    </row>
    <row r="370" spans="1:9">
      <c r="A370" s="510"/>
      <c r="B370" s="510"/>
      <c r="C370" s="510"/>
      <c r="D370" s="1279"/>
      <c r="E370" s="1279"/>
      <c r="F370" s="1279"/>
      <c r="I370" s="524"/>
    </row>
    <row r="371" spans="1:9">
      <c r="A371" s="510"/>
      <c r="B371" s="510"/>
      <c r="C371" s="510"/>
      <c r="D371" s="1279"/>
      <c r="E371" s="1279"/>
      <c r="F371" s="1279"/>
      <c r="I371" s="524"/>
    </row>
    <row r="372" spans="1:9">
      <c r="A372" s="510"/>
      <c r="B372" s="510"/>
      <c r="C372" s="510"/>
      <c r="D372" s="1279"/>
      <c r="E372" s="1279"/>
      <c r="F372" s="1279"/>
      <c r="I372" s="524"/>
    </row>
    <row r="373" spans="1:9">
      <c r="A373" s="510"/>
      <c r="B373" s="510"/>
      <c r="C373" s="510"/>
      <c r="D373" s="1279"/>
      <c r="E373" s="1279"/>
      <c r="F373" s="1279"/>
      <c r="I373" s="524"/>
    </row>
    <row r="374" spans="1:9">
      <c r="A374" s="510"/>
      <c r="B374" s="510"/>
      <c r="C374" s="510"/>
      <c r="D374" s="485"/>
      <c r="E374" s="485"/>
      <c r="F374" s="485"/>
      <c r="I374" s="524"/>
    </row>
    <row r="375" spans="1:9" ht="12.4" customHeight="1">
      <c r="A375" s="510"/>
      <c r="B375" s="519" t="s">
        <v>2803</v>
      </c>
      <c r="C375" s="510"/>
      <c r="D375" s="1327" t="s">
        <v>1327</v>
      </c>
      <c r="E375" s="1327"/>
      <c r="F375" s="1327"/>
      <c r="I375" s="524"/>
    </row>
    <row r="376" spans="1:9">
      <c r="A376" s="510"/>
      <c r="B376" s="510"/>
      <c r="C376" s="510"/>
      <c r="D376" s="1327"/>
      <c r="E376" s="1327"/>
      <c r="F376" s="1327"/>
      <c r="I376" s="524"/>
    </row>
    <row r="377" spans="1:9">
      <c r="A377" s="510"/>
      <c r="B377" s="510"/>
      <c r="C377" s="510"/>
      <c r="D377" s="1327"/>
      <c r="E377" s="1327"/>
      <c r="F377" s="1327"/>
      <c r="I377" s="524"/>
    </row>
    <row r="378" spans="1:9">
      <c r="A378" s="510"/>
      <c r="B378" s="510"/>
      <c r="C378" s="510"/>
      <c r="D378" s="1327"/>
      <c r="E378" s="1327"/>
      <c r="F378" s="1327"/>
      <c r="I378" s="524"/>
    </row>
    <row r="379" spans="1:9">
      <c r="A379" s="510"/>
      <c r="B379" s="510"/>
      <c r="C379" s="510"/>
      <c r="D379" s="558"/>
      <c r="E379" s="558"/>
      <c r="F379" s="558"/>
      <c r="I379" s="524"/>
    </row>
    <row r="380" spans="1:9">
      <c r="A380" s="510"/>
      <c r="B380" s="519" t="s">
        <v>2803</v>
      </c>
      <c r="C380" s="510"/>
      <c r="D380" s="433" t="s">
        <v>2025</v>
      </c>
      <c r="E380" s="558"/>
      <c r="F380" s="558"/>
      <c r="I380" s="524"/>
    </row>
    <row r="381" spans="1:9">
      <c r="A381" s="510"/>
      <c r="B381" s="510"/>
      <c r="C381" s="510"/>
      <c r="D381" s="433" t="s">
        <v>2026</v>
      </c>
      <c r="E381" s="558"/>
      <c r="F381" s="558"/>
      <c r="I381" s="524"/>
    </row>
    <row r="382" spans="1:9">
      <c r="A382" s="510"/>
      <c r="B382" s="510"/>
      <c r="C382" s="510"/>
      <c r="D382" s="433" t="s">
        <v>2027</v>
      </c>
      <c r="E382" s="558"/>
      <c r="F382" s="558"/>
      <c r="I382" s="524"/>
    </row>
    <row r="383" spans="1:9">
      <c r="A383" s="510"/>
      <c r="B383" s="510"/>
      <c r="C383" s="510"/>
      <c r="D383" s="433" t="s">
        <v>2028</v>
      </c>
      <c r="E383" s="558"/>
      <c r="F383" s="558"/>
      <c r="I383" s="524"/>
    </row>
    <row r="384" spans="1:9">
      <c r="A384" s="510"/>
      <c r="B384" s="510"/>
      <c r="C384" s="510"/>
      <c r="D384" s="433" t="s">
        <v>2029</v>
      </c>
      <c r="E384" s="558"/>
      <c r="F384" s="558"/>
      <c r="I384" s="524"/>
    </row>
    <row r="385" spans="1:9">
      <c r="A385" s="510"/>
      <c r="B385" s="510"/>
      <c r="C385" s="510"/>
      <c r="D385" s="433" t="s">
        <v>2030</v>
      </c>
      <c r="E385" s="558"/>
      <c r="F385" s="558"/>
      <c r="I385" s="524"/>
    </row>
    <row r="386" spans="1:9">
      <c r="A386" s="510"/>
      <c r="B386" s="510"/>
      <c r="C386" s="510"/>
      <c r="E386" s="481"/>
      <c r="F386" s="480"/>
      <c r="I386" s="524"/>
    </row>
    <row r="387" spans="1:9" ht="14.25">
      <c r="A387" s="518"/>
      <c r="B387" s="519" t="s">
        <v>2803</v>
      </c>
      <c r="C387" s="510"/>
      <c r="D387" s="1279" t="s">
        <v>1225</v>
      </c>
      <c r="E387" s="1279"/>
      <c r="F387" s="1279"/>
      <c r="I387" s="524"/>
    </row>
    <row r="388" spans="1:9">
      <c r="A388" s="510"/>
      <c r="B388" s="510"/>
      <c r="C388" s="510"/>
      <c r="D388" s="1279"/>
      <c r="E388" s="1279"/>
      <c r="F388" s="1279"/>
      <c r="I388" s="524"/>
    </row>
    <row r="389" spans="1:9">
      <c r="A389" s="510"/>
      <c r="B389" s="510"/>
      <c r="C389" s="510"/>
      <c r="D389" s="1279"/>
      <c r="E389" s="1279"/>
      <c r="F389" s="1279"/>
      <c r="I389" s="524"/>
    </row>
    <row r="390" spans="1:9">
      <c r="A390" s="510"/>
      <c r="B390" s="510"/>
      <c r="C390" s="510"/>
      <c r="D390" s="1279"/>
      <c r="E390" s="1279"/>
      <c r="F390" s="1279"/>
      <c r="I390" s="524"/>
    </row>
    <row r="391" spans="1:9">
      <c r="A391" s="510"/>
      <c r="B391" s="510"/>
      <c r="C391" s="510"/>
      <c r="D391" s="481"/>
      <c r="E391" s="481"/>
      <c r="F391" s="480"/>
      <c r="I391" s="524"/>
    </row>
    <row r="392" spans="1:9">
      <c r="A392" s="510"/>
      <c r="B392" s="510"/>
      <c r="C392" s="510"/>
      <c r="D392" s="1279" t="s">
        <v>1226</v>
      </c>
      <c r="E392" s="1279"/>
      <c r="F392" s="1279"/>
      <c r="I392" s="524"/>
    </row>
    <row r="393" spans="1:9">
      <c r="A393" s="510"/>
      <c r="B393" s="510"/>
      <c r="C393" s="510"/>
      <c r="D393" s="1279"/>
      <c r="E393" s="1279"/>
      <c r="F393" s="1279"/>
      <c r="I393" s="524"/>
    </row>
    <row r="394" spans="1:9">
      <c r="A394" s="510"/>
      <c r="B394" s="510"/>
      <c r="C394" s="510"/>
      <c r="D394" s="1279"/>
      <c r="E394" s="1279"/>
      <c r="F394" s="1279"/>
      <c r="I394" s="524"/>
    </row>
    <row r="395" spans="1:9">
      <c r="A395" s="510"/>
      <c r="B395" s="510"/>
      <c r="C395" s="510"/>
      <c r="D395" s="1279"/>
      <c r="E395" s="1279"/>
      <c r="F395" s="1279"/>
      <c r="I395" s="524"/>
    </row>
    <row r="396" spans="1:9" ht="18" customHeight="1">
      <c r="A396" s="510"/>
      <c r="B396" s="510"/>
      <c r="C396" s="510"/>
      <c r="D396" s="1279"/>
      <c r="E396" s="1279"/>
      <c r="F396" s="1279"/>
      <c r="I396" s="524"/>
    </row>
    <row r="397" spans="1:9">
      <c r="A397" s="510"/>
      <c r="B397" s="510"/>
      <c r="C397" s="510"/>
      <c r="D397" s="1279"/>
      <c r="E397" s="1279"/>
      <c r="F397" s="1279"/>
      <c r="I397" s="524"/>
    </row>
    <row r="398" spans="1:9">
      <c r="A398" s="510"/>
      <c r="B398" s="510"/>
      <c r="C398" s="510"/>
      <c r="D398" s="1279"/>
      <c r="E398" s="1279"/>
      <c r="F398" s="1279"/>
      <c r="I398" s="524"/>
    </row>
    <row r="399" spans="1:9">
      <c r="A399" s="510"/>
      <c r="B399" s="510"/>
      <c r="C399" s="510"/>
      <c r="D399" s="1279"/>
      <c r="E399" s="1279"/>
      <c r="F399" s="1279"/>
      <c r="I399" s="524"/>
    </row>
    <row r="400" spans="1:9" ht="8.25" customHeight="1">
      <c r="A400" s="510"/>
      <c r="B400" s="510"/>
      <c r="C400" s="510"/>
      <c r="D400" s="1279"/>
      <c r="E400" s="1279"/>
      <c r="F400" s="1279"/>
      <c r="I400" s="524"/>
    </row>
    <row r="401" spans="1:9" ht="13.7" customHeight="1">
      <c r="A401" s="510"/>
      <c r="B401" s="510"/>
      <c r="C401" s="510"/>
      <c r="D401" s="1279" t="s">
        <v>1227</v>
      </c>
      <c r="E401" s="1279"/>
      <c r="F401" s="1279"/>
      <c r="I401" s="524"/>
    </row>
    <row r="402" spans="1:9">
      <c r="A402" s="510"/>
      <c r="B402" s="510"/>
      <c r="C402" s="510"/>
      <c r="D402" s="1279"/>
      <c r="E402" s="1279"/>
      <c r="F402" s="1279"/>
      <c r="I402" s="524"/>
    </row>
    <row r="403" spans="1:9">
      <c r="A403" s="510"/>
      <c r="B403" s="510"/>
      <c r="C403" s="510"/>
      <c r="D403" s="1279"/>
      <c r="E403" s="1279"/>
      <c r="F403" s="1279"/>
      <c r="I403" s="524"/>
    </row>
    <row r="404" spans="1:9">
      <c r="A404" s="510"/>
      <c r="B404" s="510"/>
      <c r="C404" s="510"/>
      <c r="D404" s="1279"/>
      <c r="E404" s="1279"/>
      <c r="F404" s="1279"/>
      <c r="I404" s="524"/>
    </row>
    <row r="405" spans="1:9">
      <c r="A405" s="510"/>
      <c r="B405" s="510"/>
      <c r="C405" s="510"/>
      <c r="D405" s="1279"/>
      <c r="E405" s="1279"/>
      <c r="F405" s="1279"/>
      <c r="I405" s="524"/>
    </row>
    <row r="406" spans="1:9">
      <c r="A406" s="510"/>
      <c r="B406" s="510"/>
      <c r="C406" s="510"/>
      <c r="D406" s="1279"/>
      <c r="E406" s="1279"/>
      <c r="F406" s="1279"/>
      <c r="I406" s="524"/>
    </row>
    <row r="407" spans="1:9">
      <c r="A407" s="510"/>
      <c r="B407" s="510"/>
      <c r="C407" s="510"/>
      <c r="D407" s="1279"/>
      <c r="E407" s="1279"/>
      <c r="F407" s="1279"/>
      <c r="I407" s="524"/>
    </row>
    <row r="408" spans="1:9">
      <c r="A408" s="510"/>
      <c r="B408" s="510"/>
      <c r="C408" s="510"/>
      <c r="D408" s="1279"/>
      <c r="E408" s="1279"/>
      <c r="F408" s="1279"/>
      <c r="I408" s="524"/>
    </row>
    <row r="409" spans="1:9">
      <c r="A409" s="510"/>
      <c r="B409" s="510"/>
      <c r="C409" s="510"/>
      <c r="D409" s="1279"/>
      <c r="E409" s="1279"/>
      <c r="F409" s="1279"/>
      <c r="I409" s="524"/>
    </row>
    <row r="410" spans="1:9">
      <c r="A410" s="510"/>
      <c r="B410" s="510"/>
      <c r="C410" s="510"/>
      <c r="D410" s="1279"/>
      <c r="E410" s="1279"/>
      <c r="F410" s="1279"/>
      <c r="I410" s="524"/>
    </row>
    <row r="411" spans="1:9">
      <c r="A411" s="510"/>
      <c r="B411" s="510"/>
      <c r="C411" s="510"/>
      <c r="D411" s="1279"/>
      <c r="E411" s="1279"/>
      <c r="F411" s="1279"/>
      <c r="I411" s="524"/>
    </row>
    <row r="412" spans="1:9">
      <c r="A412" s="510"/>
      <c r="B412" s="510"/>
      <c r="C412" s="510"/>
      <c r="D412" s="1279"/>
      <c r="E412" s="1279"/>
      <c r="F412" s="1279"/>
      <c r="I412" s="524"/>
    </row>
    <row r="413" spans="1:9">
      <c r="A413" s="510"/>
      <c r="B413" s="510"/>
      <c r="C413" s="530"/>
      <c r="D413" s="1279"/>
      <c r="E413" s="1279"/>
      <c r="F413" s="1279"/>
      <c r="I413" s="524"/>
    </row>
    <row r="414" spans="1:9">
      <c r="A414" s="510"/>
      <c r="B414" s="510"/>
      <c r="C414" s="530"/>
      <c r="D414" s="1279"/>
      <c r="E414" s="1279"/>
      <c r="F414" s="1279"/>
      <c r="I414" s="524"/>
    </row>
    <row r="415" spans="1:9">
      <c r="A415" s="510"/>
      <c r="B415" s="510"/>
      <c r="C415" s="510"/>
      <c r="D415" s="1279"/>
      <c r="E415" s="1279"/>
      <c r="F415" s="1279"/>
      <c r="I415" s="524"/>
    </row>
    <row r="416" spans="1:9">
      <c r="A416" s="510"/>
      <c r="B416" s="510"/>
      <c r="C416" s="530"/>
      <c r="D416" s="1279"/>
      <c r="E416" s="1279"/>
      <c r="F416" s="1279"/>
      <c r="I416" s="524"/>
    </row>
    <row r="417" spans="1:9">
      <c r="A417" s="510"/>
      <c r="B417" s="510"/>
      <c r="C417" s="530"/>
      <c r="D417" s="1279"/>
      <c r="E417" s="1279"/>
      <c r="F417" s="1279"/>
      <c r="I417" s="524"/>
    </row>
    <row r="418" spans="1:9">
      <c r="A418" s="510"/>
      <c r="B418" s="510"/>
      <c r="C418" s="530"/>
      <c r="D418" s="1279"/>
      <c r="E418" s="1279"/>
      <c r="F418" s="1279"/>
      <c r="I418" s="524"/>
    </row>
    <row r="419" spans="1:9">
      <c r="A419" s="510"/>
      <c r="B419" s="510"/>
      <c r="C419" s="510"/>
      <c r="D419" s="481"/>
      <c r="E419" s="481"/>
      <c r="F419" s="480"/>
      <c r="I419" s="524"/>
    </row>
    <row r="420" spans="1:9">
      <c r="A420" s="510"/>
      <c r="B420" s="519" t="s">
        <v>2803</v>
      </c>
      <c r="C420" s="510"/>
      <c r="D420" s="1279" t="s">
        <v>1228</v>
      </c>
      <c r="E420" s="1279"/>
      <c r="F420" s="1279"/>
      <c r="I420" s="524"/>
    </row>
    <row r="421" spans="1:9">
      <c r="A421" s="510"/>
      <c r="B421" s="510"/>
      <c r="C421" s="510"/>
      <c r="D421" s="1279"/>
      <c r="E421" s="1279"/>
      <c r="F421" s="1279"/>
      <c r="I421" s="524"/>
    </row>
    <row r="422" spans="1:9">
      <c r="A422" s="510"/>
      <c r="B422" s="510"/>
      <c r="C422" s="510"/>
      <c r="D422" s="485"/>
      <c r="E422" s="485"/>
      <c r="F422" s="485"/>
      <c r="I422" s="524"/>
    </row>
    <row r="423" spans="1:9" ht="14.45" customHeight="1">
      <c r="A423" s="518"/>
      <c r="B423" s="519" t="s">
        <v>2803</v>
      </c>
      <c r="D423" s="1279" t="s">
        <v>2130</v>
      </c>
      <c r="E423" s="1279"/>
      <c r="F423" s="1279"/>
      <c r="I423" s="524"/>
    </row>
    <row r="424" spans="1:9" ht="14.45" customHeight="1">
      <c r="A424" s="518"/>
      <c r="D424" s="1279"/>
      <c r="E424" s="1279"/>
      <c r="F424" s="1279"/>
      <c r="I424" s="524"/>
    </row>
    <row r="425" spans="1:9" ht="14.45" customHeight="1">
      <c r="A425" s="518"/>
      <c r="D425" s="1279"/>
      <c r="E425" s="1279"/>
      <c r="F425" s="1279"/>
      <c r="I425" s="524"/>
    </row>
    <row r="426" spans="1:9" ht="14.45" customHeight="1">
      <c r="A426" s="518"/>
      <c r="D426" s="1279"/>
      <c r="E426" s="1279"/>
      <c r="F426" s="1279"/>
      <c r="I426" s="524"/>
    </row>
    <row r="427" spans="1:9" ht="14.45" customHeight="1">
      <c r="A427" s="518"/>
      <c r="D427" s="1279"/>
      <c r="E427" s="1279"/>
      <c r="F427" s="1279"/>
      <c r="I427" s="524"/>
    </row>
    <row r="428" spans="1:9" ht="14.45" customHeight="1">
      <c r="A428" s="518"/>
      <c r="D428" s="416"/>
      <c r="E428" s="416"/>
      <c r="F428" s="416"/>
      <c r="I428" s="524"/>
    </row>
    <row r="429" spans="1:9" ht="13.7" customHeight="1">
      <c r="A429" s="518"/>
      <c r="B429" s="519" t="s">
        <v>2803</v>
      </c>
      <c r="C429" s="510"/>
      <c r="D429" s="1279" t="s">
        <v>1347</v>
      </c>
      <c r="E429" s="1279"/>
      <c r="F429" s="1279"/>
      <c r="I429" s="524"/>
    </row>
    <row r="430" spans="1:9" ht="14.25">
      <c r="A430" s="531"/>
      <c r="B430" s="531"/>
      <c r="C430" s="510"/>
      <c r="D430" s="1279"/>
      <c r="E430" s="1279"/>
      <c r="F430" s="1279"/>
      <c r="I430" s="524"/>
    </row>
    <row r="431" spans="1:9" ht="14.25">
      <c r="A431" s="531"/>
      <c r="B431" s="531"/>
      <c r="C431" s="510"/>
      <c r="D431" s="1279"/>
      <c r="E431" s="1279"/>
      <c r="F431" s="1279"/>
      <c r="I431" s="524"/>
    </row>
    <row r="432" spans="1:9" ht="14.25">
      <c r="A432" s="531"/>
      <c r="B432" s="531"/>
      <c r="C432" s="510"/>
      <c r="D432" s="1279"/>
      <c r="E432" s="1279"/>
      <c r="F432" s="1279"/>
      <c r="I432" s="524"/>
    </row>
    <row r="433" spans="1:9" ht="15.75" customHeight="1">
      <c r="A433" s="531"/>
      <c r="B433" s="531"/>
      <c r="C433" s="510"/>
      <c r="D433" s="1350" t="s">
        <v>2390</v>
      </c>
      <c r="E433" s="1279"/>
      <c r="F433" s="1279"/>
      <c r="I433" s="524"/>
    </row>
    <row r="434" spans="1:9">
      <c r="D434" s="480"/>
      <c r="E434" s="480"/>
      <c r="F434" s="480"/>
      <c r="I434" s="524"/>
    </row>
    <row r="435" spans="1:9" ht="14.25">
      <c r="A435" s="518"/>
      <c r="B435" s="519" t="s">
        <v>2803</v>
      </c>
      <c r="C435" s="521"/>
      <c r="D435" s="1297" t="s">
        <v>2373</v>
      </c>
      <c r="E435" s="1297"/>
      <c r="F435" s="1297"/>
      <c r="I435" s="524"/>
    </row>
    <row r="436" spans="1:9" ht="14.25">
      <c r="A436" s="518"/>
      <c r="B436" s="518"/>
      <c r="D436" s="1297"/>
      <c r="E436" s="1297"/>
      <c r="F436" s="1297"/>
      <c r="I436" s="524"/>
    </row>
    <row r="437" spans="1:9">
      <c r="D437" s="1297"/>
      <c r="E437" s="1297"/>
      <c r="F437" s="1297"/>
      <c r="I437" s="524"/>
    </row>
    <row r="438" spans="1:9">
      <c r="D438" s="1297"/>
      <c r="E438" s="1297"/>
      <c r="F438" s="1297"/>
      <c r="I438" s="524"/>
    </row>
    <row r="439" spans="1:9">
      <c r="D439" s="1297"/>
      <c r="E439" s="1297"/>
      <c r="F439" s="1297"/>
      <c r="I439" s="524"/>
    </row>
    <row r="440" spans="1:9">
      <c r="D440" s="1297"/>
      <c r="E440" s="1297"/>
      <c r="F440" s="1297"/>
      <c r="I440" s="524"/>
    </row>
    <row r="441" spans="1:9">
      <c r="D441" s="1297"/>
      <c r="E441" s="1297"/>
      <c r="F441" s="1297"/>
      <c r="I441" s="524"/>
    </row>
    <row r="442" spans="1:9">
      <c r="D442" s="1297"/>
      <c r="E442" s="1297"/>
      <c r="F442" s="1297"/>
      <c r="I442" s="524"/>
    </row>
    <row r="443" spans="1:9">
      <c r="D443" s="1297"/>
      <c r="E443" s="1297"/>
      <c r="F443" s="1297"/>
      <c r="I443" s="524"/>
    </row>
    <row r="444" spans="1:9">
      <c r="D444" s="1297"/>
      <c r="E444" s="1297"/>
      <c r="F444" s="1297"/>
      <c r="I444" s="524"/>
    </row>
    <row r="445" spans="1:9">
      <c r="D445" s="1297"/>
      <c r="E445" s="1297"/>
      <c r="F445" s="1297"/>
      <c r="I445" s="524"/>
    </row>
    <row r="446" spans="1:9">
      <c r="D446" s="1297"/>
      <c r="E446" s="1297"/>
      <c r="F446" s="1297"/>
      <c r="I446" s="524"/>
    </row>
    <row r="447" spans="1:9">
      <c r="D447" s="1297"/>
      <c r="E447" s="1297"/>
      <c r="F447" s="1297"/>
      <c r="I447" s="524"/>
    </row>
    <row r="448" spans="1:9">
      <c r="A448" s="433"/>
      <c r="B448" s="433"/>
      <c r="C448" s="433"/>
      <c r="D448" s="1297"/>
      <c r="E448" s="1297"/>
      <c r="F448" s="1297"/>
      <c r="I448" s="524"/>
    </row>
    <row r="449" spans="1:9">
      <c r="A449" s="433"/>
      <c r="B449" s="433"/>
      <c r="C449" s="433"/>
      <c r="D449" s="1297"/>
      <c r="E449" s="1297"/>
      <c r="F449" s="1297"/>
      <c r="I449" s="524"/>
    </row>
    <row r="450" spans="1:9">
      <c r="A450" s="433"/>
      <c r="B450" s="433"/>
      <c r="C450" s="433"/>
      <c r="D450" s="1297"/>
      <c r="E450" s="1297"/>
      <c r="F450" s="1297"/>
      <c r="I450" s="524"/>
    </row>
    <row r="451" spans="1:9">
      <c r="A451" s="433"/>
      <c r="B451" s="433"/>
      <c r="C451" s="433"/>
      <c r="D451" s="1297"/>
      <c r="E451" s="1297"/>
      <c r="F451" s="1297"/>
      <c r="I451" s="524"/>
    </row>
    <row r="452" spans="1:9">
      <c r="A452" s="433"/>
      <c r="B452" s="433"/>
      <c r="C452" s="433"/>
      <c r="D452" s="1297"/>
      <c r="E452" s="1297"/>
      <c r="F452" s="1297"/>
      <c r="I452" s="524"/>
    </row>
    <row r="453" spans="1:9">
      <c r="A453" s="433"/>
      <c r="B453" s="433"/>
      <c r="C453" s="433"/>
      <c r="D453" s="1297"/>
      <c r="E453" s="1297"/>
      <c r="F453" s="1297"/>
      <c r="I453" s="524"/>
    </row>
    <row r="454" spans="1:9">
      <c r="A454" s="433"/>
      <c r="B454" s="433"/>
      <c r="C454" s="433"/>
      <c r="D454" s="1297"/>
      <c r="E454" s="1297"/>
      <c r="F454" s="1297"/>
      <c r="I454" s="524"/>
    </row>
    <row r="455" spans="1:9">
      <c r="A455" s="433"/>
      <c r="B455" s="433"/>
      <c r="C455" s="433"/>
      <c r="D455" s="1297"/>
      <c r="E455" s="1297"/>
      <c r="F455" s="1297"/>
      <c r="I455" s="524"/>
    </row>
    <row r="456" spans="1:9">
      <c r="A456" s="433"/>
      <c r="B456" s="433"/>
      <c r="C456" s="433"/>
      <c r="D456" s="1297"/>
      <c r="E456" s="1297"/>
      <c r="F456" s="1297"/>
      <c r="I456" s="524"/>
    </row>
    <row r="457" spans="1:9">
      <c r="A457" s="433"/>
      <c r="B457" s="433"/>
      <c r="C457" s="433"/>
      <c r="D457" s="1297"/>
      <c r="E457" s="1297"/>
      <c r="F457" s="1297"/>
      <c r="I457" s="524"/>
    </row>
    <row r="458" spans="1:9">
      <c r="A458" s="433"/>
      <c r="B458" s="433"/>
      <c r="C458" s="433"/>
      <c r="D458" s="1297"/>
      <c r="E458" s="1297"/>
      <c r="F458" s="1297"/>
      <c r="I458" s="524"/>
    </row>
    <row r="459" spans="1:9">
      <c r="A459" s="433"/>
      <c r="B459" s="433"/>
      <c r="C459" s="433"/>
      <c r="D459" s="1297"/>
      <c r="E459" s="1297"/>
      <c r="F459" s="1297"/>
      <c r="I459" s="524"/>
    </row>
    <row r="460" spans="1:9">
      <c r="A460" s="433"/>
      <c r="B460" s="433"/>
      <c r="C460" s="433"/>
      <c r="D460" s="1297"/>
      <c r="E460" s="1297"/>
      <c r="F460" s="1297"/>
      <c r="I460" s="524"/>
    </row>
    <row r="461" spans="1:9">
      <c r="A461" s="433"/>
      <c r="B461" s="433"/>
      <c r="C461" s="433"/>
      <c r="D461" s="1297"/>
      <c r="E461" s="1297"/>
      <c r="F461" s="1297"/>
      <c r="I461" s="524"/>
    </row>
    <row r="462" spans="1:9">
      <c r="A462" s="433"/>
      <c r="B462" s="433"/>
      <c r="C462" s="433"/>
      <c r="D462" s="1297"/>
      <c r="E462" s="1297"/>
      <c r="F462" s="1297"/>
      <c r="I462" s="524"/>
    </row>
    <row r="463" spans="1:9">
      <c r="A463" s="433"/>
      <c r="B463" s="433"/>
      <c r="C463" s="433"/>
      <c r="D463" s="1297"/>
      <c r="E463" s="1297"/>
      <c r="F463" s="1297"/>
      <c r="I463" s="524"/>
    </row>
    <row r="464" spans="1:9">
      <c r="D464" s="1297"/>
      <c r="E464" s="1297"/>
      <c r="F464" s="1297"/>
      <c r="I464" s="524"/>
    </row>
    <row r="465" spans="1:9" ht="40.700000000000003" customHeight="1">
      <c r="D465" s="1297"/>
      <c r="E465" s="1297"/>
      <c r="F465" s="1297"/>
      <c r="I465" s="524"/>
    </row>
    <row r="466" spans="1:9">
      <c r="D466" s="480"/>
      <c r="E466" s="480"/>
      <c r="F466" s="480"/>
      <c r="I466" s="524"/>
    </row>
    <row r="467" spans="1:9" ht="14.25">
      <c r="A467" s="518"/>
      <c r="B467" s="519" t="s">
        <v>2803</v>
      </c>
      <c r="C467" s="521"/>
      <c r="D467" s="1297" t="s">
        <v>1233</v>
      </c>
      <c r="E467" s="1297"/>
      <c r="F467" s="1297"/>
      <c r="I467" s="524"/>
    </row>
    <row r="468" spans="1:9">
      <c r="D468" s="1297"/>
      <c r="E468" s="1297"/>
      <c r="F468" s="1297"/>
      <c r="I468" s="524"/>
    </row>
    <row r="469" spans="1:9">
      <c r="D469" s="1297"/>
      <c r="E469" s="1297"/>
      <c r="F469" s="1297"/>
      <c r="I469" s="524"/>
    </row>
    <row r="470" spans="1:9">
      <c r="D470" s="479"/>
      <c r="E470" s="479"/>
      <c r="F470" s="479"/>
      <c r="I470" s="524"/>
    </row>
    <row r="471" spans="1:9" ht="14.25">
      <c r="B471" s="519" t="s">
        <v>2803</v>
      </c>
      <c r="C471" s="518"/>
      <c r="D471" s="1297" t="s">
        <v>1303</v>
      </c>
      <c r="E471" s="1297"/>
      <c r="F471" s="1297"/>
      <c r="I471" s="524"/>
    </row>
    <row r="472" spans="1:9">
      <c r="D472" s="1297"/>
      <c r="E472" s="1297"/>
      <c r="F472" s="1297"/>
      <c r="I472" s="524"/>
    </row>
    <row r="473" spans="1:9">
      <c r="D473" s="480"/>
      <c r="E473" s="480"/>
      <c r="F473" s="480"/>
      <c r="I473" s="524"/>
    </row>
    <row r="474" spans="1:9" ht="14.25">
      <c r="B474" s="519" t="s">
        <v>2803</v>
      </c>
      <c r="C474" s="518"/>
      <c r="D474" s="1297" t="s">
        <v>1235</v>
      </c>
      <c r="E474" s="1297"/>
      <c r="F474" s="1297"/>
      <c r="I474" s="524"/>
    </row>
    <row r="475" spans="1:9">
      <c r="D475" s="1297"/>
      <c r="E475" s="1297"/>
      <c r="F475" s="1297"/>
      <c r="I475" s="524"/>
    </row>
    <row r="476" spans="1:9">
      <c r="D476" s="1297"/>
      <c r="E476" s="1297"/>
      <c r="F476" s="1297"/>
      <c r="I476" s="524"/>
    </row>
    <row r="477" spans="1:9">
      <c r="D477" s="1297"/>
      <c r="E477" s="1297"/>
      <c r="F477" s="1297"/>
      <c r="I477" s="524"/>
    </row>
    <row r="478" spans="1:9">
      <c r="B478" s="519" t="s">
        <v>2803</v>
      </c>
      <c r="D478" s="1297"/>
      <c r="E478" s="1297"/>
      <c r="F478" s="1297"/>
      <c r="I478" s="524"/>
    </row>
    <row r="479" spans="1:9">
      <c r="A479" s="433"/>
      <c r="B479" s="433"/>
      <c r="C479" s="433"/>
      <c r="D479" s="1297"/>
      <c r="E479" s="1297"/>
      <c r="F479" s="1297"/>
      <c r="I479" s="524"/>
    </row>
    <row r="480" spans="1:9">
      <c r="A480" s="433"/>
      <c r="C480" s="433"/>
      <c r="D480" s="1297"/>
      <c r="E480" s="1297"/>
      <c r="F480" s="1297"/>
      <c r="I480" s="524"/>
    </row>
    <row r="481" spans="1:9">
      <c r="A481" s="433"/>
      <c r="B481" s="519" t="s">
        <v>2803</v>
      </c>
      <c r="C481" s="433"/>
      <c r="D481" s="1297"/>
      <c r="E481" s="1297"/>
      <c r="F481" s="1297"/>
      <c r="I481" s="524"/>
    </row>
    <row r="482" spans="1:9">
      <c r="A482" s="433"/>
      <c r="B482" s="433"/>
      <c r="C482" s="433"/>
      <c r="D482" s="1297"/>
      <c r="E482" s="1297"/>
      <c r="F482" s="1297"/>
      <c r="I482" s="524"/>
    </row>
    <row r="483" spans="1:9">
      <c r="A483" s="433"/>
      <c r="C483" s="433"/>
      <c r="D483" s="1297"/>
      <c r="E483" s="1297"/>
      <c r="F483" s="1297"/>
      <c r="I483" s="524"/>
    </row>
    <row r="484" spans="1:9">
      <c r="A484" s="433"/>
      <c r="C484" s="433"/>
      <c r="D484" s="1297"/>
      <c r="E484" s="1297"/>
      <c r="F484" s="1297"/>
      <c r="I484" s="524"/>
    </row>
    <row r="485" spans="1:9">
      <c r="A485" s="433"/>
      <c r="C485" s="433"/>
      <c r="D485" s="1297"/>
      <c r="E485" s="1297"/>
      <c r="F485" s="1297"/>
      <c r="I485" s="524"/>
    </row>
    <row r="486" spans="1:9">
      <c r="A486" s="433"/>
      <c r="B486" s="519" t="s">
        <v>2803</v>
      </c>
      <c r="C486" s="433"/>
      <c r="D486" s="1297"/>
      <c r="E486" s="1297"/>
      <c r="F486" s="1297"/>
      <c r="I486" s="524"/>
    </row>
    <row r="487" spans="1:9">
      <c r="A487" s="433"/>
      <c r="C487" s="433"/>
      <c r="D487" s="1297"/>
      <c r="E487" s="1297"/>
      <c r="F487" s="1297"/>
      <c r="I487" s="524"/>
    </row>
    <row r="488" spans="1:9">
      <c r="A488" s="433"/>
      <c r="B488" s="519" t="s">
        <v>2803</v>
      </c>
      <c r="C488" s="433"/>
      <c r="D488" s="1297" t="s">
        <v>1236</v>
      </c>
      <c r="E488" s="1297"/>
      <c r="F488" s="1297"/>
      <c r="I488" s="524"/>
    </row>
    <row r="489" spans="1:9">
      <c r="A489" s="433"/>
      <c r="B489" s="433"/>
      <c r="C489" s="433"/>
      <c r="D489" s="1297"/>
      <c r="E489" s="1297"/>
      <c r="F489" s="1297"/>
      <c r="I489" s="524"/>
    </row>
    <row r="490" spans="1:9">
      <c r="A490" s="433"/>
      <c r="B490" s="433"/>
      <c r="C490" s="433"/>
      <c r="D490" s="1297"/>
      <c r="E490" s="1297"/>
      <c r="F490" s="1297"/>
      <c r="I490" s="524"/>
    </row>
    <row r="491" spans="1:9">
      <c r="A491" s="433"/>
      <c r="B491" s="433"/>
      <c r="C491" s="433"/>
      <c r="D491" s="1297"/>
      <c r="E491" s="1297"/>
      <c r="F491" s="1297"/>
      <c r="I491" s="524"/>
    </row>
    <row r="492" spans="1:9">
      <c r="D492" s="1297"/>
      <c r="E492" s="1297"/>
      <c r="F492" s="1297"/>
      <c r="I492" s="524"/>
    </row>
    <row r="493" spans="1:9">
      <c r="D493" s="480"/>
      <c r="E493" s="480"/>
      <c r="F493" s="480"/>
      <c r="I493" s="524"/>
    </row>
    <row r="494" spans="1:9">
      <c r="B494" s="519" t="s">
        <v>2803</v>
      </c>
      <c r="D494" s="1298" t="s">
        <v>1237</v>
      </c>
      <c r="E494" s="1298"/>
      <c r="F494" s="1298"/>
      <c r="I494" s="524"/>
    </row>
    <row r="495" spans="1:9">
      <c r="A495" s="480"/>
      <c r="B495" s="480"/>
      <c r="I495" s="524"/>
    </row>
    <row r="496" spans="1:9">
      <c r="A496" s="1285" t="s">
        <v>1078</v>
      </c>
      <c r="B496" s="1285"/>
      <c r="C496" s="1285"/>
      <c r="D496" s="1285"/>
      <c r="E496" s="1285"/>
      <c r="F496" s="1285"/>
      <c r="G496" s="1285"/>
      <c r="H496" s="1063"/>
      <c r="I496" s="1259"/>
    </row>
    <row r="497" spans="1:9">
      <c r="A497" s="480"/>
      <c r="B497" s="480"/>
      <c r="I497" s="524"/>
    </row>
    <row r="498" spans="1:9">
      <c r="D498" s="1282" t="s">
        <v>895</v>
      </c>
      <c r="E498" s="1282"/>
      <c r="F498" s="1282"/>
      <c r="I498" s="524"/>
    </row>
    <row r="499" spans="1:9" ht="14.25">
      <c r="A499" s="518"/>
      <c r="B499" s="518"/>
      <c r="D499" s="1283" t="s">
        <v>1238</v>
      </c>
      <c r="E499" s="1283"/>
      <c r="F499" s="1283"/>
      <c r="I499" s="524"/>
    </row>
    <row r="500" spans="1:9" ht="14.25">
      <c r="A500" s="518"/>
      <c r="B500" s="518"/>
      <c r="D500" s="481"/>
      <c r="I500" s="524"/>
    </row>
    <row r="501" spans="1:9" ht="14.25">
      <c r="A501" s="518"/>
      <c r="B501" s="519" t="s">
        <v>2803</v>
      </c>
      <c r="D501" s="1279" t="s">
        <v>1239</v>
      </c>
      <c r="E501" s="1279"/>
      <c r="F501" s="1279"/>
      <c r="I501" s="524" t="s">
        <v>2094</v>
      </c>
    </row>
    <row r="502" spans="1:9" ht="14.25">
      <c r="A502" s="518"/>
      <c r="B502" s="518"/>
      <c r="D502" s="1279"/>
      <c r="E502" s="1279"/>
      <c r="F502" s="1279"/>
      <c r="I502" s="524"/>
    </row>
    <row r="503" spans="1:9" ht="14.25">
      <c r="A503" s="518"/>
      <c r="B503" s="518"/>
      <c r="D503" s="480"/>
      <c r="I503" s="524"/>
    </row>
    <row r="504" spans="1:9" ht="12.75" customHeight="1">
      <c r="B504" s="519" t="s">
        <v>2803</v>
      </c>
      <c r="D504" s="1284" t="s">
        <v>1383</v>
      </c>
      <c r="E504" s="1284"/>
      <c r="F504" s="1284"/>
      <c r="I504" s="524" t="s">
        <v>2095</v>
      </c>
    </row>
    <row r="505" spans="1:9" ht="14.25">
      <c r="A505" s="518"/>
      <c r="D505" s="1284"/>
      <c r="E505" s="1284"/>
      <c r="F505" s="1284"/>
      <c r="I505" s="524"/>
    </row>
    <row r="506" spans="1:9" ht="14.25">
      <c r="A506" s="518"/>
      <c r="B506" s="518"/>
      <c r="D506" s="1284"/>
      <c r="E506" s="1284"/>
      <c r="F506" s="1284"/>
      <c r="I506" s="524"/>
    </row>
    <row r="507" spans="1:9" ht="14.25">
      <c r="A507" s="518"/>
      <c r="B507" s="518"/>
      <c r="D507" s="1284"/>
      <c r="E507" s="1284"/>
      <c r="F507" s="1284"/>
      <c r="I507" s="524"/>
    </row>
    <row r="508" spans="1:9" ht="14.25">
      <c r="A508" s="518"/>
      <c r="D508" s="554"/>
      <c r="E508" s="554"/>
      <c r="F508" s="554"/>
      <c r="I508" s="524"/>
    </row>
    <row r="509" spans="1:9" ht="14.25">
      <c r="A509" s="518"/>
      <c r="B509" s="519" t="s">
        <v>2803</v>
      </c>
      <c r="D509" s="1298" t="s">
        <v>1242</v>
      </c>
      <c r="E509" s="1298"/>
      <c r="F509" s="1298"/>
      <c r="I509" s="524" t="s">
        <v>2096</v>
      </c>
    </row>
    <row r="510" spans="1:9" ht="14.25">
      <c r="A510" s="518"/>
      <c r="B510" s="518"/>
      <c r="D510" s="480"/>
      <c r="I510" s="524"/>
    </row>
    <row r="511" spans="1:9" ht="14.25">
      <c r="A511" s="518"/>
      <c r="B511" s="519" t="s">
        <v>2803</v>
      </c>
      <c r="D511" s="1297" t="s">
        <v>1243</v>
      </c>
      <c r="E511" s="1297"/>
      <c r="F511" s="1297"/>
      <c r="I511" s="524" t="s">
        <v>2096</v>
      </c>
    </row>
    <row r="512" spans="1:9" ht="14.25">
      <c r="A512" s="518"/>
      <c r="D512" s="1297"/>
      <c r="E512" s="1297"/>
      <c r="F512" s="1297"/>
      <c r="I512" s="524"/>
    </row>
    <row r="513" spans="1:9">
      <c r="A513" s="524"/>
      <c r="B513" s="524"/>
      <c r="D513" s="481"/>
      <c r="I513" s="524"/>
    </row>
    <row r="514" spans="1:9">
      <c r="A514" s="524"/>
      <c r="B514" s="519" t="s">
        <v>2803</v>
      </c>
      <c r="D514" s="1298" t="s">
        <v>1244</v>
      </c>
      <c r="E514" s="1298"/>
      <c r="F514" s="1298"/>
      <c r="I514" s="524" t="s">
        <v>2149</v>
      </c>
    </row>
    <row r="515" spans="1:9" ht="14.25">
      <c r="A515" s="518"/>
      <c r="B515" s="518"/>
      <c r="D515" s="480"/>
      <c r="I515" s="524"/>
    </row>
    <row r="516" spans="1:9">
      <c r="A516" s="1285" t="s">
        <v>1079</v>
      </c>
      <c r="B516" s="1285"/>
      <c r="C516" s="1285"/>
      <c r="D516" s="1285"/>
      <c r="E516" s="1285"/>
      <c r="F516" s="1285"/>
      <c r="G516" s="1285"/>
      <c r="H516" s="1063"/>
      <c r="I516" s="1259"/>
    </row>
    <row r="517" spans="1:9" ht="12" customHeight="1">
      <c r="A517" s="518"/>
      <c r="B517" s="518"/>
      <c r="D517" s="480"/>
      <c r="I517" s="524"/>
    </row>
    <row r="518" spans="1:9">
      <c r="C518" s="516"/>
      <c r="D518" s="1296" t="s">
        <v>802</v>
      </c>
      <c r="E518" s="1296"/>
      <c r="F518" s="1296"/>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 customHeight="1">
      <c r="A522" s="517"/>
      <c r="B522" s="519" t="s">
        <v>2802</v>
      </c>
      <c r="C522" s="517"/>
      <c r="D522" s="1279" t="s">
        <v>2374</v>
      </c>
      <c r="E522" s="1279"/>
      <c r="F522" s="1279"/>
      <c r="I522" s="524" t="s">
        <v>2131</v>
      </c>
    </row>
    <row r="523" spans="1:9">
      <c r="A523" s="517"/>
      <c r="B523" s="517"/>
      <c r="C523" s="517"/>
      <c r="D523" s="1279"/>
      <c r="E523" s="1279"/>
      <c r="F523" s="1279"/>
      <c r="I523" s="524"/>
    </row>
    <row r="524" spans="1:9">
      <c r="A524" s="517"/>
      <c r="B524" s="517"/>
      <c r="C524" s="517"/>
      <c r="D524" s="485"/>
      <c r="E524" s="485"/>
      <c r="F524" s="485"/>
      <c r="I524" s="514"/>
    </row>
    <row r="525" spans="1:9" ht="12.75" customHeight="1">
      <c r="A525" s="517"/>
      <c r="B525" s="519" t="s">
        <v>2802</v>
      </c>
      <c r="D525" s="417" t="s">
        <v>2204</v>
      </c>
      <c r="E525" s="416"/>
      <c r="F525" s="416"/>
      <c r="I525" s="524" t="s">
        <v>2097</v>
      </c>
    </row>
    <row r="526" spans="1:9">
      <c r="A526" s="517"/>
      <c r="B526" s="517"/>
      <c r="C526" s="517"/>
      <c r="D526" s="416"/>
      <c r="E526" s="96" t="s">
        <v>2205</v>
      </c>
      <c r="I526" s="524"/>
    </row>
    <row r="527" spans="1:9">
      <c r="A527" s="517"/>
      <c r="B527" s="517"/>
      <c r="D527" s="1327" t="s">
        <v>2375</v>
      </c>
      <c r="E527" s="1327"/>
      <c r="F527" s="1327"/>
      <c r="I527" s="524"/>
    </row>
    <row r="528" spans="1:9">
      <c r="A528" s="517"/>
      <c r="B528" s="517"/>
      <c r="D528" s="1327"/>
      <c r="E528" s="1327"/>
      <c r="F528" s="1327"/>
      <c r="I528" s="524"/>
    </row>
    <row r="529" spans="1:9">
      <c r="A529" s="517"/>
      <c r="B529" s="517"/>
      <c r="C529" s="517"/>
      <c r="D529" s="1327"/>
      <c r="E529" s="1327"/>
      <c r="F529" s="1327"/>
      <c r="I529" s="524"/>
    </row>
    <row r="530" spans="1:9">
      <c r="A530" s="517"/>
      <c r="B530" s="517"/>
      <c r="C530" s="517"/>
      <c r="D530" s="532"/>
      <c r="F530" s="480"/>
      <c r="I530" s="524"/>
    </row>
    <row r="531" spans="1:9" ht="13.15" customHeight="1">
      <c r="A531" s="517"/>
      <c r="B531" s="519" t="s">
        <v>2803</v>
      </c>
      <c r="C531" s="517"/>
      <c r="D531" s="1297" t="s">
        <v>2376</v>
      </c>
      <c r="E531" s="1297"/>
      <c r="F531" s="1297"/>
      <c r="I531" s="524" t="s">
        <v>2097</v>
      </c>
    </row>
    <row r="532" spans="1:9">
      <c r="A532" s="517"/>
      <c r="B532" s="517"/>
      <c r="C532" s="517"/>
      <c r="D532" s="1297"/>
      <c r="E532" s="1297"/>
      <c r="F532" s="1297"/>
      <c r="I532" s="524"/>
    </row>
    <row r="533" spans="1:9" ht="12" customHeight="1">
      <c r="A533" s="480"/>
      <c r="B533" s="480"/>
      <c r="C533" s="521"/>
      <c r="D533" s="480"/>
      <c r="F533" s="482"/>
      <c r="I533" s="524"/>
    </row>
    <row r="534" spans="1:9">
      <c r="A534" s="1285" t="s">
        <v>1080</v>
      </c>
      <c r="B534" s="1285"/>
      <c r="C534" s="1285"/>
      <c r="D534" s="1285"/>
      <c r="E534" s="1285"/>
      <c r="F534" s="1285"/>
      <c r="G534" s="1285"/>
      <c r="H534" s="1063"/>
      <c r="I534" s="1259"/>
    </row>
    <row r="535" spans="1:9">
      <c r="A535" s="480"/>
      <c r="B535" s="480"/>
      <c r="C535" s="521"/>
      <c r="F535" s="482"/>
      <c r="I535" s="524"/>
    </row>
    <row r="536" spans="1:9">
      <c r="B536" s="1300" t="s">
        <v>448</v>
      </c>
      <c r="C536" s="1300"/>
      <c r="D536" s="1300"/>
      <c r="E536" s="1300"/>
      <c r="F536" s="1300"/>
      <c r="I536" s="524"/>
    </row>
    <row r="537" spans="1:9">
      <c r="A537" s="480"/>
      <c r="B537" s="480"/>
      <c r="C537" s="521"/>
      <c r="D537" s="480"/>
      <c r="F537" s="480"/>
      <c r="I537" s="524"/>
    </row>
    <row r="538" spans="1:9">
      <c r="A538" s="1316" t="s">
        <v>1081</v>
      </c>
      <c r="B538" s="1316"/>
      <c r="C538" s="1316"/>
      <c r="D538" s="1316"/>
      <c r="E538" s="1316"/>
      <c r="F538" s="1316"/>
      <c r="G538" s="1316"/>
      <c r="H538" s="1063"/>
      <c r="I538" s="1259"/>
    </row>
    <row r="539" spans="1:9">
      <c r="A539" s="480"/>
      <c r="B539" s="480"/>
      <c r="C539" s="521"/>
      <c r="D539" s="480"/>
      <c r="F539" s="480"/>
      <c r="I539" s="524"/>
    </row>
    <row r="540" spans="1:9">
      <c r="C540" s="521"/>
      <c r="D540" s="1296" t="s">
        <v>691</v>
      </c>
      <c r="E540" s="1296"/>
      <c r="F540" s="1296"/>
      <c r="I540" s="524"/>
    </row>
    <row r="541" spans="1:9">
      <c r="C541" s="521"/>
      <c r="D541" s="1298" t="s">
        <v>1138</v>
      </c>
      <c r="E541" s="1298"/>
      <c r="F541" s="1298"/>
      <c r="I541" s="524"/>
    </row>
    <row r="542" spans="1:9">
      <c r="C542" s="521"/>
      <c r="D542" s="480"/>
      <c r="E542" s="480"/>
      <c r="F542" s="480"/>
      <c r="I542" s="524"/>
    </row>
    <row r="543" spans="1:9" ht="13.7" customHeight="1">
      <c r="A543" s="518"/>
      <c r="B543" s="519" t="s">
        <v>2802</v>
      </c>
      <c r="C543" s="521"/>
      <c r="D543" s="1298" t="s">
        <v>896</v>
      </c>
      <c r="E543" s="1298"/>
      <c r="F543" s="1298"/>
      <c r="I543" s="524" t="s">
        <v>2147</v>
      </c>
    </row>
    <row r="544" spans="1:9" ht="13.7" customHeight="1">
      <c r="A544" s="521"/>
      <c r="B544" s="521"/>
      <c r="C544" s="521"/>
      <c r="D544" s="480"/>
      <c r="I544" s="524"/>
    </row>
    <row r="545" spans="1:9" ht="14.25">
      <c r="A545" s="518"/>
      <c r="B545" s="519" t="s">
        <v>2802</v>
      </c>
      <c r="C545" s="521"/>
      <c r="D545" s="1297" t="s">
        <v>1139</v>
      </c>
      <c r="E545" s="1297"/>
      <c r="F545" s="1297"/>
      <c r="I545" s="524" t="s">
        <v>2147</v>
      </c>
    </row>
    <row r="546" spans="1:9">
      <c r="A546" s="521"/>
      <c r="B546" s="521"/>
      <c r="C546" s="521"/>
      <c r="D546" s="1297"/>
      <c r="E546" s="1297"/>
      <c r="F546" s="1297"/>
      <c r="I546" s="524"/>
    </row>
    <row r="547" spans="1:9">
      <c r="A547" s="521"/>
      <c r="B547" s="521"/>
      <c r="C547" s="521"/>
      <c r="D547" s="480"/>
      <c r="E547" s="480"/>
      <c r="F547" s="480"/>
      <c r="I547" s="524"/>
    </row>
    <row r="548" spans="1:9" ht="14.25">
      <c r="A548" s="518"/>
      <c r="B548" s="519" t="s">
        <v>2802</v>
      </c>
      <c r="C548" s="521"/>
      <c r="D548" s="1297" t="s">
        <v>1140</v>
      </c>
      <c r="E548" s="1297"/>
      <c r="F548" s="1297"/>
      <c r="I548" s="524" t="s">
        <v>2098</v>
      </c>
    </row>
    <row r="549" spans="1:9">
      <c r="A549" s="521"/>
      <c r="B549" s="521"/>
      <c r="C549" s="521"/>
      <c r="D549" s="1297"/>
      <c r="E549" s="1297"/>
      <c r="F549" s="1297"/>
      <c r="I549" s="524"/>
    </row>
    <row r="550" spans="1:9">
      <c r="A550" s="521"/>
      <c r="B550" s="521"/>
      <c r="C550" s="521"/>
      <c r="D550" s="480"/>
      <c r="E550" s="480"/>
      <c r="F550" s="480"/>
      <c r="I550" s="524"/>
    </row>
    <row r="551" spans="1:9" ht="14.25">
      <c r="A551" s="518"/>
      <c r="B551" s="519" t="s">
        <v>2802</v>
      </c>
      <c r="C551" s="521"/>
      <c r="D551" s="1297" t="s">
        <v>1141</v>
      </c>
      <c r="E551" s="1297"/>
      <c r="F551" s="1297"/>
      <c r="I551" s="524" t="s">
        <v>2099</v>
      </c>
    </row>
    <row r="552" spans="1:9">
      <c r="A552" s="521"/>
      <c r="B552" s="521"/>
      <c r="C552" s="521"/>
      <c r="D552" s="1297"/>
      <c r="E552" s="1297"/>
      <c r="F552" s="1297"/>
      <c r="I552" s="524"/>
    </row>
    <row r="553" spans="1:9">
      <c r="A553" s="521"/>
      <c r="B553" s="521"/>
      <c r="C553" s="521"/>
      <c r="D553" s="480"/>
      <c r="E553" s="480"/>
      <c r="F553" s="480"/>
      <c r="I553" s="524"/>
    </row>
    <row r="554" spans="1:9" ht="14.25">
      <c r="A554" s="518"/>
      <c r="B554" s="519" t="s">
        <v>2802</v>
      </c>
      <c r="C554" s="521"/>
      <c r="D554" s="1297" t="s">
        <v>1142</v>
      </c>
      <c r="E554" s="1297"/>
      <c r="F554" s="1297"/>
      <c r="I554" s="524" t="s">
        <v>2148</v>
      </c>
    </row>
    <row r="555" spans="1:9">
      <c r="A555" s="521"/>
      <c r="B555" s="521"/>
      <c r="C555" s="521"/>
      <c r="D555" s="1297"/>
      <c r="E555" s="1297"/>
      <c r="F555" s="1297"/>
      <c r="I555" s="524"/>
    </row>
    <row r="556" spans="1:9">
      <c r="A556" s="521"/>
      <c r="B556" s="521"/>
      <c r="C556" s="521"/>
      <c r="D556" s="1297"/>
      <c r="E556" s="1297"/>
      <c r="F556" s="1297"/>
      <c r="I556" s="524"/>
    </row>
    <row r="557" spans="1:9">
      <c r="A557" s="521"/>
      <c r="B557" s="521"/>
      <c r="C557" s="521"/>
      <c r="D557" s="480"/>
      <c r="E557" s="480"/>
      <c r="F557" s="480"/>
      <c r="I557" s="524"/>
    </row>
    <row r="558" spans="1:9" ht="14.25">
      <c r="A558" s="518"/>
      <c r="B558" s="519" t="s">
        <v>2803</v>
      </c>
      <c r="C558" s="521"/>
      <c r="D558" s="1297" t="s">
        <v>1260</v>
      </c>
      <c r="E558" s="1297"/>
      <c r="F558" s="1297"/>
      <c r="I558" s="524" t="s">
        <v>2147</v>
      </c>
    </row>
    <row r="559" spans="1:9">
      <c r="A559" s="521"/>
      <c r="B559" s="521"/>
      <c r="C559" s="521"/>
      <c r="D559" s="1297"/>
      <c r="E559" s="1297"/>
      <c r="F559" s="1297"/>
      <c r="I559" s="524"/>
    </row>
    <row r="560" spans="1:9">
      <c r="A560" s="521"/>
      <c r="B560" s="521"/>
      <c r="C560" s="521"/>
      <c r="D560" s="480"/>
      <c r="E560" s="480"/>
      <c r="F560" s="480"/>
      <c r="I560" s="524"/>
    </row>
    <row r="561" spans="1:9" ht="14.25">
      <c r="A561" s="518"/>
      <c r="B561" s="519" t="s">
        <v>2802</v>
      </c>
      <c r="C561" s="521"/>
      <c r="D561" s="1297" t="s">
        <v>1144</v>
      </c>
      <c r="E561" s="1297"/>
      <c r="F561" s="1297"/>
      <c r="I561" s="524" t="s">
        <v>2147</v>
      </c>
    </row>
    <row r="562" spans="1:9">
      <c r="A562" s="521"/>
      <c r="B562" s="521"/>
      <c r="C562" s="521"/>
      <c r="D562" s="1297"/>
      <c r="E562" s="1297"/>
      <c r="F562" s="1297"/>
      <c r="I562" s="524"/>
    </row>
    <row r="563" spans="1:9">
      <c r="A563" s="521"/>
      <c r="B563" s="521"/>
      <c r="C563" s="521"/>
      <c r="D563" s="480"/>
      <c r="E563" s="480"/>
      <c r="F563" s="480"/>
      <c r="I563" s="524"/>
    </row>
    <row r="564" spans="1:9" ht="14.25">
      <c r="A564" s="518"/>
      <c r="B564" s="519" t="s">
        <v>2802</v>
      </c>
      <c r="C564" s="521"/>
      <c r="D564" s="1298" t="s">
        <v>1145</v>
      </c>
      <c r="E564" s="1298"/>
      <c r="F564" s="1298"/>
      <c r="I564" s="524" t="s">
        <v>2150</v>
      </c>
    </row>
    <row r="565" spans="1:9">
      <c r="A565" s="524"/>
      <c r="B565" s="524"/>
      <c r="C565" s="521"/>
      <c r="D565" s="1298" t="s">
        <v>2207</v>
      </c>
      <c r="E565" s="1298"/>
      <c r="F565" s="1298"/>
      <c r="I565" s="524"/>
    </row>
    <row r="566" spans="1:9">
      <c r="A566" s="524"/>
      <c r="B566" s="524"/>
      <c r="C566" s="521"/>
      <c r="E566" s="96" t="s">
        <v>2206</v>
      </c>
      <c r="F566" s="435"/>
      <c r="I566" s="524"/>
    </row>
    <row r="567" spans="1:9" ht="14.25">
      <c r="A567" s="518"/>
      <c r="B567" s="518"/>
      <c r="C567" s="521"/>
      <c r="E567" s="480"/>
      <c r="F567" s="480"/>
      <c r="I567" s="524"/>
    </row>
    <row r="568" spans="1:9" ht="14.25">
      <c r="A568" s="518"/>
      <c r="B568" s="519" t="s">
        <v>2802</v>
      </c>
      <c r="C568" s="521"/>
      <c r="D568" s="1298" t="s">
        <v>1147</v>
      </c>
      <c r="E568" s="1298"/>
      <c r="F568" s="1298"/>
      <c r="I568" s="524" t="s">
        <v>2100</v>
      </c>
    </row>
    <row r="569" spans="1:9">
      <c r="C569" s="521"/>
      <c r="D569" s="1297" t="s">
        <v>1148</v>
      </c>
      <c r="E569" s="1297"/>
      <c r="F569" s="1297"/>
      <c r="I569" s="524"/>
    </row>
    <row r="570" spans="1:9">
      <c r="A570" s="521"/>
      <c r="B570" s="521"/>
      <c r="C570" s="521"/>
      <c r="D570" s="1297"/>
      <c r="E570" s="1297"/>
      <c r="F570" s="1297"/>
      <c r="I570" s="524"/>
    </row>
    <row r="571" spans="1:9">
      <c r="A571" s="521"/>
      <c r="B571" s="521"/>
      <c r="C571" s="521"/>
      <c r="D571" s="1297"/>
      <c r="E571" s="1297"/>
      <c r="F571" s="1297"/>
      <c r="I571" s="524"/>
    </row>
    <row r="572" spans="1:9">
      <c r="A572" s="521"/>
      <c r="B572" s="521"/>
      <c r="C572" s="521"/>
      <c r="D572" s="480"/>
      <c r="E572" s="480"/>
      <c r="F572" s="480"/>
      <c r="I572" s="524"/>
    </row>
    <row r="573" spans="1:9" ht="14.25">
      <c r="A573" s="518"/>
      <c r="B573" s="519" t="s">
        <v>2802</v>
      </c>
      <c r="C573" s="521"/>
      <c r="D573" s="1297" t="s">
        <v>2377</v>
      </c>
      <c r="E573" s="1297"/>
      <c r="F573" s="1297"/>
      <c r="I573" s="524" t="s">
        <v>2101</v>
      </c>
    </row>
    <row r="574" spans="1:9" ht="14.25">
      <c r="A574" s="518"/>
      <c r="B574" s="518"/>
      <c r="C574" s="521"/>
      <c r="D574" s="1297"/>
      <c r="E574" s="1297"/>
      <c r="F574" s="1297"/>
      <c r="I574" s="524"/>
    </row>
    <row r="575" spans="1:9" ht="14.25">
      <c r="A575" s="518"/>
      <c r="B575" s="518"/>
      <c r="C575" s="521"/>
      <c r="D575" s="1297"/>
      <c r="E575" s="1297"/>
      <c r="F575" s="1297"/>
      <c r="I575" s="524"/>
    </row>
    <row r="576" spans="1:9" ht="14.25">
      <c r="A576" s="518"/>
      <c r="B576" s="518"/>
      <c r="C576" s="521"/>
      <c r="D576" s="1297"/>
      <c r="E576" s="1297"/>
      <c r="F576" s="1297"/>
      <c r="I576" s="524"/>
    </row>
    <row r="577" spans="1:9" ht="14.25">
      <c r="A577" s="518"/>
      <c r="B577" s="518"/>
      <c r="C577" s="521"/>
      <c r="D577" s="480"/>
      <c r="E577" s="480"/>
      <c r="F577" s="480"/>
      <c r="I577" s="524"/>
    </row>
    <row r="578" spans="1:9">
      <c r="A578" s="1285" t="s">
        <v>1082</v>
      </c>
      <c r="B578" s="1285"/>
      <c r="C578" s="1285"/>
      <c r="D578" s="1285"/>
      <c r="E578" s="1285"/>
      <c r="F578" s="1285"/>
      <c r="G578" s="1285"/>
      <c r="H578" s="1063"/>
      <c r="I578" s="1259"/>
    </row>
    <row r="579" spans="1:9">
      <c r="A579" s="521"/>
      <c r="B579" s="521"/>
      <c r="C579" s="521"/>
      <c r="E579" s="480"/>
      <c r="F579" s="480"/>
      <c r="I579" s="524"/>
    </row>
    <row r="580" spans="1:9" ht="12.75" customHeight="1">
      <c r="C580" s="516"/>
      <c r="D580" s="1299" t="s">
        <v>211</v>
      </c>
      <c r="E580" s="1299"/>
      <c r="F580" s="1299"/>
      <c r="I580" s="524"/>
    </row>
    <row r="581" spans="1:9">
      <c r="A581" s="517"/>
      <c r="B581" s="517"/>
      <c r="C581" s="517"/>
      <c r="D581" s="1284" t="s">
        <v>1098</v>
      </c>
      <c r="E581" s="1284"/>
      <c r="F581" s="1284"/>
      <c r="I581" s="524"/>
    </row>
    <row r="582" spans="1:9">
      <c r="A582" s="433"/>
      <c r="B582" s="433"/>
      <c r="C582" s="517"/>
      <c r="D582" s="533"/>
      <c r="I582" s="524" t="s">
        <v>2102</v>
      </c>
    </row>
    <row r="583" spans="1:9">
      <c r="A583" s="517"/>
      <c r="B583" s="519" t="s">
        <v>2802</v>
      </c>
      <c r="D583" s="1284" t="s">
        <v>902</v>
      </c>
      <c r="E583" s="1284"/>
      <c r="F583" s="1284"/>
      <c r="I583" s="524"/>
    </row>
    <row r="584" spans="1:9">
      <c r="A584" s="524"/>
      <c r="B584" s="524"/>
      <c r="D584" s="510"/>
      <c r="I584" s="524"/>
    </row>
    <row r="585" spans="1:9">
      <c r="A585" s="524"/>
      <c r="B585" s="519" t="s">
        <v>2802</v>
      </c>
      <c r="D585" s="1284" t="s">
        <v>2378</v>
      </c>
      <c r="E585" s="1284"/>
      <c r="F585" s="1284"/>
      <c r="I585" s="524" t="s">
        <v>2104</v>
      </c>
    </row>
    <row r="586" spans="1:9">
      <c r="A586" s="524"/>
      <c r="B586" s="524"/>
      <c r="D586" s="1284"/>
      <c r="E586" s="1284"/>
      <c r="F586" s="1284"/>
      <c r="I586" s="524" t="s">
        <v>2103</v>
      </c>
    </row>
    <row r="587" spans="1:9">
      <c r="A587" s="524"/>
      <c r="B587" s="524"/>
      <c r="D587" s="1284"/>
      <c r="E587" s="1284"/>
      <c r="F587" s="1284"/>
      <c r="I587" s="524"/>
    </row>
    <row r="588" spans="1:9">
      <c r="A588" s="524"/>
      <c r="B588" s="524"/>
      <c r="D588" s="1284"/>
      <c r="E588" s="1284"/>
      <c r="F588" s="1284"/>
      <c r="I588" s="524"/>
    </row>
    <row r="589" spans="1:9">
      <c r="A589" s="524"/>
      <c r="B589" s="519" t="s">
        <v>2803</v>
      </c>
      <c r="D589" s="1284" t="s">
        <v>1100</v>
      </c>
      <c r="E589" s="1284"/>
      <c r="F589" s="1284"/>
      <c r="I589" s="524"/>
    </row>
    <row r="590" spans="1:9">
      <c r="A590" s="524"/>
      <c r="B590" s="524"/>
      <c r="D590" s="1284"/>
      <c r="E590" s="1284"/>
      <c r="F590" s="1284"/>
      <c r="I590" s="524"/>
    </row>
    <row r="591" spans="1:9">
      <c r="A591" s="524"/>
      <c r="B591" s="524"/>
      <c r="D591" s="1284"/>
      <c r="E591" s="1284"/>
      <c r="F591" s="1284"/>
      <c r="I591" s="524"/>
    </row>
    <row r="592" spans="1:9">
      <c r="A592" s="524"/>
      <c r="B592" s="524"/>
      <c r="D592" s="1284"/>
      <c r="E592" s="1284"/>
      <c r="F592" s="1284"/>
      <c r="I592" s="524"/>
    </row>
    <row r="593" spans="1:9">
      <c r="A593" s="524"/>
      <c r="B593" s="524"/>
      <c r="D593" s="473"/>
      <c r="E593" s="473"/>
      <c r="F593" s="473"/>
      <c r="I593" s="524"/>
    </row>
    <row r="594" spans="1:9">
      <c r="A594" s="524"/>
      <c r="B594" s="519" t="s">
        <v>2802</v>
      </c>
      <c r="D594" s="1284" t="s">
        <v>2379</v>
      </c>
      <c r="E594" s="1284"/>
      <c r="F594" s="1284"/>
      <c r="I594" s="524"/>
    </row>
    <row r="595" spans="1:9">
      <c r="A595" s="524"/>
      <c r="B595" s="524"/>
      <c r="D595" s="1284"/>
      <c r="E595" s="1284"/>
      <c r="F595" s="1284"/>
      <c r="I595" s="524"/>
    </row>
    <row r="596" spans="1:9">
      <c r="A596" s="524"/>
      <c r="B596" s="524"/>
      <c r="D596" s="533"/>
      <c r="I596" s="524"/>
    </row>
    <row r="597" spans="1:9">
      <c r="A597" s="524"/>
      <c r="B597" s="519" t="s">
        <v>2803</v>
      </c>
      <c r="D597" s="1284" t="s">
        <v>1102</v>
      </c>
      <c r="E597" s="1284"/>
      <c r="F597" s="1284"/>
      <c r="I597" s="524" t="s">
        <v>2151</v>
      </c>
    </row>
    <row r="598" spans="1:9">
      <c r="A598" s="524"/>
      <c r="B598" s="524"/>
      <c r="D598" s="1284"/>
      <c r="E598" s="1284"/>
      <c r="F598" s="1284"/>
      <c r="I598" s="524"/>
    </row>
    <row r="599" spans="1:9" ht="14.25">
      <c r="A599" s="518"/>
      <c r="B599" s="518"/>
      <c r="D599" s="533"/>
      <c r="I599" s="524"/>
    </row>
    <row r="600" spans="1:9">
      <c r="A600" s="1285" t="s">
        <v>1083</v>
      </c>
      <c r="B600" s="1285"/>
      <c r="C600" s="1285"/>
      <c r="D600" s="1285"/>
      <c r="E600" s="1285"/>
      <c r="F600" s="1285"/>
      <c r="G600" s="1285"/>
      <c r="H600" s="1063"/>
      <c r="I600" s="1259"/>
    </row>
    <row r="601" spans="1:9">
      <c r="I601" s="524"/>
    </row>
    <row r="602" spans="1:9">
      <c r="D602" s="1296" t="s">
        <v>1183</v>
      </c>
      <c r="E602" s="1296"/>
      <c r="F602" s="1296"/>
      <c r="I602" s="524"/>
    </row>
    <row r="603" spans="1:9">
      <c r="D603" s="1319" t="s">
        <v>1184</v>
      </c>
      <c r="E603" s="1319"/>
      <c r="F603" s="1319"/>
      <c r="I603" s="524"/>
    </row>
    <row r="604" spans="1:9">
      <c r="D604" s="478"/>
      <c r="I604" s="524"/>
    </row>
    <row r="605" spans="1:9" ht="14.25" customHeight="1">
      <c r="A605" s="518"/>
      <c r="B605" s="519" t="s">
        <v>2802</v>
      </c>
      <c r="D605" s="1337" t="s">
        <v>2208</v>
      </c>
      <c r="E605" s="1337"/>
      <c r="F605" s="1337"/>
      <c r="I605" s="524" t="s">
        <v>2132</v>
      </c>
    </row>
    <row r="606" spans="1:9">
      <c r="D606" s="1337"/>
      <c r="E606" s="1337"/>
      <c r="F606" s="1337"/>
      <c r="I606" s="524"/>
    </row>
    <row r="607" spans="1:9">
      <c r="D607" s="416"/>
      <c r="E607" s="1071" t="s">
        <v>2209</v>
      </c>
      <c r="F607" s="416"/>
      <c r="I607" s="524"/>
    </row>
    <row r="608" spans="1:9">
      <c r="I608" s="524"/>
    </row>
    <row r="609" spans="1:9">
      <c r="A609" s="1285" t="s">
        <v>1084</v>
      </c>
      <c r="B609" s="1285"/>
      <c r="C609" s="1285"/>
      <c r="D609" s="1285"/>
      <c r="E609" s="1285"/>
      <c r="F609" s="1285"/>
      <c r="G609" s="1285"/>
      <c r="H609" s="1063"/>
      <c r="I609" s="1259"/>
    </row>
    <row r="610" spans="1:9">
      <c r="A610" s="480"/>
      <c r="B610" s="480"/>
      <c r="I610" s="524"/>
    </row>
    <row r="611" spans="1:9">
      <c r="A611" s="516"/>
      <c r="B611" s="516"/>
      <c r="C611" s="516"/>
      <c r="D611" s="1320" t="s">
        <v>1186</v>
      </c>
      <c r="E611" s="1320"/>
      <c r="F611" s="1320"/>
      <c r="I611" s="524"/>
    </row>
    <row r="612" spans="1:9">
      <c r="A612" s="516"/>
      <c r="B612" s="516"/>
      <c r="C612" s="516"/>
      <c r="D612" s="1320"/>
      <c r="E612" s="1320"/>
      <c r="F612" s="1320"/>
      <c r="I612" s="524"/>
    </row>
    <row r="613" spans="1:9">
      <c r="C613" s="517"/>
      <c r="D613" s="1319" t="s">
        <v>1187</v>
      </c>
      <c r="E613" s="1319"/>
      <c r="F613" s="1319"/>
      <c r="I613" s="524"/>
    </row>
    <row r="614" spans="1:9">
      <c r="C614" s="517"/>
      <c r="D614" s="478"/>
      <c r="E614" s="478"/>
      <c r="F614" s="478"/>
      <c r="I614" s="524"/>
    </row>
    <row r="615" spans="1:9" ht="12.75" customHeight="1">
      <c r="A615" s="524"/>
      <c r="B615" s="519" t="s">
        <v>2802</v>
      </c>
      <c r="D615" s="1295" t="s">
        <v>1188</v>
      </c>
      <c r="E615" s="1295"/>
      <c r="F615" s="1295"/>
      <c r="I615" s="524" t="s">
        <v>2152</v>
      </c>
    </row>
    <row r="616" spans="1:9">
      <c r="D616" s="1295"/>
      <c r="E616" s="1295"/>
      <c r="F616" s="1295"/>
      <c r="I616" s="524"/>
    </row>
    <row r="617" spans="1:9">
      <c r="I617" s="524"/>
    </row>
    <row r="618" spans="1:9">
      <c r="B618" s="519" t="s">
        <v>2802</v>
      </c>
      <c r="D618" s="1295" t="s">
        <v>1189</v>
      </c>
      <c r="E618" s="1295"/>
      <c r="F618" s="1295"/>
      <c r="I618" s="524" t="s">
        <v>2105</v>
      </c>
    </row>
    <row r="619" spans="1:9">
      <c r="C619" s="534"/>
      <c r="D619" s="1295"/>
      <c r="E619" s="1295"/>
      <c r="F619" s="1295"/>
      <c r="I619" s="524"/>
    </row>
    <row r="620" spans="1:9">
      <c r="C620" s="534"/>
      <c r="I620" s="524"/>
    </row>
    <row r="621" spans="1:9">
      <c r="B621" s="519" t="s">
        <v>2802</v>
      </c>
      <c r="C621" s="534"/>
      <c r="D621" s="1295" t="s">
        <v>1190</v>
      </c>
      <c r="E621" s="1295"/>
      <c r="F621" s="1295"/>
      <c r="I621" s="524" t="s">
        <v>2153</v>
      </c>
    </row>
    <row r="622" spans="1:9">
      <c r="C622" s="534"/>
      <c r="D622" s="1295"/>
      <c r="E622" s="1295"/>
      <c r="F622" s="1295"/>
      <c r="I622" s="534" t="s">
        <v>2154</v>
      </c>
    </row>
    <row r="623" spans="1:9">
      <c r="C623" s="534"/>
      <c r="I623" s="524"/>
    </row>
    <row r="624" spans="1:9">
      <c r="A624" s="1285" t="s">
        <v>1085</v>
      </c>
      <c r="B624" s="1285"/>
      <c r="C624" s="1285"/>
      <c r="D624" s="1285"/>
      <c r="E624" s="1285"/>
      <c r="F624" s="1285"/>
      <c r="G624" s="1285"/>
      <c r="H624" s="1063"/>
      <c r="I624" s="1259"/>
    </row>
    <row r="625" spans="1:9">
      <c r="A625" s="516"/>
      <c r="B625" s="516"/>
      <c r="C625" s="516"/>
      <c r="I625" s="524"/>
    </row>
    <row r="626" spans="1:9">
      <c r="C626" s="524"/>
      <c r="D626" s="1296" t="s">
        <v>1191</v>
      </c>
      <c r="E626" s="1296"/>
      <c r="F626" s="1296"/>
      <c r="I626" s="524"/>
    </row>
    <row r="627" spans="1:9">
      <c r="A627" s="524"/>
      <c r="B627" s="524"/>
      <c r="D627" s="435"/>
      <c r="I627" s="524"/>
    </row>
    <row r="628" spans="1:9" ht="14.25" customHeight="1">
      <c r="A628" s="518"/>
      <c r="B628" s="519" t="s">
        <v>2802</v>
      </c>
      <c r="D628" s="1337" t="s">
        <v>2380</v>
      </c>
      <c r="E628" s="1337"/>
      <c r="F628" s="1337"/>
      <c r="I628" s="524" t="s">
        <v>2133</v>
      </c>
    </row>
    <row r="629" spans="1:9">
      <c r="D629" s="1337"/>
      <c r="E629" s="1337"/>
      <c r="F629" s="1337"/>
      <c r="I629" s="524"/>
    </row>
    <row r="630" spans="1:9">
      <c r="D630" s="416"/>
      <c r="E630" s="1071" t="s">
        <v>2211</v>
      </c>
      <c r="F630" s="416"/>
      <c r="I630" s="524"/>
    </row>
    <row r="631" spans="1:9">
      <c r="D631" s="1297" t="s">
        <v>2210</v>
      </c>
      <c r="E631" s="1297"/>
      <c r="F631" s="1297"/>
      <c r="I631" s="524"/>
    </row>
    <row r="632" spans="1:9">
      <c r="D632" s="1297"/>
      <c r="E632" s="1297"/>
      <c r="F632" s="1297"/>
      <c r="I632" s="524"/>
    </row>
    <row r="633" spans="1:9">
      <c r="D633" s="1297"/>
      <c r="E633" s="1297"/>
      <c r="F633" s="1297"/>
      <c r="I633" s="524"/>
    </row>
    <row r="634" spans="1:9">
      <c r="D634" s="479"/>
      <c r="E634" s="479"/>
      <c r="F634" s="479"/>
      <c r="I634" s="524"/>
    </row>
    <row r="635" spans="1:9" ht="14.25">
      <c r="A635" s="518"/>
      <c r="B635" s="519" t="s">
        <v>2803</v>
      </c>
      <c r="D635" s="1297" t="s">
        <v>1193</v>
      </c>
      <c r="E635" s="1297"/>
      <c r="F635" s="1297"/>
      <c r="I635" s="524" t="s">
        <v>2155</v>
      </c>
    </row>
    <row r="636" spans="1:9">
      <c r="A636" s="521"/>
      <c r="B636" s="521"/>
      <c r="C636" s="521"/>
      <c r="D636" s="1297"/>
      <c r="E636" s="1297"/>
      <c r="F636" s="1297"/>
      <c r="I636" s="524"/>
    </row>
    <row r="637" spans="1:9">
      <c r="A637" s="521"/>
      <c r="B637" s="521"/>
      <c r="C637" s="521"/>
      <c r="D637" s="480"/>
      <c r="E637" s="480"/>
      <c r="F637" s="480"/>
      <c r="I637" s="524"/>
    </row>
    <row r="638" spans="1:9" ht="14.25">
      <c r="A638" s="518"/>
      <c r="B638" s="519" t="s">
        <v>2803</v>
      </c>
      <c r="C638" s="521"/>
      <c r="D638" s="1297" t="s">
        <v>1332</v>
      </c>
      <c r="E638" s="1297"/>
      <c r="F638" s="1297"/>
      <c r="I638" s="524" t="s">
        <v>2106</v>
      </c>
    </row>
    <row r="639" spans="1:9" ht="14.25">
      <c r="A639" s="518"/>
      <c r="B639" s="518"/>
      <c r="C639" s="521"/>
      <c r="D639" s="1297"/>
      <c r="E639" s="1297"/>
      <c r="F639" s="1297"/>
      <c r="I639" s="524"/>
    </row>
    <row r="640" spans="1:9" ht="14.25">
      <c r="A640" s="518"/>
      <c r="B640" s="518"/>
      <c r="C640" s="521"/>
      <c r="D640" s="1297"/>
      <c r="E640" s="1297"/>
      <c r="F640" s="1297"/>
      <c r="I640" s="524"/>
    </row>
    <row r="641" spans="1:9">
      <c r="A641" s="521"/>
      <c r="B641" s="519" t="s">
        <v>2803</v>
      </c>
      <c r="C641" s="521"/>
      <c r="D641" s="1298" t="s">
        <v>1195</v>
      </c>
      <c r="E641" s="1298"/>
      <c r="F641" s="1298"/>
      <c r="I641" s="524" t="s">
        <v>2106</v>
      </c>
    </row>
    <row r="642" spans="1:9">
      <c r="A642" s="521"/>
      <c r="B642" s="521"/>
      <c r="C642" s="521"/>
      <c r="D642" s="480"/>
      <c r="E642" s="480"/>
      <c r="F642" s="480"/>
      <c r="I642" s="524"/>
    </row>
    <row r="643" spans="1:9">
      <c r="A643" s="1285" t="s">
        <v>1086</v>
      </c>
      <c r="B643" s="1285"/>
      <c r="C643" s="1285"/>
      <c r="D643" s="1285"/>
      <c r="E643" s="1285"/>
      <c r="F643" s="1285"/>
      <c r="G643" s="1285"/>
      <c r="H643" s="1063"/>
      <c r="I643" s="1259"/>
    </row>
    <row r="644" spans="1:9">
      <c r="A644" s="480"/>
      <c r="B644" s="480"/>
      <c r="C644" s="521"/>
      <c r="D644" s="480"/>
      <c r="E644" s="480"/>
      <c r="F644" s="480"/>
      <c r="I644" s="524"/>
    </row>
    <row r="645" spans="1:9">
      <c r="C645" s="516"/>
      <c r="D645" s="1296" t="s">
        <v>1245</v>
      </c>
      <c r="E645" s="1296"/>
      <c r="F645" s="1296"/>
      <c r="I645" s="524"/>
    </row>
    <row r="646" spans="1:9">
      <c r="A646" s="517"/>
      <c r="B646" s="517"/>
      <c r="C646" s="517"/>
      <c r="D646" s="1298" t="s">
        <v>1246</v>
      </c>
      <c r="E646" s="1298"/>
      <c r="F646" s="1298"/>
      <c r="I646" s="524"/>
    </row>
    <row r="647" spans="1:9">
      <c r="A647" s="517"/>
      <c r="B647" s="517"/>
      <c r="C647" s="517"/>
      <c r="D647" s="480"/>
      <c r="E647" s="480"/>
      <c r="F647" s="480"/>
      <c r="I647" s="524"/>
    </row>
    <row r="648" spans="1:9" ht="12.75" customHeight="1">
      <c r="B648" s="519" t="s">
        <v>2802</v>
      </c>
      <c r="C648" s="521"/>
      <c r="D648" s="1297" t="s">
        <v>1391</v>
      </c>
      <c r="E648" s="1297"/>
      <c r="F648" s="1297"/>
      <c r="I648" s="524" t="s">
        <v>2158</v>
      </c>
    </row>
    <row r="649" spans="1:9">
      <c r="D649" s="1297"/>
      <c r="E649" s="1297"/>
      <c r="F649" s="1297"/>
      <c r="I649" s="524"/>
    </row>
    <row r="650" spans="1:9">
      <c r="D650" s="1297"/>
      <c r="E650" s="1297"/>
      <c r="F650" s="1297"/>
      <c r="I650" s="524"/>
    </row>
    <row r="651" spans="1:9">
      <c r="D651" s="1297"/>
      <c r="E651" s="1297"/>
      <c r="F651" s="1297"/>
      <c r="I651" s="524"/>
    </row>
    <row r="652" spans="1:9" ht="14.45" customHeight="1">
      <c r="A652" s="518"/>
      <c r="B652" s="518"/>
      <c r="C652" s="521"/>
      <c r="D652" s="416"/>
      <c r="E652" s="416"/>
      <c r="F652" s="416"/>
      <c r="I652" s="524"/>
    </row>
    <row r="653" spans="1:9" ht="12.75" customHeight="1">
      <c r="A653" s="517"/>
      <c r="B653" s="519" t="s">
        <v>2802</v>
      </c>
      <c r="C653" s="521"/>
      <c r="D653" s="1297" t="s">
        <v>1393</v>
      </c>
      <c r="E653" s="1297"/>
      <c r="F653" s="1297"/>
      <c r="I653" s="524" t="s">
        <v>2158</v>
      </c>
    </row>
    <row r="654" spans="1:9" ht="14.25">
      <c r="A654" s="517"/>
      <c r="B654" s="518"/>
      <c r="C654" s="521"/>
      <c r="D654" s="1297"/>
      <c r="E654" s="1297"/>
      <c r="F654" s="1297"/>
      <c r="I654" s="524"/>
    </row>
    <row r="655" spans="1:9" ht="14.25">
      <c r="A655" s="517"/>
      <c r="B655" s="518"/>
      <c r="C655" s="521"/>
      <c r="D655" s="1297"/>
      <c r="E655" s="1297"/>
      <c r="F655" s="1297"/>
      <c r="I655" s="524"/>
    </row>
    <row r="656" spans="1:9" ht="14.25">
      <c r="A656" s="517"/>
      <c r="B656" s="518"/>
      <c r="C656" s="521"/>
      <c r="D656" s="1297"/>
      <c r="E656" s="1297"/>
      <c r="F656" s="1297"/>
      <c r="I656" s="524"/>
    </row>
    <row r="657" spans="1:9" ht="14.25">
      <c r="A657" s="517"/>
      <c r="B657" s="518"/>
      <c r="C657" s="521"/>
      <c r="D657" s="1297"/>
      <c r="E657" s="1297"/>
      <c r="F657" s="1297"/>
      <c r="I657" s="524"/>
    </row>
    <row r="658" spans="1:9" ht="14.25" customHeight="1">
      <c r="A658" s="517"/>
      <c r="B658" s="518"/>
      <c r="C658" s="521"/>
      <c r="F658" s="417"/>
      <c r="I658" s="524"/>
    </row>
    <row r="659" spans="1:9" ht="12.75" customHeight="1">
      <c r="A659" s="517"/>
      <c r="B659" s="519" t="s">
        <v>2802</v>
      </c>
      <c r="C659" s="521"/>
      <c r="D659" s="1297" t="s">
        <v>1392</v>
      </c>
      <c r="E659" s="1297"/>
      <c r="F659" s="1297"/>
      <c r="I659" s="524" t="s">
        <v>2158</v>
      </c>
    </row>
    <row r="660" spans="1:9" ht="14.25">
      <c r="A660" s="517"/>
      <c r="B660" s="518"/>
      <c r="C660" s="521"/>
      <c r="D660" s="1297"/>
      <c r="E660" s="1297"/>
      <c r="F660" s="1297"/>
      <c r="I660" s="524"/>
    </row>
    <row r="661" spans="1:9" ht="14.25">
      <c r="A661" s="518"/>
      <c r="B661" s="518"/>
      <c r="C661" s="521"/>
      <c r="D661" s="1297"/>
      <c r="E661" s="1297"/>
      <c r="F661" s="1297"/>
      <c r="I661" s="524"/>
    </row>
    <row r="662" spans="1:9" ht="14.25">
      <c r="A662" s="518"/>
      <c r="B662" s="518"/>
      <c r="C662" s="521"/>
      <c r="D662" s="1297"/>
      <c r="E662" s="1297"/>
      <c r="F662" s="1297"/>
      <c r="I662" s="524"/>
    </row>
    <row r="663" spans="1:9" ht="14.25">
      <c r="A663" s="518"/>
      <c r="B663" s="518"/>
      <c r="C663" s="521"/>
      <c r="D663" s="479"/>
      <c r="E663" s="479"/>
      <c r="F663" s="479"/>
      <c r="I663" s="524"/>
    </row>
    <row r="664" spans="1:9" ht="12.75" customHeight="1">
      <c r="A664" s="517"/>
      <c r="B664" s="519" t="s">
        <v>2803</v>
      </c>
      <c r="C664" s="521"/>
      <c r="D664" s="1297" t="s">
        <v>2381</v>
      </c>
      <c r="E664" s="1297"/>
      <c r="F664" s="1297"/>
      <c r="I664" s="524" t="s">
        <v>2158</v>
      </c>
    </row>
    <row r="665" spans="1:9" ht="12.75" customHeight="1">
      <c r="A665" s="517"/>
      <c r="B665" s="518"/>
      <c r="C665" s="521"/>
      <c r="D665" s="1297"/>
      <c r="E665" s="1297"/>
      <c r="F665" s="1297"/>
      <c r="I665" s="524"/>
    </row>
    <row r="666" spans="1:9" ht="12.75" customHeight="1">
      <c r="A666" s="517"/>
      <c r="B666" s="518"/>
      <c r="C666" s="521"/>
      <c r="D666" s="1297"/>
      <c r="E666" s="1297"/>
      <c r="F666" s="1297"/>
      <c r="I666" s="524"/>
    </row>
    <row r="667" spans="1:9" ht="12.75" customHeight="1">
      <c r="A667" s="517"/>
      <c r="B667" s="518"/>
      <c r="C667" s="521"/>
      <c r="D667" s="1297"/>
      <c r="E667" s="1297"/>
      <c r="F667" s="1297"/>
      <c r="I667" s="524"/>
    </row>
    <row r="668" spans="1:9" ht="12.75" customHeight="1">
      <c r="A668" s="517"/>
      <c r="B668" s="518"/>
      <c r="C668" s="521"/>
      <c r="D668" s="1297"/>
      <c r="E668" s="1297"/>
      <c r="F668" s="1297"/>
      <c r="I668" s="524"/>
    </row>
    <row r="669" spans="1:9" ht="12.75" customHeight="1">
      <c r="A669" s="517"/>
      <c r="B669" s="518"/>
      <c r="C669" s="521"/>
      <c r="D669" s="1297"/>
      <c r="E669" s="1297"/>
      <c r="F669" s="1297"/>
      <c r="I669" s="524"/>
    </row>
    <row r="670" spans="1:9" ht="12.75" customHeight="1">
      <c r="A670" s="517"/>
      <c r="B670" s="518"/>
      <c r="C670" s="521"/>
      <c r="D670" s="1297"/>
      <c r="E670" s="1297"/>
      <c r="F670" s="1297"/>
      <c r="I670" s="524"/>
    </row>
    <row r="671" spans="1:9" ht="12.75" customHeight="1">
      <c r="A671" s="517"/>
      <c r="B671" s="518"/>
      <c r="C671" s="521"/>
      <c r="D671" s="1297"/>
      <c r="E671" s="1297"/>
      <c r="F671" s="1297"/>
      <c r="I671" s="524"/>
    </row>
    <row r="672" spans="1:9" ht="12.75" customHeight="1">
      <c r="A672" s="517"/>
      <c r="B672" s="518"/>
      <c r="C672" s="521"/>
      <c r="D672" s="1297"/>
      <c r="E672" s="1297"/>
      <c r="F672" s="1297"/>
      <c r="I672" s="524"/>
    </row>
    <row r="673" spans="1:11">
      <c r="A673" s="521"/>
      <c r="B673" s="521"/>
      <c r="C673" s="521"/>
      <c r="D673" s="480"/>
      <c r="E673" s="480"/>
      <c r="F673" s="480"/>
      <c r="I673" s="524"/>
    </row>
    <row r="674" spans="1:11">
      <c r="A674" s="1285" t="s">
        <v>1087</v>
      </c>
      <c r="B674" s="1285"/>
      <c r="C674" s="1285"/>
      <c r="D674" s="1285"/>
      <c r="E674" s="1285"/>
      <c r="F674" s="1285"/>
      <c r="G674" s="1285"/>
      <c r="H674" s="1065"/>
      <c r="I674" s="1263"/>
      <c r="J674" s="535"/>
      <c r="K674" s="535"/>
    </row>
    <row r="675" spans="1:11">
      <c r="A675" s="482"/>
      <c r="B675" s="482"/>
      <c r="C675" s="482"/>
      <c r="D675" s="482"/>
      <c r="E675" s="482"/>
      <c r="F675" s="482"/>
      <c r="G675" s="482"/>
      <c r="H675" s="535"/>
      <c r="I675" s="517"/>
      <c r="J675" s="535"/>
      <c r="K675" s="535"/>
    </row>
    <row r="676" spans="1:11">
      <c r="C676" s="516"/>
      <c r="D676" s="1296" t="s">
        <v>99</v>
      </c>
      <c r="E676" s="1296"/>
      <c r="F676" s="1296"/>
      <c r="H676" s="535"/>
      <c r="I676" s="517"/>
      <c r="J676" s="535"/>
      <c r="K676" s="535"/>
    </row>
    <row r="677" spans="1:11">
      <c r="A677" s="516"/>
      <c r="B677" s="516"/>
      <c r="C677" s="516"/>
      <c r="D677" s="1296" t="s">
        <v>123</v>
      </c>
      <c r="E677" s="1296"/>
      <c r="F677" s="1296"/>
      <c r="H677" s="535"/>
      <c r="I677" s="517"/>
      <c r="J677" s="535"/>
      <c r="K677" s="535"/>
    </row>
    <row r="678" spans="1:11">
      <c r="A678" s="517"/>
      <c r="B678" s="517"/>
      <c r="C678" s="517"/>
      <c r="D678" s="1298" t="s">
        <v>1123</v>
      </c>
      <c r="E678" s="1298"/>
      <c r="F678" s="1298"/>
      <c r="H678" s="535"/>
      <c r="I678" s="517"/>
      <c r="J678" s="535"/>
      <c r="K678" s="535"/>
    </row>
    <row r="679" spans="1:11">
      <c r="A679" s="517"/>
      <c r="B679" s="517"/>
      <c r="C679" s="517"/>
      <c r="H679" s="535"/>
      <c r="I679" s="517"/>
      <c r="J679" s="535"/>
      <c r="K679" s="535"/>
    </row>
    <row r="680" spans="1:11" ht="14.25">
      <c r="A680" s="518"/>
      <c r="B680" s="519" t="s">
        <v>2802</v>
      </c>
      <c r="C680" s="517"/>
      <c r="D680" s="1298" t="s">
        <v>898</v>
      </c>
      <c r="E680" s="1298"/>
      <c r="F680" s="1298"/>
      <c r="H680" s="535"/>
      <c r="I680" s="517" t="s">
        <v>2134</v>
      </c>
      <c r="J680" s="535"/>
      <c r="K680" s="535"/>
    </row>
    <row r="681" spans="1:11">
      <c r="A681" s="517"/>
      <c r="B681" s="517"/>
      <c r="C681" s="517"/>
      <c r="D681" s="1298" t="s">
        <v>908</v>
      </c>
      <c r="E681" s="1298"/>
      <c r="F681" s="1298"/>
      <c r="H681" s="535"/>
      <c r="I681" s="517"/>
      <c r="J681" s="535"/>
      <c r="K681" s="535"/>
    </row>
    <row r="682" spans="1:11" ht="12.75" customHeight="1">
      <c r="A682" s="517"/>
      <c r="B682" s="517"/>
      <c r="C682" s="517"/>
      <c r="E682" s="1071" t="s">
        <v>2213</v>
      </c>
      <c r="F682" s="451"/>
      <c r="H682" s="535"/>
      <c r="I682" s="517"/>
      <c r="J682" s="535"/>
      <c r="K682" s="535"/>
    </row>
    <row r="683" spans="1:11">
      <c r="A683" s="517"/>
      <c r="B683" s="517"/>
      <c r="C683" s="517"/>
      <c r="E683" s="535" t="s">
        <v>2212</v>
      </c>
      <c r="F683" s="451"/>
      <c r="I683" s="517"/>
      <c r="J683" s="535"/>
      <c r="K683" s="535"/>
    </row>
    <row r="684" spans="1:11">
      <c r="A684" s="517"/>
      <c r="B684" s="517"/>
      <c r="C684" s="517"/>
      <c r="D684" s="536"/>
      <c r="E684" s="480"/>
      <c r="H684" s="535"/>
      <c r="I684" s="517"/>
      <c r="J684" s="535"/>
      <c r="K684" s="535"/>
    </row>
    <row r="685" spans="1:11" ht="14.25">
      <c r="A685" s="518"/>
      <c r="B685" s="519" t="s">
        <v>2803</v>
      </c>
      <c r="C685" s="517"/>
      <c r="D685" s="1297" t="s">
        <v>2382</v>
      </c>
      <c r="E685" s="1297"/>
      <c r="F685" s="1297"/>
      <c r="H685" s="535"/>
      <c r="I685" s="517" t="s">
        <v>2156</v>
      </c>
      <c r="J685" s="535"/>
      <c r="K685" s="535"/>
    </row>
    <row r="686" spans="1:11">
      <c r="A686" s="524"/>
      <c r="B686" s="524"/>
      <c r="C686" s="517"/>
      <c r="D686" s="1297"/>
      <c r="E686" s="1297"/>
      <c r="F686" s="1297"/>
      <c r="H686" s="535"/>
      <c r="I686" s="517"/>
      <c r="J686" s="535"/>
      <c r="K686" s="535"/>
    </row>
    <row r="687" spans="1:11">
      <c r="A687" s="517"/>
      <c r="B687" s="517"/>
      <c r="C687" s="517"/>
      <c r="D687" s="1297"/>
      <c r="E687" s="1297"/>
      <c r="F687" s="1297"/>
      <c r="H687" s="535"/>
      <c r="I687" s="517"/>
      <c r="J687" s="535"/>
      <c r="K687" s="535"/>
    </row>
    <row r="688" spans="1:11">
      <c r="A688" s="517"/>
      <c r="B688" s="517"/>
      <c r="C688" s="517"/>
      <c r="H688" s="535"/>
      <c r="I688" s="517" t="s">
        <v>2135</v>
      </c>
      <c r="J688" s="535"/>
      <c r="K688" s="535"/>
    </row>
    <row r="689" spans="1:11" ht="14.25">
      <c r="A689" s="518"/>
      <c r="B689" s="519" t="s">
        <v>2802</v>
      </c>
      <c r="C689" s="517"/>
      <c r="D689" s="1298" t="s">
        <v>936</v>
      </c>
      <c r="E689" s="1298"/>
      <c r="F689" s="1298"/>
      <c r="H689" s="535"/>
      <c r="I689" s="517"/>
      <c r="J689" s="535"/>
      <c r="K689" s="535"/>
    </row>
    <row r="690" spans="1:11" ht="14.25">
      <c r="A690" s="518"/>
      <c r="B690" s="518"/>
      <c r="C690" s="517"/>
      <c r="D690" s="1298" t="s">
        <v>908</v>
      </c>
      <c r="E690" s="1298"/>
      <c r="F690" s="1298"/>
      <c r="H690" s="535"/>
      <c r="I690" s="517"/>
      <c r="J690" s="535"/>
      <c r="K690" s="535"/>
    </row>
    <row r="691" spans="1:11">
      <c r="A691" s="517"/>
      <c r="B691" s="517"/>
      <c r="C691" s="517"/>
      <c r="E691" s="1071" t="s">
        <v>2214</v>
      </c>
      <c r="F691" s="435"/>
      <c r="H691" s="535"/>
      <c r="I691" s="517"/>
      <c r="J691" s="535"/>
      <c r="K691" s="535"/>
    </row>
    <row r="692" spans="1:11">
      <c r="A692" s="517"/>
      <c r="B692" s="517"/>
      <c r="C692" s="517"/>
      <c r="D692" s="435"/>
      <c r="H692" s="535"/>
      <c r="I692" s="517"/>
      <c r="J692" s="535"/>
      <c r="K692" s="535"/>
    </row>
    <row r="693" spans="1:11" ht="14.25">
      <c r="A693" s="518"/>
      <c r="B693" s="519" t="s">
        <v>2802</v>
      </c>
      <c r="C693" s="517"/>
      <c r="D693" s="1297" t="s">
        <v>1136</v>
      </c>
      <c r="E693" s="1297"/>
      <c r="F693" s="1297"/>
      <c r="H693" s="535"/>
      <c r="I693" s="517" t="s">
        <v>2107</v>
      </c>
      <c r="J693" s="535"/>
      <c r="K693" s="535"/>
    </row>
    <row r="694" spans="1:11">
      <c r="A694" s="517"/>
      <c r="B694" s="517"/>
      <c r="C694" s="517"/>
      <c r="D694" s="1297"/>
      <c r="E694" s="1297"/>
      <c r="F694" s="1297"/>
      <c r="H694" s="535"/>
      <c r="I694" s="517"/>
      <c r="J694" s="535"/>
      <c r="K694" s="535"/>
    </row>
    <row r="695" spans="1:11">
      <c r="A695" s="517"/>
      <c r="B695" s="517"/>
      <c r="C695" s="517"/>
      <c r="D695" s="1297"/>
      <c r="E695" s="1297"/>
      <c r="F695" s="1297"/>
      <c r="H695" s="535"/>
      <c r="I695" s="517"/>
      <c r="J695" s="535"/>
      <c r="K695" s="535"/>
    </row>
    <row r="696" spans="1:11">
      <c r="A696" s="517"/>
      <c r="B696" s="517"/>
      <c r="C696" s="517"/>
      <c r="D696" s="1297"/>
      <c r="E696" s="1297"/>
      <c r="F696" s="1297"/>
      <c r="H696" s="535"/>
      <c r="I696" s="517"/>
      <c r="J696" s="535"/>
      <c r="K696" s="535"/>
    </row>
    <row r="697" spans="1:11">
      <c r="A697" s="517"/>
      <c r="B697" s="517"/>
      <c r="C697" s="517"/>
      <c r="D697" s="1297"/>
      <c r="E697" s="1297"/>
      <c r="F697" s="1297"/>
      <c r="H697" s="535"/>
      <c r="I697" s="517"/>
      <c r="J697" s="535"/>
      <c r="K697" s="535"/>
    </row>
    <row r="698" spans="1:11">
      <c r="A698" s="517"/>
      <c r="B698" s="517"/>
      <c r="C698" s="517"/>
      <c r="D698" s="1297"/>
      <c r="E698" s="1297"/>
      <c r="F698" s="1297"/>
      <c r="H698" s="535"/>
      <c r="I698" s="517"/>
      <c r="J698" s="535"/>
      <c r="K698" s="535"/>
    </row>
    <row r="699" spans="1:11">
      <c r="A699" s="517"/>
      <c r="B699" s="517"/>
      <c r="C699" s="517"/>
      <c r="D699" s="479"/>
      <c r="E699" s="479"/>
      <c r="F699" s="479"/>
      <c r="H699" s="535"/>
      <c r="I699" s="517"/>
      <c r="J699" s="535"/>
      <c r="K699" s="535"/>
    </row>
    <row r="700" spans="1:11">
      <c r="A700" s="517"/>
      <c r="B700" s="519" t="s">
        <v>2802</v>
      </c>
      <c r="C700" s="517"/>
      <c r="D700" s="1297" t="s">
        <v>1307</v>
      </c>
      <c r="E700" s="1297"/>
      <c r="F700" s="1297"/>
      <c r="H700" s="535"/>
      <c r="I700" s="517" t="s">
        <v>2107</v>
      </c>
      <c r="J700" s="535"/>
      <c r="K700" s="535"/>
    </row>
    <row r="701" spans="1:11">
      <c r="A701" s="517"/>
      <c r="B701" s="517"/>
      <c r="C701" s="517"/>
      <c r="D701" s="1297"/>
      <c r="E701" s="1297"/>
      <c r="F701" s="1297"/>
      <c r="H701" s="535"/>
      <c r="I701" s="517"/>
      <c r="J701" s="535"/>
      <c r="K701" s="535"/>
    </row>
    <row r="702" spans="1:11">
      <c r="A702" s="517"/>
      <c r="B702" s="517"/>
      <c r="C702" s="517"/>
      <c r="D702" s="479"/>
      <c r="E702" s="479"/>
      <c r="F702" s="479"/>
      <c r="H702" s="535"/>
      <c r="I702" s="517"/>
      <c r="J702" s="535"/>
      <c r="K702" s="535"/>
    </row>
    <row r="703" spans="1:11" ht="14.25">
      <c r="A703" s="518"/>
      <c r="B703" s="519" t="s">
        <v>2803</v>
      </c>
      <c r="C703" s="517"/>
      <c r="D703" s="1297" t="s">
        <v>1127</v>
      </c>
      <c r="E703" s="1297"/>
      <c r="F703" s="1297"/>
      <c r="H703" s="535"/>
      <c r="I703" s="517" t="s">
        <v>2107</v>
      </c>
      <c r="J703" s="535"/>
      <c r="K703" s="535"/>
    </row>
    <row r="704" spans="1:11">
      <c r="A704" s="517"/>
      <c r="B704" s="517"/>
      <c r="C704" s="517"/>
      <c r="D704" s="1297"/>
      <c r="E704" s="1297"/>
      <c r="F704" s="1297"/>
      <c r="H704" s="535"/>
      <c r="I704" s="517"/>
      <c r="J704" s="535"/>
      <c r="K704" s="535"/>
    </row>
    <row r="705" spans="1:11">
      <c r="A705" s="517"/>
      <c r="B705" s="517"/>
      <c r="C705" s="517"/>
      <c r="D705" s="1297"/>
      <c r="E705" s="1297"/>
      <c r="F705" s="1297"/>
      <c r="H705" s="535"/>
      <c r="I705" s="517"/>
      <c r="J705" s="535"/>
      <c r="K705" s="535"/>
    </row>
    <row r="706" spans="1:11" ht="15" customHeight="1">
      <c r="A706" s="517"/>
      <c r="B706" s="517"/>
      <c r="C706" s="517"/>
      <c r="D706" s="1297"/>
      <c r="E706" s="1297"/>
      <c r="F706" s="1297"/>
      <c r="H706" s="535"/>
      <c r="I706" s="517"/>
      <c r="J706" s="535"/>
      <c r="K706" s="535"/>
    </row>
    <row r="707" spans="1:11" ht="15" customHeight="1">
      <c r="A707" s="517"/>
      <c r="B707" s="517"/>
      <c r="C707" s="517"/>
      <c r="D707" s="1297"/>
      <c r="E707" s="1297"/>
      <c r="F707" s="1297"/>
      <c r="H707" s="535"/>
      <c r="I707" s="517"/>
      <c r="J707" s="535"/>
      <c r="K707" s="535"/>
    </row>
    <row r="708" spans="1:11">
      <c r="A708" s="517"/>
      <c r="B708" s="517"/>
      <c r="C708" s="517"/>
      <c r="D708" s="1297"/>
      <c r="E708" s="1297"/>
      <c r="F708" s="1297"/>
      <c r="H708" s="535"/>
      <c r="I708" s="517"/>
      <c r="J708" s="535"/>
      <c r="K708" s="535"/>
    </row>
    <row r="709" spans="1:11">
      <c r="A709" s="517"/>
      <c r="B709" s="517"/>
      <c r="C709" s="517"/>
      <c r="D709" s="1297"/>
      <c r="E709" s="1297"/>
      <c r="F709" s="1297"/>
      <c r="H709" s="535"/>
      <c r="I709" s="517"/>
      <c r="J709" s="535"/>
      <c r="K709" s="535"/>
    </row>
    <row r="710" spans="1:11">
      <c r="A710" s="517"/>
      <c r="B710" s="517"/>
      <c r="C710" s="517"/>
      <c r="D710" s="1297"/>
      <c r="E710" s="1297"/>
      <c r="F710" s="1297"/>
      <c r="H710" s="535"/>
      <c r="I710" s="517"/>
      <c r="J710" s="535"/>
      <c r="K710" s="535"/>
    </row>
    <row r="711" spans="1:11" ht="15" customHeight="1">
      <c r="A711" s="517"/>
      <c r="B711" s="517"/>
      <c r="C711" s="517"/>
      <c r="D711" s="1297"/>
      <c r="E711" s="1297"/>
      <c r="F711" s="1297"/>
      <c r="H711" s="535"/>
      <c r="I711" s="517"/>
      <c r="J711" s="535"/>
      <c r="K711" s="535"/>
    </row>
    <row r="712" spans="1:11">
      <c r="A712" s="517"/>
      <c r="B712" s="517"/>
      <c r="C712" s="517"/>
      <c r="D712" s="1297"/>
      <c r="E712" s="1297"/>
      <c r="F712" s="1297"/>
      <c r="H712" s="535"/>
      <c r="I712" s="517"/>
      <c r="J712" s="535"/>
      <c r="K712" s="535"/>
    </row>
    <row r="713" spans="1:11">
      <c r="A713" s="517"/>
      <c r="B713" s="517"/>
      <c r="C713" s="517"/>
      <c r="D713" s="1297"/>
      <c r="E713" s="1297"/>
      <c r="F713" s="1297"/>
      <c r="H713" s="535"/>
      <c r="I713" s="517"/>
      <c r="J713" s="535"/>
      <c r="K713" s="535"/>
    </row>
    <row r="714" spans="1:11">
      <c r="A714" s="517"/>
      <c r="B714" s="517"/>
      <c r="C714" s="517"/>
      <c r="D714" s="1297"/>
      <c r="E714" s="1297"/>
      <c r="F714" s="1297"/>
      <c r="H714" s="535"/>
      <c r="I714" s="517"/>
      <c r="J714" s="535"/>
      <c r="K714" s="535"/>
    </row>
    <row r="715" spans="1:11">
      <c r="A715" s="517"/>
      <c r="B715" s="517"/>
      <c r="C715" s="517"/>
      <c r="D715" s="1297"/>
      <c r="E715" s="1297"/>
      <c r="F715" s="1297"/>
      <c r="H715" s="535"/>
      <c r="I715" s="517"/>
      <c r="J715" s="535"/>
      <c r="K715" s="535"/>
    </row>
    <row r="716" spans="1:11">
      <c r="A716" s="517"/>
      <c r="B716" s="519" t="s">
        <v>2803</v>
      </c>
      <c r="C716" s="517"/>
      <c r="D716" s="1297" t="s">
        <v>1134</v>
      </c>
      <c r="E716" s="1297"/>
      <c r="F716" s="1297"/>
      <c r="H716" s="535"/>
      <c r="I716" s="517" t="s">
        <v>2157</v>
      </c>
      <c r="J716" s="535"/>
      <c r="K716" s="535"/>
    </row>
    <row r="717" spans="1:11">
      <c r="A717" s="517"/>
      <c r="B717" s="517"/>
      <c r="C717" s="517"/>
      <c r="D717" s="1297"/>
      <c r="E717" s="1297"/>
      <c r="F717" s="1297"/>
      <c r="H717" s="535"/>
      <c r="I717" s="517"/>
      <c r="J717" s="535"/>
      <c r="K717" s="535"/>
    </row>
    <row r="718" spans="1:11">
      <c r="A718" s="517"/>
      <c r="B718" s="517"/>
      <c r="C718" s="517"/>
      <c r="D718" s="479"/>
      <c r="E718" s="479"/>
      <c r="F718" s="479"/>
      <c r="H718" s="535"/>
      <c r="I718" s="517"/>
      <c r="J718" s="535"/>
      <c r="K718" s="535"/>
    </row>
    <row r="719" spans="1:11">
      <c r="A719" s="517"/>
      <c r="B719" s="519" t="s">
        <v>2803</v>
      </c>
      <c r="C719" s="517"/>
      <c r="D719" s="1297" t="s">
        <v>1128</v>
      </c>
      <c r="E719" s="1297"/>
      <c r="F719" s="1297"/>
      <c r="H719" s="535"/>
      <c r="I719" s="517" t="s">
        <v>2157</v>
      </c>
      <c r="J719" s="535"/>
      <c r="K719" s="535"/>
    </row>
    <row r="720" spans="1:11">
      <c r="A720" s="517"/>
      <c r="B720" s="517"/>
      <c r="C720" s="517"/>
      <c r="D720" s="1297"/>
      <c r="E720" s="1297"/>
      <c r="F720" s="1297"/>
      <c r="H720" s="535"/>
      <c r="I720" s="517"/>
      <c r="J720" s="535"/>
      <c r="K720" s="535"/>
    </row>
    <row r="721" spans="1:11">
      <c r="A721" s="517"/>
      <c r="B721" s="517"/>
      <c r="C721" s="517"/>
      <c r="D721" s="1297"/>
      <c r="E721" s="1297"/>
      <c r="F721" s="1297"/>
      <c r="H721" s="535"/>
      <c r="I721" s="517"/>
      <c r="J721" s="535"/>
      <c r="K721" s="535"/>
    </row>
    <row r="722" spans="1:11">
      <c r="A722" s="517"/>
      <c r="B722" s="517"/>
      <c r="C722" s="517"/>
      <c r="H722" s="535"/>
      <c r="I722" s="517"/>
      <c r="J722" s="535"/>
      <c r="K722" s="535"/>
    </row>
    <row r="723" spans="1:11">
      <c r="A723" s="517"/>
      <c r="B723" s="519" t="s">
        <v>2803</v>
      </c>
      <c r="C723" s="517"/>
      <c r="D723" s="1297" t="s">
        <v>1129</v>
      </c>
      <c r="E723" s="1297"/>
      <c r="F723" s="1297"/>
      <c r="H723" s="535"/>
      <c r="I723" s="517" t="s">
        <v>2157</v>
      </c>
      <c r="J723" s="535"/>
      <c r="K723" s="535"/>
    </row>
    <row r="724" spans="1:11">
      <c r="A724" s="517"/>
      <c r="B724" s="517"/>
      <c r="C724" s="517"/>
      <c r="D724" s="1297"/>
      <c r="E724" s="1297"/>
      <c r="F724" s="1297"/>
      <c r="H724" s="535"/>
      <c r="I724" s="517"/>
      <c r="J724" s="535"/>
      <c r="K724" s="535"/>
    </row>
    <row r="725" spans="1:11">
      <c r="A725" s="517"/>
      <c r="B725" s="517"/>
      <c r="C725" s="517"/>
      <c r="D725" s="1297"/>
      <c r="E725" s="1297"/>
      <c r="F725" s="1297"/>
      <c r="H725" s="535"/>
      <c r="I725" s="517"/>
      <c r="J725" s="535"/>
      <c r="K725" s="535"/>
    </row>
    <row r="726" spans="1:11">
      <c r="A726" s="517"/>
      <c r="B726" s="517"/>
      <c r="C726" s="517"/>
      <c r="H726" s="535"/>
      <c r="I726" s="517"/>
      <c r="J726" s="535"/>
      <c r="K726" s="535"/>
    </row>
    <row r="727" spans="1:11" ht="14.25">
      <c r="A727" s="518"/>
      <c r="B727" s="519" t="s">
        <v>2803</v>
      </c>
      <c r="C727" s="517"/>
      <c r="D727" s="1297" t="s">
        <v>1130</v>
      </c>
      <c r="E727" s="1297"/>
      <c r="F727" s="1297"/>
      <c r="H727" s="535"/>
      <c r="I727" s="517" t="s">
        <v>2108</v>
      </c>
      <c r="J727" s="535"/>
      <c r="K727" s="535"/>
    </row>
    <row r="728" spans="1:11">
      <c r="A728" s="517"/>
      <c r="B728" s="517"/>
      <c r="C728" s="517"/>
      <c r="D728" s="1297"/>
      <c r="E728" s="1297"/>
      <c r="F728" s="1297"/>
      <c r="H728" s="535"/>
      <c r="I728" s="517"/>
      <c r="J728" s="535"/>
      <c r="K728" s="535"/>
    </row>
    <row r="729" spans="1:11">
      <c r="A729" s="517"/>
      <c r="B729" s="517"/>
      <c r="C729" s="517"/>
      <c r="D729" s="1297"/>
      <c r="E729" s="1297"/>
      <c r="F729" s="1297"/>
      <c r="H729" s="535"/>
      <c r="I729" s="517"/>
      <c r="J729" s="535"/>
      <c r="K729" s="535"/>
    </row>
    <row r="730" spans="1:11">
      <c r="A730" s="517"/>
      <c r="B730" s="517"/>
      <c r="C730" s="517"/>
      <c r="D730" s="1297"/>
      <c r="E730" s="1297"/>
      <c r="F730" s="1297"/>
      <c r="H730" s="535"/>
      <c r="I730" s="517"/>
      <c r="J730" s="535"/>
      <c r="K730" s="535"/>
    </row>
    <row r="731" spans="1:11">
      <c r="A731" s="517"/>
      <c r="B731" s="517"/>
      <c r="C731" s="517"/>
      <c r="D731" s="526"/>
      <c r="H731" s="535"/>
      <c r="I731" s="517"/>
      <c r="J731" s="535"/>
      <c r="K731" s="535"/>
    </row>
    <row r="732" spans="1:11" ht="14.25">
      <c r="A732" s="518"/>
      <c r="B732" s="519" t="s">
        <v>2803</v>
      </c>
      <c r="C732" s="517"/>
      <c r="D732" s="1297" t="s">
        <v>2505</v>
      </c>
      <c r="E732" s="1297"/>
      <c r="F732" s="1297"/>
      <c r="H732" s="535"/>
      <c r="I732" s="517" t="s">
        <v>2124</v>
      </c>
      <c r="J732" s="535"/>
      <c r="K732" s="535"/>
    </row>
    <row r="733" spans="1:11">
      <c r="A733" s="517"/>
      <c r="B733" s="517"/>
      <c r="C733" s="517"/>
      <c r="D733" s="1297"/>
      <c r="E733" s="1297"/>
      <c r="F733" s="1297"/>
      <c r="H733" s="535"/>
      <c r="I733" s="517"/>
      <c r="J733" s="535"/>
      <c r="K733" s="535"/>
    </row>
    <row r="734" spans="1:11">
      <c r="A734" s="517"/>
      <c r="B734" s="517"/>
      <c r="C734" s="517"/>
      <c r="D734" s="1297"/>
      <c r="E734" s="1297"/>
      <c r="F734" s="1297"/>
      <c r="H734" s="535"/>
      <c r="I734" s="517"/>
      <c r="J734" s="535"/>
      <c r="K734" s="535"/>
    </row>
    <row r="735" spans="1:11">
      <c r="A735" s="517"/>
      <c r="B735" s="517"/>
      <c r="C735" s="517"/>
      <c r="D735" s="1297"/>
      <c r="E735" s="1297"/>
      <c r="F735" s="1297"/>
      <c r="H735" s="535"/>
      <c r="I735" s="517"/>
      <c r="J735" s="535"/>
      <c r="K735" s="535"/>
    </row>
    <row r="736" spans="1:11">
      <c r="A736" s="517"/>
      <c r="B736" s="517"/>
      <c r="C736" s="517"/>
      <c r="D736" s="1297"/>
      <c r="E736" s="1297"/>
      <c r="F736" s="1297"/>
      <c r="H736" s="535"/>
      <c r="I736" s="517"/>
      <c r="J736" s="535"/>
      <c r="K736" s="535"/>
    </row>
    <row r="737" spans="1:11">
      <c r="A737" s="517"/>
      <c r="B737" s="517"/>
      <c r="C737" s="517"/>
      <c r="D737" s="1297"/>
      <c r="E737" s="1297"/>
      <c r="F737" s="1297"/>
      <c r="H737" s="535"/>
      <c r="I737" s="517"/>
      <c r="J737" s="535"/>
      <c r="K737" s="535"/>
    </row>
    <row r="738" spans="1:11">
      <c r="A738" s="517"/>
      <c r="B738" s="517"/>
      <c r="C738" s="517"/>
      <c r="D738" s="1297"/>
      <c r="E738" s="1297"/>
      <c r="F738" s="1297"/>
      <c r="H738" s="535"/>
      <c r="I738" s="517"/>
      <c r="J738" s="535"/>
      <c r="K738" s="535"/>
    </row>
    <row r="739" spans="1:11">
      <c r="A739" s="517"/>
      <c r="B739" s="517"/>
      <c r="C739" s="517"/>
      <c r="D739" s="1314" t="s">
        <v>2391</v>
      </c>
      <c r="E739" s="1314"/>
      <c r="F739" s="1314"/>
      <c r="H739" s="535"/>
      <c r="I739" s="517"/>
      <c r="J739" s="535"/>
      <c r="K739" s="535"/>
    </row>
    <row r="740" spans="1:11">
      <c r="A740" s="517"/>
      <c r="B740" s="517"/>
      <c r="C740" s="517"/>
      <c r="D740" s="369"/>
      <c r="H740" s="535"/>
      <c r="I740" s="517"/>
      <c r="J740" s="535"/>
      <c r="K740" s="535"/>
    </row>
    <row r="741" spans="1:11">
      <c r="A741" s="1316" t="s">
        <v>1088</v>
      </c>
      <c r="B741" s="1316"/>
      <c r="C741" s="1316"/>
      <c r="D741" s="1316"/>
      <c r="E741" s="1316"/>
      <c r="F741" s="1316"/>
      <c r="G741" s="1316"/>
      <c r="H741" s="1065"/>
      <c r="I741" s="1263"/>
      <c r="J741" s="535"/>
      <c r="K741" s="535"/>
    </row>
    <row r="742" spans="1:11">
      <c r="A742" s="517"/>
      <c r="B742" s="517"/>
      <c r="C742" s="517"/>
      <c r="D742" s="526"/>
      <c r="G742" s="535"/>
      <c r="H742" s="535"/>
      <c r="I742" s="517"/>
      <c r="J742" s="535"/>
      <c r="K742" s="535"/>
    </row>
    <row r="743" spans="1:11" ht="13.7" customHeight="1">
      <c r="C743" s="517"/>
      <c r="D743" s="1299" t="s">
        <v>1104</v>
      </c>
      <c r="E743" s="1299"/>
      <c r="F743" s="1299"/>
      <c r="G743" s="535"/>
      <c r="H743" s="535"/>
      <c r="I743" s="517"/>
      <c r="J743" s="535"/>
      <c r="K743" s="535"/>
    </row>
    <row r="744" spans="1:11">
      <c r="A744" s="517"/>
      <c r="B744" s="517"/>
      <c r="C744" s="517"/>
      <c r="D744" s="1300" t="s">
        <v>1105</v>
      </c>
      <c r="E744" s="1300"/>
      <c r="F744" s="1300"/>
      <c r="G744" s="535"/>
      <c r="H744" s="535"/>
      <c r="I744" s="517"/>
      <c r="J744" s="535"/>
      <c r="K744" s="535"/>
    </row>
    <row r="745" spans="1:11">
      <c r="A745" s="517"/>
      <c r="B745" s="517"/>
      <c r="C745" s="517"/>
      <c r="G745" s="535"/>
      <c r="H745" s="535"/>
      <c r="I745" s="517"/>
      <c r="J745" s="535"/>
      <c r="K745" s="535"/>
    </row>
    <row r="746" spans="1:11" ht="14.25">
      <c r="A746" s="518"/>
      <c r="B746" s="519" t="s">
        <v>2802</v>
      </c>
      <c r="D746" s="1297" t="s">
        <v>1106</v>
      </c>
      <c r="E746" s="1297"/>
      <c r="F746" s="1297"/>
      <c r="G746" s="535"/>
      <c r="H746" s="535"/>
      <c r="I746" s="517" t="s">
        <v>2109</v>
      </c>
      <c r="J746" s="535"/>
      <c r="K746" s="535"/>
    </row>
    <row r="747" spans="1:11" ht="10.5" customHeight="1">
      <c r="D747" s="1297"/>
      <c r="E747" s="1297"/>
      <c r="F747" s="1297"/>
      <c r="G747" s="535"/>
      <c r="H747" s="535"/>
      <c r="I747" s="517"/>
      <c r="J747" s="535"/>
      <c r="K747" s="535"/>
    </row>
    <row r="748" spans="1:11">
      <c r="D748" s="1297"/>
      <c r="E748" s="1297"/>
      <c r="F748" s="1297"/>
      <c r="G748" s="535"/>
      <c r="H748" s="535"/>
      <c r="I748" s="517"/>
      <c r="J748" s="535"/>
      <c r="K748" s="535"/>
    </row>
    <row r="749" spans="1:11">
      <c r="D749" s="1297"/>
      <c r="E749" s="1297"/>
      <c r="F749" s="1297"/>
      <c r="G749" s="535"/>
      <c r="H749" s="535"/>
      <c r="I749" s="517"/>
      <c r="J749" s="535"/>
      <c r="K749" s="535"/>
    </row>
    <row r="750" spans="1:11">
      <c r="D750" s="1297"/>
      <c r="E750" s="1297"/>
      <c r="F750" s="1297"/>
      <c r="G750" s="535"/>
      <c r="H750" s="535"/>
      <c r="I750" s="517"/>
      <c r="J750" s="535"/>
      <c r="K750" s="535"/>
    </row>
    <row r="751" spans="1:11" ht="15.6" customHeight="1">
      <c r="D751" s="1297"/>
      <c r="E751" s="1297"/>
      <c r="F751" s="1297"/>
      <c r="G751" s="535"/>
      <c r="H751" s="535"/>
      <c r="I751" s="517"/>
      <c r="J751" s="535"/>
      <c r="K751" s="535"/>
    </row>
    <row r="752" spans="1:11">
      <c r="D752" s="533"/>
      <c r="E752" s="480"/>
      <c r="F752" s="480"/>
      <c r="G752" s="535"/>
      <c r="H752" s="535"/>
      <c r="I752" s="517"/>
      <c r="J752" s="535"/>
      <c r="K752" s="535"/>
    </row>
    <row r="753" spans="1:11" s="539" customFormat="1" ht="14.25">
      <c r="A753" s="537"/>
      <c r="B753" s="519" t="s">
        <v>2802</v>
      </c>
      <c r="C753" s="538"/>
      <c r="D753" s="1297" t="s">
        <v>1348</v>
      </c>
      <c r="E753" s="1297"/>
      <c r="F753" s="1297"/>
      <c r="I753" s="1264" t="s">
        <v>2109</v>
      </c>
    </row>
    <row r="754" spans="1:11" s="539" customFormat="1">
      <c r="A754" s="538"/>
      <c r="B754" s="538"/>
      <c r="C754" s="538"/>
      <c r="D754" s="1297"/>
      <c r="E754" s="1297"/>
      <c r="F754" s="1297"/>
      <c r="I754" s="1264"/>
    </row>
    <row r="755" spans="1:11" s="539" customFormat="1">
      <c r="A755" s="538"/>
      <c r="B755" s="538"/>
      <c r="C755" s="538"/>
      <c r="D755" s="1297"/>
      <c r="E755" s="1297"/>
      <c r="F755" s="1297"/>
      <c r="I755" s="1264"/>
    </row>
    <row r="756" spans="1:11" s="539" customFormat="1">
      <c r="A756" s="538"/>
      <c r="B756" s="538"/>
      <c r="C756" s="538"/>
      <c r="D756" s="1297"/>
      <c r="E756" s="1297"/>
      <c r="F756" s="1297"/>
      <c r="I756" s="1264"/>
    </row>
    <row r="757" spans="1:11" s="539" customFormat="1">
      <c r="A757" s="538"/>
      <c r="B757" s="538"/>
      <c r="C757" s="538"/>
      <c r="D757" s="533"/>
      <c r="I757" s="1264"/>
    </row>
    <row r="758" spans="1:11" s="539" customFormat="1" ht="14.25">
      <c r="A758" s="518"/>
      <c r="B758" s="519" t="s">
        <v>2803</v>
      </c>
      <c r="C758" s="538"/>
      <c r="D758" s="1295" t="s">
        <v>1349</v>
      </c>
      <c r="E758" s="1295"/>
      <c r="F758" s="1295"/>
      <c r="I758" s="1264" t="s">
        <v>2110</v>
      </c>
    </row>
    <row r="759" spans="1:11" s="539" customFormat="1">
      <c r="A759" s="538"/>
      <c r="B759" s="538"/>
      <c r="C759" s="538"/>
      <c r="D759" s="1295"/>
      <c r="E759" s="1295"/>
      <c r="F759" s="1295"/>
      <c r="I759" s="1264"/>
    </row>
    <row r="760" spans="1:11" s="539" customFormat="1">
      <c r="A760" s="538"/>
      <c r="B760" s="538"/>
      <c r="C760" s="538"/>
      <c r="D760" s="1295"/>
      <c r="E760" s="1295"/>
      <c r="F760" s="1295"/>
      <c r="I760" s="1264"/>
    </row>
    <row r="761" spans="1:11">
      <c r="D761" s="533"/>
      <c r="E761" s="480"/>
      <c r="F761" s="480"/>
      <c r="G761" s="535"/>
      <c r="H761" s="535"/>
      <c r="I761" s="517"/>
      <c r="J761" s="535"/>
      <c r="K761" s="535"/>
    </row>
    <row r="762" spans="1:11" ht="14.25">
      <c r="A762" s="518"/>
      <c r="B762" s="519" t="s">
        <v>2803</v>
      </c>
      <c r="D762" s="1297" t="s">
        <v>1304</v>
      </c>
      <c r="E762" s="1297"/>
      <c r="F762" s="1297"/>
      <c r="G762" s="535"/>
      <c r="H762" s="535"/>
      <c r="I762" s="517" t="s">
        <v>2109</v>
      </c>
      <c r="J762" s="535"/>
      <c r="K762" s="535"/>
    </row>
    <row r="763" spans="1:11">
      <c r="D763" s="1297"/>
      <c r="E763" s="1297"/>
      <c r="F763" s="1297"/>
      <c r="G763" s="535"/>
      <c r="H763" s="535"/>
      <c r="I763" s="517"/>
      <c r="J763" s="535"/>
      <c r="K763" s="535"/>
    </row>
    <row r="764" spans="1:11">
      <c r="D764" s="479"/>
      <c r="E764" s="479"/>
      <c r="F764" s="479"/>
      <c r="G764" s="535"/>
      <c r="H764" s="535"/>
      <c r="I764" s="517"/>
      <c r="J764" s="535"/>
      <c r="K764" s="535"/>
    </row>
    <row r="765" spans="1:11">
      <c r="B765" s="519" t="s">
        <v>2803</v>
      </c>
      <c r="D765" s="1297" t="s">
        <v>1321</v>
      </c>
      <c r="E765" s="1297"/>
      <c r="F765" s="1297"/>
      <c r="G765" s="535"/>
      <c r="H765" s="535"/>
      <c r="I765" s="517" t="s">
        <v>2109</v>
      </c>
      <c r="J765" s="535"/>
      <c r="K765" s="535"/>
    </row>
    <row r="766" spans="1:11">
      <c r="D766" s="1297"/>
      <c r="E766" s="1297"/>
      <c r="F766" s="1297"/>
      <c r="G766" s="535"/>
      <c r="H766" s="535"/>
      <c r="I766" s="517"/>
      <c r="J766" s="535"/>
      <c r="K766" s="535"/>
    </row>
    <row r="767" spans="1:11">
      <c r="D767" s="1297"/>
      <c r="E767" s="1297"/>
      <c r="F767" s="1297"/>
      <c r="G767" s="535"/>
      <c r="H767" s="535"/>
      <c r="I767" s="517"/>
      <c r="J767" s="535"/>
      <c r="K767" s="535"/>
    </row>
    <row r="768" spans="1:11">
      <c r="D768" s="479"/>
      <c r="E768" s="479"/>
      <c r="F768" s="479"/>
      <c r="G768" s="535"/>
      <c r="H768" s="535"/>
      <c r="I768" s="517"/>
      <c r="J768" s="535"/>
      <c r="K768" s="535"/>
    </row>
    <row r="769" spans="1:9">
      <c r="A769" s="1349" t="s">
        <v>1992</v>
      </c>
      <c r="B769" s="1349"/>
      <c r="C769" s="1349"/>
      <c r="D769" s="1349"/>
      <c r="E769" s="1349"/>
      <c r="F769" s="1349"/>
      <c r="G769" s="1349"/>
      <c r="H769" s="1063"/>
      <c r="I769" s="1259"/>
    </row>
    <row r="770" spans="1:9">
      <c r="A770" s="57"/>
      <c r="B770" s="57"/>
      <c r="C770" s="385"/>
      <c r="D770" s="3"/>
      <c r="E770" s="3"/>
      <c r="F770" s="3"/>
      <c r="G770" s="3"/>
      <c r="I770" s="524"/>
    </row>
    <row r="771" spans="1:9">
      <c r="A771" s="57"/>
      <c r="B771" s="57"/>
      <c r="C771" s="385"/>
      <c r="D771" s="1338" t="s">
        <v>2046</v>
      </c>
      <c r="E771" s="1338"/>
      <c r="F771" s="1338"/>
      <c r="G771" s="3"/>
      <c r="I771" s="524"/>
    </row>
    <row r="772" spans="1:9">
      <c r="A772" s="57"/>
      <c r="B772" s="57"/>
      <c r="C772" s="385"/>
      <c r="D772" s="1283" t="s">
        <v>1945</v>
      </c>
      <c r="E772" s="1283"/>
      <c r="F772" s="1283"/>
      <c r="G772" s="3"/>
      <c r="I772" s="524"/>
    </row>
    <row r="773" spans="1:9">
      <c r="A773" s="57"/>
      <c r="B773" s="57"/>
      <c r="C773" s="385"/>
      <c r="D773" s="481"/>
      <c r="E773" s="481"/>
      <c r="F773" s="481"/>
      <c r="G773" s="3"/>
      <c r="I773" s="524"/>
    </row>
    <row r="774" spans="1:9">
      <c r="A774" s="57"/>
      <c r="B774" s="519" t="s">
        <v>2802</v>
      </c>
      <c r="C774" s="385"/>
      <c r="D774" s="1310" t="s">
        <v>1946</v>
      </c>
      <c r="E774" s="1310"/>
      <c r="F774" s="1310"/>
      <c r="G774" s="3"/>
      <c r="I774" s="517" t="s">
        <v>2159</v>
      </c>
    </row>
    <row r="775" spans="1:9">
      <c r="A775" s="57"/>
      <c r="B775" s="57"/>
      <c r="C775" s="385"/>
      <c r="D775" s="1310"/>
      <c r="E775" s="1310"/>
      <c r="F775" s="1310"/>
      <c r="G775" s="3"/>
      <c r="I775" s="524"/>
    </row>
    <row r="776" spans="1:9">
      <c r="A776" s="175"/>
      <c r="B776" s="175"/>
      <c r="C776" s="175"/>
      <c r="D776" s="1310"/>
      <c r="E776" s="1310"/>
      <c r="F776" s="1310"/>
      <c r="G776" s="118"/>
      <c r="I776" s="524"/>
    </row>
    <row r="777" spans="1:9">
      <c r="A777" s="385"/>
      <c r="B777" s="385"/>
      <c r="C777" s="385"/>
      <c r="D777" s="174"/>
      <c r="E777" s="3"/>
      <c r="F777" s="3"/>
      <c r="G777" s="3"/>
      <c r="I777" s="524"/>
    </row>
    <row r="778" spans="1:9">
      <c r="A778" s="172"/>
      <c r="B778" s="519" t="s">
        <v>2803</v>
      </c>
      <c r="C778" s="172"/>
      <c r="D778" s="1310" t="s">
        <v>1947</v>
      </c>
      <c r="E778" s="1310"/>
      <c r="F778" s="1310"/>
      <c r="G778" s="3"/>
      <c r="I778" s="517" t="s">
        <v>2159</v>
      </c>
    </row>
    <row r="779" spans="1:9">
      <c r="A779" s="172"/>
      <c r="B779" s="172"/>
      <c r="C779" s="172"/>
      <c r="D779" s="1310"/>
      <c r="E779" s="1310"/>
      <c r="F779" s="1310"/>
      <c r="G779" s="3"/>
      <c r="I779" s="524"/>
    </row>
    <row r="780" spans="1:9">
      <c r="A780" s="172"/>
      <c r="B780" s="172"/>
      <c r="C780" s="172"/>
      <c r="D780" s="1310"/>
      <c r="E780" s="1310"/>
      <c r="F780" s="1310"/>
      <c r="G780" s="3"/>
      <c r="I780" s="524"/>
    </row>
    <row r="781" spans="1:9">
      <c r="A781" s="175"/>
      <c r="B781" s="175"/>
      <c r="C781" s="175"/>
      <c r="D781" s="3"/>
      <c r="E781" s="1023"/>
      <c r="F781" s="1023"/>
      <c r="G781" s="1023"/>
      <c r="I781" s="524"/>
    </row>
    <row r="782" spans="1:9" ht="14.25">
      <c r="A782" s="176"/>
      <c r="B782" s="519" t="s">
        <v>2803</v>
      </c>
      <c r="C782" s="1024"/>
      <c r="D782" s="1310" t="s">
        <v>1948</v>
      </c>
      <c r="E782" s="1310"/>
      <c r="F782" s="1310"/>
      <c r="G782" s="1023"/>
      <c r="I782" s="517" t="s">
        <v>2159</v>
      </c>
    </row>
    <row r="783" spans="1:9" ht="14.25">
      <c r="A783" s="176"/>
      <c r="B783" s="176"/>
      <c r="C783" s="1024"/>
      <c r="D783" s="1310"/>
      <c r="E783" s="1310"/>
      <c r="F783" s="1310"/>
      <c r="G783" s="1023"/>
      <c r="I783" s="524"/>
    </row>
    <row r="784" spans="1:9" ht="14.25">
      <c r="A784" s="176"/>
      <c r="B784" s="176"/>
      <c r="C784" s="1024"/>
      <c r="D784" s="1310"/>
      <c r="E784" s="1310"/>
      <c r="F784" s="1310"/>
      <c r="G784" s="1023"/>
      <c r="I784" s="524"/>
    </row>
    <row r="785" spans="1:9" ht="14.25">
      <c r="A785" s="176"/>
      <c r="B785" s="176"/>
      <c r="C785" s="1024"/>
      <c r="D785" s="118"/>
      <c r="E785" s="3"/>
      <c r="F785" s="3"/>
      <c r="G785" s="1023"/>
      <c r="I785" s="524"/>
    </row>
    <row r="786" spans="1:9" ht="14.25">
      <c r="A786" s="176"/>
      <c r="B786" s="519" t="s">
        <v>2803</v>
      </c>
      <c r="C786" s="1024"/>
      <c r="D786" s="1310" t="s">
        <v>1949</v>
      </c>
      <c r="E786" s="1310"/>
      <c r="F786" s="1310"/>
      <c r="G786" s="1023"/>
      <c r="I786" s="517" t="s">
        <v>2159</v>
      </c>
    </row>
    <row r="787" spans="1:9" ht="14.25">
      <c r="A787" s="176"/>
      <c r="B787" s="176"/>
      <c r="C787" s="1024"/>
      <c r="D787" s="1310"/>
      <c r="E787" s="1310"/>
      <c r="F787" s="1310"/>
      <c r="G787" s="1023"/>
      <c r="I787" s="524"/>
    </row>
    <row r="788" spans="1:9" ht="14.25">
      <c r="A788" s="176"/>
      <c r="B788" s="176"/>
      <c r="C788" s="1024"/>
      <c r="D788" s="1310"/>
      <c r="E788" s="1310"/>
      <c r="F788" s="1310"/>
      <c r="G788" s="1023"/>
      <c r="I788" s="524"/>
    </row>
    <row r="789" spans="1:9" ht="14.25">
      <c r="A789" s="176"/>
      <c r="B789" s="176"/>
      <c r="C789" s="1024"/>
      <c r="D789" s="1310"/>
      <c r="E789" s="1310"/>
      <c r="F789" s="1310"/>
      <c r="G789" s="1023"/>
      <c r="I789" s="524"/>
    </row>
    <row r="790" spans="1:9" ht="14.25">
      <c r="A790" s="176"/>
      <c r="B790" s="176"/>
      <c r="C790" s="1024"/>
      <c r="D790" s="1310"/>
      <c r="E790" s="1310"/>
      <c r="F790" s="1310"/>
      <c r="G790" s="1023"/>
      <c r="I790" s="524"/>
    </row>
    <row r="791" spans="1:9" ht="14.25">
      <c r="A791" s="176"/>
      <c r="B791" s="176"/>
      <c r="C791" s="1024"/>
      <c r="D791" s="1310"/>
      <c r="E791" s="1310"/>
      <c r="F791" s="1310"/>
      <c r="G791" s="1023"/>
      <c r="I791" s="524"/>
    </row>
    <row r="792" spans="1:9" ht="14.25">
      <c r="A792" s="176"/>
      <c r="B792" s="176"/>
      <c r="C792" s="1024"/>
      <c r="D792" s="1310" t="s">
        <v>1993</v>
      </c>
      <c r="E792" s="1310"/>
      <c r="F792" s="1310"/>
      <c r="G792" s="1023"/>
      <c r="I792" s="524"/>
    </row>
    <row r="793" spans="1:9" ht="14.25">
      <c r="A793" s="176"/>
      <c r="B793" s="176"/>
      <c r="C793" s="1024"/>
      <c r="D793" s="1310"/>
      <c r="E793" s="1310"/>
      <c r="F793" s="1310"/>
      <c r="G793" s="1023"/>
      <c r="I793" s="524"/>
    </row>
    <row r="794" spans="1:9" ht="14.25">
      <c r="A794" s="176"/>
      <c r="B794" s="176"/>
      <c r="C794" s="1024"/>
      <c r="D794" s="1310"/>
      <c r="E794" s="1310"/>
      <c r="F794" s="1310"/>
      <c r="G794" s="1023"/>
      <c r="I794" s="524"/>
    </row>
    <row r="795" spans="1:9" ht="14.25">
      <c r="A795" s="176"/>
      <c r="B795" s="385"/>
      <c r="C795" s="1024"/>
      <c r="D795" s="1025"/>
      <c r="E795" s="1025"/>
      <c r="F795" s="1025"/>
      <c r="G795" s="1023"/>
      <c r="I795" s="524"/>
    </row>
    <row r="796" spans="1:9" ht="14.25">
      <c r="A796" s="176"/>
      <c r="B796" s="519" t="s">
        <v>2803</v>
      </c>
      <c r="C796" s="1024"/>
      <c r="D796" s="1310" t="s">
        <v>1950</v>
      </c>
      <c r="E796" s="1310"/>
      <c r="F796" s="1310"/>
      <c r="G796" s="1023"/>
      <c r="I796" s="517" t="s">
        <v>2159</v>
      </c>
    </row>
    <row r="797" spans="1:9" ht="14.25">
      <c r="A797" s="176"/>
      <c r="B797" s="176"/>
      <c r="C797" s="1024"/>
      <c r="D797" s="1310"/>
      <c r="E797" s="1310"/>
      <c r="F797" s="1310"/>
      <c r="G797" s="1023"/>
      <c r="I797" s="524"/>
    </row>
    <row r="798" spans="1:9" ht="14.25">
      <c r="A798" s="176"/>
      <c r="B798" s="176"/>
      <c r="C798" s="1024"/>
      <c r="D798" s="1310"/>
      <c r="E798" s="1310"/>
      <c r="F798" s="1310"/>
      <c r="G798" s="1023"/>
      <c r="I798" s="524"/>
    </row>
    <row r="799" spans="1:9" ht="14.25">
      <c r="A799" s="176"/>
      <c r="B799" s="176"/>
      <c r="C799" s="1024"/>
      <c r="D799" s="1310"/>
      <c r="E799" s="1310"/>
      <c r="F799" s="1310"/>
      <c r="G799" s="1023"/>
      <c r="I799" s="524"/>
    </row>
    <row r="800" spans="1:9" ht="14.25">
      <c r="A800" s="176"/>
      <c r="B800" s="176"/>
      <c r="C800" s="1024"/>
      <c r="D800" s="1310"/>
      <c r="E800" s="1310"/>
      <c r="F800" s="1310"/>
      <c r="G800" s="1023"/>
      <c r="I800" s="524"/>
    </row>
    <row r="801" spans="1:9" ht="14.25">
      <c r="A801" s="176"/>
      <c r="B801" s="176"/>
      <c r="C801" s="1024"/>
      <c r="D801" s="1310"/>
      <c r="E801" s="1310"/>
      <c r="F801" s="1310"/>
      <c r="G801" s="1023"/>
      <c r="I801" s="524"/>
    </row>
    <row r="802" spans="1:9" ht="14.25">
      <c r="A802" s="176"/>
      <c r="B802" s="176"/>
      <c r="C802" s="1024"/>
      <c r="D802" s="1017"/>
      <c r="E802" s="1017"/>
      <c r="F802" s="1017"/>
      <c r="G802" s="1023"/>
      <c r="I802" s="524"/>
    </row>
    <row r="803" spans="1:9" ht="14.25">
      <c r="A803" s="176"/>
      <c r="B803" s="519" t="s">
        <v>2802</v>
      </c>
      <c r="C803" s="1024"/>
      <c r="D803" s="1310" t="s">
        <v>1951</v>
      </c>
      <c r="E803" s="1310"/>
      <c r="F803" s="1310"/>
      <c r="G803" s="1023"/>
      <c r="I803" s="517" t="s">
        <v>2159</v>
      </c>
    </row>
    <row r="804" spans="1:9" ht="14.25">
      <c r="A804" s="176"/>
      <c r="B804" s="176"/>
      <c r="C804" s="1024"/>
      <c r="D804" s="1310"/>
      <c r="E804" s="1310"/>
      <c r="F804" s="1310"/>
      <c r="G804" s="1023"/>
      <c r="I804" s="524"/>
    </row>
    <row r="805" spans="1:9" ht="14.25">
      <c r="A805" s="176"/>
      <c r="B805" s="176"/>
      <c r="C805" s="1024"/>
      <c r="D805" s="1310"/>
      <c r="E805" s="1310"/>
      <c r="F805" s="1310"/>
      <c r="G805" s="1023"/>
      <c r="I805" s="524"/>
    </row>
    <row r="806" spans="1:9" ht="14.25">
      <c r="A806" s="176"/>
      <c r="B806" s="176"/>
      <c r="C806" s="1024"/>
      <c r="D806" s="1310"/>
      <c r="E806" s="1310"/>
      <c r="F806" s="1310"/>
      <c r="G806" s="1023"/>
      <c r="I806" s="524"/>
    </row>
    <row r="807" spans="1:9" ht="14.25">
      <c r="A807" s="176"/>
      <c r="B807" s="176"/>
      <c r="C807" s="1024"/>
      <c r="D807" s="1310"/>
      <c r="E807" s="1310"/>
      <c r="F807" s="1310"/>
      <c r="G807" s="1023"/>
      <c r="I807" s="524"/>
    </row>
    <row r="808" spans="1:9" ht="14.25">
      <c r="A808" s="176"/>
      <c r="B808" s="176"/>
      <c r="C808" s="1024"/>
      <c r="D808" s="1310"/>
      <c r="E808" s="1310"/>
      <c r="F808" s="1310"/>
      <c r="G808" s="1023"/>
      <c r="I808" s="524"/>
    </row>
    <row r="809" spans="1:9" ht="14.25">
      <c r="A809" s="176"/>
      <c r="B809" s="176"/>
      <c r="C809" s="1024"/>
      <c r="D809" s="1017"/>
      <c r="E809" s="1017"/>
      <c r="F809" s="1017"/>
      <c r="G809" s="1023"/>
      <c r="I809" s="524"/>
    </row>
    <row r="810" spans="1:9" ht="14.25">
      <c r="A810" s="176"/>
      <c r="B810" s="519" t="s">
        <v>2803</v>
      </c>
      <c r="C810" s="1024"/>
      <c r="D810" s="1307" t="s">
        <v>1952</v>
      </c>
      <c r="E810" s="1307"/>
      <c r="F810" s="1307"/>
      <c r="G810" s="1023"/>
      <c r="I810" s="517" t="s">
        <v>2159</v>
      </c>
    </row>
    <row r="811" spans="1:9" ht="14.25">
      <c r="A811" s="176"/>
      <c r="B811" s="176"/>
      <c r="C811" s="1024"/>
      <c r="D811" s="1307"/>
      <c r="E811" s="1307"/>
      <c r="F811" s="1307"/>
      <c r="G811" s="1023"/>
      <c r="I811" s="524"/>
    </row>
    <row r="812" spans="1:9">
      <c r="A812" s="13"/>
      <c r="B812" s="13"/>
      <c r="C812" s="1024"/>
      <c r="D812" s="1307"/>
      <c r="E812" s="1307"/>
      <c r="F812" s="1307"/>
      <c r="G812" s="1023"/>
      <c r="I812" s="524"/>
    </row>
    <row r="813" spans="1:9" ht="14.25">
      <c r="A813" s="176"/>
      <c r="B813" s="13"/>
      <c r="C813" s="1024"/>
      <c r="D813" s="1307"/>
      <c r="E813" s="1307"/>
      <c r="F813" s="1307"/>
      <c r="G813" s="1023"/>
      <c r="I813" s="524"/>
    </row>
    <row r="814" spans="1:9" ht="12.75" customHeight="1">
      <c r="A814" s="176"/>
      <c r="B814" s="13"/>
      <c r="C814" s="1024"/>
      <c r="D814" s="1307"/>
      <c r="E814" s="1307"/>
      <c r="F814" s="1307"/>
      <c r="G814" s="1023"/>
      <c r="I814" s="524"/>
    </row>
    <row r="815" spans="1:9" ht="12.75" customHeight="1">
      <c r="A815" s="176"/>
      <c r="B815" s="13"/>
      <c r="C815" s="1024"/>
      <c r="D815" s="1307"/>
      <c r="E815" s="1307"/>
      <c r="F815" s="1307"/>
      <c r="G815" s="1023"/>
      <c r="I815" s="524"/>
    </row>
    <row r="816" spans="1:9" ht="12.75" customHeight="1">
      <c r="A816" s="13"/>
      <c r="B816" s="13"/>
      <c r="C816" s="1024"/>
      <c r="D816" s="1023"/>
      <c r="E816" s="3"/>
      <c r="F816" s="3"/>
      <c r="G816" s="1023"/>
      <c r="I816" s="524"/>
    </row>
    <row r="817" spans="1:9" ht="12.75" customHeight="1">
      <c r="A817" s="1315" t="s">
        <v>1953</v>
      </c>
      <c r="B817" s="1315"/>
      <c r="C817" s="1315"/>
      <c r="D817" s="1315"/>
      <c r="E817" s="1315"/>
      <c r="F817" s="1315"/>
      <c r="G817" s="1315"/>
      <c r="H817" s="1063"/>
      <c r="I817" s="1259"/>
    </row>
    <row r="818" spans="1:9" ht="12.75" customHeight="1">
      <c r="A818" s="172"/>
      <c r="B818" s="172"/>
      <c r="C818" s="1024"/>
      <c r="D818" s="1023"/>
      <c r="E818" s="1023"/>
      <c r="F818" s="1023"/>
      <c r="G818" s="1023"/>
      <c r="I818" s="524"/>
    </row>
    <row r="819" spans="1:9" ht="12.75" customHeight="1">
      <c r="A819" s="176"/>
      <c r="B819" s="176"/>
      <c r="C819" s="385"/>
      <c r="D819" s="1303" t="s">
        <v>1994</v>
      </c>
      <c r="E819" s="1303"/>
      <c r="F819" s="1303"/>
      <c r="G819" s="3"/>
      <c r="I819" s="524"/>
    </row>
    <row r="820" spans="1:9" ht="14.25" customHeight="1">
      <c r="A820" s="176"/>
      <c r="B820" s="176"/>
      <c r="C820" s="385"/>
      <c r="D820" s="1270" t="s">
        <v>1954</v>
      </c>
      <c r="E820" s="1270"/>
      <c r="F820" s="1270"/>
      <c r="G820" s="3"/>
      <c r="I820" s="524"/>
    </row>
    <row r="821" spans="1:9" ht="12.75" customHeight="1">
      <c r="A821" s="176"/>
      <c r="B821" s="176"/>
      <c r="C821" s="385"/>
      <c r="D821" s="474"/>
      <c r="E821" s="474"/>
      <c r="F821" s="474"/>
      <c r="G821" s="3"/>
      <c r="I821" s="524"/>
    </row>
    <row r="822" spans="1:9" ht="12.75" customHeight="1">
      <c r="A822" s="385"/>
      <c r="B822" s="519" t="s">
        <v>2802</v>
      </c>
      <c r="C822" s="1024"/>
      <c r="D822" s="1270" t="s">
        <v>1955</v>
      </c>
      <c r="E822" s="1270"/>
      <c r="F822" s="1270"/>
      <c r="G822" s="3"/>
      <c r="I822" s="524" t="s">
        <v>2127</v>
      </c>
    </row>
    <row r="823" spans="1:9" ht="14.25" customHeight="1">
      <c r="A823" s="13"/>
      <c r="B823" s="13"/>
      <c r="C823" s="1024"/>
      <c r="E823" s="1071" t="s">
        <v>2196</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0" t="s">
        <v>2392</v>
      </c>
      <c r="E825" s="1340"/>
      <c r="F825" s="1340"/>
      <c r="G825" s="3"/>
      <c r="I825" s="524"/>
    </row>
    <row r="826" spans="1:9" ht="12.75" hidden="1" customHeight="1">
      <c r="A826" s="13"/>
      <c r="B826" s="13"/>
      <c r="C826" s="1024"/>
      <c r="D826" s="1340"/>
      <c r="E826" s="1340"/>
      <c r="F826" s="1340"/>
      <c r="G826" s="3"/>
      <c r="I826" s="524"/>
    </row>
    <row r="827" spans="1:9" ht="12.75" hidden="1" customHeight="1">
      <c r="A827" s="13"/>
      <c r="B827" s="13"/>
      <c r="C827" s="1024"/>
      <c r="D827" s="1340"/>
      <c r="E827" s="1340"/>
      <c r="F827" s="1340"/>
      <c r="G827" s="3"/>
      <c r="I827" s="524"/>
    </row>
    <row r="828" spans="1:9" ht="12.75" hidden="1" customHeight="1">
      <c r="A828" s="13"/>
      <c r="B828" s="13"/>
      <c r="C828" s="1024"/>
      <c r="D828" s="1340"/>
      <c r="E828" s="1340"/>
      <c r="F828" s="1340"/>
      <c r="G828" s="3"/>
      <c r="I828" s="524"/>
    </row>
    <row r="829" spans="1:9" ht="12.75" hidden="1" customHeight="1">
      <c r="A829" s="13"/>
      <c r="B829" s="13"/>
      <c r="C829" s="1024"/>
      <c r="D829" s="1340"/>
      <c r="E829" s="1340"/>
      <c r="F829" s="1340"/>
      <c r="G829" s="3"/>
      <c r="I829" s="524"/>
    </row>
    <row r="830" spans="1:9" ht="12.75" hidden="1" customHeight="1">
      <c r="A830" s="13"/>
      <c r="B830" s="13"/>
      <c r="C830" s="1024"/>
      <c r="D830" s="1340"/>
      <c r="E830" s="1340"/>
      <c r="F830" s="1340"/>
      <c r="G830" s="3"/>
      <c r="I830" s="524"/>
    </row>
    <row r="831" spans="1:9" ht="12.75" hidden="1" customHeight="1">
      <c r="A831" s="13"/>
      <c r="B831" s="13"/>
      <c r="C831" s="1024"/>
      <c r="D831" s="1340"/>
      <c r="E831" s="1340"/>
      <c r="F831" s="1340"/>
      <c r="G831" s="3"/>
      <c r="I831" s="524"/>
    </row>
    <row r="832" spans="1:9" ht="12.75" hidden="1" customHeight="1">
      <c r="A832" s="13"/>
      <c r="B832" s="13"/>
      <c r="C832" s="1024"/>
      <c r="D832" s="1340"/>
      <c r="E832" s="1340"/>
      <c r="F832" s="1340"/>
      <c r="G832" s="3"/>
      <c r="I832" s="524"/>
    </row>
    <row r="833" spans="1:9" ht="12.75" hidden="1" customHeight="1">
      <c r="A833" s="13"/>
      <c r="B833" s="13"/>
      <c r="C833" s="1024"/>
      <c r="D833" s="1340"/>
      <c r="E833" s="1340"/>
      <c r="F833" s="1340"/>
      <c r="G833" s="3"/>
      <c r="I833" s="524"/>
    </row>
    <row r="834" spans="1:9" ht="12.75" hidden="1" customHeight="1">
      <c r="A834" s="13"/>
      <c r="B834" s="13"/>
      <c r="C834" s="1024"/>
      <c r="D834" s="1340"/>
      <c r="E834" s="1340"/>
      <c r="F834" s="1340"/>
      <c r="G834" s="3"/>
      <c r="I834" s="524"/>
    </row>
    <row r="835" spans="1:9" ht="12.75" hidden="1" customHeight="1">
      <c r="A835" s="13"/>
      <c r="B835" s="13"/>
      <c r="C835" s="1024"/>
      <c r="D835" s="1026"/>
      <c r="E835" s="3"/>
      <c r="F835" s="3"/>
      <c r="G835" s="3"/>
      <c r="I835" s="524"/>
    </row>
    <row r="836" spans="1:9" ht="12.75" customHeight="1">
      <c r="A836" s="176"/>
      <c r="B836" s="519" t="s">
        <v>2802</v>
      </c>
      <c r="C836" s="1024"/>
      <c r="D836" s="1270" t="s">
        <v>1956</v>
      </c>
      <c r="E836" s="1270"/>
      <c r="F836" s="1270"/>
      <c r="G836" s="3"/>
      <c r="I836" s="524" t="s">
        <v>2145</v>
      </c>
    </row>
    <row r="837" spans="1:9" ht="12.75" customHeight="1">
      <c r="A837" s="176"/>
      <c r="B837" s="176"/>
      <c r="C837" s="1024"/>
      <c r="D837" s="1270"/>
      <c r="E837" s="1270"/>
      <c r="F837" s="1270"/>
      <c r="G837" s="3"/>
      <c r="I837" s="524"/>
    </row>
    <row r="838" spans="1:9" ht="12.75" customHeight="1">
      <c r="A838" s="176"/>
      <c r="B838" s="176"/>
      <c r="C838" s="1024"/>
      <c r="D838" s="1270"/>
      <c r="E838" s="1270"/>
      <c r="F838" s="1270"/>
      <c r="G838" s="3"/>
      <c r="I838" s="524"/>
    </row>
    <row r="839" spans="1:9" ht="12.75" customHeight="1">
      <c r="A839" s="176"/>
      <c r="B839" s="176"/>
      <c r="C839" s="1024"/>
      <c r="D839" s="118"/>
      <c r="E839" s="3"/>
      <c r="F839" s="3"/>
      <c r="G839" s="3"/>
      <c r="I839" s="524"/>
    </row>
    <row r="840" spans="1:9" ht="12.75" customHeight="1">
      <c r="A840" s="1027"/>
      <c r="B840" s="519" t="s">
        <v>2803</v>
      </c>
      <c r="C840" s="1024"/>
      <c r="D840" s="1303" t="s">
        <v>1957</v>
      </c>
      <c r="E840" s="1303"/>
      <c r="F840" s="1303"/>
      <c r="G840" s="3"/>
      <c r="I840" s="524"/>
    </row>
    <row r="841" spans="1:9" ht="12.75" customHeight="1">
      <c r="A841" s="385"/>
      <c r="B841" s="1027"/>
      <c r="C841" s="1024"/>
      <c r="D841" s="1303"/>
      <c r="E841" s="1303"/>
      <c r="F841" s="1303"/>
      <c r="G841" s="3"/>
      <c r="I841" s="524"/>
    </row>
    <row r="842" spans="1:9" ht="12.75" customHeight="1">
      <c r="A842" s="176"/>
      <c r="B842" s="385"/>
      <c r="C842" s="1024"/>
      <c r="D842" s="1270" t="s">
        <v>2383</v>
      </c>
      <c r="E842" s="1270"/>
      <c r="F842" s="1270"/>
      <c r="G842" s="3"/>
      <c r="I842" s="524"/>
    </row>
    <row r="843" spans="1:9" ht="12.75" customHeight="1">
      <c r="A843" s="176"/>
      <c r="B843" s="176"/>
      <c r="C843" s="1024"/>
      <c r="D843" s="1270"/>
      <c r="E843" s="1270"/>
      <c r="F843" s="1270"/>
      <c r="G843" s="3"/>
      <c r="I843" s="524"/>
    </row>
    <row r="844" spans="1:9" ht="12.75" customHeight="1">
      <c r="A844" s="176"/>
      <c r="B844" s="176"/>
      <c r="C844" s="1024"/>
      <c r="D844" s="1270"/>
      <c r="E844" s="1270"/>
      <c r="F844" s="1270"/>
      <c r="G844" s="3"/>
      <c r="I844" s="524"/>
    </row>
    <row r="845" spans="1:9" ht="12.75" customHeight="1">
      <c r="A845" s="176"/>
      <c r="B845" s="176"/>
      <c r="C845" s="1024"/>
      <c r="D845" s="1270"/>
      <c r="E845" s="1270"/>
      <c r="F845" s="1270"/>
      <c r="G845" s="3"/>
      <c r="I845" s="524"/>
    </row>
    <row r="846" spans="1:9" ht="12.75" customHeight="1">
      <c r="A846" s="176"/>
      <c r="B846" s="176"/>
      <c r="C846" s="1024"/>
      <c r="D846" s="1270"/>
      <c r="E846" s="1270"/>
      <c r="F846" s="1270"/>
      <c r="G846" s="3"/>
      <c r="I846" s="524"/>
    </row>
    <row r="847" spans="1:9" ht="12.75" customHeight="1">
      <c r="A847" s="176"/>
      <c r="B847" s="176"/>
      <c r="C847" s="1024"/>
      <c r="D847" s="1270"/>
      <c r="E847" s="1270"/>
      <c r="F847" s="1270"/>
      <c r="G847" s="3"/>
      <c r="I847" s="524"/>
    </row>
    <row r="848" spans="1:9" ht="12.75" customHeight="1">
      <c r="A848" s="176"/>
      <c r="B848" s="176"/>
      <c r="C848" s="1024"/>
      <c r="D848" s="118"/>
      <c r="E848" s="3"/>
      <c r="F848" s="3"/>
      <c r="G848" s="3"/>
      <c r="I848" s="524"/>
    </row>
    <row r="849" spans="1:9" ht="12.75" customHeight="1">
      <c r="A849" s="176"/>
      <c r="B849" s="519" t="s">
        <v>2803</v>
      </c>
      <c r="C849" s="1024"/>
      <c r="D849" s="1270" t="s">
        <v>1958</v>
      </c>
      <c r="E849" s="1270"/>
      <c r="F849" s="1270"/>
      <c r="G849" s="3"/>
      <c r="I849" s="524" t="s">
        <v>2128</v>
      </c>
    </row>
    <row r="850" spans="1:9" ht="12.75" customHeight="1">
      <c r="A850" s="176"/>
      <c r="B850" s="176"/>
      <c r="C850" s="1024"/>
      <c r="D850" s="1270" t="s">
        <v>1959</v>
      </c>
      <c r="E850" s="1270"/>
      <c r="F850" s="1270"/>
      <c r="G850" s="3"/>
      <c r="I850" s="524"/>
    </row>
    <row r="851" spans="1:9" ht="12.75" customHeight="1">
      <c r="A851" s="176"/>
      <c r="B851" s="176"/>
      <c r="C851" s="1024"/>
      <c r="E851" s="1071" t="s">
        <v>2198</v>
      </c>
      <c r="F851" s="1073"/>
      <c r="G851" s="3"/>
      <c r="I851" s="524"/>
    </row>
    <row r="852" spans="1:9" ht="12.75" customHeight="1">
      <c r="A852" s="176"/>
      <c r="B852" s="176"/>
      <c r="C852" s="1024"/>
      <c r="D852" s="118"/>
      <c r="E852" s="3"/>
      <c r="F852" s="3"/>
      <c r="G852" s="3"/>
      <c r="I852" s="524"/>
    </row>
    <row r="853" spans="1:9" ht="12.75" customHeight="1">
      <c r="A853" s="176"/>
      <c r="B853" s="519" t="s">
        <v>2803</v>
      </c>
      <c r="C853" s="1024"/>
      <c r="D853" s="1270" t="s">
        <v>1960</v>
      </c>
      <c r="E853" s="1270"/>
      <c r="F853" s="1270"/>
      <c r="G853" s="3"/>
      <c r="I853" s="524" t="s">
        <v>2146</v>
      </c>
    </row>
    <row r="854" spans="1:9" ht="12.75" customHeight="1">
      <c r="A854" s="176"/>
      <c r="B854" s="176"/>
      <c r="C854" s="1024"/>
      <c r="D854" s="1270"/>
      <c r="E854" s="1270"/>
      <c r="F854" s="1270"/>
      <c r="G854" s="3"/>
      <c r="I854" s="524"/>
    </row>
    <row r="855" spans="1:9" ht="12.75" customHeight="1">
      <c r="A855" s="176"/>
      <c r="B855" s="176"/>
      <c r="C855" s="1024"/>
      <c r="D855" s="1270"/>
      <c r="E855" s="1270"/>
      <c r="F855" s="1270"/>
      <c r="G855" s="3"/>
      <c r="I855" s="524"/>
    </row>
    <row r="856" spans="1:9" ht="12.75" customHeight="1">
      <c r="A856" s="176"/>
      <c r="B856" s="176"/>
      <c r="C856" s="1024"/>
      <c r="D856" s="1270"/>
      <c r="E856" s="1270"/>
      <c r="F856" s="1270"/>
      <c r="G856" s="3"/>
      <c r="I856" s="524"/>
    </row>
    <row r="857" spans="1:9" ht="12.75" customHeight="1">
      <c r="A857" s="172"/>
      <c r="B857" s="172"/>
      <c r="C857" s="172"/>
      <c r="D857" s="118"/>
      <c r="E857" s="3"/>
      <c r="F857" s="3"/>
      <c r="G857" s="3"/>
      <c r="I857" s="524"/>
    </row>
    <row r="858" spans="1:9" ht="12.75" customHeight="1">
      <c r="A858" s="1018" t="s">
        <v>1961</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6" t="s">
        <v>1995</v>
      </c>
      <c r="E860" s="1286"/>
      <c r="F860" s="1286"/>
      <c r="G860" s="1023"/>
      <c r="I860" s="524"/>
    </row>
    <row r="861" spans="1:9" ht="12.75" customHeight="1">
      <c r="A861" s="385"/>
      <c r="B861" s="385"/>
      <c r="C861" s="175"/>
      <c r="D861" s="1339" t="s">
        <v>1962</v>
      </c>
      <c r="E861" s="1339"/>
      <c r="F861" s="1339"/>
      <c r="G861" s="1023"/>
      <c r="I861" s="524"/>
    </row>
    <row r="862" spans="1:9" ht="12.75" customHeight="1">
      <c r="A862" s="385"/>
      <c r="B862" s="385"/>
      <c r="C862" s="175"/>
      <c r="D862" s="1030"/>
      <c r="E862" s="1030"/>
      <c r="F862" s="1030"/>
      <c r="G862" s="1023"/>
      <c r="I862" s="524"/>
    </row>
    <row r="863" spans="1:9" ht="12.75" customHeight="1">
      <c r="A863" s="176"/>
      <c r="B863" s="519" t="s">
        <v>2802</v>
      </c>
      <c r="C863" s="385"/>
      <c r="D863" s="1281" t="s">
        <v>1963</v>
      </c>
      <c r="E863" s="1281"/>
      <c r="F863" s="1281"/>
      <c r="G863" s="1023"/>
      <c r="I863" s="524" t="s">
        <v>2128</v>
      </c>
    </row>
    <row r="864" spans="1:9" ht="12.75" customHeight="1">
      <c r="A864" s="385"/>
      <c r="B864" s="385"/>
      <c r="C864" s="385"/>
      <c r="D864" s="2" t="s">
        <v>1938</v>
      </c>
      <c r="E864" s="1071" t="s">
        <v>2198</v>
      </c>
      <c r="F864" s="1074"/>
      <c r="G864" s="1023"/>
      <c r="I864" s="524"/>
    </row>
    <row r="865" spans="1:9" ht="12.75" customHeight="1">
      <c r="A865" s="385"/>
      <c r="B865" s="385"/>
      <c r="C865" s="385"/>
      <c r="D865" s="118"/>
      <c r="E865" s="1023"/>
      <c r="F865" s="1023"/>
      <c r="G865" s="1023"/>
      <c r="I865" s="524"/>
    </row>
    <row r="866" spans="1:9" ht="12.75" customHeight="1">
      <c r="A866" s="176"/>
      <c r="B866" s="519" t="s">
        <v>2802</v>
      </c>
      <c r="C866" s="385"/>
      <c r="D866" s="1270" t="s">
        <v>1964</v>
      </c>
      <c r="E866" s="1288"/>
      <c r="F866" s="1288"/>
      <c r="G866" s="3"/>
      <c r="I866" s="524" t="s">
        <v>2146</v>
      </c>
    </row>
    <row r="867" spans="1:9" ht="12.75" customHeight="1">
      <c r="A867" s="385"/>
      <c r="B867" s="385"/>
      <c r="C867" s="385"/>
      <c r="D867" s="1288"/>
      <c r="E867" s="1288"/>
      <c r="F867" s="1288"/>
      <c r="G867" s="3"/>
      <c r="I867" s="524"/>
    </row>
    <row r="868" spans="1:9" ht="12.75" customHeight="1">
      <c r="A868" s="385"/>
      <c r="B868" s="385"/>
      <c r="C868" s="385"/>
      <c r="D868" s="118"/>
      <c r="E868" s="3"/>
      <c r="F868" s="3"/>
      <c r="G868" s="3"/>
      <c r="I868" s="524"/>
    </row>
    <row r="869" spans="1:9" ht="12.75" customHeight="1">
      <c r="A869" s="385"/>
      <c r="B869" s="519" t="s">
        <v>2803</v>
      </c>
      <c r="C869" s="385"/>
      <c r="D869" s="1335" t="s">
        <v>1965</v>
      </c>
      <c r="E869" s="1335"/>
      <c r="F869" s="1335"/>
      <c r="G869" s="1023"/>
      <c r="I869" s="524"/>
    </row>
    <row r="870" spans="1:9" ht="12.75" customHeight="1">
      <c r="A870" s="385"/>
      <c r="B870" s="1031"/>
      <c r="C870" s="385"/>
      <c r="D870" s="1335"/>
      <c r="E870" s="1335"/>
      <c r="F870" s="1335"/>
      <c r="G870" s="1023"/>
      <c r="I870" s="524"/>
    </row>
    <row r="871" spans="1:9" ht="12.75" customHeight="1">
      <c r="A871" s="176"/>
      <c r="B871"/>
      <c r="C871" s="385"/>
      <c r="D871" s="1270" t="s">
        <v>2383</v>
      </c>
      <c r="E871" s="1270"/>
      <c r="F871" s="1270"/>
      <c r="G871" s="1023"/>
      <c r="I871" s="524"/>
    </row>
    <row r="872" spans="1:9" ht="12.75" customHeight="1">
      <c r="A872" s="176"/>
      <c r="B872" s="176"/>
      <c r="C872" s="385"/>
      <c r="D872" s="1270"/>
      <c r="E872" s="1270"/>
      <c r="F872" s="1270"/>
      <c r="G872" s="1023"/>
      <c r="I872" s="524"/>
    </row>
    <row r="873" spans="1:9" ht="12.75" customHeight="1">
      <c r="A873" s="176"/>
      <c r="B873" s="176"/>
      <c r="C873" s="385"/>
      <c r="D873" s="1270"/>
      <c r="E873" s="1270"/>
      <c r="F873" s="1270"/>
      <c r="G873" s="1023"/>
      <c r="I873" s="524"/>
    </row>
    <row r="874" spans="1:9" ht="12.75" customHeight="1">
      <c r="A874" s="176"/>
      <c r="B874" s="176"/>
      <c r="C874" s="385"/>
      <c r="D874" s="1270"/>
      <c r="E874" s="1270"/>
      <c r="F874" s="1270"/>
      <c r="G874" s="1023"/>
      <c r="I874" s="524"/>
    </row>
    <row r="875" spans="1:9" ht="12.75" customHeight="1">
      <c r="A875" s="176"/>
      <c r="B875" s="176"/>
      <c r="C875" s="385"/>
      <c r="D875" s="1270"/>
      <c r="E875" s="1270"/>
      <c r="F875" s="1270"/>
      <c r="G875" s="1023"/>
      <c r="I875" s="524"/>
    </row>
    <row r="876" spans="1:9" ht="12.75" customHeight="1">
      <c r="A876" s="176"/>
      <c r="B876" s="176"/>
      <c r="C876" s="385"/>
      <c r="D876" s="1270"/>
      <c r="E876" s="1270"/>
      <c r="F876" s="1270"/>
      <c r="G876" s="1023"/>
      <c r="I876" s="524"/>
    </row>
    <row r="877" spans="1:9" ht="12.75" customHeight="1">
      <c r="A877" s="176"/>
      <c r="B877" s="176"/>
      <c r="C877" s="385"/>
      <c r="D877" s="118"/>
      <c r="E877" s="1023"/>
      <c r="F877" s="1023"/>
      <c r="G877" s="1023"/>
      <c r="I877" s="524"/>
    </row>
    <row r="878" spans="1:9" ht="12.75" customHeight="1">
      <c r="A878" s="176"/>
      <c r="B878" s="519" t="s">
        <v>2803</v>
      </c>
      <c r="C878" s="385"/>
      <c r="D878" s="1313" t="s">
        <v>1958</v>
      </c>
      <c r="E878" s="1313"/>
      <c r="F878" s="1313"/>
      <c r="G878" s="1023"/>
      <c r="I878" s="524" t="s">
        <v>2128</v>
      </c>
    </row>
    <row r="879" spans="1:9" ht="12.75" customHeight="1">
      <c r="A879" s="176"/>
      <c r="B879" s="176"/>
      <c r="C879" s="385"/>
      <c r="D879" s="1313" t="s">
        <v>1959</v>
      </c>
      <c r="E879" s="1313"/>
      <c r="F879" s="1313"/>
      <c r="G879" s="1023"/>
      <c r="I879" s="524"/>
    </row>
    <row r="880" spans="1:9" ht="12.75" customHeight="1">
      <c r="A880" s="176"/>
      <c r="B880" s="176"/>
      <c r="C880" s="385"/>
      <c r="D880" s="2" t="s">
        <v>1380</v>
      </c>
      <c r="E880" s="1071" t="s">
        <v>2198</v>
      </c>
      <c r="F880" s="1075"/>
      <c r="G880" s="1023"/>
      <c r="I880" s="524"/>
    </row>
    <row r="881" spans="1:9" ht="12.75" customHeight="1">
      <c r="A881" s="176"/>
      <c r="B881" s="176"/>
      <c r="C881" s="385"/>
      <c r="D881" s="118"/>
      <c r="E881" s="1023"/>
      <c r="F881" s="1023"/>
      <c r="G881" s="1023"/>
      <c r="I881" s="524"/>
    </row>
    <row r="882" spans="1:9" ht="12.75" customHeight="1">
      <c r="A882" s="176"/>
      <c r="B882" s="519" t="s">
        <v>2803</v>
      </c>
      <c r="C882" s="385"/>
      <c r="D882" s="1270" t="s">
        <v>1960</v>
      </c>
      <c r="E882" s="1270"/>
      <c r="F882" s="1270"/>
      <c r="G882" s="1023"/>
      <c r="I882" s="524" t="s">
        <v>2146</v>
      </c>
    </row>
    <row r="883" spans="1:9" ht="12.75" customHeight="1">
      <c r="A883" s="176"/>
      <c r="B883" s="176"/>
      <c r="C883" s="385"/>
      <c r="D883" s="1270"/>
      <c r="E883" s="1270"/>
      <c r="F883" s="1270"/>
      <c r="G883" s="1023"/>
      <c r="I883" s="524"/>
    </row>
    <row r="884" spans="1:9" ht="12.75" customHeight="1">
      <c r="A884" s="176"/>
      <c r="B884" s="176"/>
      <c r="C884" s="385"/>
      <c r="D884" s="1270"/>
      <c r="E884" s="1270"/>
      <c r="F884" s="1270"/>
      <c r="G884" s="1023"/>
      <c r="I884" s="524"/>
    </row>
    <row r="885" spans="1:9" ht="12.75" customHeight="1">
      <c r="A885" s="176"/>
      <c r="B885" s="176"/>
      <c r="C885" s="385"/>
      <c r="D885" s="1270"/>
      <c r="E885" s="1270"/>
      <c r="F885" s="1270"/>
      <c r="G885" s="1023"/>
      <c r="I885" s="524"/>
    </row>
    <row r="886" spans="1:9" ht="12.75" customHeight="1">
      <c r="A886" s="118"/>
      <c r="B886" s="118"/>
      <c r="C886" s="1024"/>
      <c r="D886" s="1023"/>
      <c r="E886" s="1023"/>
      <c r="F886" s="1023"/>
      <c r="G886" s="1023"/>
      <c r="I886" s="524"/>
    </row>
    <row r="887" spans="1:9" ht="12.75" customHeight="1">
      <c r="A887" s="1315" t="s">
        <v>1996</v>
      </c>
      <c r="B887" s="1315"/>
      <c r="C887" s="1315"/>
      <c r="D887" s="1315"/>
      <c r="E887" s="1315"/>
      <c r="F887" s="1315"/>
      <c r="G887" s="1315"/>
      <c r="H887" s="1063"/>
      <c r="I887" s="1259"/>
    </row>
    <row r="888" spans="1:9" ht="12.75" customHeight="1">
      <c r="A888" s="57"/>
      <c r="B888" s="57"/>
      <c r="C888" s="57"/>
      <c r="D888" s="57"/>
      <c r="E888" s="57"/>
      <c r="F888" s="57"/>
      <c r="G888" s="57"/>
      <c r="I888" s="524"/>
    </row>
    <row r="889" spans="1:9" ht="12.75" customHeight="1">
      <c r="A889" s="57"/>
      <c r="B889" s="57"/>
      <c r="C889" s="57"/>
      <c r="D889" s="1309" t="s">
        <v>2002</v>
      </c>
      <c r="E889" s="1309"/>
      <c r="F889" s="1309"/>
      <c r="G889" s="57"/>
      <c r="I889" s="524"/>
    </row>
    <row r="890" spans="1:9" ht="12.75" customHeight="1">
      <c r="A890" s="57"/>
      <c r="B890" s="57"/>
      <c r="C890" s="57"/>
      <c r="D890" s="1016"/>
      <c r="E890" s="1016"/>
      <c r="F890" s="1016"/>
      <c r="G890" s="57"/>
      <c r="I890" s="524"/>
    </row>
    <row r="891" spans="1:9" ht="12.75" customHeight="1">
      <c r="A891" s="57"/>
      <c r="B891" s="519" t="s">
        <v>2802</v>
      </c>
      <c r="C891" s="57"/>
      <c r="D891" s="1019" t="s">
        <v>2003</v>
      </c>
      <c r="E891" s="1016"/>
      <c r="F891" s="1016"/>
      <c r="G891" s="57"/>
      <c r="I891" s="524" t="s">
        <v>2160</v>
      </c>
    </row>
    <row r="892" spans="1:9" ht="12.75" customHeight="1">
      <c r="A892" s="57"/>
      <c r="B892" s="57"/>
      <c r="C892" s="57"/>
      <c r="D892" s="1016"/>
      <c r="E892" s="1016"/>
      <c r="F892" s="1016"/>
      <c r="G892" s="57"/>
      <c r="I892" s="524"/>
    </row>
    <row r="893" spans="1:9" ht="12.75" customHeight="1">
      <c r="A893" s="385"/>
      <c r="B893" s="385"/>
      <c r="C893" s="1024"/>
      <c r="D893" s="1309" t="s">
        <v>1997</v>
      </c>
      <c r="E893" s="1309"/>
      <c r="F893" s="1309"/>
      <c r="G893" s="1023"/>
      <c r="I893" s="524"/>
    </row>
    <row r="894" spans="1:9" ht="12.75" customHeight="1">
      <c r="A894" s="172"/>
      <c r="B894" s="172"/>
      <c r="C894" s="172"/>
      <c r="D894" s="1281" t="s">
        <v>1966</v>
      </c>
      <c r="E894" s="1281"/>
      <c r="F894" s="1281"/>
      <c r="G894" s="1023"/>
      <c r="I894" s="524"/>
    </row>
    <row r="895" spans="1:9" ht="12.75" customHeight="1">
      <c r="A895" s="1024"/>
      <c r="B895" s="1024"/>
      <c r="C895" s="1024"/>
      <c r="D895" s="2"/>
      <c r="E895" s="1023"/>
      <c r="F895" s="1023"/>
      <c r="G895" s="1023"/>
      <c r="I895" s="524"/>
    </row>
    <row r="896" spans="1:9" ht="12.75" customHeight="1">
      <c r="A896" s="176"/>
      <c r="B896" s="519" t="s">
        <v>2802</v>
      </c>
      <c r="C896" s="385"/>
      <c r="D896" s="1270" t="s">
        <v>1970</v>
      </c>
      <c r="E896" s="1270"/>
      <c r="F896" s="1270"/>
      <c r="G896" s="3"/>
      <c r="I896" s="524" t="s">
        <v>2112</v>
      </c>
    </row>
    <row r="897" spans="1:9" ht="12.75" customHeight="1">
      <c r="A897" s="385"/>
      <c r="B897" s="385"/>
      <c r="C897" s="385"/>
      <c r="D897" s="1270"/>
      <c r="E897" s="1270"/>
      <c r="F897" s="1270"/>
      <c r="G897" s="3"/>
      <c r="I897" s="524"/>
    </row>
    <row r="898" spans="1:9" ht="12.75" customHeight="1">
      <c r="A898" s="172"/>
      <c r="B898" s="172"/>
      <c r="C898" s="172"/>
      <c r="D898" s="1270" t="s">
        <v>1969</v>
      </c>
      <c r="E898" s="1270"/>
      <c r="F898" s="1270"/>
      <c r="G898" s="1023"/>
      <c r="I898" s="524"/>
    </row>
    <row r="899" spans="1:9" ht="12.75" customHeight="1">
      <c r="A899" s="172"/>
      <c r="B899" s="172"/>
      <c r="C899" s="172"/>
      <c r="D899" s="1270"/>
      <c r="E899" s="1270"/>
      <c r="F899" s="1270"/>
      <c r="G899" s="1023"/>
      <c r="I899" s="524"/>
    </row>
    <row r="900" spans="1:9" ht="12.75" customHeight="1">
      <c r="A900" s="172"/>
      <c r="B900" s="172"/>
      <c r="C900" s="172"/>
      <c r="D900" s="3"/>
      <c r="E900" s="3"/>
      <c r="F900" s="1023"/>
      <c r="G900" s="1023"/>
      <c r="I900" s="524"/>
    </row>
    <row r="901" spans="1:9" ht="12.75" customHeight="1">
      <c r="A901" s="176"/>
      <c r="B901" s="519" t="s">
        <v>2802</v>
      </c>
      <c r="C901" s="175"/>
      <c r="D901" s="1280" t="s">
        <v>1967</v>
      </c>
      <c r="E901" s="1280"/>
      <c r="F901" s="1280"/>
      <c r="G901" s="1023"/>
      <c r="I901" s="524" t="s">
        <v>2111</v>
      </c>
    </row>
    <row r="902" spans="1:9" ht="12.75" customHeight="1">
      <c r="A902" s="176"/>
      <c r="B902" s="176"/>
      <c r="C902" s="175"/>
      <c r="D902" s="1280"/>
      <c r="E902" s="1280"/>
      <c r="F902" s="1280"/>
      <c r="G902" s="1023"/>
      <c r="I902" s="524"/>
    </row>
    <row r="903" spans="1:9" ht="12.75" customHeight="1">
      <c r="A903" s="176"/>
      <c r="B903" s="176"/>
      <c r="C903" s="175"/>
      <c r="D903" s="1280"/>
      <c r="E903" s="1280"/>
      <c r="F903" s="1280"/>
      <c r="G903" s="1023"/>
      <c r="I903" s="524"/>
    </row>
    <row r="904" spans="1:9" ht="12.75" customHeight="1">
      <c r="A904" s="176"/>
      <c r="B904" s="176"/>
      <c r="C904" s="175"/>
      <c r="D904" s="1280"/>
      <c r="E904" s="1280"/>
      <c r="F904" s="1280"/>
      <c r="G904" s="1023"/>
      <c r="I904" s="524"/>
    </row>
    <row r="905" spans="1:9" ht="12.75" customHeight="1">
      <c r="A905" s="176"/>
      <c r="B905" s="176"/>
      <c r="C905" s="175"/>
      <c r="D905" s="1280"/>
      <c r="E905" s="1280"/>
      <c r="F905" s="1280"/>
      <c r="G905" s="1023"/>
      <c r="I905" s="524"/>
    </row>
    <row r="906" spans="1:9" ht="12.75" customHeight="1">
      <c r="A906" s="175"/>
      <c r="B906" s="175"/>
      <c r="C906" s="175"/>
      <c r="D906" s="1280"/>
      <c r="E906" s="1280"/>
      <c r="F906" s="1280"/>
      <c r="G906" s="1023"/>
      <c r="I906" s="524"/>
    </row>
    <row r="907" spans="1:9" ht="12.75" customHeight="1">
      <c r="A907" s="175"/>
      <c r="B907" s="175"/>
      <c r="C907" s="175"/>
      <c r="D907" s="1280"/>
      <c r="E907" s="1280"/>
      <c r="F907" s="1280"/>
      <c r="G907" s="1023"/>
      <c r="I907" s="524"/>
    </row>
    <row r="908" spans="1:9" ht="12.75" customHeight="1">
      <c r="A908" s="175"/>
      <c r="B908" s="175"/>
      <c r="C908" s="175"/>
      <c r="D908" s="1280"/>
      <c r="E908" s="1280"/>
      <c r="F908" s="1280"/>
      <c r="G908" s="1023"/>
      <c r="I908" s="524"/>
    </row>
    <row r="909" spans="1:9" ht="12.75" customHeight="1">
      <c r="A909" s="175"/>
      <c r="B909" s="175"/>
      <c r="C909" s="175"/>
      <c r="D909" s="363"/>
      <c r="E909" s="363"/>
      <c r="F909" s="363"/>
      <c r="G909" s="1023"/>
      <c r="I909" s="524"/>
    </row>
    <row r="910" spans="1:9" ht="12.75" customHeight="1">
      <c r="A910" s="1024"/>
      <c r="B910" s="519" t="s">
        <v>2803</v>
      </c>
      <c r="C910" s="1024"/>
      <c r="D910" s="1270" t="s">
        <v>1971</v>
      </c>
      <c r="E910" s="1270"/>
      <c r="F910" s="1270"/>
      <c r="G910" s="1023"/>
      <c r="I910" s="524"/>
    </row>
    <row r="911" spans="1:9" ht="12.75" customHeight="1">
      <c r="A911" s="1024"/>
      <c r="B911" s="1024"/>
      <c r="C911" s="1024"/>
      <c r="D911" s="1270"/>
      <c r="E911" s="1270"/>
      <c r="F911" s="1270"/>
      <c r="G911" s="1023"/>
      <c r="I911" s="524"/>
    </row>
    <row r="912" spans="1:9" ht="12.75" customHeight="1">
      <c r="A912" s="1024"/>
      <c r="B912" s="1024"/>
      <c r="C912" s="1024"/>
      <c r="D912" s="1023"/>
      <c r="E912" s="1023"/>
      <c r="F912" s="1023"/>
      <c r="G912" s="1023"/>
      <c r="I912" s="524"/>
    </row>
    <row r="913" spans="1:9" ht="12.75" customHeight="1">
      <c r="A913" s="1024"/>
      <c r="B913" s="519" t="s">
        <v>2803</v>
      </c>
      <c r="C913" s="1024"/>
      <c r="D913" s="1307" t="s">
        <v>1972</v>
      </c>
      <c r="E913" s="1307"/>
      <c r="F913" s="1307"/>
      <c r="G913" s="1023"/>
      <c r="I913" s="524"/>
    </row>
    <row r="914" spans="1:9" ht="12.75" customHeight="1">
      <c r="A914" s="1024"/>
      <c r="B914" s="1024"/>
      <c r="C914" s="1024"/>
      <c r="D914" s="1307"/>
      <c r="E914" s="1307"/>
      <c r="F914" s="1307"/>
      <c r="G914" s="1023"/>
      <c r="I914" s="524"/>
    </row>
    <row r="915" spans="1:9" ht="12.75" customHeight="1">
      <c r="A915" s="1024"/>
      <c r="B915" s="1024"/>
      <c r="C915" s="1024"/>
      <c r="D915" s="1307"/>
      <c r="E915" s="1307"/>
      <c r="F915" s="1307"/>
      <c r="G915" s="1023"/>
      <c r="I915" s="524"/>
    </row>
    <row r="916" spans="1:9" ht="12.75" customHeight="1">
      <c r="A916" s="1024"/>
      <c r="B916" s="1024"/>
      <c r="C916" s="1024"/>
      <c r="D916" s="1307"/>
      <c r="E916" s="1307"/>
      <c r="F916" s="1307"/>
      <c r="G916" s="1023"/>
      <c r="I916" s="524"/>
    </row>
    <row r="917" spans="1:9" ht="12.75" customHeight="1">
      <c r="A917" s="1024"/>
      <c r="B917" s="1024"/>
      <c r="C917" s="1024"/>
      <c r="D917" s="118"/>
      <c r="E917" s="1023"/>
      <c r="F917" s="1023"/>
      <c r="G917" s="1023"/>
      <c r="I917" s="524"/>
    </row>
    <row r="918" spans="1:9" ht="12.75" customHeight="1">
      <c r="A918" s="1024"/>
      <c r="B918" s="519" t="s">
        <v>2803</v>
      </c>
      <c r="C918" s="1024"/>
      <c r="D918" s="1281" t="s">
        <v>2384</v>
      </c>
      <c r="E918" s="1281"/>
      <c r="F918" s="1281"/>
      <c r="G918" s="1023"/>
      <c r="I918" s="524"/>
    </row>
    <row r="919" spans="1:9" ht="12.75" customHeight="1">
      <c r="A919" s="1024"/>
      <c r="B919" s="1024"/>
      <c r="C919" s="1024"/>
      <c r="D919" s="118"/>
      <c r="E919" s="1023"/>
      <c r="F919" s="1023"/>
      <c r="G919" s="1023"/>
      <c r="I919" s="524"/>
    </row>
    <row r="920" spans="1:9" ht="12.75" customHeight="1">
      <c r="A920" s="1024"/>
      <c r="B920" s="519" t="s">
        <v>2803</v>
      </c>
      <c r="C920" s="1024"/>
      <c r="D920" s="1281" t="s">
        <v>2385</v>
      </c>
      <c r="E920" s="1281"/>
      <c r="F920" s="1281"/>
      <c r="G920" s="1023"/>
      <c r="I920" s="524"/>
    </row>
    <row r="921" spans="1:9" ht="12.75" customHeight="1">
      <c r="A921" s="175"/>
      <c r="B921" s="175"/>
      <c r="C921" s="175"/>
      <c r="D921" s="2"/>
      <c r="E921" s="3"/>
      <c r="F921" s="1023"/>
      <c r="G921" s="1023"/>
      <c r="I921" s="524"/>
    </row>
    <row r="922" spans="1:9" ht="12.75" customHeight="1">
      <c r="A922" s="1032"/>
      <c r="B922" s="519" t="s">
        <v>2802</v>
      </c>
      <c r="C922" s="1033"/>
      <c r="D922" s="1280" t="s">
        <v>1968</v>
      </c>
      <c r="E922" s="1280"/>
      <c r="F922" s="1280"/>
      <c r="G922" s="1034"/>
      <c r="I922" s="524" t="s">
        <v>2161</v>
      </c>
    </row>
    <row r="923" spans="1:9" ht="12.75" customHeight="1">
      <c r="A923" s="1032"/>
      <c r="B923" s="1032"/>
      <c r="C923" s="1033"/>
      <c r="D923" s="1280"/>
      <c r="E923" s="1280"/>
      <c r="F923" s="1280"/>
      <c r="G923" s="1034"/>
      <c r="I923" s="524"/>
    </row>
    <row r="924" spans="1:9" ht="12.75" customHeight="1">
      <c r="A924" s="1032"/>
      <c r="B924" s="1032"/>
      <c r="C924" s="1033"/>
      <c r="D924" s="1280"/>
      <c r="E924" s="1280"/>
      <c r="F924" s="1280"/>
      <c r="G924" s="1034"/>
      <c r="I924" s="524"/>
    </row>
    <row r="925" spans="1:9" ht="12.75" customHeight="1">
      <c r="A925" s="1032"/>
      <c r="B925" s="1032"/>
      <c r="C925" s="1033"/>
      <c r="D925" s="1280"/>
      <c r="E925" s="1280"/>
      <c r="F925" s="1280"/>
      <c r="G925" s="1034"/>
      <c r="I925" s="524"/>
    </row>
    <row r="926" spans="1:9" ht="12.75" customHeight="1">
      <c r="A926" s="1032"/>
      <c r="B926" s="1032"/>
      <c r="C926" s="1033"/>
      <c r="D926" s="1280"/>
      <c r="E926" s="1280"/>
      <c r="F926" s="1280"/>
      <c r="G926" s="1034"/>
      <c r="I926" s="524"/>
    </row>
    <row r="927" spans="1:9" ht="12.75" customHeight="1">
      <c r="A927" s="1032"/>
      <c r="B927" s="1032"/>
      <c r="C927" s="1033"/>
      <c r="D927" s="1280"/>
      <c r="E927" s="1280"/>
      <c r="F927" s="1280"/>
      <c r="G927" s="1034"/>
      <c r="I927" s="524"/>
    </row>
    <row r="928" spans="1:9" ht="12.75" customHeight="1">
      <c r="A928" s="1032"/>
      <c r="B928" s="1032"/>
      <c r="C928" s="1033"/>
      <c r="D928" s="1280"/>
      <c r="E928" s="1280"/>
      <c r="F928" s="1280"/>
      <c r="G928" s="1034"/>
      <c r="I928" s="524"/>
    </row>
    <row r="929" spans="1:9" ht="12.75" customHeight="1">
      <c r="A929" s="1032"/>
      <c r="B929" s="1032"/>
      <c r="C929" s="1033"/>
      <c r="D929" s="1280"/>
      <c r="E929" s="1280"/>
      <c r="F929" s="1280"/>
      <c r="G929" s="1034"/>
      <c r="I929" s="524"/>
    </row>
    <row r="930" spans="1:9" ht="12.75" customHeight="1">
      <c r="A930" s="1032"/>
      <c r="B930" s="1032"/>
      <c r="C930" s="1033"/>
      <c r="D930" s="1280"/>
      <c r="E930" s="1280"/>
      <c r="F930" s="1280"/>
      <c r="G930" s="1034"/>
      <c r="I930" s="524"/>
    </row>
    <row r="931" spans="1:9" ht="12.75" customHeight="1">
      <c r="A931" s="175"/>
      <c r="B931" s="175"/>
      <c r="C931" s="175"/>
      <c r="D931" s="2"/>
      <c r="E931" s="3"/>
      <c r="F931" s="1023"/>
      <c r="G931" s="1023"/>
      <c r="I931" s="524"/>
    </row>
    <row r="932" spans="1:9" ht="12.75" customHeight="1">
      <c r="A932" s="176"/>
      <c r="B932" s="519" t="s">
        <v>2802</v>
      </c>
      <c r="C932" s="175"/>
      <c r="D932" s="1336" t="s">
        <v>2163</v>
      </c>
      <c r="E932" s="1336"/>
      <c r="F932" s="1336"/>
      <c r="G932" s="1023"/>
      <c r="I932" s="524" t="s">
        <v>2161</v>
      </c>
    </row>
    <row r="933" spans="1:9" ht="12.75" customHeight="1">
      <c r="A933" s="176"/>
      <c r="B933" s="176"/>
      <c r="C933" s="175"/>
      <c r="D933" s="1336"/>
      <c r="E933" s="1336"/>
      <c r="F933" s="1336"/>
      <c r="G933" s="1023"/>
      <c r="I933" s="524"/>
    </row>
    <row r="934" spans="1:9" ht="12.75" customHeight="1">
      <c r="A934" s="176"/>
      <c r="B934" s="176"/>
      <c r="C934" s="175"/>
      <c r="D934" s="1336"/>
      <c r="E934" s="1336"/>
      <c r="F934" s="1336"/>
      <c r="G934" s="1023"/>
      <c r="I934" s="524"/>
    </row>
    <row r="935" spans="1:9" ht="12.75" customHeight="1">
      <c r="A935" s="176"/>
      <c r="B935" s="176"/>
      <c r="C935" s="175"/>
      <c r="D935" s="1336"/>
      <c r="E935" s="1336"/>
      <c r="F935" s="1336"/>
      <c r="G935" s="1023"/>
      <c r="I935" s="524"/>
    </row>
    <row r="936" spans="1:9" ht="12.75" customHeight="1">
      <c r="A936" s="176"/>
      <c r="B936" s="176"/>
      <c r="C936" s="175"/>
      <c r="D936" s="1336"/>
      <c r="E936" s="1336"/>
      <c r="F936" s="1336"/>
      <c r="G936" s="1023"/>
      <c r="I936" s="524"/>
    </row>
    <row r="937" spans="1:9" ht="12.75" customHeight="1">
      <c r="A937" s="176"/>
      <c r="B937" s="176"/>
      <c r="C937" s="175"/>
      <c r="D937" s="1336"/>
      <c r="E937" s="1336"/>
      <c r="F937" s="1336"/>
      <c r="G937" s="1023"/>
      <c r="I937" s="524"/>
    </row>
    <row r="938" spans="1:9" ht="12.75" customHeight="1">
      <c r="A938" s="176"/>
      <c r="B938" s="176"/>
      <c r="C938" s="175"/>
      <c r="D938" s="1336"/>
      <c r="E938" s="1336"/>
      <c r="F938" s="1336"/>
      <c r="G938" s="1023"/>
      <c r="I938" s="524"/>
    </row>
    <row r="939" spans="1:9" ht="12.75" customHeight="1">
      <c r="A939" s="176"/>
      <c r="B939" s="176"/>
      <c r="C939" s="175"/>
      <c r="D939" s="1061"/>
      <c r="E939" s="1061"/>
      <c r="F939" s="1061"/>
      <c r="G939" s="1023"/>
      <c r="I939" s="524"/>
    </row>
    <row r="940" spans="1:9" ht="12.75" customHeight="1">
      <c r="A940" s="176"/>
      <c r="B940" s="519" t="s">
        <v>2802</v>
      </c>
      <c r="C940" s="175"/>
      <c r="D940" s="1279" t="s">
        <v>2457</v>
      </c>
      <c r="E940" s="1279"/>
      <c r="F940" s="1279"/>
      <c r="G940" s="1023"/>
      <c r="I940" s="524"/>
    </row>
    <row r="941" spans="1:9" ht="12.75" customHeight="1">
      <c r="A941" s="176"/>
      <c r="B941" s="176"/>
      <c r="C941" s="175"/>
      <c r="D941" s="1279"/>
      <c r="E941" s="1279"/>
      <c r="F941" s="1279"/>
      <c r="G941" s="1023"/>
      <c r="I941" s="524"/>
    </row>
    <row r="942" spans="1:9" ht="12.75" customHeight="1">
      <c r="A942" s="176"/>
      <c r="B942" s="176"/>
      <c r="C942" s="175"/>
      <c r="D942" s="1279"/>
      <c r="E942" s="1279"/>
      <c r="F942" s="1279"/>
      <c r="G942" s="1023"/>
      <c r="I942" s="524"/>
    </row>
    <row r="943" spans="1:9" ht="12.75" customHeight="1">
      <c r="A943" s="176"/>
      <c r="B943" s="176"/>
      <c r="C943" s="175"/>
      <c r="D943" s="1279"/>
      <c r="E943" s="1279"/>
      <c r="F943" s="1279"/>
      <c r="G943" s="1023"/>
      <c r="I943" s="524"/>
    </row>
    <row r="944" spans="1:9" ht="12.75" customHeight="1">
      <c r="A944" s="176"/>
      <c r="B944" s="176"/>
      <c r="C944" s="175"/>
      <c r="D944" s="1279"/>
      <c r="E944" s="1279"/>
      <c r="F944" s="1279"/>
      <c r="G944" s="1023"/>
      <c r="I944" s="524"/>
    </row>
    <row r="945" spans="1:9" ht="12.75" customHeight="1">
      <c r="A945" s="176"/>
      <c r="B945" s="176"/>
      <c r="C945" s="175"/>
      <c r="D945" s="1279"/>
      <c r="E945" s="1279"/>
      <c r="F945" s="1279"/>
      <c r="G945" s="1023"/>
      <c r="I945" s="524"/>
    </row>
    <row r="946" spans="1:9" ht="12.75" customHeight="1">
      <c r="A946" s="176"/>
      <c r="B946" s="176"/>
      <c r="C946" s="175"/>
      <c r="D946" s="1061"/>
      <c r="E946" s="1061"/>
      <c r="F946" s="1061"/>
      <c r="G946" s="1023"/>
      <c r="I946" s="524"/>
    </row>
    <row r="947" spans="1:9" ht="12.75" customHeight="1">
      <c r="A947" s="1024"/>
      <c r="B947" s="519" t="s">
        <v>2803</v>
      </c>
      <c r="C947" s="1024"/>
      <c r="D947" s="1307" t="s">
        <v>1973</v>
      </c>
      <c r="E947" s="1307"/>
      <c r="F947" s="1307"/>
      <c r="G947" s="1023"/>
      <c r="I947" s="524"/>
    </row>
    <row r="948" spans="1:9" ht="12.75" customHeight="1">
      <c r="A948" s="1024"/>
      <c r="B948" s="1024"/>
      <c r="C948" s="1024"/>
      <c r="D948" s="1307"/>
      <c r="E948" s="1307"/>
      <c r="F948" s="1307"/>
      <c r="G948" s="1023"/>
      <c r="I948" s="524"/>
    </row>
    <row r="949" spans="1:9" ht="12.75" customHeight="1">
      <c r="A949" s="1024"/>
      <c r="B949" s="1024"/>
      <c r="C949" s="1024"/>
      <c r="D949" s="1307"/>
      <c r="E949" s="1307"/>
      <c r="F949" s="1307"/>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2803</v>
      </c>
      <c r="C952" s="175"/>
      <c r="D952" s="1280" t="s">
        <v>2162</v>
      </c>
      <c r="E952" s="1280"/>
      <c r="F952" s="1280"/>
      <c r="G952" s="1023"/>
      <c r="I952" s="524" t="s">
        <v>2161</v>
      </c>
    </row>
    <row r="953" spans="1:9" ht="12.75" customHeight="1">
      <c r="A953" s="176"/>
      <c r="B953" s="176"/>
      <c r="C953" s="175"/>
      <c r="D953" s="1280"/>
      <c r="E953" s="1280"/>
      <c r="F953" s="1280"/>
      <c r="G953" s="1023"/>
      <c r="I953" s="524"/>
    </row>
    <row r="954" spans="1:9" ht="12.75" customHeight="1">
      <c r="A954" s="176"/>
      <c r="B954" s="176"/>
      <c r="C954" s="175"/>
      <c r="D954" s="1280"/>
      <c r="E954" s="1280"/>
      <c r="F954" s="1280"/>
      <c r="G954" s="1023"/>
      <c r="I954" s="524"/>
    </row>
    <row r="955" spans="1:9" ht="12.75" customHeight="1">
      <c r="A955" s="176"/>
      <c r="B955" s="176"/>
      <c r="C955" s="175"/>
      <c r="D955" s="1280"/>
      <c r="E955" s="1280"/>
      <c r="F955" s="1280"/>
      <c r="G955" s="1023"/>
      <c r="I955" s="524"/>
    </row>
    <row r="956" spans="1:9" ht="12.75" customHeight="1">
      <c r="A956" s="1024"/>
      <c r="B956" s="1024"/>
      <c r="C956" s="1024"/>
      <c r="D956" s="1015"/>
      <c r="E956" s="1015"/>
      <c r="F956" s="1015"/>
      <c r="G956" s="1015"/>
      <c r="I956" s="524"/>
    </row>
    <row r="957" spans="1:9" ht="12.75" customHeight="1">
      <c r="A957" s="385"/>
      <c r="B957" s="385"/>
      <c r="C957" s="385"/>
      <c r="D957" s="1286" t="s">
        <v>1974</v>
      </c>
      <c r="E957" s="1286"/>
      <c r="F957" s="1286"/>
      <c r="G957" s="3"/>
      <c r="I957" s="524"/>
    </row>
    <row r="958" spans="1:9" ht="12.75" customHeight="1">
      <c r="A958" s="176"/>
      <c r="B958" s="519" t="s">
        <v>2803</v>
      </c>
      <c r="C958" s="385"/>
      <c r="D958" s="1281" t="s">
        <v>1998</v>
      </c>
      <c r="E958" s="1281"/>
      <c r="F958" s="1281"/>
      <c r="G958" s="3"/>
      <c r="I958" s="524" t="s">
        <v>2161</v>
      </c>
    </row>
    <row r="959" spans="1:9" ht="12.75" customHeight="1">
      <c r="A959" s="385"/>
      <c r="B959" s="385"/>
      <c r="C959" s="385"/>
      <c r="D959" s="3"/>
      <c r="E959" s="3"/>
      <c r="F959" s="3"/>
      <c r="G959" s="3"/>
      <c r="I959" s="524"/>
    </row>
    <row r="960" spans="1:9" ht="12.75" customHeight="1">
      <c r="A960" s="385"/>
      <c r="B960" s="385"/>
      <c r="C960" s="385"/>
      <c r="D960" s="1286" t="s">
        <v>1975</v>
      </c>
      <c r="E960" s="1286"/>
      <c r="F960" s="1286"/>
      <c r="G960"/>
      <c r="I960" s="524"/>
    </row>
    <row r="961" spans="1:9" ht="12.75" customHeight="1">
      <c r="A961" s="176"/>
      <c r="B961" s="519" t="s">
        <v>2803</v>
      </c>
      <c r="C961" s="385"/>
      <c r="D961" s="1270" t="s">
        <v>2386</v>
      </c>
      <c r="E961" s="1270"/>
      <c r="F961" s="1270"/>
      <c r="G961"/>
      <c r="I961" s="524" t="s">
        <v>2161</v>
      </c>
    </row>
    <row r="962" spans="1:9" ht="12.75" customHeight="1">
      <c r="A962" s="176"/>
      <c r="B962" s="176"/>
      <c r="C962" s="385"/>
      <c r="D962" s="1270"/>
      <c r="E962" s="1270"/>
      <c r="F962" s="1270"/>
      <c r="G962"/>
      <c r="I962" s="524"/>
    </row>
    <row r="963" spans="1:9" ht="12.75" customHeight="1">
      <c r="A963" s="176"/>
      <c r="B963" s="176"/>
      <c r="C963" s="385"/>
      <c r="D963" s="1270"/>
      <c r="E963" s="1270"/>
      <c r="F963" s="1270"/>
      <c r="G963"/>
      <c r="I963" s="524"/>
    </row>
    <row r="964" spans="1:9" ht="12.75" customHeight="1">
      <c r="A964" s="176"/>
      <c r="B964" s="176"/>
      <c r="C964" s="385"/>
      <c r="D964" s="1270"/>
      <c r="E964" s="1270"/>
      <c r="F964" s="1270"/>
      <c r="G964"/>
      <c r="I964" s="524"/>
    </row>
    <row r="965" spans="1:9" ht="12.75" customHeight="1">
      <c r="A965" s="176"/>
      <c r="B965" s="176"/>
      <c r="C965" s="385"/>
      <c r="D965" s="1270"/>
      <c r="E965" s="1270"/>
      <c r="F965" s="1270"/>
      <c r="G965"/>
      <c r="I965" s="524"/>
    </row>
    <row r="966" spans="1:9" ht="12.75" customHeight="1">
      <c r="A966" s="176"/>
      <c r="B966" s="176"/>
      <c r="C966" s="385"/>
      <c r="D966" s="1270"/>
      <c r="E966" s="1270"/>
      <c r="F966" s="1270"/>
      <c r="G966"/>
      <c r="I966" s="524"/>
    </row>
    <row r="967" spans="1:9" ht="12.75" customHeight="1">
      <c r="A967" s="176"/>
      <c r="B967" s="176"/>
      <c r="C967" s="385"/>
      <c r="D967" s="1270"/>
      <c r="E967" s="1270"/>
      <c r="F967" s="1270"/>
      <c r="G967"/>
      <c r="I967" s="524"/>
    </row>
    <row r="968" spans="1:9" ht="12.75" customHeight="1">
      <c r="A968" s="176"/>
      <c r="B968" s="176"/>
      <c r="C968" s="385"/>
      <c r="D968" s="1270"/>
      <c r="E968" s="1270"/>
      <c r="F968" s="1270"/>
      <c r="G968"/>
      <c r="I968" s="524"/>
    </row>
    <row r="969" spans="1:9" ht="12.75" customHeight="1">
      <c r="A969" s="176"/>
      <c r="B969" s="176"/>
      <c r="C969" s="385"/>
      <c r="D969" s="1270"/>
      <c r="E969" s="1270"/>
      <c r="F969" s="1270"/>
      <c r="G969"/>
      <c r="I969" s="524"/>
    </row>
    <row r="970" spans="1:9" ht="12.75" customHeight="1">
      <c r="A970" s="176"/>
      <c r="B970" s="176"/>
      <c r="C970" s="385"/>
      <c r="D970" s="1270"/>
      <c r="E970" s="1270"/>
      <c r="F970" s="1270"/>
      <c r="G970"/>
      <c r="I970" s="524"/>
    </row>
    <row r="971" spans="1:9" ht="12.75" customHeight="1">
      <c r="A971" s="176"/>
      <c r="B971" s="176"/>
      <c r="C971" s="385"/>
      <c r="D971" s="1270"/>
      <c r="E971" s="1270"/>
      <c r="F971" s="1270"/>
      <c r="G971"/>
      <c r="I971" s="524"/>
    </row>
    <row r="972" spans="1:9" ht="12.75" customHeight="1">
      <c r="A972" s="176"/>
      <c r="B972" s="176"/>
      <c r="C972" s="385"/>
      <c r="D972" s="1270"/>
      <c r="E972" s="1270"/>
      <c r="F972" s="1270"/>
      <c r="G972"/>
      <c r="I972" s="524"/>
    </row>
    <row r="973" spans="1:9" ht="12.75" customHeight="1">
      <c r="A973" s="176"/>
      <c r="B973" s="176"/>
      <c r="C973" s="385"/>
      <c r="D973" s="1270"/>
      <c r="E973" s="1270"/>
      <c r="F973" s="1270"/>
      <c r="G973"/>
      <c r="I973" s="524"/>
    </row>
    <row r="974" spans="1:9" ht="12.75" customHeight="1">
      <c r="A974" s="176"/>
      <c r="B974" s="176"/>
      <c r="C974" s="385"/>
      <c r="D974" s="1270"/>
      <c r="E974" s="1270"/>
      <c r="F974" s="1270"/>
      <c r="G974"/>
      <c r="I974" s="524"/>
    </row>
    <row r="975" spans="1:9" ht="12.75" customHeight="1">
      <c r="A975" s="176"/>
      <c r="B975" s="176"/>
      <c r="C975" s="385"/>
      <c r="D975" s="1270"/>
      <c r="E975" s="1270"/>
      <c r="F975" s="1270"/>
      <c r="G975" s="3"/>
      <c r="I975" s="524"/>
    </row>
    <row r="976" spans="1:9" ht="12.75" customHeight="1">
      <c r="A976" s="385"/>
      <c r="B976" s="385"/>
      <c r="C976" s="385"/>
      <c r="D976" s="3"/>
      <c r="E976" s="3"/>
      <c r="F976" s="3"/>
      <c r="G976" s="3"/>
      <c r="I976" s="524"/>
    </row>
    <row r="977" spans="1:9" ht="12.75" customHeight="1">
      <c r="A977" s="1315" t="s">
        <v>1976</v>
      </c>
      <c r="B977" s="1315"/>
      <c r="C977" s="1315"/>
      <c r="D977" s="1315"/>
      <c r="E977" s="1315"/>
      <c r="F977" s="1315"/>
      <c r="G977" s="1315"/>
      <c r="H977" s="1063"/>
      <c r="I977" s="1259"/>
    </row>
    <row r="978" spans="1:9" ht="12.75" customHeight="1">
      <c r="A978" s="118"/>
      <c r="B978" s="118"/>
      <c r="C978" s="385"/>
      <c r="D978" s="3"/>
      <c r="E978" s="3"/>
      <c r="F978" s="3"/>
      <c r="G978" s="3"/>
      <c r="I978" s="524"/>
    </row>
    <row r="979" spans="1:9" ht="12.75" customHeight="1">
      <c r="A979" s="385"/>
      <c r="B979" s="385"/>
      <c r="C979" s="1024"/>
      <c r="D979" s="1286" t="s">
        <v>1999</v>
      </c>
      <c r="E979" s="1286"/>
      <c r="F979" s="1286"/>
      <c r="G979" s="3"/>
      <c r="I979" s="524"/>
    </row>
    <row r="980" spans="1:9" ht="12.75" customHeight="1">
      <c r="A980" s="172"/>
      <c r="B980" s="172"/>
      <c r="C980" s="172"/>
      <c r="D980" s="1281" t="s">
        <v>1977</v>
      </c>
      <c r="E980" s="1281"/>
      <c r="F980" s="1281"/>
      <c r="G980" s="3"/>
      <c r="I980" s="524"/>
    </row>
    <row r="981" spans="1:9" ht="12.75" customHeight="1">
      <c r="A981" s="172"/>
      <c r="B981" s="172"/>
      <c r="C981" s="172"/>
      <c r="D981" s="3"/>
      <c r="E981" s="3"/>
      <c r="F981" s="1023"/>
      <c r="G981"/>
      <c r="I981" s="524"/>
    </row>
    <row r="982" spans="1:9" ht="12.75" customHeight="1">
      <c r="A982" s="385"/>
      <c r="B982" s="519" t="s">
        <v>2802</v>
      </c>
      <c r="C982" s="385"/>
      <c r="D982" s="1334" t="s">
        <v>2216</v>
      </c>
      <c r="E982" s="1334"/>
      <c r="F982" s="1334"/>
      <c r="G982"/>
      <c r="I982" s="524" t="s">
        <v>2141</v>
      </c>
    </row>
    <row r="983" spans="1:9" ht="12.75" customHeight="1">
      <c r="A983" s="385"/>
      <c r="B983" s="385"/>
      <c r="C983" s="385"/>
      <c r="D983" s="1334"/>
      <c r="E983" s="1334"/>
      <c r="F983" s="1334"/>
      <c r="G983"/>
      <c r="I983" s="524"/>
    </row>
    <row r="984" spans="1:9" ht="12.75" customHeight="1">
      <c r="A984" s="385"/>
      <c r="B984" s="385"/>
      <c r="C984" s="385"/>
      <c r="D984" s="1073"/>
      <c r="E984" s="1071" t="s">
        <v>2217</v>
      </c>
      <c r="F984" s="1073"/>
      <c r="G984"/>
      <c r="I984" s="524"/>
    </row>
    <row r="985" spans="1:9" ht="12.75" customHeight="1">
      <c r="A985" s="385"/>
      <c r="B985" s="385"/>
      <c r="C985" s="385"/>
      <c r="D985" s="1274" t="s">
        <v>2215</v>
      </c>
      <c r="E985" s="1274"/>
      <c r="F985" s="1274"/>
      <c r="G985"/>
      <c r="I985" s="524"/>
    </row>
    <row r="986" spans="1:9" ht="12.75" customHeight="1">
      <c r="A986" s="385"/>
      <c r="B986" s="385"/>
      <c r="C986" s="385"/>
      <c r="D986" s="1274"/>
      <c r="E986" s="1274"/>
      <c r="F986" s="1274"/>
      <c r="G986"/>
      <c r="I986" s="524"/>
    </row>
    <row r="987" spans="1:9" ht="12.75" customHeight="1">
      <c r="A987" s="175"/>
      <c r="B987" s="175"/>
      <c r="C987" s="175"/>
      <c r="D987" s="1274"/>
      <c r="E987" s="1274"/>
      <c r="F987" s="1274"/>
      <c r="G987"/>
      <c r="I987" s="524"/>
    </row>
    <row r="988" spans="1:9" ht="12.75" customHeight="1">
      <c r="A988" s="175"/>
      <c r="B988" s="175"/>
      <c r="C988" s="175"/>
      <c r="D988" s="1274"/>
      <c r="E988" s="1274"/>
      <c r="F988" s="1274"/>
      <c r="G988"/>
      <c r="I988" s="524"/>
    </row>
    <row r="989" spans="1:9" ht="12.75" customHeight="1">
      <c r="A989" s="175"/>
      <c r="B989" s="175"/>
      <c r="C989" s="175"/>
      <c r="D989" s="363"/>
      <c r="E989" s="363"/>
      <c r="F989" s="363"/>
      <c r="G989"/>
      <c r="I989" s="524"/>
    </row>
    <row r="990" spans="1:9" ht="12.75" customHeight="1">
      <c r="A990" s="175"/>
      <c r="B990" s="519" t="s">
        <v>2803</v>
      </c>
      <c r="C990" s="175"/>
      <c r="D990" s="1270" t="s">
        <v>1978</v>
      </c>
      <c r="E990" s="1270"/>
      <c r="F990" s="1270"/>
      <c r="G990"/>
      <c r="I990" s="524"/>
    </row>
    <row r="991" spans="1:9" ht="12.75" customHeight="1">
      <c r="A991" s="175"/>
      <c r="B991" s="175"/>
      <c r="C991" s="175"/>
      <c r="D991" s="1270"/>
      <c r="E991" s="1270"/>
      <c r="F991" s="1270"/>
      <c r="G991"/>
      <c r="I991" s="524"/>
    </row>
    <row r="992" spans="1:9" ht="12.75" customHeight="1">
      <c r="A992" s="175"/>
      <c r="B992" s="175"/>
      <c r="C992" s="175"/>
      <c r="D992" s="1270"/>
      <c r="E992" s="1270"/>
      <c r="F992" s="1270"/>
      <c r="G992"/>
      <c r="I992" s="524"/>
    </row>
    <row r="993" spans="1:9" ht="12.75" customHeight="1">
      <c r="A993" s="175"/>
      <c r="B993" s="175"/>
      <c r="C993" s="175"/>
      <c r="D993" s="1270"/>
      <c r="E993" s="1270"/>
      <c r="F993" s="1270"/>
      <c r="G993"/>
      <c r="I993" s="524"/>
    </row>
    <row r="994" spans="1:9" ht="12.75" customHeight="1">
      <c r="A994" s="175"/>
      <c r="B994" s="175"/>
      <c r="C994" s="175"/>
      <c r="D994" s="474"/>
      <c r="E994" s="474"/>
      <c r="F994" s="474"/>
      <c r="G994"/>
      <c r="I994" s="524"/>
    </row>
    <row r="995" spans="1:9" ht="12.75" customHeight="1">
      <c r="A995" s="175"/>
      <c r="B995" s="519" t="s">
        <v>2803</v>
      </c>
      <c r="C995" s="175"/>
      <c r="D995" s="1270" t="s">
        <v>1979</v>
      </c>
      <c r="E995" s="1270"/>
      <c r="F995" s="1270"/>
      <c r="G995"/>
      <c r="I995" s="524"/>
    </row>
    <row r="996" spans="1:9" ht="12.75" customHeight="1">
      <c r="A996" s="175"/>
      <c r="B996" s="175"/>
      <c r="C996" s="175"/>
      <c r="D996" s="1270"/>
      <c r="E996" s="1270"/>
      <c r="F996" s="1270"/>
      <c r="G996"/>
      <c r="I996" s="524"/>
    </row>
    <row r="997" spans="1:9" ht="12.75" customHeight="1">
      <c r="A997" s="175"/>
      <c r="B997" s="175"/>
      <c r="C997" s="175"/>
      <c r="D997" s="474"/>
      <c r="E997" s="474"/>
      <c r="F997" s="474"/>
      <c r="G997"/>
      <c r="I997" s="524"/>
    </row>
    <row r="998" spans="1:9" ht="12.75" customHeight="1">
      <c r="A998" s="176"/>
      <c r="B998" s="519" t="s">
        <v>2802</v>
      </c>
      <c r="C998" s="385"/>
      <c r="D998" s="1281" t="s">
        <v>1980</v>
      </c>
      <c r="E998" s="1281"/>
      <c r="F998" s="1281"/>
      <c r="G998"/>
      <c r="I998" s="524"/>
    </row>
    <row r="999" spans="1:9" ht="12.75" customHeight="1">
      <c r="A999" s="385"/>
      <c r="B999" s="385"/>
      <c r="C999" s="385"/>
      <c r="D999" s="3"/>
      <c r="E999" s="3"/>
      <c r="F999" s="3"/>
      <c r="G999"/>
      <c r="I999" s="524"/>
    </row>
    <row r="1000" spans="1:9" ht="12.75" customHeight="1">
      <c r="A1000" s="176"/>
      <c r="B1000" s="519" t="s">
        <v>2803</v>
      </c>
      <c r="C1000" s="385"/>
      <c r="D1000" s="1281" t="s">
        <v>1981</v>
      </c>
      <c r="E1000" s="1281"/>
      <c r="F1000" s="1281"/>
      <c r="G1000"/>
      <c r="I1000" s="524"/>
    </row>
    <row r="1001" spans="1:9" ht="12.75" customHeight="1">
      <c r="A1001" s="385"/>
      <c r="B1001" s="385"/>
      <c r="C1001" s="385"/>
      <c r="D1001" s="118"/>
      <c r="E1001" s="3"/>
      <c r="F1001" s="3"/>
      <c r="G1001"/>
      <c r="I1001" s="524"/>
    </row>
    <row r="1002" spans="1:9" ht="12.75" customHeight="1">
      <c r="A1002" s="176"/>
      <c r="B1002" s="519" t="s">
        <v>2802</v>
      </c>
      <c r="C1002" s="385"/>
      <c r="D1002" s="1281" t="s">
        <v>1982</v>
      </c>
      <c r="E1002" s="1281"/>
      <c r="F1002" s="1281"/>
      <c r="G1002"/>
      <c r="I1002" s="524"/>
    </row>
    <row r="1003" spans="1:9" ht="12.75" customHeight="1">
      <c r="A1003" s="385"/>
      <c r="B1003" s="385"/>
      <c r="C1003" s="385"/>
      <c r="D1003" s="118"/>
      <c r="E1003" s="3"/>
      <c r="F1003" s="3"/>
      <c r="G1003"/>
      <c r="I1003" s="524"/>
    </row>
    <row r="1004" spans="1:9" ht="12.75" customHeight="1">
      <c r="A1004" s="176"/>
      <c r="B1004" s="519" t="s">
        <v>2802</v>
      </c>
      <c r="C1004" s="385"/>
      <c r="D1004" s="1270" t="s">
        <v>1983</v>
      </c>
      <c r="E1004" s="1270"/>
      <c r="F1004" s="1270"/>
      <c r="G1004"/>
      <c r="I1004" s="524"/>
    </row>
    <row r="1005" spans="1:9" ht="12.75" customHeight="1">
      <c r="A1005" s="176"/>
      <c r="B1005" s="176"/>
      <c r="C1005" s="385"/>
      <c r="D1005" s="1270"/>
      <c r="E1005" s="1270"/>
      <c r="F1005" s="1270"/>
      <c r="G1005"/>
      <c r="I1005" s="524"/>
    </row>
    <row r="1006" spans="1:9" ht="12.75" customHeight="1">
      <c r="A1006" s="176"/>
      <c r="B1006" s="176"/>
      <c r="C1006" s="385"/>
      <c r="D1006" s="118"/>
      <c r="E1006" s="3"/>
      <c r="F1006" s="3"/>
      <c r="G1006" s="3"/>
      <c r="I1006" s="524"/>
    </row>
    <row r="1007" spans="1:9" ht="12.75" customHeight="1">
      <c r="A1007" s="272"/>
      <c r="B1007" s="519" t="s">
        <v>2803</v>
      </c>
      <c r="C1007" s="1035"/>
      <c r="D1007" s="1310" t="s">
        <v>1984</v>
      </c>
      <c r="E1007" s="1310"/>
      <c r="F1007" s="1310"/>
      <c r="G1007" s="1036"/>
      <c r="I1007" s="524"/>
    </row>
    <row r="1008" spans="1:9" ht="12.75" customHeight="1">
      <c r="A1008" s="1035"/>
      <c r="B1008" s="1035"/>
      <c r="C1008" s="1035"/>
      <c r="D1008" s="1310"/>
      <c r="E1008" s="1310"/>
      <c r="F1008" s="1310"/>
      <c r="G1008" s="1036"/>
      <c r="I1008" s="524"/>
    </row>
    <row r="1009" spans="1:9" ht="12.75" customHeight="1">
      <c r="A1009" s="1035"/>
      <c r="B1009" s="1035"/>
      <c r="C1009" s="1035"/>
      <c r="D1009" s="1019"/>
      <c r="E1009" s="1036"/>
      <c r="F1009" s="1036"/>
      <c r="G1009" s="1036"/>
      <c r="I1009" s="524"/>
    </row>
    <row r="1010" spans="1:9" ht="12.75" customHeight="1">
      <c r="A1010" s="272"/>
      <c r="B1010" s="519" t="s">
        <v>2803</v>
      </c>
      <c r="C1010" s="1035"/>
      <c r="D1010" s="1328" t="s">
        <v>1985</v>
      </c>
      <c r="E1010" s="1328"/>
      <c r="F1010" s="1328"/>
      <c r="G1010" s="1036"/>
      <c r="I1010" s="524"/>
    </row>
    <row r="1011" spans="1:9" ht="12.75" customHeight="1">
      <c r="A1011" s="1035"/>
      <c r="B1011" s="1035"/>
      <c r="C1011" s="1035"/>
      <c r="D1011" s="1019"/>
      <c r="E1011" s="1036"/>
      <c r="F1011" s="1036"/>
      <c r="G1011" s="1036"/>
      <c r="I1011" s="524"/>
    </row>
    <row r="1012" spans="1:9" ht="12.75" customHeight="1">
      <c r="A1012" s="176"/>
      <c r="B1012" s="519" t="s">
        <v>2802</v>
      </c>
      <c r="C1012" s="385"/>
      <c r="D1012" s="1281" t="s">
        <v>1986</v>
      </c>
      <c r="E1012" s="1281"/>
      <c r="F1012" s="1281"/>
      <c r="G1012" s="3"/>
      <c r="I1012" s="524"/>
    </row>
    <row r="1013" spans="1:9" ht="12.75" customHeight="1">
      <c r="A1013" s="176"/>
      <c r="B1013" s="176"/>
      <c r="C1013" s="385"/>
      <c r="D1013" s="118"/>
      <c r="E1013" s="3"/>
      <c r="F1013" s="3"/>
      <c r="G1013" s="3"/>
      <c r="I1013" s="524"/>
    </row>
    <row r="1014" spans="1:9" ht="12.75" customHeight="1">
      <c r="A1014" s="176"/>
      <c r="B1014" s="519" t="s">
        <v>2803</v>
      </c>
      <c r="C1014" s="385"/>
      <c r="D1014" s="1270" t="s">
        <v>1987</v>
      </c>
      <c r="E1014" s="1270"/>
      <c r="F1014" s="1270"/>
      <c r="G1014" s="3"/>
      <c r="I1014" s="524"/>
    </row>
    <row r="1015" spans="1:9" ht="12.75" customHeight="1">
      <c r="A1015" s="176"/>
      <c r="B1015" s="176"/>
      <c r="C1015" s="385"/>
      <c r="D1015" s="1270"/>
      <c r="E1015" s="1270"/>
      <c r="F1015" s="1270"/>
      <c r="G1015" s="3"/>
      <c r="I1015" s="524"/>
    </row>
    <row r="1016" spans="1:9" ht="12.75" customHeight="1">
      <c r="A1016" s="385"/>
      <c r="B1016" s="385"/>
      <c r="C1016" s="385"/>
      <c r="D1016" s="3"/>
      <c r="E1016" s="3"/>
      <c r="F1016" s="3"/>
      <c r="G1016" s="3"/>
      <c r="I1016" s="524"/>
    </row>
    <row r="1017" spans="1:9" ht="12.75" customHeight="1">
      <c r="A1017" s="1315" t="s">
        <v>1988</v>
      </c>
      <c r="B1017" s="1315"/>
      <c r="C1017" s="1315"/>
      <c r="D1017" s="1315"/>
      <c r="E1017" s="1315"/>
      <c r="F1017" s="1315"/>
      <c r="G1017" s="1315"/>
      <c r="H1017" s="1063"/>
      <c r="I1017" s="1259"/>
    </row>
    <row r="1018" spans="1:9" ht="12.75" customHeight="1">
      <c r="A1018" s="385"/>
      <c r="B1018" s="385"/>
      <c r="C1018" s="385"/>
      <c r="D1018" s="3"/>
      <c r="E1018" s="3"/>
      <c r="F1018" s="3"/>
      <c r="G1018" s="3"/>
      <c r="I1018" s="524"/>
    </row>
    <row r="1019" spans="1:9" ht="12.75" customHeight="1">
      <c r="A1019" s="385"/>
      <c r="B1019" s="385"/>
      <c r="C1019" s="385"/>
      <c r="D1019" s="1309" t="s">
        <v>1989</v>
      </c>
      <c r="E1019" s="1309"/>
      <c r="F1019" s="1309"/>
      <c r="G1019" s="3"/>
      <c r="I1019" s="524"/>
    </row>
    <row r="1020" spans="1:9" ht="12.75" customHeight="1">
      <c r="A1020" s="385"/>
      <c r="B1020" s="385"/>
      <c r="C1020" s="385"/>
      <c r="D1020" s="1328" t="s">
        <v>1990</v>
      </c>
      <c r="E1020" s="1328"/>
      <c r="F1020" s="1328"/>
      <c r="G1020" s="3"/>
      <c r="I1020" s="524"/>
    </row>
    <row r="1021" spans="1:9" ht="12.75" customHeight="1">
      <c r="A1021" s="172"/>
      <c r="B1021" s="172"/>
      <c r="C1021" s="172"/>
      <c r="D1021" s="3"/>
      <c r="E1021" s="3"/>
      <c r="F1021" s="3"/>
      <c r="G1021" s="3"/>
      <c r="I1021" s="524"/>
    </row>
    <row r="1022" spans="1:9" ht="12.75" customHeight="1">
      <c r="A1022" s="176"/>
      <c r="B1022" s="176"/>
      <c r="C1022" s="175"/>
      <c r="D1022" s="1309" t="s">
        <v>2004</v>
      </c>
      <c r="E1022" s="1309"/>
      <c r="F1022" s="1309"/>
      <c r="G1022" s="3"/>
      <c r="I1022" s="524" t="s">
        <v>2113</v>
      </c>
    </row>
    <row r="1023" spans="1:9" ht="12.75" customHeight="1">
      <c r="A1023" s="385"/>
      <c r="B1023" s="519" t="s">
        <v>2802</v>
      </c>
      <c r="C1023" s="385"/>
      <c r="D1023" s="1328" t="s">
        <v>1381</v>
      </c>
      <c r="E1023" s="1328"/>
      <c r="F1023" s="1328"/>
      <c r="G1023" s="3"/>
      <c r="I1023" s="524"/>
    </row>
    <row r="1024" spans="1:9" ht="12.75" customHeight="1">
      <c r="A1024" s="385"/>
      <c r="B1024" s="176"/>
      <c r="C1024" s="385"/>
      <c r="D1024" s="1328" t="s">
        <v>1991</v>
      </c>
      <c r="E1024" s="1328"/>
      <c r="F1024" s="1328"/>
      <c r="G1024" s="3"/>
      <c r="I1024" s="524"/>
    </row>
    <row r="1025" spans="1:9" ht="12.75" customHeight="1">
      <c r="A1025" s="385"/>
      <c r="B1025" s="385"/>
      <c r="C1025" s="385"/>
      <c r="D1025" s="1328"/>
      <c r="E1025" s="1328"/>
      <c r="F1025" s="1328"/>
      <c r="G1025" s="3"/>
      <c r="I1025" s="524"/>
    </row>
    <row r="1026" spans="1:9" ht="12.75" customHeight="1">
      <c r="A1026" s="1315" t="s">
        <v>2000</v>
      </c>
      <c r="B1026" s="1315"/>
      <c r="C1026" s="1315"/>
      <c r="D1026" s="1315"/>
      <c r="E1026" s="1315"/>
      <c r="F1026" s="1315"/>
      <c r="G1026" s="1315"/>
      <c r="H1026" s="1063"/>
      <c r="I1026" s="1259"/>
    </row>
    <row r="1027" spans="1:9" ht="12.75" customHeight="1">
      <c r="A1027" s="118"/>
      <c r="B1027" s="118"/>
      <c r="C1027" s="385"/>
      <c r="D1027" s="3"/>
      <c r="E1027" s="3"/>
      <c r="F1027" s="3"/>
      <c r="G1027" s="3"/>
      <c r="I1027" s="524"/>
    </row>
    <row r="1028" spans="1:9" ht="12.75" hidden="1" customHeight="1">
      <c r="A1028" s="118"/>
      <c r="B1028" s="433"/>
      <c r="D1028" s="1317" t="s">
        <v>1382</v>
      </c>
      <c r="E1028" s="1317"/>
      <c r="F1028" s="1317"/>
      <c r="G1028" s="3"/>
      <c r="I1028" s="524"/>
    </row>
    <row r="1029" spans="1:9" ht="12.75" hidden="1" customHeight="1">
      <c r="A1029" s="118"/>
      <c r="B1029" s="519" t="s">
        <v>308</v>
      </c>
      <c r="D1029" s="1319" t="s">
        <v>1381</v>
      </c>
      <c r="E1029" s="1319"/>
      <c r="F1029" s="1319"/>
      <c r="G1029" s="3"/>
      <c r="I1029" s="524"/>
    </row>
    <row r="1030" spans="1:9" ht="12.75" hidden="1" customHeight="1">
      <c r="A1030" s="118"/>
      <c r="B1030" s="433"/>
      <c r="D1030" s="1319" t="s">
        <v>2001</v>
      </c>
      <c r="E1030" s="1319"/>
      <c r="F1030" s="1319"/>
      <c r="G1030" s="3"/>
      <c r="I1030" s="524"/>
    </row>
    <row r="1031" spans="1:9" ht="12.75" hidden="1" customHeight="1">
      <c r="A1031" s="118"/>
      <c r="B1031" s="433"/>
      <c r="D1031" s="478"/>
      <c r="E1031" s="478"/>
      <c r="F1031" s="478"/>
      <c r="G1031" s="3"/>
      <c r="I1031" s="524"/>
    </row>
    <row r="1032" spans="1:9" ht="12.75" customHeight="1">
      <c r="A1032" s="118"/>
      <c r="B1032" s="118"/>
      <c r="C1032" s="385"/>
      <c r="D1032" s="1329" t="s">
        <v>1095</v>
      </c>
      <c r="E1032" s="1329"/>
      <c r="F1032" s="1329"/>
      <c r="G1032" s="3"/>
      <c r="I1032" s="524" t="s">
        <v>2142</v>
      </c>
    </row>
    <row r="1033" spans="1:9" ht="12.75" customHeight="1">
      <c r="A1033" s="345"/>
      <c r="B1033" s="345"/>
      <c r="C1033" s="345"/>
      <c r="D1033" s="1313" t="s">
        <v>1112</v>
      </c>
      <c r="E1033" s="1313"/>
      <c r="F1033" s="1313"/>
      <c r="G1033" s="98"/>
      <c r="I1033" s="524"/>
    </row>
    <row r="1034" spans="1:9" ht="12.75" customHeight="1">
      <c r="A1034" s="176"/>
      <c r="B1034" s="519" t="s">
        <v>2803</v>
      </c>
      <c r="C1034" s="385"/>
      <c r="D1034" s="1313" t="s">
        <v>1005</v>
      </c>
      <c r="E1034" s="1313"/>
      <c r="F1034" s="1313"/>
      <c r="G1034" s="3"/>
      <c r="I1034" s="524"/>
    </row>
    <row r="1035" spans="1:9" ht="12.75" customHeight="1">
      <c r="A1035" s="385"/>
      <c r="B1035" s="385"/>
      <c r="C1035" s="385"/>
      <c r="D1035" s="1071" t="s">
        <v>2218</v>
      </c>
      <c r="E1035" s="96"/>
      <c r="F1035" s="96"/>
      <c r="G1035" s="3"/>
      <c r="I1035" s="524"/>
    </row>
    <row r="1036" spans="1:9">
      <c r="A1036" s="433"/>
      <c r="B1036" s="433"/>
      <c r="C1036" s="433"/>
      <c r="I1036" s="524"/>
    </row>
    <row r="1037" spans="1:9">
      <c r="A1037" s="1315" t="s">
        <v>2021</v>
      </c>
      <c r="B1037" s="1315"/>
      <c r="C1037" s="1315"/>
      <c r="D1037" s="1315"/>
      <c r="E1037" s="1315"/>
      <c r="F1037" s="1315"/>
      <c r="G1037" s="1315"/>
      <c r="H1037" s="1063"/>
      <c r="I1037" s="1259"/>
    </row>
    <row r="1038" spans="1:9">
      <c r="A1038" s="433"/>
      <c r="B1038" s="433"/>
      <c r="C1038" s="433"/>
      <c r="I1038" s="524"/>
    </row>
    <row r="1039" spans="1:9">
      <c r="A1039" s="433"/>
      <c r="B1039" s="433"/>
      <c r="C1039" s="433"/>
      <c r="D1039" s="435" t="s">
        <v>2007</v>
      </c>
      <c r="I1039" s="524"/>
    </row>
    <row r="1040" spans="1:9">
      <c r="A1040" s="433"/>
      <c r="B1040" s="433"/>
      <c r="C1040" s="433"/>
      <c r="D1040" s="433" t="s">
        <v>2006</v>
      </c>
      <c r="I1040" s="524"/>
    </row>
    <row r="1041" spans="1:9">
      <c r="A1041" s="433"/>
      <c r="B1041" s="433"/>
      <c r="C1041" s="433"/>
      <c r="D1041" s="435"/>
      <c r="I1041" s="524"/>
    </row>
    <row r="1042" spans="1:9">
      <c r="A1042" s="433"/>
      <c r="B1042" s="519" t="s">
        <v>2803</v>
      </c>
      <c r="C1042" s="433"/>
      <c r="D1042" s="1331" t="s">
        <v>2005</v>
      </c>
      <c r="E1042" s="1331"/>
      <c r="F1042" s="1331"/>
      <c r="I1042" s="524" t="s">
        <v>2114</v>
      </c>
    </row>
    <row r="1043" spans="1:9">
      <c r="A1043" s="433"/>
      <c r="B1043" s="433"/>
      <c r="C1043" s="433"/>
      <c r="D1043" s="1331"/>
      <c r="E1043" s="1331"/>
      <c r="F1043" s="1331"/>
      <c r="I1043" s="524"/>
    </row>
    <row r="1044" spans="1:9">
      <c r="A1044" s="433"/>
      <c r="B1044" s="433"/>
      <c r="C1044" s="433"/>
      <c r="D1044" s="1331"/>
      <c r="E1044" s="1331"/>
      <c r="F1044" s="1331"/>
      <c r="I1044" s="524"/>
    </row>
    <row r="1045" spans="1:9">
      <c r="A1045" s="433"/>
      <c r="B1045" s="433"/>
      <c r="C1045" s="433"/>
      <c r="D1045" s="1331"/>
      <c r="E1045" s="1331"/>
      <c r="F1045" s="1331"/>
      <c r="I1045" s="524"/>
    </row>
    <row r="1046" spans="1:9">
      <c r="A1046" s="433"/>
      <c r="B1046" s="433"/>
      <c r="C1046" s="433"/>
      <c r="I1046" s="524"/>
    </row>
    <row r="1047" spans="1:9">
      <c r="A1047" s="433"/>
      <c r="B1047" s="433"/>
      <c r="C1047" s="433"/>
      <c r="D1047" s="435" t="s">
        <v>1424</v>
      </c>
      <c r="I1047" s="524"/>
    </row>
    <row r="1048" spans="1:9">
      <c r="A1048" s="433"/>
      <c r="B1048" s="433"/>
      <c r="C1048" s="433"/>
      <c r="D1048" s="433" t="s">
        <v>2008</v>
      </c>
      <c r="I1048" s="524"/>
    </row>
    <row r="1049" spans="1:9">
      <c r="A1049" s="433"/>
      <c r="B1049" s="433"/>
      <c r="C1049" s="433"/>
      <c r="I1049" s="524"/>
    </row>
    <row r="1050" spans="1:9">
      <c r="A1050" s="433"/>
      <c r="B1050" s="519" t="s">
        <v>2803</v>
      </c>
      <c r="C1050" s="433"/>
      <c r="D1050" s="433" t="s">
        <v>2003</v>
      </c>
      <c r="I1050" s="524" t="s">
        <v>2115</v>
      </c>
    </row>
    <row r="1051" spans="1:9">
      <c r="A1051" s="433"/>
      <c r="B1051" s="433"/>
      <c r="C1051" s="433"/>
      <c r="I1051" s="524"/>
    </row>
    <row r="1052" spans="1:9">
      <c r="A1052" s="433"/>
      <c r="B1052" s="519" t="s">
        <v>2803</v>
      </c>
      <c r="C1052" s="433"/>
      <c r="D1052" s="1331" t="s">
        <v>2009</v>
      </c>
      <c r="E1052" s="1331"/>
      <c r="F1052" s="1331"/>
      <c r="I1052" s="524" t="s">
        <v>2116</v>
      </c>
    </row>
    <row r="1053" spans="1:9">
      <c r="A1053" s="433"/>
      <c r="B1053" s="433"/>
      <c r="C1053" s="433"/>
      <c r="D1053" s="1331"/>
      <c r="E1053" s="1331"/>
      <c r="F1053" s="1331"/>
      <c r="I1053" s="524"/>
    </row>
    <row r="1054" spans="1:9">
      <c r="A1054" s="433"/>
      <c r="B1054" s="433"/>
      <c r="C1054" s="433"/>
      <c r="D1054" s="1331"/>
      <c r="E1054" s="1331"/>
      <c r="F1054" s="1331"/>
      <c r="I1054" s="524"/>
    </row>
    <row r="1055" spans="1:9">
      <c r="A1055" s="433"/>
      <c r="B1055" s="433"/>
      <c r="C1055" s="433"/>
      <c r="D1055" s="1331"/>
      <c r="E1055" s="1331"/>
      <c r="F1055" s="1331"/>
      <c r="I1055" s="524"/>
    </row>
    <row r="1056" spans="1:9">
      <c r="A1056" s="433"/>
      <c r="B1056" s="433"/>
      <c r="C1056" s="433"/>
      <c r="D1056" s="1331"/>
      <c r="E1056" s="1331"/>
      <c r="F1056" s="1331"/>
      <c r="I1056" s="524"/>
    </row>
    <row r="1057" spans="1:9">
      <c r="A1057" s="433"/>
      <c r="B1057" s="433"/>
      <c r="C1057" s="433"/>
      <c r="I1057" s="524"/>
    </row>
    <row r="1058" spans="1:9">
      <c r="A1058" s="1315" t="s">
        <v>2010</v>
      </c>
      <c r="B1058" s="1315"/>
      <c r="C1058" s="1315"/>
      <c r="D1058" s="1315"/>
      <c r="E1058" s="1315"/>
      <c r="F1058" s="1315"/>
      <c r="G1058" s="1315"/>
      <c r="H1058" s="1063"/>
      <c r="I1058" s="1259"/>
    </row>
    <row r="1059" spans="1:9">
      <c r="A1059" s="433"/>
      <c r="B1059" s="433"/>
      <c r="C1059" s="433"/>
      <c r="I1059" s="524"/>
    </row>
    <row r="1060" spans="1:9">
      <c r="A1060" s="433"/>
      <c r="B1060" s="433"/>
      <c r="C1060" s="433"/>
      <c r="I1060" s="524"/>
    </row>
    <row r="1061" spans="1:9">
      <c r="A1061" s="433"/>
      <c r="B1061" s="519" t="s">
        <v>2802</v>
      </c>
      <c r="C1061" s="433"/>
      <c r="D1061" s="561" t="s">
        <v>2013</v>
      </c>
      <c r="I1061" s="524" t="s">
        <v>2117</v>
      </c>
    </row>
    <row r="1062" spans="1:9">
      <c r="A1062" s="433"/>
      <c r="B1062" s="433"/>
      <c r="C1062" s="433"/>
      <c r="D1062" s="561" t="s">
        <v>2015</v>
      </c>
      <c r="I1062" s="524"/>
    </row>
    <row r="1063" spans="1:9">
      <c r="A1063" s="433"/>
      <c r="B1063" s="433"/>
      <c r="C1063" s="433"/>
      <c r="D1063" s="561"/>
      <c r="I1063" s="524"/>
    </row>
    <row r="1064" spans="1:9">
      <c r="A1064" s="433"/>
      <c r="B1064" s="519" t="s">
        <v>2803</v>
      </c>
      <c r="C1064" s="433"/>
      <c r="D1064" s="561" t="s">
        <v>2016</v>
      </c>
      <c r="I1064" s="524" t="s">
        <v>2118</v>
      </c>
    </row>
    <row r="1065" spans="1:9">
      <c r="A1065" s="433"/>
      <c r="B1065" s="433"/>
      <c r="C1065" s="433"/>
      <c r="D1065" s="561" t="s">
        <v>2014</v>
      </c>
      <c r="I1065" s="524"/>
    </row>
    <row r="1066" spans="1:9">
      <c r="A1066" s="433"/>
      <c r="B1066" s="433"/>
      <c r="C1066" s="433"/>
      <c r="D1066" s="561"/>
      <c r="I1066" s="524"/>
    </row>
    <row r="1067" spans="1:9">
      <c r="A1067" s="433"/>
      <c r="B1067" s="519" t="s">
        <v>2803</v>
      </c>
      <c r="C1067" s="433"/>
      <c r="D1067" s="119" t="s">
        <v>2019</v>
      </c>
      <c r="I1067" s="524" t="s">
        <v>2119</v>
      </c>
    </row>
    <row r="1068" spans="1:9">
      <c r="A1068" s="433"/>
      <c r="B1068" s="433"/>
      <c r="C1068" s="433"/>
      <c r="D1068" s="1270" t="s">
        <v>2020</v>
      </c>
      <c r="E1068" s="1270"/>
      <c r="F1068" s="1270"/>
      <c r="I1068" s="524"/>
    </row>
    <row r="1069" spans="1:9">
      <c r="A1069" s="433"/>
      <c r="B1069" s="433"/>
      <c r="C1069" s="433"/>
      <c r="D1069" s="1270"/>
      <c r="E1069" s="1270"/>
      <c r="F1069" s="1270"/>
      <c r="I1069" s="524"/>
    </row>
    <row r="1070" spans="1:9">
      <c r="A1070" s="433"/>
      <c r="B1070" s="433"/>
      <c r="C1070" s="433"/>
      <c r="D1070" s="1270"/>
      <c r="E1070" s="1270"/>
      <c r="F1070" s="1270"/>
      <c r="I1070" s="524"/>
    </row>
    <row r="1071" spans="1:9">
      <c r="A1071" s="433"/>
      <c r="B1071" s="433"/>
      <c r="C1071" s="433"/>
      <c r="D1071" s="1270"/>
      <c r="E1071" s="1270"/>
      <c r="F1071" s="1270"/>
      <c r="I1071" s="524"/>
    </row>
    <row r="1072" spans="1:9">
      <c r="A1072" s="433"/>
      <c r="B1072" s="433"/>
      <c r="C1072" s="433"/>
      <c r="D1072" s="119" t="s">
        <v>2018</v>
      </c>
      <c r="I1072" s="524"/>
    </row>
    <row r="1073" spans="1:9">
      <c r="A1073" s="433"/>
      <c r="B1073" s="433"/>
      <c r="C1073" s="433"/>
      <c r="D1073" s="119"/>
      <c r="I1073" s="524"/>
    </row>
    <row r="1074" spans="1:9">
      <c r="A1074" s="433"/>
      <c r="B1074" s="433"/>
      <c r="C1074" s="433"/>
      <c r="D1074" s="561" t="s">
        <v>2011</v>
      </c>
      <c r="I1074" s="524" t="s">
        <v>2120</v>
      </c>
    </row>
    <row r="1075" spans="1:9">
      <c r="A1075" s="433"/>
      <c r="B1075" s="519" t="s">
        <v>2803</v>
      </c>
      <c r="C1075" s="433"/>
      <c r="D1075" s="1330" t="s">
        <v>2012</v>
      </c>
      <c r="E1075" s="1330"/>
      <c r="F1075" s="1330"/>
      <c r="I1075" s="524"/>
    </row>
    <row r="1076" spans="1:9">
      <c r="A1076" s="433"/>
      <c r="B1076" s="433"/>
      <c r="C1076" s="433"/>
      <c r="D1076" s="1330"/>
      <c r="E1076" s="1330"/>
      <c r="F1076" s="1330"/>
      <c r="I1076" s="524"/>
    </row>
    <row r="1077" spans="1:9">
      <c r="A1077" s="433"/>
      <c r="B1077" s="433"/>
      <c r="C1077" s="433"/>
      <c r="D1077" s="1330"/>
      <c r="E1077" s="1330"/>
      <c r="F1077" s="1330"/>
      <c r="I1077" s="524"/>
    </row>
    <row r="1078" spans="1:9">
      <c r="A1078" s="433"/>
      <c r="B1078" s="433"/>
      <c r="C1078" s="433"/>
      <c r="D1078" s="1330"/>
      <c r="E1078" s="1330"/>
      <c r="F1078" s="1330"/>
      <c r="I1078" s="524"/>
    </row>
    <row r="1079" spans="1:9">
      <c r="A1079" s="433"/>
      <c r="B1079" s="433"/>
      <c r="C1079" s="433"/>
      <c r="D1079" s="1330"/>
      <c r="E1079" s="1330"/>
      <c r="F1079" s="1330"/>
      <c r="I1079" s="524"/>
    </row>
    <row r="1080" spans="1:9">
      <c r="A1080" s="433"/>
      <c r="B1080" s="433"/>
      <c r="C1080" s="433"/>
      <c r="D1080" s="561" t="s">
        <v>2017</v>
      </c>
      <c r="I1080" s="524"/>
    </row>
    <row r="1081" spans="1:9">
      <c r="A1081" s="433"/>
      <c r="B1081" s="433"/>
      <c r="C1081" s="433"/>
      <c r="I1081" s="524"/>
    </row>
    <row r="1082" spans="1:9">
      <c r="A1082" s="1315" t="s">
        <v>2022</v>
      </c>
      <c r="B1082" s="1315"/>
      <c r="C1082" s="1315"/>
      <c r="D1082" s="1315"/>
      <c r="E1082" s="1315"/>
      <c r="F1082" s="1315"/>
      <c r="G1082" s="1315"/>
      <c r="H1082" s="1063"/>
      <c r="I1082" s="1259"/>
    </row>
    <row r="1083" spans="1:9">
      <c r="A1083" s="433"/>
      <c r="B1083" s="433"/>
      <c r="C1083" s="433"/>
      <c r="I1083" s="524"/>
    </row>
    <row r="1084" spans="1:9">
      <c r="A1084" s="433"/>
      <c r="B1084" s="433"/>
      <c r="C1084" s="433"/>
      <c r="I1084" s="524"/>
    </row>
    <row r="1085" spans="1:9" ht="12.75" customHeight="1">
      <c r="A1085" s="433"/>
      <c r="B1085" s="519" t="s">
        <v>2803</v>
      </c>
      <c r="C1085" s="433"/>
      <c r="D1085" s="1332" t="s">
        <v>2230</v>
      </c>
      <c r="E1085" s="1332"/>
      <c r="F1085" s="1332"/>
      <c r="I1085" s="524" t="s">
        <v>2121</v>
      </c>
    </row>
    <row r="1086" spans="1:9">
      <c r="A1086" s="433"/>
      <c r="B1086" s="433"/>
      <c r="C1086" s="433"/>
      <c r="D1086" s="1332"/>
      <c r="E1086" s="1332"/>
      <c r="F1086" s="1332"/>
      <c r="I1086" s="524"/>
    </row>
    <row r="1087" spans="1:9">
      <c r="A1087" s="433"/>
      <c r="B1087" s="433"/>
      <c r="C1087" s="433"/>
      <c r="D1087" s="1333" t="s">
        <v>2503</v>
      </c>
      <c r="E1087" s="1270"/>
      <c r="F1087" s="1270"/>
      <c r="I1087" s="524"/>
    </row>
    <row r="1088" spans="1:9">
      <c r="A1088" s="433"/>
      <c r="B1088" s="433"/>
      <c r="C1088" s="433"/>
      <c r="D1088" s="561"/>
      <c r="I1088" s="524"/>
    </row>
    <row r="1089" spans="1:9">
      <c r="A1089" s="433"/>
      <c r="B1089" s="519" t="s">
        <v>2803</v>
      </c>
      <c r="C1089" s="433"/>
      <c r="D1089" s="1330" t="s">
        <v>2023</v>
      </c>
      <c r="E1089" s="1330"/>
      <c r="F1089" s="1330"/>
      <c r="I1089" s="524" t="s">
        <v>2122</v>
      </c>
    </row>
    <row r="1090" spans="1:9">
      <c r="A1090" s="433"/>
      <c r="B1090" s="433"/>
      <c r="C1090" s="433"/>
      <c r="D1090" s="1330"/>
      <c r="E1090" s="1330"/>
      <c r="F1090" s="1330"/>
      <c r="I1090" s="524"/>
    </row>
    <row r="1091" spans="1:9">
      <c r="A1091" s="433"/>
      <c r="B1091" s="433"/>
      <c r="C1091" s="433"/>
      <c r="D1091" s="561"/>
      <c r="I1091" s="524"/>
    </row>
    <row r="1092" spans="1:9">
      <c r="A1092" s="433"/>
      <c r="B1092" s="519" t="s">
        <v>2803</v>
      </c>
      <c r="C1092" s="433"/>
      <c r="D1092" s="1330" t="s">
        <v>2166</v>
      </c>
      <c r="E1092" s="1330"/>
      <c r="F1092" s="1330"/>
      <c r="I1092" s="524" t="s">
        <v>2164</v>
      </c>
    </row>
    <row r="1093" spans="1:9">
      <c r="A1093" s="433"/>
      <c r="B1093" s="433"/>
      <c r="C1093" s="433"/>
      <c r="D1093" s="1330"/>
      <c r="E1093" s="1330"/>
      <c r="F1093" s="1330"/>
      <c r="I1093" s="524"/>
    </row>
    <row r="1094" spans="1:9">
      <c r="A1094" s="433"/>
      <c r="B1094" s="433"/>
      <c r="C1094" s="433"/>
      <c r="D1094" s="1330"/>
      <c r="E1094" s="1330"/>
      <c r="F1094" s="1330"/>
      <c r="I1094" s="524"/>
    </row>
    <row r="1095" spans="1:9">
      <c r="A1095" s="433"/>
      <c r="B1095" s="433"/>
      <c r="C1095" s="433"/>
      <c r="D1095" s="1330"/>
      <c r="E1095" s="1330"/>
      <c r="F1095" s="1330"/>
      <c r="I1095" s="524"/>
    </row>
    <row r="1096" spans="1:9">
      <c r="A1096" s="433"/>
      <c r="B1096" s="433"/>
      <c r="C1096" s="433"/>
      <c r="D1096" s="1330"/>
      <c r="E1096" s="1330"/>
      <c r="F1096" s="1330"/>
      <c r="I1096" s="524"/>
    </row>
    <row r="1097" spans="1:9">
      <c r="A1097" s="433"/>
      <c r="B1097" s="433"/>
      <c r="C1097" s="433"/>
      <c r="D1097" s="1330"/>
      <c r="E1097" s="1330"/>
      <c r="F1097" s="1330"/>
      <c r="I1097" s="524"/>
    </row>
    <row r="1098" spans="1:9">
      <c r="A1098" s="433"/>
      <c r="B1098" s="433"/>
      <c r="C1098" s="433"/>
      <c r="D1098" s="561" t="s">
        <v>2165</v>
      </c>
      <c r="I1098" s="514"/>
    </row>
    <row r="1099" spans="1:9">
      <c r="A1099" s="433"/>
      <c r="B1099" s="519" t="s">
        <v>2803</v>
      </c>
      <c r="C1099" s="433"/>
      <c r="D1099" s="1330" t="s">
        <v>2024</v>
      </c>
      <c r="E1099" s="1330"/>
      <c r="F1099" s="1330"/>
      <c r="I1099" s="524" t="s">
        <v>2123</v>
      </c>
    </row>
    <row r="1100" spans="1:9">
      <c r="A1100" s="433"/>
      <c r="B1100" s="433"/>
      <c r="C1100" s="433"/>
      <c r="D1100" s="1330"/>
      <c r="E1100" s="1330"/>
      <c r="F1100" s="1330"/>
      <c r="I1100" s="524"/>
    </row>
    <row r="1101" spans="1:9">
      <c r="A1101" s="433"/>
      <c r="B1101" s="433"/>
      <c r="C1101" s="433"/>
      <c r="D1101" s="1330"/>
      <c r="E1101" s="1330"/>
      <c r="F1101" s="1330"/>
      <c r="I1101" s="524"/>
    </row>
    <row r="1102" spans="1:9">
      <c r="A1102" s="433"/>
      <c r="B1102" s="433"/>
      <c r="C1102" s="433"/>
      <c r="D1102" s="561"/>
      <c r="I1102" s="524"/>
    </row>
    <row r="1103" spans="1:9">
      <c r="A1103" s="433"/>
      <c r="B1103" s="519" t="s">
        <v>2802</v>
      </c>
      <c r="C1103" s="433"/>
      <c r="D1103" s="1274" t="s">
        <v>2167</v>
      </c>
      <c r="E1103" s="1274"/>
      <c r="F1103" s="1274"/>
      <c r="I1103" s="524" t="s">
        <v>2124</v>
      </c>
    </row>
    <row r="1104" spans="1:9">
      <c r="A1104" s="433"/>
      <c r="B1104" s="433"/>
      <c r="C1104" s="433"/>
      <c r="D1104" s="1274"/>
      <c r="E1104" s="1274"/>
      <c r="F1104" s="1274"/>
      <c r="I1104" s="524"/>
    </row>
    <row r="1105" spans="1:9">
      <c r="A1105" s="433"/>
      <c r="B1105" s="433"/>
      <c r="C1105" s="433"/>
      <c r="D1105" s="1274"/>
      <c r="E1105" s="1274"/>
      <c r="F1105" s="1274"/>
      <c r="I1105" s="524"/>
    </row>
    <row r="1106" spans="1:9">
      <c r="A1106" s="433"/>
      <c r="B1106" s="433"/>
      <c r="C1106" s="433"/>
      <c r="D1106" s="1015"/>
      <c r="E1106" s="1015"/>
      <c r="F1106" s="1015"/>
      <c r="I1106" s="524"/>
    </row>
    <row r="1107" spans="1:9" ht="15.75" customHeight="1">
      <c r="A1107" s="433"/>
      <c r="B1107" s="519" t="s">
        <v>2802</v>
      </c>
      <c r="C1107" s="433"/>
      <c r="D1107" s="1270" t="s">
        <v>2169</v>
      </c>
      <c r="E1107" s="1270"/>
      <c r="F1107" s="1270"/>
      <c r="I1107" s="524" t="s">
        <v>2168</v>
      </c>
    </row>
    <row r="1108" spans="1:9">
      <c r="A1108" s="433"/>
      <c r="B1108" s="433"/>
      <c r="C1108" s="433"/>
      <c r="D1108" s="1270"/>
      <c r="E1108" s="1270"/>
      <c r="F1108" s="1270"/>
      <c r="I1108" s="524"/>
    </row>
    <row r="1109" spans="1:9">
      <c r="A1109" s="433"/>
      <c r="B1109" s="433"/>
      <c r="C1109" s="433"/>
      <c r="D1109" s="1270"/>
      <c r="E1109" s="1270"/>
      <c r="F1109" s="1270"/>
      <c r="I1109" s="524"/>
    </row>
    <row r="1110" spans="1:9">
      <c r="A1110" s="433"/>
      <c r="B1110" s="433"/>
      <c r="C1110" s="433"/>
      <c r="D1110" s="1270"/>
      <c r="E1110" s="1270"/>
      <c r="F1110" s="1270"/>
      <c r="I1110" s="524"/>
    </row>
    <row r="1111" spans="1:9">
      <c r="A1111" s="433"/>
      <c r="B1111" s="433"/>
      <c r="C1111" s="433"/>
      <c r="D1111" s="1015"/>
      <c r="E1111" s="1015"/>
      <c r="F1111" s="1015"/>
      <c r="I1111" s="524"/>
    </row>
    <row r="1112" spans="1:9" ht="38.25">
      <c r="A1112" s="433"/>
      <c r="B1112" s="433"/>
      <c r="C1112" s="433"/>
      <c r="I1112" s="1265" t="s">
        <v>2387</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6"/>
      <c r="H1525" s="1296"/>
      <c r="I1525" s="1296"/>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tabSelected="1" zoomScale="85" zoomScaleNormal="85" workbookViewId="0">
      <selection activeCell="Q33" sqref="Q33:AT33"/>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421" t="s">
        <v>100</v>
      </c>
      <c r="B8" s="1421"/>
      <c r="C8" s="1421"/>
      <c r="D8" s="1421"/>
      <c r="E8" s="1421"/>
      <c r="F8" s="1421"/>
      <c r="G8" s="1421"/>
      <c r="H8" s="1421"/>
      <c r="I8" s="1421"/>
      <c r="J8" s="1421"/>
      <c r="K8" s="1421"/>
      <c r="L8" s="1421"/>
      <c r="M8" s="1421"/>
      <c r="N8" s="1421"/>
      <c r="O8" s="1421"/>
      <c r="P8" s="1421"/>
      <c r="Q8" s="1421"/>
      <c r="R8" s="1421"/>
      <c r="S8" s="1421"/>
      <c r="T8" s="1421"/>
      <c r="U8" s="1421"/>
      <c r="V8" s="1421"/>
      <c r="W8" s="1421"/>
      <c r="X8" s="1421"/>
      <c r="Y8" s="1421"/>
      <c r="Z8" s="1421"/>
      <c r="AA8" s="1421"/>
      <c r="AB8" s="1421"/>
      <c r="AC8" s="1421"/>
      <c r="AD8" s="1421"/>
      <c r="AE8" s="1421"/>
      <c r="AF8" s="1421"/>
      <c r="AG8" s="1421"/>
      <c r="AH8" s="1421"/>
      <c r="AI8" s="1421"/>
      <c r="AJ8" s="1421"/>
      <c r="AK8" s="1421"/>
      <c r="AL8" s="1421"/>
      <c r="AM8" s="1421"/>
      <c r="AN8" s="1421"/>
      <c r="AO8" s="1421"/>
      <c r="AP8" s="1421"/>
      <c r="AQ8" s="1421"/>
      <c r="AR8" s="1421"/>
      <c r="AS8" s="1421"/>
      <c r="AT8" s="1421"/>
      <c r="AU8" s="933"/>
      <c r="AV8" s="933"/>
      <c r="AW8" s="933"/>
      <c r="AX8" s="933"/>
      <c r="AY8" s="933"/>
    </row>
    <row r="9" spans="1:51" ht="12.95" customHeight="1">
      <c r="A9" s="1306" t="s">
        <v>2393</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
      <c r="AV9" s="13"/>
      <c r="AW9" s="13"/>
      <c r="AX9" s="13"/>
      <c r="AY9" s="13"/>
    </row>
    <row r="10" spans="1:51" ht="12.95" customHeight="1">
      <c r="A10" s="1306" t="s">
        <v>2584</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
      <c r="AV10" s="13"/>
      <c r="AW10" s="13"/>
      <c r="AX10" s="13"/>
      <c r="AY10" s="13"/>
    </row>
    <row r="11" spans="1:51" ht="12.95" customHeight="1">
      <c r="A11" s="1306" t="s">
        <v>1771</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
      <c r="AV11" s="13"/>
      <c r="AW11" s="13"/>
      <c r="AX11" s="13"/>
      <c r="AY11" s="13"/>
    </row>
    <row r="12" spans="1:51" ht="12.95" customHeight="1">
      <c r="A12" s="1422" t="s">
        <v>2637</v>
      </c>
      <c r="B12" s="1422"/>
      <c r="C12" s="1422"/>
      <c r="D12" s="1422"/>
      <c r="E12" s="1422"/>
      <c r="F12" s="1422"/>
      <c r="G12" s="1422"/>
      <c r="H12" s="1422"/>
      <c r="I12" s="1422"/>
      <c r="J12" s="1422"/>
      <c r="K12" s="1422"/>
      <c r="L12" s="1422"/>
      <c r="M12" s="1422"/>
      <c r="N12" s="1422"/>
      <c r="O12" s="1422"/>
      <c r="P12" s="1422"/>
      <c r="Q12" s="1422"/>
      <c r="R12" s="1422"/>
      <c r="S12" s="1422"/>
      <c r="T12" s="1422"/>
      <c r="U12" s="1422"/>
      <c r="V12" s="1422"/>
      <c r="W12" s="1422"/>
      <c r="X12" s="1422"/>
      <c r="Y12" s="1422"/>
      <c r="Z12" s="1422"/>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6"/>
      <c r="AV12" s="6"/>
      <c r="AW12" s="6"/>
      <c r="AX12" s="6"/>
      <c r="AY12" s="6"/>
    </row>
    <row r="13" spans="1:51" ht="12.95" customHeight="1">
      <c r="A13" s="1268" t="s">
        <v>2394</v>
      </c>
      <c r="B13" s="1268"/>
      <c r="C13" s="1268"/>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1268"/>
      <c r="AM13" s="1268"/>
      <c r="AN13" s="1268"/>
      <c r="AO13" s="1268"/>
      <c r="AP13" s="1268"/>
      <c r="AQ13" s="1268"/>
      <c r="AR13" s="1268"/>
      <c r="AS13" s="1268"/>
      <c r="AT13" s="1268"/>
      <c r="AU13" s="934"/>
      <c r="AV13" s="934"/>
      <c r="AW13" s="934"/>
      <c r="AX13" s="934"/>
      <c r="AY13" s="934"/>
    </row>
    <row r="14" spans="1:51" ht="12.95" customHeight="1">
      <c r="A14" s="1268"/>
      <c r="B14" s="1268"/>
      <c r="C14" s="1268"/>
      <c r="D14" s="1268"/>
      <c r="E14" s="1268"/>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1268"/>
      <c r="AM14" s="1268"/>
      <c r="AN14" s="1268"/>
      <c r="AO14" s="1268"/>
      <c r="AP14" s="1268"/>
      <c r="AQ14" s="1268"/>
      <c r="AR14" s="1268"/>
      <c r="AS14" s="1268"/>
      <c r="AT14" s="1268"/>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2395</v>
      </c>
      <c r="C16" s="4"/>
      <c r="D16" s="4"/>
      <c r="E16" s="4"/>
      <c r="F16" s="4"/>
      <c r="G16" s="4"/>
      <c r="H16" s="1431" t="s">
        <v>2644</v>
      </c>
      <c r="I16" s="1432"/>
      <c r="J16" s="1432"/>
      <c r="K16" s="1432"/>
      <c r="L16" s="1432"/>
      <c r="M16" s="1432"/>
      <c r="N16" s="1432"/>
      <c r="O16" s="1432"/>
      <c r="P16" s="1432"/>
      <c r="Q16" s="1432"/>
      <c r="R16" s="1432"/>
      <c r="S16" s="1432"/>
      <c r="T16" s="1432"/>
      <c r="U16" s="1432"/>
      <c r="V16" s="1432"/>
      <c r="W16" s="1432"/>
      <c r="X16" s="1432"/>
      <c r="Y16" s="1432"/>
      <c r="Z16" s="1432"/>
      <c r="AA16" s="1432"/>
      <c r="AB16" s="1432"/>
      <c r="AC16" s="1432"/>
      <c r="AD16" s="1432"/>
      <c r="AE16" s="1432"/>
      <c r="AF16" s="1432"/>
      <c r="AG16" s="1432"/>
      <c r="AH16" s="1432"/>
      <c r="AI16" s="1432"/>
      <c r="AJ16" s="1432"/>
    </row>
    <row r="17" spans="1:52" ht="12.95" customHeight="1"/>
    <row r="18" spans="1:52" ht="12.95" customHeight="1">
      <c r="A18" s="57" t="s">
        <v>101</v>
      </c>
      <c r="C18" s="4"/>
      <c r="D18" s="4"/>
      <c r="E18" s="4"/>
      <c r="F18" s="4"/>
      <c r="G18" s="4"/>
      <c r="H18" s="1427" t="s">
        <v>2638</v>
      </c>
      <c r="I18" s="1428"/>
      <c r="J18" s="1428"/>
      <c r="K18" s="1428"/>
      <c r="L18" s="1428"/>
      <c r="M18" s="1428"/>
      <c r="N18" s="1428"/>
      <c r="O18" s="1428"/>
      <c r="P18" s="1428"/>
      <c r="Q18" s="1428"/>
      <c r="R18" s="1428"/>
      <c r="S18" s="1428"/>
      <c r="T18" s="1428"/>
      <c r="U18" s="1428"/>
      <c r="V18" s="1428"/>
      <c r="W18" s="1428"/>
      <c r="X18" s="1428"/>
      <c r="Y18" s="1428"/>
      <c r="Z18" s="1428"/>
      <c r="AA18" s="1428"/>
      <c r="AB18" s="1428"/>
      <c r="AC18" s="1428"/>
      <c r="AD18" s="1428"/>
      <c r="AE18" s="1428"/>
      <c r="AF18" s="1428"/>
      <c r="AG18" s="1428"/>
      <c r="AH18" s="1428"/>
      <c r="AI18" s="1428"/>
      <c r="AJ18" s="1428"/>
    </row>
    <row r="19" spans="1:52" ht="12.95" customHeight="1"/>
    <row r="20" spans="1:52" ht="12.95" customHeight="1">
      <c r="A20" s="1423" t="s">
        <v>884</v>
      </c>
      <c r="B20" s="1423"/>
      <c r="C20" s="1423"/>
      <c r="D20" s="1423"/>
      <c r="E20" s="1423"/>
      <c r="F20" s="1423"/>
      <c r="G20" s="1423"/>
      <c r="H20" s="1423"/>
      <c r="I20" s="1423"/>
      <c r="J20" s="1423"/>
      <c r="K20" s="1423"/>
      <c r="L20" s="1423"/>
      <c r="M20" s="1423"/>
      <c r="N20" s="1423"/>
      <c r="O20" s="1423"/>
      <c r="P20" s="1423"/>
      <c r="Q20" s="1423"/>
      <c r="R20" s="1423"/>
      <c r="S20" s="1423"/>
      <c r="T20" s="1423"/>
      <c r="U20" s="1423"/>
      <c r="V20" s="1423"/>
      <c r="W20" s="1423"/>
      <c r="X20" s="1423"/>
      <c r="Y20" s="1423"/>
      <c r="Z20" s="1423"/>
      <c r="AA20" s="1423"/>
      <c r="AB20" s="1423"/>
      <c r="AC20" s="1423"/>
      <c r="AD20" s="1423"/>
      <c r="AE20" s="1423"/>
      <c r="AF20" s="1423"/>
      <c r="AG20" s="1423"/>
      <c r="AH20" s="1423"/>
      <c r="AI20" s="1423"/>
      <c r="AJ20" s="1423"/>
      <c r="AK20" s="1423"/>
      <c r="AL20" s="1423"/>
      <c r="AM20" s="1423"/>
      <c r="AN20" s="1423"/>
      <c r="AO20" s="1423"/>
      <c r="AP20" s="1423"/>
      <c r="AQ20" s="1423"/>
      <c r="AR20" s="1423"/>
      <c r="AS20" s="1423"/>
      <c r="AT20" s="1423"/>
      <c r="AU20" s="935"/>
      <c r="AV20" s="935"/>
      <c r="AW20" s="935"/>
      <c r="AX20" s="935"/>
      <c r="AY20" s="935"/>
    </row>
    <row r="21" spans="1:52" ht="12.95" customHeight="1">
      <c r="A21" s="1433" t="s">
        <v>1033</v>
      </c>
      <c r="B21" s="1433"/>
      <c r="C21" s="1433"/>
      <c r="D21" s="1433"/>
      <c r="E21" s="1433"/>
      <c r="F21" s="1433"/>
      <c r="G21" s="1433"/>
      <c r="H21" s="1433"/>
      <c r="I21" s="1433"/>
      <c r="J21" s="1433"/>
      <c r="K21" s="1433"/>
      <c r="L21" s="1433"/>
      <c r="M21" s="1433"/>
      <c r="N21" s="1433"/>
      <c r="O21" s="1433"/>
      <c r="P21" s="1433"/>
      <c r="Q21" s="1433"/>
      <c r="R21" s="1433"/>
      <c r="S21" s="1433"/>
      <c r="T21" s="1433"/>
      <c r="U21" s="1433"/>
      <c r="V21" s="1433"/>
      <c r="W21" s="1433"/>
      <c r="X21" s="1433"/>
      <c r="Y21" s="1433"/>
      <c r="Z21" s="1433"/>
      <c r="AA21" s="1433"/>
      <c r="AB21" s="1433"/>
      <c r="AC21" s="1433"/>
      <c r="AD21" s="1433"/>
      <c r="AE21" s="1433"/>
      <c r="AF21" s="1433"/>
      <c r="AG21" s="1433"/>
      <c r="AH21" s="1433"/>
      <c r="AI21" s="1433"/>
      <c r="AJ21" s="1433"/>
      <c r="AK21" s="1433"/>
      <c r="AL21" s="1433"/>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32" t="s">
        <v>2509</v>
      </c>
      <c r="B23" s="1332"/>
      <c r="C23" s="1332"/>
      <c r="D23" s="1332"/>
      <c r="E23" s="1332"/>
      <c r="F23" s="1332"/>
      <c r="G23" s="1332"/>
      <c r="H23" s="1332"/>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c r="AL23" s="1332"/>
      <c r="AM23" s="1332"/>
      <c r="AN23" s="1332"/>
      <c r="AO23" s="1332"/>
      <c r="AP23" s="1332"/>
      <c r="AQ23" s="1332"/>
      <c r="AR23" s="1332"/>
      <c r="AS23" s="1332"/>
      <c r="AT23" s="1332"/>
      <c r="AU23" s="18"/>
      <c r="AV23" s="18"/>
      <c r="AW23" s="18"/>
      <c r="AX23" s="18"/>
      <c r="AY23" s="18"/>
      <c r="AZ23" s="18"/>
    </row>
    <row r="24" spans="1:52" ht="12.95" customHeight="1">
      <c r="A24" s="1332"/>
      <c r="B24" s="1332"/>
      <c r="C24" s="1332"/>
      <c r="D24" s="1332"/>
      <c r="E24" s="1332"/>
      <c r="F24" s="1332"/>
      <c r="G24" s="1332"/>
      <c r="H24" s="1332"/>
      <c r="I24" s="1332"/>
      <c r="J24" s="1332"/>
      <c r="K24" s="1332"/>
      <c r="L24" s="1332"/>
      <c r="M24" s="1332"/>
      <c r="N24" s="1332"/>
      <c r="O24" s="1332"/>
      <c r="P24" s="1332"/>
      <c r="Q24" s="1332"/>
      <c r="R24" s="1332"/>
      <c r="S24" s="1332"/>
      <c r="T24" s="1332"/>
      <c r="U24" s="1332"/>
      <c r="V24" s="1332"/>
      <c r="W24" s="1332"/>
      <c r="X24" s="1332"/>
      <c r="Y24" s="1332"/>
      <c r="Z24" s="1332"/>
      <c r="AA24" s="1332"/>
      <c r="AB24" s="1332"/>
      <c r="AC24" s="1332"/>
      <c r="AD24" s="1332"/>
      <c r="AE24" s="1332"/>
      <c r="AF24" s="1332"/>
      <c r="AG24" s="1332"/>
      <c r="AH24" s="1332"/>
      <c r="AI24" s="1332"/>
      <c r="AJ24" s="1332"/>
      <c r="AK24" s="1332"/>
      <c r="AL24" s="1332"/>
      <c r="AM24" s="1332"/>
      <c r="AN24" s="1332"/>
      <c r="AO24" s="1332"/>
      <c r="AP24" s="1332"/>
      <c r="AQ24" s="1332"/>
      <c r="AR24" s="1332"/>
      <c r="AS24" s="1332"/>
      <c r="AT24" s="1332"/>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429">
        <f>'Basis &amp; Credits'!AB56</f>
        <v>4426094</v>
      </c>
      <c r="N26" s="1429"/>
      <c r="O26" s="1429"/>
      <c r="P26" s="1429"/>
      <c r="Q26" s="1429"/>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4">
        <f>'Basis &amp; Credits'!AB77</f>
        <v>5341726</v>
      </c>
      <c r="N27" s="1364"/>
      <c r="O27" s="1364"/>
      <c r="P27" s="1364"/>
      <c r="Q27" s="1364"/>
      <c r="R27" s="3" t="s">
        <v>1377</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24" t="s">
        <v>2510</v>
      </c>
      <c r="B29" s="1424"/>
      <c r="C29" s="1424"/>
      <c r="D29" s="1424"/>
      <c r="E29" s="1424"/>
      <c r="F29" s="1424"/>
      <c r="G29" s="1424"/>
      <c r="H29" s="1424"/>
      <c r="I29" s="1424"/>
      <c r="J29" s="1424"/>
      <c r="K29" s="1424"/>
      <c r="L29" s="1424"/>
      <c r="M29" s="1424"/>
      <c r="N29" s="1424"/>
      <c r="O29" s="1424"/>
      <c r="P29" s="1424"/>
      <c r="Q29" s="1424"/>
      <c r="R29" s="1424"/>
      <c r="S29" s="1424"/>
      <c r="T29" s="1424"/>
      <c r="U29" s="1424"/>
      <c r="V29" s="1424"/>
      <c r="W29" s="1424"/>
      <c r="X29" s="1424"/>
      <c r="Y29" s="1424"/>
      <c r="Z29" s="1424"/>
      <c r="AA29" s="1424"/>
      <c r="AB29" s="1424"/>
      <c r="AC29" s="1424"/>
      <c r="AD29" s="1424"/>
      <c r="AE29" s="1424"/>
      <c r="AF29" s="1424"/>
      <c r="AG29" s="1424"/>
      <c r="AH29" s="1424"/>
      <c r="AI29" s="1424"/>
      <c r="AJ29" s="1424"/>
      <c r="AK29" s="1424"/>
      <c r="AL29" s="1424"/>
      <c r="AM29" s="1424"/>
      <c r="AN29" s="1424"/>
      <c r="AO29" s="1424"/>
      <c r="AP29" s="1424"/>
      <c r="AQ29" s="1424"/>
      <c r="AR29" s="1424"/>
      <c r="AS29" s="1424"/>
      <c r="AT29" s="1424"/>
    </row>
    <row r="30" spans="1:52" ht="12.95" customHeight="1">
      <c r="A30" s="1424"/>
      <c r="B30" s="1424"/>
      <c r="C30" s="1424"/>
      <c r="D30" s="1424"/>
      <c r="E30" s="1424"/>
      <c r="F30" s="1424"/>
      <c r="G30" s="1424"/>
      <c r="H30" s="1424"/>
      <c r="I30" s="1424"/>
      <c r="J30" s="1424"/>
      <c r="K30" s="1424"/>
      <c r="L30" s="1424"/>
      <c r="M30" s="1424"/>
      <c r="N30" s="1424"/>
      <c r="O30" s="1424"/>
      <c r="P30" s="1424"/>
      <c r="Q30" s="1424"/>
      <c r="R30" s="1424"/>
      <c r="S30" s="1424"/>
      <c r="T30" s="1424"/>
      <c r="U30" s="1424"/>
      <c r="V30" s="1424"/>
      <c r="W30" s="1424"/>
      <c r="X30" s="1424"/>
      <c r="Y30" s="1424"/>
      <c r="Z30" s="1424"/>
      <c r="AA30" s="1424"/>
      <c r="AB30" s="1424"/>
      <c r="AC30" s="1424"/>
      <c r="AD30" s="1424"/>
      <c r="AE30" s="1424"/>
      <c r="AF30" s="1424"/>
      <c r="AG30" s="1424"/>
      <c r="AH30" s="1424"/>
      <c r="AI30" s="1424"/>
      <c r="AJ30" s="1424"/>
      <c r="AK30" s="1424"/>
      <c r="AL30" s="1424"/>
      <c r="AM30" s="1424"/>
      <c r="AN30" s="1424"/>
      <c r="AO30" s="1424"/>
      <c r="AP30" s="1424"/>
      <c r="AQ30" s="1424"/>
      <c r="AR30" s="1424"/>
      <c r="AS30" s="1424"/>
      <c r="AT30" s="1424"/>
      <c r="AZ30" s="20"/>
    </row>
    <row r="31" spans="1:52" ht="12.95" customHeight="1">
      <c r="A31" s="1424"/>
      <c r="B31" s="1424"/>
      <c r="C31" s="1424"/>
      <c r="D31" s="1424"/>
      <c r="E31" s="1424"/>
      <c r="F31" s="1424"/>
      <c r="G31" s="1424"/>
      <c r="H31" s="1424"/>
      <c r="I31" s="1424"/>
      <c r="J31" s="1424"/>
      <c r="K31" s="1424"/>
      <c r="L31" s="1424"/>
      <c r="M31" s="1424"/>
      <c r="N31" s="1424"/>
      <c r="O31" s="1424"/>
      <c r="P31" s="1424"/>
      <c r="Q31" s="1424"/>
      <c r="R31" s="1424"/>
      <c r="S31" s="1424"/>
      <c r="T31" s="1424"/>
      <c r="U31" s="1424"/>
      <c r="V31" s="1424"/>
      <c r="W31" s="1424"/>
      <c r="X31" s="1424"/>
      <c r="Y31" s="1424"/>
      <c r="Z31" s="1424"/>
      <c r="AA31" s="1424"/>
      <c r="AB31" s="1424"/>
      <c r="AC31" s="1424"/>
      <c r="AD31" s="1424"/>
      <c r="AE31" s="1424"/>
      <c r="AF31" s="1424"/>
      <c r="AG31" s="1424"/>
      <c r="AH31" s="1424"/>
      <c r="AI31" s="1424"/>
      <c r="AJ31" s="1424"/>
      <c r="AK31" s="1424"/>
      <c r="AL31" s="1424"/>
      <c r="AM31" s="1424"/>
      <c r="AN31" s="1424"/>
      <c r="AO31" s="1424"/>
      <c r="AP31" s="1424"/>
      <c r="AQ31" s="1424"/>
      <c r="AR31" s="1424"/>
      <c r="AS31" s="1424"/>
      <c r="AT31" s="1424"/>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1388</v>
      </c>
      <c r="C33" s="553"/>
      <c r="D33" s="553"/>
      <c r="E33" s="553"/>
      <c r="F33" s="553"/>
      <c r="G33" s="553"/>
      <c r="H33" s="553"/>
      <c r="I33" s="553"/>
      <c r="J33" s="553"/>
      <c r="K33" s="553"/>
      <c r="L33" s="553"/>
      <c r="M33" s="553"/>
      <c r="N33" s="553"/>
      <c r="O33" s="1430" t="s">
        <v>677</v>
      </c>
      <c r="P33" s="1430"/>
      <c r="Q33" s="1425" t="s">
        <v>2511</v>
      </c>
      <c r="R33" s="1425"/>
      <c r="S33" s="1425"/>
      <c r="T33" s="1425"/>
      <c r="U33" s="1425"/>
      <c r="V33" s="1425"/>
      <c r="W33" s="1425"/>
      <c r="X33" s="1425"/>
      <c r="Y33" s="1425"/>
      <c r="Z33" s="1425"/>
      <c r="AA33" s="1425"/>
      <c r="AB33" s="1425"/>
      <c r="AC33" s="1425"/>
      <c r="AD33" s="1425"/>
      <c r="AE33" s="1425"/>
      <c r="AF33" s="1425"/>
      <c r="AG33" s="1425"/>
      <c r="AH33" s="1425"/>
      <c r="AI33" s="1425"/>
      <c r="AJ33" s="1425"/>
      <c r="AK33" s="1425"/>
      <c r="AL33" s="1425"/>
      <c r="AM33" s="1425"/>
      <c r="AN33" s="1425"/>
      <c r="AO33" s="1425"/>
      <c r="AP33" s="1425"/>
      <c r="AQ33" s="1425"/>
      <c r="AR33" s="1425"/>
      <c r="AS33" s="1425"/>
      <c r="AT33" s="1425"/>
      <c r="AU33" s="20"/>
      <c r="AV33" s="20"/>
      <c r="AW33" s="20"/>
      <c r="AX33" s="20"/>
      <c r="AY33" s="20"/>
    </row>
    <row r="34" spans="1:52" ht="12.95" customHeight="1">
      <c r="A34" s="1424" t="s">
        <v>2512</v>
      </c>
      <c r="B34" s="1424"/>
      <c r="C34" s="1424"/>
      <c r="D34" s="1424"/>
      <c r="E34" s="1424"/>
      <c r="F34" s="1424"/>
      <c r="G34" s="1424"/>
      <c r="H34" s="1424"/>
      <c r="I34" s="1424"/>
      <c r="J34" s="1424"/>
      <c r="K34" s="1424"/>
      <c r="L34" s="1424"/>
      <c r="M34" s="1424"/>
      <c r="N34" s="1424"/>
      <c r="O34" s="1424"/>
      <c r="P34" s="1424"/>
      <c r="Q34" s="1424"/>
      <c r="R34" s="1424"/>
      <c r="S34" s="1424"/>
      <c r="T34" s="1424"/>
      <c r="U34" s="1424"/>
      <c r="V34" s="1424"/>
      <c r="W34" s="1424"/>
      <c r="X34" s="1424"/>
      <c r="Y34" s="1424"/>
      <c r="Z34" s="1424"/>
      <c r="AA34" s="1424"/>
      <c r="AB34" s="1424"/>
      <c r="AC34" s="1424"/>
      <c r="AD34" s="1424"/>
      <c r="AE34" s="1424"/>
      <c r="AF34" s="1424"/>
      <c r="AG34" s="1424"/>
      <c r="AH34" s="1424"/>
      <c r="AI34" s="1424"/>
      <c r="AJ34" s="1424"/>
      <c r="AK34" s="1424"/>
      <c r="AL34" s="1424"/>
      <c r="AM34" s="1424"/>
      <c r="AN34" s="1424"/>
      <c r="AO34" s="1424"/>
      <c r="AP34" s="1424"/>
      <c r="AQ34" s="1424"/>
      <c r="AR34" s="1424"/>
      <c r="AS34" s="1424"/>
      <c r="AT34" s="1424"/>
      <c r="AU34" s="20"/>
      <c r="AV34" s="20"/>
      <c r="AW34" s="20"/>
      <c r="AX34" s="20"/>
      <c r="AY34" s="20"/>
      <c r="AZ34" s="20"/>
    </row>
    <row r="35" spans="1:52" ht="12.95" customHeight="1">
      <c r="A35" s="1424"/>
      <c r="B35" s="1424"/>
      <c r="C35" s="1424"/>
      <c r="D35" s="1424"/>
      <c r="E35" s="1424"/>
      <c r="F35" s="1424"/>
      <c r="G35" s="1424"/>
      <c r="H35" s="1424"/>
      <c r="I35" s="1424"/>
      <c r="J35" s="1424"/>
      <c r="K35" s="1424"/>
      <c r="L35" s="1424"/>
      <c r="M35" s="1424"/>
      <c r="N35" s="1424"/>
      <c r="O35" s="1424"/>
      <c r="P35" s="1424"/>
      <c r="Q35" s="1424"/>
      <c r="R35" s="1424"/>
      <c r="S35" s="1424"/>
      <c r="T35" s="1424"/>
      <c r="U35" s="1424"/>
      <c r="V35" s="1424"/>
      <c r="W35" s="1424"/>
      <c r="X35" s="1424"/>
      <c r="Y35" s="1424"/>
      <c r="Z35" s="1424"/>
      <c r="AA35" s="1424"/>
      <c r="AB35" s="1424"/>
      <c r="AC35" s="1424"/>
      <c r="AD35" s="1424"/>
      <c r="AE35" s="1424"/>
      <c r="AF35" s="1424"/>
      <c r="AG35" s="1424"/>
      <c r="AH35" s="1424"/>
      <c r="AI35" s="1424"/>
      <c r="AJ35" s="1424"/>
      <c r="AK35" s="1424"/>
      <c r="AL35" s="1424"/>
      <c r="AM35" s="1424"/>
      <c r="AN35" s="1424"/>
      <c r="AO35" s="1424"/>
      <c r="AP35" s="1424"/>
      <c r="AQ35" s="1424"/>
      <c r="AR35" s="1424"/>
      <c r="AS35" s="1424"/>
      <c r="AT35" s="1424"/>
      <c r="AU35" s="20"/>
      <c r="AV35" s="20"/>
      <c r="AW35" s="20"/>
      <c r="AX35" s="20"/>
      <c r="AY35" s="20"/>
      <c r="AZ35" s="20"/>
    </row>
    <row r="36" spans="1:52" ht="12.95" customHeight="1">
      <c r="A36" s="1424"/>
      <c r="B36" s="1424"/>
      <c r="C36" s="1424"/>
      <c r="D36" s="1424"/>
      <c r="E36" s="1424"/>
      <c r="F36" s="1424"/>
      <c r="G36" s="1424"/>
      <c r="H36" s="1424"/>
      <c r="I36" s="1424"/>
      <c r="J36" s="1424"/>
      <c r="K36" s="1424"/>
      <c r="L36" s="1424"/>
      <c r="M36" s="1424"/>
      <c r="N36" s="1424"/>
      <c r="O36" s="1424"/>
      <c r="P36" s="1424"/>
      <c r="Q36" s="1424"/>
      <c r="R36" s="1424"/>
      <c r="S36" s="1424"/>
      <c r="T36" s="1424"/>
      <c r="U36" s="1424"/>
      <c r="V36" s="1424"/>
      <c r="W36" s="1424"/>
      <c r="X36" s="1424"/>
      <c r="Y36" s="1424"/>
      <c r="Z36" s="1424"/>
      <c r="AA36" s="1424"/>
      <c r="AB36" s="1424"/>
      <c r="AC36" s="1424"/>
      <c r="AD36" s="1424"/>
      <c r="AE36" s="1424"/>
      <c r="AF36" s="1424"/>
      <c r="AG36" s="1424"/>
      <c r="AH36" s="1424"/>
      <c r="AI36" s="1424"/>
      <c r="AJ36" s="1424"/>
      <c r="AK36" s="1424"/>
      <c r="AL36" s="1424"/>
      <c r="AM36" s="1424"/>
      <c r="AN36" s="1424"/>
      <c r="AO36" s="1424"/>
      <c r="AP36" s="1424"/>
      <c r="AQ36" s="1424"/>
      <c r="AR36" s="1424"/>
      <c r="AS36" s="1424"/>
      <c r="AT36" s="1424"/>
      <c r="AU36" s="20"/>
      <c r="AV36" s="20"/>
      <c r="AW36" s="20"/>
      <c r="AX36" s="20"/>
      <c r="AY36" s="20"/>
      <c r="AZ36" s="20"/>
    </row>
    <row r="37" spans="1:52" ht="12.95" customHeight="1">
      <c r="A37" s="1424"/>
      <c r="B37" s="1424"/>
      <c r="C37" s="1424"/>
      <c r="D37" s="1424"/>
      <c r="E37" s="1424"/>
      <c r="F37" s="1424"/>
      <c r="G37" s="1424"/>
      <c r="H37" s="1424"/>
      <c r="I37" s="1424"/>
      <c r="J37" s="1424"/>
      <c r="K37" s="1424"/>
      <c r="L37" s="1424"/>
      <c r="M37" s="1424"/>
      <c r="N37" s="1424"/>
      <c r="O37" s="1424"/>
      <c r="P37" s="1424"/>
      <c r="Q37" s="1424"/>
      <c r="R37" s="1424"/>
      <c r="S37" s="1424"/>
      <c r="T37" s="1424"/>
      <c r="U37" s="1424"/>
      <c r="V37" s="1424"/>
      <c r="W37" s="1424"/>
      <c r="X37" s="1424"/>
      <c r="Y37" s="1424"/>
      <c r="Z37" s="1424"/>
      <c r="AA37" s="1424"/>
      <c r="AB37" s="1424"/>
      <c r="AC37" s="1424"/>
      <c r="AD37" s="1424"/>
      <c r="AE37" s="1424"/>
      <c r="AF37" s="1424"/>
      <c r="AG37" s="1424"/>
      <c r="AH37" s="1424"/>
      <c r="AI37" s="1424"/>
      <c r="AJ37" s="1424"/>
      <c r="AK37" s="1424"/>
      <c r="AL37" s="1424"/>
      <c r="AM37" s="1424"/>
      <c r="AN37" s="1424"/>
      <c r="AO37" s="1424"/>
      <c r="AP37" s="1424"/>
      <c r="AQ37" s="1424"/>
      <c r="AR37" s="1424"/>
      <c r="AS37" s="1424"/>
      <c r="AT37" s="1424"/>
      <c r="AZ37" s="20"/>
    </row>
    <row r="38" spans="1:52" ht="12.95" customHeight="1">
      <c r="A38" s="3"/>
      <c r="AZ38" s="20"/>
    </row>
    <row r="39" spans="1:52" ht="12.95" customHeight="1">
      <c r="A39" s="1270" t="s">
        <v>2513</v>
      </c>
      <c r="B39" s="1270"/>
      <c r="C39" s="1270"/>
      <c r="D39" s="1270"/>
      <c r="E39" s="1270"/>
      <c r="F39" s="1270"/>
      <c r="G39" s="1270"/>
      <c r="H39" s="1270"/>
      <c r="I39" s="1270"/>
      <c r="J39" s="1270"/>
      <c r="K39" s="1270"/>
      <c r="L39" s="1270"/>
      <c r="M39" s="1270"/>
      <c r="N39" s="1270"/>
      <c r="O39" s="1270"/>
      <c r="P39" s="1270"/>
      <c r="Q39" s="1270"/>
      <c r="R39" s="1270"/>
      <c r="S39" s="1270"/>
      <c r="T39" s="1270"/>
      <c r="U39" s="1270"/>
      <c r="V39" s="1270"/>
      <c r="W39" s="1270"/>
      <c r="X39" s="1270"/>
      <c r="Y39" s="1270"/>
      <c r="Z39" s="1270"/>
      <c r="AA39" s="1270"/>
      <c r="AB39" s="1270"/>
      <c r="AC39" s="1270"/>
      <c r="AD39" s="1270"/>
      <c r="AE39" s="1270"/>
      <c r="AF39" s="1270"/>
      <c r="AG39" s="1270"/>
      <c r="AH39" s="1270"/>
      <c r="AI39" s="1270"/>
      <c r="AJ39" s="1270"/>
      <c r="AK39" s="1270"/>
      <c r="AL39" s="1270"/>
      <c r="AM39" s="1270"/>
      <c r="AN39" s="1270"/>
      <c r="AO39" s="1270"/>
      <c r="AP39" s="1270"/>
      <c r="AQ39" s="1270"/>
      <c r="AR39" s="1270"/>
      <c r="AS39" s="1270"/>
      <c r="AT39" s="1270"/>
      <c r="AZ39" s="20"/>
    </row>
    <row r="40" spans="1:52" ht="12.95" customHeight="1">
      <c r="A40" s="1270"/>
      <c r="B40" s="1270"/>
      <c r="C40" s="1270"/>
      <c r="D40" s="1270"/>
      <c r="E40" s="1270"/>
      <c r="F40" s="1270"/>
      <c r="G40" s="1270"/>
      <c r="H40" s="1270"/>
      <c r="I40" s="1270"/>
      <c r="J40" s="1270"/>
      <c r="K40" s="1270"/>
      <c r="L40" s="1270"/>
      <c r="M40" s="1270"/>
      <c r="N40" s="1270"/>
      <c r="O40" s="1270"/>
      <c r="P40" s="1270"/>
      <c r="Q40" s="1270"/>
      <c r="R40" s="1270"/>
      <c r="S40" s="1270"/>
      <c r="T40" s="1270"/>
      <c r="U40" s="1270"/>
      <c r="V40" s="1270"/>
      <c r="W40" s="1270"/>
      <c r="X40" s="1270"/>
      <c r="Y40" s="1270"/>
      <c r="Z40" s="1270"/>
      <c r="AA40" s="1270"/>
      <c r="AB40" s="1270"/>
      <c r="AC40" s="1270"/>
      <c r="AD40" s="1270"/>
      <c r="AE40" s="1270"/>
      <c r="AF40" s="1270"/>
      <c r="AG40" s="1270"/>
      <c r="AH40" s="1270"/>
      <c r="AI40" s="1270"/>
      <c r="AJ40" s="1270"/>
      <c r="AK40" s="1270"/>
      <c r="AL40" s="1270"/>
      <c r="AM40" s="1270"/>
      <c r="AN40" s="1270"/>
      <c r="AO40" s="1270"/>
      <c r="AP40" s="1270"/>
      <c r="AQ40" s="1270"/>
      <c r="AR40" s="1270"/>
      <c r="AS40" s="1270"/>
      <c r="AT40" s="1270"/>
      <c r="AU40" s="20"/>
      <c r="AV40" s="20"/>
      <c r="AW40" s="20"/>
      <c r="AX40" s="20"/>
      <c r="AY40" s="20"/>
      <c r="AZ40" s="20"/>
    </row>
    <row r="41" spans="1:52" ht="12.95" customHeight="1">
      <c r="A41" s="1270"/>
      <c r="B41" s="1270"/>
      <c r="C41" s="1270"/>
      <c r="D41" s="1270"/>
      <c r="E41" s="1270"/>
      <c r="F41" s="1270"/>
      <c r="G41" s="1270"/>
      <c r="H41" s="1270"/>
      <c r="I41" s="1270"/>
      <c r="J41" s="1270"/>
      <c r="K41" s="1270"/>
      <c r="L41" s="1270"/>
      <c r="M41" s="1270"/>
      <c r="N41" s="1270"/>
      <c r="O41" s="1270"/>
      <c r="P41" s="1270"/>
      <c r="Q41" s="1270"/>
      <c r="R41" s="1270"/>
      <c r="S41" s="1270"/>
      <c r="T41" s="1270"/>
      <c r="U41" s="1270"/>
      <c r="V41" s="1270"/>
      <c r="W41" s="1270"/>
      <c r="X41" s="1270"/>
      <c r="Y41" s="1270"/>
      <c r="Z41" s="1270"/>
      <c r="AA41" s="1270"/>
      <c r="AB41" s="1270"/>
      <c r="AC41" s="1270"/>
      <c r="AD41" s="1270"/>
      <c r="AE41" s="1270"/>
      <c r="AF41" s="1270"/>
      <c r="AG41" s="1270"/>
      <c r="AH41" s="1270"/>
      <c r="AI41" s="1270"/>
      <c r="AJ41" s="1270"/>
      <c r="AK41" s="1270"/>
      <c r="AL41" s="1270"/>
      <c r="AM41" s="1270"/>
      <c r="AN41" s="1270"/>
      <c r="AO41" s="1270"/>
      <c r="AP41" s="1270"/>
      <c r="AQ41" s="1270"/>
      <c r="AR41" s="1270"/>
      <c r="AS41" s="1270"/>
      <c r="AT41" s="1270"/>
      <c r="AU41" s="20"/>
      <c r="AV41" s="20"/>
      <c r="AW41" s="20"/>
      <c r="AX41" s="20"/>
      <c r="AY41" s="20"/>
      <c r="AZ41" s="20"/>
    </row>
    <row r="42" spans="1:52" ht="12.95" customHeight="1">
      <c r="A42" s="1270"/>
      <c r="B42" s="1270"/>
      <c r="C42" s="1270"/>
      <c r="D42" s="1270"/>
      <c r="E42" s="1270"/>
      <c r="F42" s="1270"/>
      <c r="G42" s="1270"/>
      <c r="H42" s="1270"/>
      <c r="I42" s="1270"/>
      <c r="J42" s="1270"/>
      <c r="K42" s="1270"/>
      <c r="L42" s="1270"/>
      <c r="M42" s="1270"/>
      <c r="N42" s="1270"/>
      <c r="O42" s="1270"/>
      <c r="P42" s="1270"/>
      <c r="Q42" s="1270"/>
      <c r="R42" s="1270"/>
      <c r="S42" s="1270"/>
      <c r="T42" s="1270"/>
      <c r="U42" s="1270"/>
      <c r="V42" s="1270"/>
      <c r="W42" s="1270"/>
      <c r="X42" s="1270"/>
      <c r="Y42" s="1270"/>
      <c r="Z42" s="1270"/>
      <c r="AA42" s="1270"/>
      <c r="AB42" s="1270"/>
      <c r="AC42" s="1270"/>
      <c r="AD42" s="1270"/>
      <c r="AE42" s="1270"/>
      <c r="AF42" s="1270"/>
      <c r="AG42" s="1270"/>
      <c r="AH42" s="1270"/>
      <c r="AI42" s="1270"/>
      <c r="AJ42" s="1270"/>
      <c r="AK42" s="1270"/>
      <c r="AL42" s="1270"/>
      <c r="AM42" s="1270"/>
      <c r="AN42" s="1270"/>
      <c r="AO42" s="1270"/>
      <c r="AP42" s="1270"/>
      <c r="AQ42" s="1270"/>
      <c r="AR42" s="1270"/>
      <c r="AS42" s="1270"/>
      <c r="AT42" s="1270"/>
      <c r="AZ42" s="20"/>
    </row>
    <row r="43" spans="1:52" ht="12.95" customHeight="1">
      <c r="A43" s="1270"/>
      <c r="B43" s="1270"/>
      <c r="C43" s="1270"/>
      <c r="D43" s="1270"/>
      <c r="E43" s="1270"/>
      <c r="F43" s="1270"/>
      <c r="G43" s="1270"/>
      <c r="H43" s="1270"/>
      <c r="I43" s="1270"/>
      <c r="J43" s="1270"/>
      <c r="K43" s="1270"/>
      <c r="L43" s="1270"/>
      <c r="M43" s="1270"/>
      <c r="N43" s="1270"/>
      <c r="O43" s="1270"/>
      <c r="P43" s="1270"/>
      <c r="Q43" s="1270"/>
      <c r="R43" s="1270"/>
      <c r="S43" s="1270"/>
      <c r="T43" s="1270"/>
      <c r="U43" s="1270"/>
      <c r="V43" s="1270"/>
      <c r="W43" s="1270"/>
      <c r="X43" s="1270"/>
      <c r="Y43" s="1270"/>
      <c r="Z43" s="1270"/>
      <c r="AA43" s="1270"/>
      <c r="AB43" s="1270"/>
      <c r="AC43" s="1270"/>
      <c r="AD43" s="1270"/>
      <c r="AE43" s="1270"/>
      <c r="AF43" s="1270"/>
      <c r="AG43" s="1270"/>
      <c r="AH43" s="1270"/>
      <c r="AI43" s="1270"/>
      <c r="AJ43" s="1270"/>
      <c r="AK43" s="1270"/>
      <c r="AL43" s="1270"/>
      <c r="AM43" s="1270"/>
      <c r="AN43" s="1270"/>
      <c r="AO43" s="1270"/>
      <c r="AP43" s="1270"/>
      <c r="AQ43" s="1270"/>
      <c r="AR43" s="1270"/>
      <c r="AS43" s="1270"/>
      <c r="AT43" s="1270"/>
      <c r="AU43" s="20"/>
      <c r="AV43" s="20"/>
      <c r="AW43" s="20"/>
      <c r="AX43" s="20"/>
      <c r="AY43" s="20"/>
      <c r="AZ43" s="20"/>
    </row>
    <row r="44" spans="1:52" ht="12.95" customHeight="1">
      <c r="A44" s="1270"/>
      <c r="B44" s="1270"/>
      <c r="C44" s="1270"/>
      <c r="D44" s="1270"/>
      <c r="E44" s="1270"/>
      <c r="F44" s="1270"/>
      <c r="G44" s="1270"/>
      <c r="H44" s="1270"/>
      <c r="I44" s="1270"/>
      <c r="J44" s="1270"/>
      <c r="K44" s="1270"/>
      <c r="L44" s="1270"/>
      <c r="M44" s="1270"/>
      <c r="N44" s="1270"/>
      <c r="O44" s="1270"/>
      <c r="P44" s="1270"/>
      <c r="Q44" s="1270"/>
      <c r="R44" s="1270"/>
      <c r="S44" s="1270"/>
      <c r="T44" s="1270"/>
      <c r="U44" s="1270"/>
      <c r="V44" s="1270"/>
      <c r="W44" s="1270"/>
      <c r="X44" s="1270"/>
      <c r="Y44" s="1270"/>
      <c r="Z44" s="1270"/>
      <c r="AA44" s="1270"/>
      <c r="AB44" s="1270"/>
      <c r="AC44" s="1270"/>
      <c r="AD44" s="1270"/>
      <c r="AE44" s="1270"/>
      <c r="AF44" s="1270"/>
      <c r="AG44" s="1270"/>
      <c r="AH44" s="1270"/>
      <c r="AI44" s="1270"/>
      <c r="AJ44" s="1270"/>
      <c r="AK44" s="1270"/>
      <c r="AL44" s="1270"/>
      <c r="AM44" s="1270"/>
      <c r="AN44" s="1270"/>
      <c r="AO44" s="1270"/>
      <c r="AP44" s="1270"/>
      <c r="AQ44" s="1270"/>
      <c r="AR44" s="1270"/>
      <c r="AS44" s="1270"/>
      <c r="AT44" s="1270"/>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32" t="s">
        <v>2514</v>
      </c>
      <c r="B46" s="1332"/>
      <c r="C46" s="1332"/>
      <c r="D46" s="1332"/>
      <c r="E46" s="1332"/>
      <c r="F46" s="1332"/>
      <c r="G46" s="1332"/>
      <c r="H46" s="1332"/>
      <c r="I46" s="1332"/>
      <c r="J46" s="1332"/>
      <c r="K46" s="1332"/>
      <c r="L46" s="1332"/>
      <c r="M46" s="1332"/>
      <c r="N46" s="1332"/>
      <c r="O46" s="1332"/>
      <c r="P46" s="1332"/>
      <c r="Q46" s="1332"/>
      <c r="R46" s="1332"/>
      <c r="S46" s="1332"/>
      <c r="T46" s="1332"/>
      <c r="U46" s="1332"/>
      <c r="V46" s="1332"/>
      <c r="W46" s="1332"/>
      <c r="X46" s="1332"/>
      <c r="Y46" s="1332"/>
      <c r="Z46" s="1332"/>
      <c r="AA46" s="1332"/>
      <c r="AB46" s="1332"/>
      <c r="AC46" s="1332"/>
      <c r="AD46" s="1332"/>
      <c r="AE46" s="1332"/>
      <c r="AF46" s="1332"/>
      <c r="AG46" s="1332"/>
      <c r="AH46" s="1332"/>
      <c r="AI46" s="1332"/>
      <c r="AJ46" s="1332"/>
      <c r="AK46" s="1332"/>
      <c r="AL46" s="1332"/>
      <c r="AM46" s="1332"/>
      <c r="AN46" s="1332"/>
      <c r="AO46" s="1332"/>
      <c r="AP46" s="1332"/>
      <c r="AQ46" s="1332"/>
      <c r="AR46" s="1332"/>
      <c r="AS46" s="1332"/>
      <c r="AT46" s="1332"/>
      <c r="AU46" s="20"/>
      <c r="AV46" s="20"/>
      <c r="AW46" s="20"/>
      <c r="AX46" s="20"/>
      <c r="AY46" s="20"/>
      <c r="AZ46" s="20"/>
    </row>
    <row r="47" spans="1:52" ht="12.95" customHeight="1">
      <c r="A47" s="1332"/>
      <c r="B47" s="1332"/>
      <c r="C47" s="1332"/>
      <c r="D47" s="1332"/>
      <c r="E47" s="1332"/>
      <c r="F47" s="1332"/>
      <c r="G47" s="1332"/>
      <c r="H47" s="1332"/>
      <c r="I47" s="1332"/>
      <c r="J47" s="1332"/>
      <c r="K47" s="1332"/>
      <c r="L47" s="1332"/>
      <c r="M47" s="1332"/>
      <c r="N47" s="1332"/>
      <c r="O47" s="1332"/>
      <c r="P47" s="1332"/>
      <c r="Q47" s="1332"/>
      <c r="R47" s="1332"/>
      <c r="S47" s="1332"/>
      <c r="T47" s="1332"/>
      <c r="U47" s="1332"/>
      <c r="V47" s="1332"/>
      <c r="W47" s="1332"/>
      <c r="X47" s="1332"/>
      <c r="Y47" s="1332"/>
      <c r="Z47" s="1332"/>
      <c r="AA47" s="1332"/>
      <c r="AB47" s="1332"/>
      <c r="AC47" s="1332"/>
      <c r="AD47" s="1332"/>
      <c r="AE47" s="1332"/>
      <c r="AF47" s="1332"/>
      <c r="AG47" s="1332"/>
      <c r="AH47" s="1332"/>
      <c r="AI47" s="1332"/>
      <c r="AJ47" s="1332"/>
      <c r="AK47" s="1332"/>
      <c r="AL47" s="1332"/>
      <c r="AM47" s="1332"/>
      <c r="AN47" s="1332"/>
      <c r="AO47" s="1332"/>
      <c r="AP47" s="1332"/>
      <c r="AQ47" s="1332"/>
      <c r="AR47" s="1332"/>
      <c r="AS47" s="1332"/>
      <c r="AT47" s="1332"/>
      <c r="AU47" s="20"/>
      <c r="AV47" s="20"/>
      <c r="AW47" s="20"/>
      <c r="AX47" s="20"/>
      <c r="AY47" s="20"/>
      <c r="AZ47" s="20"/>
    </row>
    <row r="48" spans="1:52" ht="12.95" customHeight="1">
      <c r="A48" s="1332"/>
      <c r="B48" s="1332"/>
      <c r="C48" s="1332"/>
      <c r="D48" s="1332"/>
      <c r="E48" s="1332"/>
      <c r="F48" s="1332"/>
      <c r="G48" s="1332"/>
      <c r="H48" s="1332"/>
      <c r="I48" s="1332"/>
      <c r="J48" s="1332"/>
      <c r="K48" s="1332"/>
      <c r="L48" s="1332"/>
      <c r="M48" s="1332"/>
      <c r="N48" s="1332"/>
      <c r="O48" s="1332"/>
      <c r="P48" s="1332"/>
      <c r="Q48" s="1332"/>
      <c r="R48" s="1332"/>
      <c r="S48" s="1332"/>
      <c r="T48" s="1332"/>
      <c r="U48" s="1332"/>
      <c r="V48" s="1332"/>
      <c r="W48" s="1332"/>
      <c r="X48" s="1332"/>
      <c r="Y48" s="1332"/>
      <c r="Z48" s="1332"/>
      <c r="AA48" s="1332"/>
      <c r="AB48" s="1332"/>
      <c r="AC48" s="1332"/>
      <c r="AD48" s="1332"/>
      <c r="AE48" s="1332"/>
      <c r="AF48" s="1332"/>
      <c r="AG48" s="1332"/>
      <c r="AH48" s="1332"/>
      <c r="AI48" s="1332"/>
      <c r="AJ48" s="1332"/>
      <c r="AK48" s="1332"/>
      <c r="AL48" s="1332"/>
      <c r="AM48" s="1332"/>
      <c r="AN48" s="1332"/>
      <c r="AO48" s="1332"/>
      <c r="AP48" s="1332"/>
      <c r="AQ48" s="1332"/>
      <c r="AR48" s="1332"/>
      <c r="AS48" s="1332"/>
      <c r="AT48" s="1332"/>
      <c r="AU48" s="20"/>
      <c r="AV48" s="20"/>
      <c r="AW48" s="20"/>
      <c r="AX48" s="20"/>
      <c r="AY48" s="20"/>
      <c r="AZ48" s="20"/>
    </row>
    <row r="49" spans="1:52" ht="12.95" customHeight="1">
      <c r="A49" s="1332"/>
      <c r="B49" s="1332"/>
      <c r="C49" s="1332"/>
      <c r="D49" s="1332"/>
      <c r="E49" s="1332"/>
      <c r="F49" s="1332"/>
      <c r="G49" s="1332"/>
      <c r="H49" s="1332"/>
      <c r="I49" s="1332"/>
      <c r="J49" s="1332"/>
      <c r="K49" s="1332"/>
      <c r="L49" s="1332"/>
      <c r="M49" s="1332"/>
      <c r="N49" s="1332"/>
      <c r="O49" s="1332"/>
      <c r="P49" s="1332"/>
      <c r="Q49" s="1332"/>
      <c r="R49" s="1332"/>
      <c r="S49" s="1332"/>
      <c r="T49" s="1332"/>
      <c r="U49" s="1332"/>
      <c r="V49" s="1332"/>
      <c r="W49" s="1332"/>
      <c r="X49" s="1332"/>
      <c r="Y49" s="1332"/>
      <c r="Z49" s="1332"/>
      <c r="AA49" s="1332"/>
      <c r="AB49" s="1332"/>
      <c r="AC49" s="1332"/>
      <c r="AD49" s="1332"/>
      <c r="AE49" s="1332"/>
      <c r="AF49" s="1332"/>
      <c r="AG49" s="1332"/>
      <c r="AH49" s="1332"/>
      <c r="AI49" s="1332"/>
      <c r="AJ49" s="1332"/>
      <c r="AK49" s="1332"/>
      <c r="AL49" s="1332"/>
      <c r="AM49" s="1332"/>
      <c r="AN49" s="1332"/>
      <c r="AO49" s="1332"/>
      <c r="AP49" s="1332"/>
      <c r="AQ49" s="1332"/>
      <c r="AR49" s="1332"/>
      <c r="AS49" s="1332"/>
      <c r="AT49" s="1332"/>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70" t="s">
        <v>2515</v>
      </c>
      <c r="B51" s="1270"/>
      <c r="C51" s="1270"/>
      <c r="D51" s="1270"/>
      <c r="E51" s="1270"/>
      <c r="F51" s="1270"/>
      <c r="G51" s="1270"/>
      <c r="H51" s="1270"/>
      <c r="I51" s="1270"/>
      <c r="J51" s="1270"/>
      <c r="K51" s="1270"/>
      <c r="L51" s="1270"/>
      <c r="M51" s="1270"/>
      <c r="N51" s="1270"/>
      <c r="O51" s="1270"/>
      <c r="P51" s="1270"/>
      <c r="Q51" s="1270"/>
      <c r="R51" s="1270"/>
      <c r="S51" s="1270"/>
      <c r="T51" s="1270"/>
      <c r="U51" s="1270"/>
      <c r="V51" s="1270"/>
      <c r="W51" s="1270"/>
      <c r="X51" s="1270"/>
      <c r="Y51" s="1270"/>
      <c r="Z51" s="1270"/>
      <c r="AA51" s="1270"/>
      <c r="AB51" s="1270"/>
      <c r="AC51" s="1270"/>
      <c r="AD51" s="1270"/>
      <c r="AE51" s="1270"/>
      <c r="AF51" s="1270"/>
      <c r="AG51" s="1270"/>
      <c r="AH51" s="1270"/>
      <c r="AI51" s="1270"/>
      <c r="AJ51" s="1270"/>
      <c r="AK51" s="1270"/>
      <c r="AL51" s="1270"/>
      <c r="AM51" s="1270"/>
      <c r="AN51" s="1270"/>
      <c r="AO51" s="1270"/>
      <c r="AP51" s="1270"/>
      <c r="AQ51" s="1270"/>
      <c r="AR51" s="1270"/>
      <c r="AS51" s="1270"/>
      <c r="AT51" s="1270"/>
      <c r="AU51" s="20"/>
      <c r="AV51" s="20"/>
      <c r="AW51" s="20"/>
      <c r="AX51" s="20"/>
      <c r="AY51" s="20"/>
      <c r="AZ51" s="20"/>
    </row>
    <row r="52" spans="1:52" ht="12.95" customHeight="1">
      <c r="A52" s="1270"/>
      <c r="B52" s="1270"/>
      <c r="C52" s="1270"/>
      <c r="D52" s="1270"/>
      <c r="E52" s="1270"/>
      <c r="F52" s="1270"/>
      <c r="G52" s="1270"/>
      <c r="H52" s="1270"/>
      <c r="I52" s="1270"/>
      <c r="J52" s="1270"/>
      <c r="K52" s="1270"/>
      <c r="L52" s="1270"/>
      <c r="M52" s="1270"/>
      <c r="N52" s="1270"/>
      <c r="O52" s="1270"/>
      <c r="P52" s="1270"/>
      <c r="Q52" s="1270"/>
      <c r="R52" s="1270"/>
      <c r="S52" s="1270"/>
      <c r="T52" s="1270"/>
      <c r="U52" s="1270"/>
      <c r="V52" s="1270"/>
      <c r="W52" s="1270"/>
      <c r="X52" s="1270"/>
      <c r="Y52" s="1270"/>
      <c r="Z52" s="1270"/>
      <c r="AA52" s="1270"/>
      <c r="AB52" s="1270"/>
      <c r="AC52" s="1270"/>
      <c r="AD52" s="1270"/>
      <c r="AE52" s="1270"/>
      <c r="AF52" s="1270"/>
      <c r="AG52" s="1270"/>
      <c r="AH52" s="1270"/>
      <c r="AI52" s="1270"/>
      <c r="AJ52" s="1270"/>
      <c r="AK52" s="1270"/>
      <c r="AL52" s="1270"/>
      <c r="AM52" s="1270"/>
      <c r="AN52" s="1270"/>
      <c r="AO52" s="1270"/>
      <c r="AP52" s="1270"/>
      <c r="AQ52" s="1270"/>
      <c r="AR52" s="1270"/>
      <c r="AS52" s="1270"/>
      <c r="AT52" s="127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70" t="s">
        <v>2516</v>
      </c>
      <c r="B54" s="1270"/>
      <c r="C54" s="1270"/>
      <c r="D54" s="1270"/>
      <c r="E54" s="1270"/>
      <c r="F54" s="1270"/>
      <c r="G54" s="1270"/>
      <c r="H54" s="1270"/>
      <c r="I54" s="1270"/>
      <c r="J54" s="1270"/>
      <c r="K54" s="1270"/>
      <c r="L54" s="1270"/>
      <c r="M54" s="1270"/>
      <c r="N54" s="1270"/>
      <c r="O54" s="1270"/>
      <c r="P54" s="1270"/>
      <c r="Q54" s="1270"/>
      <c r="R54" s="1270"/>
      <c r="S54" s="1270"/>
      <c r="T54" s="1270"/>
      <c r="U54" s="1270"/>
      <c r="V54" s="1270"/>
      <c r="W54" s="1270"/>
      <c r="X54" s="1270"/>
      <c r="Y54" s="1270"/>
      <c r="Z54" s="1270"/>
      <c r="AA54" s="1270"/>
      <c r="AB54" s="1270"/>
      <c r="AC54" s="1270"/>
      <c r="AD54" s="1270"/>
      <c r="AE54" s="1270"/>
      <c r="AF54" s="1270"/>
      <c r="AG54" s="1270"/>
      <c r="AH54" s="1270"/>
      <c r="AI54" s="1270"/>
      <c r="AJ54" s="1270"/>
      <c r="AK54" s="1270"/>
      <c r="AL54" s="1270"/>
      <c r="AM54" s="1270"/>
      <c r="AN54" s="1270"/>
      <c r="AO54" s="1270"/>
      <c r="AP54" s="1270"/>
      <c r="AQ54" s="1270"/>
      <c r="AR54" s="1270"/>
      <c r="AS54" s="1270"/>
      <c r="AT54" s="1270"/>
      <c r="AU54" s="20"/>
      <c r="AV54" s="20"/>
      <c r="AW54" s="20"/>
      <c r="AX54" s="20"/>
      <c r="AY54" s="20"/>
      <c r="AZ54" s="21"/>
    </row>
    <row r="55" spans="1:52" ht="12.95" customHeight="1">
      <c r="A55" s="1270"/>
      <c r="B55" s="1270"/>
      <c r="C55" s="1270"/>
      <c r="D55" s="1270"/>
      <c r="E55" s="1270"/>
      <c r="F55" s="1270"/>
      <c r="G55" s="1270"/>
      <c r="H55" s="1270"/>
      <c r="I55" s="1270"/>
      <c r="J55" s="1270"/>
      <c r="K55" s="1270"/>
      <c r="L55" s="1270"/>
      <c r="M55" s="1270"/>
      <c r="N55" s="1270"/>
      <c r="O55" s="1270"/>
      <c r="P55" s="1270"/>
      <c r="Q55" s="1270"/>
      <c r="R55" s="1270"/>
      <c r="S55" s="1270"/>
      <c r="T55" s="1270"/>
      <c r="U55" s="1270"/>
      <c r="V55" s="1270"/>
      <c r="W55" s="1270"/>
      <c r="X55" s="1270"/>
      <c r="Y55" s="1270"/>
      <c r="Z55" s="1270"/>
      <c r="AA55" s="1270"/>
      <c r="AB55" s="1270"/>
      <c r="AC55" s="1270"/>
      <c r="AD55" s="1270"/>
      <c r="AE55" s="1270"/>
      <c r="AF55" s="1270"/>
      <c r="AG55" s="1270"/>
      <c r="AH55" s="1270"/>
      <c r="AI55" s="1270"/>
      <c r="AJ55" s="1270"/>
      <c r="AK55" s="1270"/>
      <c r="AL55" s="1270"/>
      <c r="AM55" s="1270"/>
      <c r="AN55" s="1270"/>
      <c r="AO55" s="1270"/>
      <c r="AP55" s="1270"/>
      <c r="AQ55" s="1270"/>
      <c r="AR55" s="1270"/>
      <c r="AS55" s="1270"/>
      <c r="AT55" s="1270"/>
      <c r="AZ55" s="21"/>
    </row>
    <row r="56" spans="1:52" ht="12.95" customHeight="1">
      <c r="A56" s="1270"/>
      <c r="B56" s="1270"/>
      <c r="C56" s="1270"/>
      <c r="D56" s="1270"/>
      <c r="E56" s="1270"/>
      <c r="F56" s="1270"/>
      <c r="G56" s="1270"/>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1270"/>
      <c r="AM56" s="1270"/>
      <c r="AN56" s="1270"/>
      <c r="AO56" s="1270"/>
      <c r="AP56" s="1270"/>
      <c r="AQ56" s="1270"/>
      <c r="AR56" s="1270"/>
      <c r="AS56" s="1270"/>
      <c r="AT56" s="1270"/>
    </row>
    <row r="57" spans="1:52" ht="12.95" customHeight="1">
      <c r="A57" s="1270"/>
      <c r="B57" s="1270"/>
      <c r="C57" s="1270"/>
      <c r="D57" s="1270"/>
      <c r="E57" s="1270"/>
      <c r="F57" s="1270"/>
      <c r="G57" s="1270"/>
      <c r="H57" s="1270"/>
      <c r="I57" s="1270"/>
      <c r="J57" s="1270"/>
      <c r="K57" s="1270"/>
      <c r="L57" s="1270"/>
      <c r="M57" s="1270"/>
      <c r="N57" s="1270"/>
      <c r="O57" s="1270"/>
      <c r="P57" s="1270"/>
      <c r="Q57" s="1270"/>
      <c r="R57" s="1270"/>
      <c r="S57" s="1270"/>
      <c r="T57" s="1270"/>
      <c r="U57" s="1270"/>
      <c r="V57" s="1270"/>
      <c r="W57" s="1270"/>
      <c r="X57" s="1270"/>
      <c r="Y57" s="1270"/>
      <c r="Z57" s="1270"/>
      <c r="AA57" s="1270"/>
      <c r="AB57" s="1270"/>
      <c r="AC57" s="1270"/>
      <c r="AD57" s="1270"/>
      <c r="AE57" s="1270"/>
      <c r="AF57" s="1270"/>
      <c r="AG57" s="1270"/>
      <c r="AH57" s="1270"/>
      <c r="AI57" s="1270"/>
      <c r="AJ57" s="1270"/>
      <c r="AK57" s="1270"/>
      <c r="AL57" s="1270"/>
      <c r="AM57" s="1270"/>
      <c r="AN57" s="1270"/>
      <c r="AO57" s="1270"/>
      <c r="AP57" s="1270"/>
      <c r="AQ57" s="1270"/>
      <c r="AR57" s="1270"/>
      <c r="AS57" s="1270"/>
      <c r="AT57" s="1270"/>
    </row>
    <row r="58" spans="1:52" ht="12.95" customHeight="1">
      <c r="A58" s="1270"/>
      <c r="B58" s="1270"/>
      <c r="C58" s="1270"/>
      <c r="D58" s="1270"/>
      <c r="E58" s="1270"/>
      <c r="F58" s="1270"/>
      <c r="G58" s="1270"/>
      <c r="H58" s="1270"/>
      <c r="I58" s="1270"/>
      <c r="J58" s="1270"/>
      <c r="K58" s="1270"/>
      <c r="L58" s="1270"/>
      <c r="M58" s="1270"/>
      <c r="N58" s="1270"/>
      <c r="O58" s="1270"/>
      <c r="P58" s="1270"/>
      <c r="Q58" s="1270"/>
      <c r="R58" s="1270"/>
      <c r="S58" s="1270"/>
      <c r="T58" s="1270"/>
      <c r="U58" s="1270"/>
      <c r="V58" s="1270"/>
      <c r="W58" s="1270"/>
      <c r="X58" s="1270"/>
      <c r="Y58" s="1270"/>
      <c r="Z58" s="1270"/>
      <c r="AA58" s="1270"/>
      <c r="AB58" s="1270"/>
      <c r="AC58" s="1270"/>
      <c r="AD58" s="1270"/>
      <c r="AE58" s="1270"/>
      <c r="AF58" s="1270"/>
      <c r="AG58" s="1270"/>
      <c r="AH58" s="1270"/>
      <c r="AI58" s="1270"/>
      <c r="AJ58" s="1270"/>
      <c r="AK58" s="1270"/>
      <c r="AL58" s="1270"/>
      <c r="AM58" s="1270"/>
      <c r="AN58" s="1270"/>
      <c r="AO58" s="1270"/>
      <c r="AP58" s="1270"/>
      <c r="AQ58" s="1270"/>
      <c r="AR58" s="1270"/>
      <c r="AS58" s="1270"/>
      <c r="AT58" s="1270"/>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70" t="s">
        <v>2517</v>
      </c>
      <c r="B60" s="1270"/>
      <c r="C60" s="1270"/>
      <c r="D60" s="1270"/>
      <c r="E60" s="1270"/>
      <c r="F60" s="127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c r="AM60" s="1270"/>
      <c r="AN60" s="1270"/>
      <c r="AO60" s="1270"/>
      <c r="AP60" s="1270"/>
      <c r="AQ60" s="1270"/>
      <c r="AR60" s="1270"/>
      <c r="AS60" s="1270"/>
      <c r="AT60" s="1270"/>
      <c r="AU60" s="20"/>
      <c r="AV60" s="20"/>
      <c r="AW60" s="20"/>
      <c r="AX60" s="20"/>
      <c r="AY60" s="20"/>
      <c r="AZ60" s="20"/>
    </row>
    <row r="61" spans="1:52" ht="12.95" customHeight="1">
      <c r="A61" s="1270"/>
      <c r="B61" s="1270"/>
      <c r="C61" s="1270"/>
      <c r="D61" s="1270"/>
      <c r="E61" s="1270"/>
      <c r="F61" s="1270"/>
      <c r="G61" s="1270"/>
      <c r="H61" s="1270"/>
      <c r="I61" s="1270"/>
      <c r="J61" s="1270"/>
      <c r="K61" s="1270"/>
      <c r="L61" s="1270"/>
      <c r="M61" s="1270"/>
      <c r="N61" s="1270"/>
      <c r="O61" s="1270"/>
      <c r="P61" s="1270"/>
      <c r="Q61" s="1270"/>
      <c r="R61" s="1270"/>
      <c r="S61" s="1270"/>
      <c r="T61" s="1270"/>
      <c r="U61" s="1270"/>
      <c r="V61" s="1270"/>
      <c r="W61" s="1270"/>
      <c r="X61" s="1270"/>
      <c r="Y61" s="1270"/>
      <c r="Z61" s="1270"/>
      <c r="AA61" s="1270"/>
      <c r="AB61" s="1270"/>
      <c r="AC61" s="1270"/>
      <c r="AD61" s="1270"/>
      <c r="AE61" s="1270"/>
      <c r="AF61" s="1270"/>
      <c r="AG61" s="1270"/>
      <c r="AH61" s="1270"/>
      <c r="AI61" s="1270"/>
      <c r="AJ61" s="1270"/>
      <c r="AK61" s="1270"/>
      <c r="AL61" s="1270"/>
      <c r="AM61" s="1270"/>
      <c r="AN61" s="1270"/>
      <c r="AO61" s="1270"/>
      <c r="AP61" s="1270"/>
      <c r="AQ61" s="1270"/>
      <c r="AR61" s="1270"/>
      <c r="AS61" s="1270"/>
      <c r="AT61" s="1270"/>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26" t="s">
        <v>2519</v>
      </c>
      <c r="B65" s="1426"/>
      <c r="C65" s="1426"/>
      <c r="D65" s="1426"/>
      <c r="E65" s="1426"/>
      <c r="F65" s="1426"/>
      <c r="G65" s="1426"/>
      <c r="H65" s="1426"/>
      <c r="I65" s="1426"/>
      <c r="J65" s="1426"/>
      <c r="K65" s="1426"/>
      <c r="L65" s="1426"/>
      <c r="M65" s="1426"/>
      <c r="N65" s="1426"/>
      <c r="O65" s="1426"/>
      <c r="P65" s="1426"/>
      <c r="Q65" s="1426"/>
      <c r="R65" s="1426"/>
      <c r="S65" s="1426"/>
      <c r="T65" s="1426"/>
      <c r="U65" s="1426"/>
      <c r="V65" s="1426"/>
      <c r="W65" s="1426"/>
      <c r="X65" s="1426"/>
      <c r="Y65" s="1426"/>
      <c r="Z65" s="1426"/>
      <c r="AA65" s="1426"/>
      <c r="AB65" s="1426"/>
      <c r="AC65" s="1426"/>
      <c r="AD65" s="1426"/>
      <c r="AE65" s="1426"/>
      <c r="AF65" s="1426"/>
      <c r="AG65" s="1426"/>
      <c r="AH65" s="1426"/>
      <c r="AI65" s="1426"/>
      <c r="AJ65" s="1426"/>
      <c r="AK65" s="1426"/>
      <c r="AL65" s="1426"/>
      <c r="AM65" s="1426"/>
      <c r="AN65" s="1426"/>
      <c r="AO65" s="1426"/>
      <c r="AP65" s="1426"/>
      <c r="AQ65" s="1426"/>
      <c r="AR65" s="1426"/>
      <c r="AS65" s="1426"/>
      <c r="AT65" s="1426"/>
      <c r="AU65" s="21"/>
      <c r="AV65" s="21"/>
      <c r="AW65" s="21"/>
      <c r="AX65" s="21"/>
      <c r="AY65" s="21"/>
      <c r="AZ65" s="20"/>
    </row>
    <row r="66" spans="1:52" ht="12.95" customHeight="1">
      <c r="A66" s="1426"/>
      <c r="B66" s="1426"/>
      <c r="C66" s="1426"/>
      <c r="D66" s="1426"/>
      <c r="E66" s="1426"/>
      <c r="F66" s="1426"/>
      <c r="G66" s="1426"/>
      <c r="H66" s="1426"/>
      <c r="I66" s="1426"/>
      <c r="J66" s="1426"/>
      <c r="K66" s="1426"/>
      <c r="L66" s="1426"/>
      <c r="M66" s="1426"/>
      <c r="N66" s="1426"/>
      <c r="O66" s="1426"/>
      <c r="P66" s="1426"/>
      <c r="Q66" s="1426"/>
      <c r="R66" s="1426"/>
      <c r="S66" s="1426"/>
      <c r="T66" s="1426"/>
      <c r="U66" s="1426"/>
      <c r="V66" s="1426"/>
      <c r="W66" s="1426"/>
      <c r="X66" s="1426"/>
      <c r="Y66" s="1426"/>
      <c r="Z66" s="1426"/>
      <c r="AA66" s="1426"/>
      <c r="AB66" s="1426"/>
      <c r="AC66" s="1426"/>
      <c r="AD66" s="1426"/>
      <c r="AE66" s="1426"/>
      <c r="AF66" s="1426"/>
      <c r="AG66" s="1426"/>
      <c r="AH66" s="1426"/>
      <c r="AI66" s="1426"/>
      <c r="AJ66" s="1426"/>
      <c r="AK66" s="1426"/>
      <c r="AL66" s="1426"/>
      <c r="AM66" s="1426"/>
      <c r="AN66" s="1426"/>
      <c r="AO66" s="1426"/>
      <c r="AP66" s="1426"/>
      <c r="AQ66" s="1426"/>
      <c r="AR66" s="1426"/>
      <c r="AS66" s="1426"/>
      <c r="AT66" s="1426"/>
      <c r="AU66" s="21"/>
      <c r="AV66" s="21"/>
      <c r="AW66" s="21"/>
      <c r="AX66" s="21"/>
      <c r="AY66" s="21"/>
      <c r="AZ66" s="20"/>
    </row>
    <row r="67" spans="1:52" ht="12.95" customHeight="1">
      <c r="A67" s="1426"/>
      <c r="B67" s="1426"/>
      <c r="C67" s="1426"/>
      <c r="D67" s="1426"/>
      <c r="E67" s="1426"/>
      <c r="F67" s="1426"/>
      <c r="G67" s="1426"/>
      <c r="H67" s="1426"/>
      <c r="I67" s="1426"/>
      <c r="J67" s="1426"/>
      <c r="K67" s="1426"/>
      <c r="L67" s="1426"/>
      <c r="M67" s="1426"/>
      <c r="N67" s="1426"/>
      <c r="O67" s="1426"/>
      <c r="P67" s="1426"/>
      <c r="Q67" s="1426"/>
      <c r="R67" s="1426"/>
      <c r="S67" s="1426"/>
      <c r="T67" s="1426"/>
      <c r="U67" s="1426"/>
      <c r="V67" s="1426"/>
      <c r="W67" s="1426"/>
      <c r="X67" s="1426"/>
      <c r="Y67" s="1426"/>
      <c r="Z67" s="1426"/>
      <c r="AA67" s="1426"/>
      <c r="AB67" s="1426"/>
      <c r="AC67" s="1426"/>
      <c r="AD67" s="1426"/>
      <c r="AE67" s="1426"/>
      <c r="AF67" s="1426"/>
      <c r="AG67" s="1426"/>
      <c r="AH67" s="1426"/>
      <c r="AI67" s="1426"/>
      <c r="AJ67" s="1426"/>
      <c r="AK67" s="1426"/>
      <c r="AL67" s="1426"/>
      <c r="AM67" s="1426"/>
      <c r="AN67" s="1426"/>
      <c r="AO67" s="1426"/>
      <c r="AP67" s="1426"/>
      <c r="AQ67" s="1426"/>
      <c r="AR67" s="1426"/>
      <c r="AS67" s="1426"/>
      <c r="AT67" s="1426"/>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26" t="s">
        <v>2520</v>
      </c>
      <c r="B69" s="1426"/>
      <c r="C69" s="1426"/>
      <c r="D69" s="1426"/>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c r="AI69" s="1426"/>
      <c r="AJ69" s="1426"/>
      <c r="AK69" s="1426"/>
      <c r="AL69" s="1426"/>
      <c r="AM69" s="1426"/>
      <c r="AN69" s="1426"/>
      <c r="AO69" s="1426"/>
      <c r="AP69" s="1426"/>
      <c r="AQ69" s="1426"/>
      <c r="AR69" s="1426"/>
      <c r="AS69" s="1426"/>
      <c r="AT69" s="1426"/>
      <c r="AZ69" s="20"/>
    </row>
    <row r="70" spans="1:52" ht="12.95" customHeight="1">
      <c r="A70" s="1426"/>
      <c r="B70" s="1426"/>
      <c r="C70" s="1426"/>
      <c r="D70" s="1426"/>
      <c r="E70" s="1426"/>
      <c r="F70" s="1426"/>
      <c r="G70" s="1426"/>
      <c r="H70" s="1426"/>
      <c r="I70" s="1426"/>
      <c r="J70" s="1426"/>
      <c r="K70" s="1426"/>
      <c r="L70" s="1426"/>
      <c r="M70" s="1426"/>
      <c r="N70" s="1426"/>
      <c r="O70" s="1426"/>
      <c r="P70" s="1426"/>
      <c r="Q70" s="1426"/>
      <c r="R70" s="1426"/>
      <c r="S70" s="1426"/>
      <c r="T70" s="1426"/>
      <c r="U70" s="1426"/>
      <c r="V70" s="1426"/>
      <c r="W70" s="1426"/>
      <c r="X70" s="1426"/>
      <c r="Y70" s="1426"/>
      <c r="Z70" s="1426"/>
      <c r="AA70" s="1426"/>
      <c r="AB70" s="1426"/>
      <c r="AC70" s="1426"/>
      <c r="AD70" s="1426"/>
      <c r="AE70" s="1426"/>
      <c r="AF70" s="1426"/>
      <c r="AG70" s="1426"/>
      <c r="AH70" s="1426"/>
      <c r="AI70" s="1426"/>
      <c r="AJ70" s="1426"/>
      <c r="AK70" s="1426"/>
      <c r="AL70" s="1426"/>
      <c r="AM70" s="1426"/>
      <c r="AN70" s="1426"/>
      <c r="AO70" s="1426"/>
      <c r="AP70" s="1426"/>
      <c r="AQ70" s="1426"/>
      <c r="AR70" s="1426"/>
      <c r="AS70" s="1426"/>
      <c r="AT70" s="1426"/>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24" t="s">
        <v>2521</v>
      </c>
      <c r="B72" s="1424"/>
      <c r="C72" s="1424"/>
      <c r="D72" s="1424"/>
      <c r="E72" s="1424"/>
      <c r="F72" s="1424"/>
      <c r="G72" s="1424"/>
      <c r="H72" s="1424"/>
      <c r="I72" s="1424"/>
      <c r="J72" s="1424"/>
      <c r="K72" s="1424"/>
      <c r="L72" s="1424"/>
      <c r="M72" s="1424"/>
      <c r="N72" s="1424"/>
      <c r="O72" s="1424"/>
      <c r="P72" s="1424"/>
      <c r="Q72" s="1424"/>
      <c r="R72" s="1424"/>
      <c r="S72" s="1424"/>
      <c r="T72" s="1424"/>
      <c r="U72" s="1424"/>
      <c r="V72" s="1424"/>
      <c r="W72" s="1424"/>
      <c r="X72" s="1424"/>
      <c r="Y72" s="1424"/>
      <c r="Z72" s="1424"/>
      <c r="AA72" s="1424"/>
      <c r="AB72" s="1424"/>
      <c r="AC72" s="1424"/>
      <c r="AD72" s="1424"/>
      <c r="AE72" s="1424"/>
      <c r="AF72" s="1424"/>
      <c r="AG72" s="1424"/>
      <c r="AH72" s="1424"/>
      <c r="AI72" s="1424"/>
      <c r="AJ72" s="1424"/>
      <c r="AK72" s="1424"/>
      <c r="AL72" s="1424"/>
      <c r="AM72" s="1424"/>
      <c r="AN72" s="1424"/>
      <c r="AO72" s="1424"/>
      <c r="AP72" s="1424"/>
      <c r="AQ72" s="1424"/>
      <c r="AR72" s="1424"/>
      <c r="AS72" s="1424"/>
      <c r="AT72" s="1424"/>
      <c r="AU72" s="20"/>
      <c r="AV72" s="20"/>
      <c r="AW72" s="20"/>
      <c r="AX72" s="20"/>
      <c r="AY72" s="20"/>
      <c r="AZ72" s="20"/>
    </row>
    <row r="73" spans="1:52" ht="12.95" customHeight="1">
      <c r="A73" s="1424"/>
      <c r="B73" s="1424"/>
      <c r="C73" s="1424"/>
      <c r="D73" s="1424"/>
      <c r="E73" s="1424"/>
      <c r="F73" s="1424"/>
      <c r="G73" s="1424"/>
      <c r="H73" s="1424"/>
      <c r="I73" s="1424"/>
      <c r="J73" s="1424"/>
      <c r="K73" s="1424"/>
      <c r="L73" s="1424"/>
      <c r="M73" s="1424"/>
      <c r="N73" s="1424"/>
      <c r="O73" s="1424"/>
      <c r="P73" s="1424"/>
      <c r="Q73" s="1424"/>
      <c r="R73" s="1424"/>
      <c r="S73" s="1424"/>
      <c r="T73" s="1424"/>
      <c r="U73" s="1424"/>
      <c r="V73" s="1424"/>
      <c r="W73" s="1424"/>
      <c r="X73" s="1424"/>
      <c r="Y73" s="1424"/>
      <c r="Z73" s="1424"/>
      <c r="AA73" s="1424"/>
      <c r="AB73" s="1424"/>
      <c r="AC73" s="1424"/>
      <c r="AD73" s="1424"/>
      <c r="AE73" s="1424"/>
      <c r="AF73" s="1424"/>
      <c r="AG73" s="1424"/>
      <c r="AH73" s="1424"/>
      <c r="AI73" s="1424"/>
      <c r="AJ73" s="1424"/>
      <c r="AK73" s="1424"/>
      <c r="AL73" s="1424"/>
      <c r="AM73" s="1424"/>
      <c r="AN73" s="1424"/>
      <c r="AO73" s="1424"/>
      <c r="AP73" s="1424"/>
      <c r="AQ73" s="1424"/>
      <c r="AR73" s="1424"/>
      <c r="AS73" s="1424"/>
      <c r="AT73" s="1424"/>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793" t="s">
        <v>2522</v>
      </c>
      <c r="B75" s="1793"/>
      <c r="C75" s="1793"/>
      <c r="D75" s="1793"/>
      <c r="E75" s="1793"/>
      <c r="F75" s="1793"/>
      <c r="G75" s="1793"/>
      <c r="H75" s="1793"/>
      <c r="I75" s="1793"/>
      <c r="J75" s="1793"/>
      <c r="K75" s="1793"/>
      <c r="L75" s="1793"/>
      <c r="M75" s="1793"/>
      <c r="N75" s="1793"/>
      <c r="O75" s="1793"/>
      <c r="P75" s="1793"/>
      <c r="Q75" s="1793"/>
      <c r="R75" s="1793"/>
      <c r="S75" s="1793"/>
      <c r="T75" s="1793"/>
      <c r="U75" s="1793"/>
      <c r="V75" s="1793"/>
      <c r="W75" s="1793"/>
      <c r="X75" s="1793"/>
      <c r="Y75" s="1793"/>
      <c r="Z75" s="1793"/>
      <c r="AA75" s="1793"/>
      <c r="AB75" s="1793"/>
      <c r="AC75" s="1793"/>
      <c r="AD75" s="1793"/>
      <c r="AE75" s="1793"/>
      <c r="AF75" s="1793"/>
      <c r="AG75" s="1793"/>
      <c r="AH75" s="1793"/>
      <c r="AI75" s="1793"/>
      <c r="AJ75" s="1793"/>
      <c r="AK75" s="1793"/>
      <c r="AL75" s="1793"/>
      <c r="AM75" s="1793"/>
      <c r="AN75" s="1793"/>
      <c r="AO75" s="1793"/>
      <c r="AP75" s="1793"/>
      <c r="AQ75" s="1793"/>
      <c r="AR75" s="1793"/>
      <c r="AS75" s="1793"/>
      <c r="AT75" s="1793"/>
      <c r="AU75" s="20"/>
      <c r="AV75" s="20"/>
      <c r="AW75" s="20"/>
      <c r="AX75" s="20"/>
      <c r="AY75" s="20"/>
      <c r="AZ75" s="20"/>
    </row>
    <row r="76" spans="1:52" ht="12.95" customHeight="1">
      <c r="A76" s="1793"/>
      <c r="B76" s="1793"/>
      <c r="C76" s="1793"/>
      <c r="D76" s="1793"/>
      <c r="E76" s="1793"/>
      <c r="F76" s="1793"/>
      <c r="G76" s="1793"/>
      <c r="H76" s="1793"/>
      <c r="I76" s="1793"/>
      <c r="J76" s="1793"/>
      <c r="K76" s="1793"/>
      <c r="L76" s="1793"/>
      <c r="M76" s="1793"/>
      <c r="N76" s="1793"/>
      <c r="O76" s="1793"/>
      <c r="P76" s="1793"/>
      <c r="Q76" s="1793"/>
      <c r="R76" s="1793"/>
      <c r="S76" s="1793"/>
      <c r="T76" s="1793"/>
      <c r="U76" s="1793"/>
      <c r="V76" s="1793"/>
      <c r="W76" s="1793"/>
      <c r="X76" s="1793"/>
      <c r="Y76" s="1793"/>
      <c r="Z76" s="1793"/>
      <c r="AA76" s="1793"/>
      <c r="AB76" s="1793"/>
      <c r="AC76" s="1793"/>
      <c r="AD76" s="1793"/>
      <c r="AE76" s="1793"/>
      <c r="AF76" s="1793"/>
      <c r="AG76" s="1793"/>
      <c r="AH76" s="1793"/>
      <c r="AI76" s="1793"/>
      <c r="AJ76" s="1793"/>
      <c r="AK76" s="1793"/>
      <c r="AL76" s="1793"/>
      <c r="AM76" s="1793"/>
      <c r="AN76" s="1793"/>
      <c r="AO76" s="1793"/>
      <c r="AP76" s="1793"/>
      <c r="AQ76" s="1793"/>
      <c r="AR76" s="1793"/>
      <c r="AS76" s="1793"/>
      <c r="AT76" s="1793"/>
      <c r="AU76" s="20"/>
      <c r="AV76" s="20"/>
      <c r="AW76" s="20"/>
      <c r="AX76" s="20"/>
      <c r="AY76" s="20"/>
      <c r="AZ76" s="17"/>
    </row>
    <row r="77" spans="1:52" ht="12.95" customHeight="1">
      <c r="A77" s="1793"/>
      <c r="B77" s="1793"/>
      <c r="C77" s="1793"/>
      <c r="D77" s="1793"/>
      <c r="E77" s="1793"/>
      <c r="F77" s="1793"/>
      <c r="G77" s="1793"/>
      <c r="H77" s="1793"/>
      <c r="I77" s="1793"/>
      <c r="J77" s="1793"/>
      <c r="K77" s="1793"/>
      <c r="L77" s="1793"/>
      <c r="M77" s="1793"/>
      <c r="N77" s="1793"/>
      <c r="O77" s="1793"/>
      <c r="P77" s="1793"/>
      <c r="Q77" s="1793"/>
      <c r="R77" s="1793"/>
      <c r="S77" s="1793"/>
      <c r="T77" s="1793"/>
      <c r="U77" s="1793"/>
      <c r="V77" s="1793"/>
      <c r="W77" s="1793"/>
      <c r="X77" s="1793"/>
      <c r="Y77" s="1793"/>
      <c r="Z77" s="1793"/>
      <c r="AA77" s="1793"/>
      <c r="AB77" s="1793"/>
      <c r="AC77" s="1793"/>
      <c r="AD77" s="1793"/>
      <c r="AE77" s="1793"/>
      <c r="AF77" s="1793"/>
      <c r="AG77" s="1793"/>
      <c r="AH77" s="1793"/>
      <c r="AI77" s="1793"/>
      <c r="AJ77" s="1793"/>
      <c r="AK77" s="1793"/>
      <c r="AL77" s="1793"/>
      <c r="AM77" s="1793"/>
      <c r="AN77" s="1793"/>
      <c r="AO77" s="1793"/>
      <c r="AP77" s="1793"/>
      <c r="AQ77" s="1793"/>
      <c r="AR77" s="1793"/>
      <c r="AS77" s="1793"/>
      <c r="AT77" s="1793"/>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26" t="s">
        <v>2523</v>
      </c>
      <c r="B79" s="1426"/>
      <c r="C79" s="1426"/>
      <c r="D79" s="1426"/>
      <c r="E79" s="1426"/>
      <c r="F79" s="1426"/>
      <c r="G79" s="1426"/>
      <c r="H79" s="1426"/>
      <c r="I79" s="1426"/>
      <c r="J79" s="1426"/>
      <c r="K79" s="1426"/>
      <c r="L79" s="1426"/>
      <c r="M79" s="1426"/>
      <c r="N79" s="1426"/>
      <c r="O79" s="1426"/>
      <c r="P79" s="1426"/>
      <c r="Q79" s="1426"/>
      <c r="R79" s="1426"/>
      <c r="S79" s="1426"/>
      <c r="T79" s="1426"/>
      <c r="U79" s="1426"/>
      <c r="V79" s="1426"/>
      <c r="W79" s="1426"/>
      <c r="X79" s="1426"/>
      <c r="Y79" s="1426"/>
      <c r="Z79" s="1426"/>
      <c r="AA79" s="1426"/>
      <c r="AB79" s="1426"/>
      <c r="AC79" s="1426"/>
      <c r="AD79" s="1426"/>
      <c r="AE79" s="1426"/>
      <c r="AF79" s="1426"/>
      <c r="AG79" s="1426"/>
      <c r="AH79" s="1426"/>
      <c r="AI79" s="1426"/>
      <c r="AJ79" s="1426"/>
      <c r="AK79" s="1426"/>
      <c r="AL79" s="1426"/>
      <c r="AM79" s="1426"/>
      <c r="AN79" s="1426"/>
      <c r="AO79" s="1426"/>
      <c r="AP79" s="1426"/>
      <c r="AQ79" s="1426"/>
      <c r="AR79" s="1426"/>
      <c r="AS79" s="1426"/>
      <c r="AT79" s="1426"/>
      <c r="AU79" s="20"/>
      <c r="AV79" s="20"/>
      <c r="AW79" s="20"/>
      <c r="AX79" s="20"/>
      <c r="AY79" s="20"/>
      <c r="AZ79" s="20"/>
    </row>
    <row r="80" spans="1:52" ht="12.95" customHeight="1">
      <c r="A80" s="1426"/>
      <c r="B80" s="1426"/>
      <c r="C80" s="1426"/>
      <c r="D80" s="1426"/>
      <c r="E80" s="1426"/>
      <c r="F80" s="1426"/>
      <c r="G80" s="1426"/>
      <c r="H80" s="1426"/>
      <c r="I80" s="1426"/>
      <c r="J80" s="1426"/>
      <c r="K80" s="1426"/>
      <c r="L80" s="1426"/>
      <c r="M80" s="1426"/>
      <c r="N80" s="1426"/>
      <c r="O80" s="1426"/>
      <c r="P80" s="1426"/>
      <c r="Q80" s="1426"/>
      <c r="R80" s="1426"/>
      <c r="S80" s="1426"/>
      <c r="T80" s="1426"/>
      <c r="U80" s="1426"/>
      <c r="V80" s="1426"/>
      <c r="W80" s="1426"/>
      <c r="X80" s="1426"/>
      <c r="Y80" s="1426"/>
      <c r="Z80" s="1426"/>
      <c r="AA80" s="1426"/>
      <c r="AB80" s="1426"/>
      <c r="AC80" s="1426"/>
      <c r="AD80" s="1426"/>
      <c r="AE80" s="1426"/>
      <c r="AF80" s="1426"/>
      <c r="AG80" s="1426"/>
      <c r="AH80" s="1426"/>
      <c r="AI80" s="1426"/>
      <c r="AJ80" s="1426"/>
      <c r="AK80" s="1426"/>
      <c r="AL80" s="1426"/>
      <c r="AM80" s="1426"/>
      <c r="AN80" s="1426"/>
      <c r="AO80" s="1426"/>
      <c r="AP80" s="1426"/>
      <c r="AQ80" s="1426"/>
      <c r="AR80" s="1426"/>
      <c r="AS80" s="1426"/>
      <c r="AT80" s="1426"/>
      <c r="AU80" s="20"/>
      <c r="AV80" s="20"/>
      <c r="AW80" s="20"/>
      <c r="AX80" s="20"/>
      <c r="AY80" s="20"/>
      <c r="AZ80" s="20"/>
    </row>
    <row r="81" spans="1:52" ht="12.95" customHeight="1">
      <c r="A81" s="1426"/>
      <c r="B81" s="1426"/>
      <c r="C81" s="1426"/>
      <c r="D81" s="1426"/>
      <c r="E81" s="1426"/>
      <c r="F81" s="1426"/>
      <c r="G81" s="1426"/>
      <c r="H81" s="1426"/>
      <c r="I81" s="1426"/>
      <c r="J81" s="1426"/>
      <c r="K81" s="1426"/>
      <c r="L81" s="1426"/>
      <c r="M81" s="1426"/>
      <c r="N81" s="1426"/>
      <c r="O81" s="1426"/>
      <c r="P81" s="1426"/>
      <c r="Q81" s="1426"/>
      <c r="R81" s="1426"/>
      <c r="S81" s="1426"/>
      <c r="T81" s="1426"/>
      <c r="U81" s="1426"/>
      <c r="V81" s="1426"/>
      <c r="W81" s="1426"/>
      <c r="X81" s="1426"/>
      <c r="Y81" s="1426"/>
      <c r="Z81" s="1426"/>
      <c r="AA81" s="1426"/>
      <c r="AB81" s="1426"/>
      <c r="AC81" s="1426"/>
      <c r="AD81" s="1426"/>
      <c r="AE81" s="1426"/>
      <c r="AF81" s="1426"/>
      <c r="AG81" s="1426"/>
      <c r="AH81" s="1426"/>
      <c r="AI81" s="1426"/>
      <c r="AJ81" s="1426"/>
      <c r="AK81" s="1426"/>
      <c r="AL81" s="1426"/>
      <c r="AM81" s="1426"/>
      <c r="AN81" s="1426"/>
      <c r="AO81" s="1426"/>
      <c r="AP81" s="1426"/>
      <c r="AQ81" s="1426"/>
      <c r="AR81" s="1426"/>
      <c r="AS81" s="1426"/>
      <c r="AT81" s="1426"/>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70" t="s">
        <v>2524</v>
      </c>
      <c r="B83" s="1270"/>
      <c r="C83" s="1270"/>
      <c r="D83" s="1270"/>
      <c r="E83" s="1270"/>
      <c r="F83" s="1270"/>
      <c r="G83" s="1270"/>
      <c r="H83" s="1270"/>
      <c r="I83" s="1270"/>
      <c r="J83" s="1270"/>
      <c r="K83" s="1270"/>
      <c r="L83" s="1270"/>
      <c r="M83" s="1270"/>
      <c r="N83" s="1270"/>
      <c r="O83" s="1270"/>
      <c r="P83" s="1270"/>
      <c r="Q83" s="1270"/>
      <c r="R83" s="1270"/>
      <c r="S83" s="1270"/>
      <c r="T83" s="1270"/>
      <c r="U83" s="1270"/>
      <c r="V83" s="1270"/>
      <c r="W83" s="1270"/>
      <c r="X83" s="1270"/>
      <c r="Y83" s="1270"/>
      <c r="Z83" s="1270"/>
      <c r="AA83" s="1270"/>
      <c r="AB83" s="1270"/>
      <c r="AC83" s="1270"/>
      <c r="AD83" s="1270"/>
      <c r="AE83" s="1270"/>
      <c r="AF83" s="1270"/>
      <c r="AG83" s="1270"/>
      <c r="AH83" s="1270"/>
      <c r="AI83" s="1270"/>
      <c r="AJ83" s="1270"/>
      <c r="AK83" s="1270"/>
      <c r="AL83" s="1270"/>
      <c r="AM83" s="1270"/>
      <c r="AN83" s="1270"/>
      <c r="AO83" s="1270"/>
      <c r="AP83" s="1270"/>
      <c r="AQ83" s="1270"/>
      <c r="AR83" s="1270"/>
      <c r="AS83" s="1270"/>
      <c r="AT83" s="1270"/>
      <c r="AU83" s="20"/>
      <c r="AV83" s="20"/>
      <c r="AW83" s="20"/>
      <c r="AX83" s="20"/>
      <c r="AY83" s="20"/>
      <c r="AZ83" s="20"/>
    </row>
    <row r="84" spans="1:52" ht="12.95" customHeight="1">
      <c r="A84" s="1270"/>
      <c r="B84" s="1270"/>
      <c r="C84" s="1270"/>
      <c r="D84" s="1270"/>
      <c r="E84" s="1270"/>
      <c r="F84" s="1270"/>
      <c r="G84" s="1270"/>
      <c r="H84" s="1270"/>
      <c r="I84" s="1270"/>
      <c r="J84" s="1270"/>
      <c r="K84" s="1270"/>
      <c r="L84" s="1270"/>
      <c r="M84" s="1270"/>
      <c r="N84" s="1270"/>
      <c r="O84" s="1270"/>
      <c r="P84" s="1270"/>
      <c r="Q84" s="1270"/>
      <c r="R84" s="1270"/>
      <c r="S84" s="1270"/>
      <c r="T84" s="1270"/>
      <c r="U84" s="1270"/>
      <c r="V84" s="1270"/>
      <c r="W84" s="1270"/>
      <c r="X84" s="1270"/>
      <c r="Y84" s="1270"/>
      <c r="Z84" s="1270"/>
      <c r="AA84" s="1270"/>
      <c r="AB84" s="1270"/>
      <c r="AC84" s="1270"/>
      <c r="AD84" s="1270"/>
      <c r="AE84" s="1270"/>
      <c r="AF84" s="1270"/>
      <c r="AG84" s="1270"/>
      <c r="AH84" s="1270"/>
      <c r="AI84" s="1270"/>
      <c r="AJ84" s="1270"/>
      <c r="AK84" s="1270"/>
      <c r="AL84" s="1270"/>
      <c r="AM84" s="1270"/>
      <c r="AN84" s="1270"/>
      <c r="AO84" s="1270"/>
      <c r="AP84" s="1270"/>
      <c r="AQ84" s="1270"/>
      <c r="AR84" s="1270"/>
      <c r="AS84" s="1270"/>
      <c r="AT84" s="127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70" t="s">
        <v>2525</v>
      </c>
      <c r="B86" s="1270"/>
      <c r="C86" s="1270"/>
      <c r="D86" s="1270"/>
      <c r="E86" s="1270"/>
      <c r="F86" s="1270"/>
      <c r="G86" s="1270"/>
      <c r="H86" s="1270"/>
      <c r="I86" s="1270"/>
      <c r="J86" s="1270"/>
      <c r="K86" s="1270"/>
      <c r="L86" s="1270"/>
      <c r="M86" s="1270"/>
      <c r="N86" s="1270"/>
      <c r="O86" s="1270"/>
      <c r="P86" s="1270"/>
      <c r="Q86" s="1270"/>
      <c r="R86" s="1270"/>
      <c r="S86" s="1270"/>
      <c r="T86" s="1270"/>
      <c r="U86" s="1270"/>
      <c r="V86" s="1270"/>
      <c r="W86" s="1270"/>
      <c r="X86" s="1270"/>
      <c r="Y86" s="1270"/>
      <c r="Z86" s="1270"/>
      <c r="AA86" s="1270"/>
      <c r="AB86" s="1270"/>
      <c r="AC86" s="1270"/>
      <c r="AD86" s="1270"/>
      <c r="AE86" s="1270"/>
      <c r="AF86" s="1270"/>
      <c r="AG86" s="1270"/>
      <c r="AH86" s="1270"/>
      <c r="AI86" s="1270"/>
      <c r="AJ86" s="1270"/>
      <c r="AK86" s="1270"/>
      <c r="AL86" s="1270"/>
      <c r="AM86" s="1270"/>
      <c r="AN86" s="1270"/>
      <c r="AO86" s="1270"/>
      <c r="AP86" s="1270"/>
      <c r="AQ86" s="1270"/>
      <c r="AR86" s="1270"/>
      <c r="AS86" s="1270"/>
      <c r="AT86" s="1270"/>
      <c r="AU86" s="20"/>
      <c r="AV86" s="20"/>
      <c r="AW86" s="20"/>
      <c r="AX86" s="20"/>
      <c r="AY86" s="20"/>
      <c r="AZ86" s="20"/>
    </row>
    <row r="87" spans="1:52" ht="12.95" customHeight="1">
      <c r="A87" s="1270"/>
      <c r="B87" s="1270"/>
      <c r="C87" s="1270"/>
      <c r="D87" s="1270"/>
      <c r="E87" s="1270"/>
      <c r="F87" s="1270"/>
      <c r="G87" s="1270"/>
      <c r="H87" s="1270"/>
      <c r="I87" s="1270"/>
      <c r="J87" s="1270"/>
      <c r="K87" s="1270"/>
      <c r="L87" s="1270"/>
      <c r="M87" s="1270"/>
      <c r="N87" s="1270"/>
      <c r="O87" s="1270"/>
      <c r="P87" s="1270"/>
      <c r="Q87" s="1270"/>
      <c r="R87" s="1270"/>
      <c r="S87" s="1270"/>
      <c r="T87" s="1270"/>
      <c r="U87" s="1270"/>
      <c r="V87" s="1270"/>
      <c r="W87" s="1270"/>
      <c r="X87" s="1270"/>
      <c r="Y87" s="1270"/>
      <c r="Z87" s="1270"/>
      <c r="AA87" s="1270"/>
      <c r="AB87" s="1270"/>
      <c r="AC87" s="1270"/>
      <c r="AD87" s="1270"/>
      <c r="AE87" s="1270"/>
      <c r="AF87" s="1270"/>
      <c r="AG87" s="1270"/>
      <c r="AH87" s="1270"/>
      <c r="AI87" s="1270"/>
      <c r="AJ87" s="1270"/>
      <c r="AK87" s="1270"/>
      <c r="AL87" s="1270"/>
      <c r="AM87" s="1270"/>
      <c r="AN87" s="1270"/>
      <c r="AO87" s="1270"/>
      <c r="AP87" s="1270"/>
      <c r="AQ87" s="1270"/>
      <c r="AR87" s="1270"/>
      <c r="AS87" s="1270"/>
      <c r="AT87" s="1270"/>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792" t="s">
        <v>2526</v>
      </c>
      <c r="B89" s="1792"/>
      <c r="C89" s="1792"/>
      <c r="D89" s="1792"/>
      <c r="E89" s="1792"/>
      <c r="F89" s="1792"/>
      <c r="G89" s="1792"/>
      <c r="H89" s="1792"/>
      <c r="I89" s="1792"/>
      <c r="J89" s="1792"/>
      <c r="K89" s="1792"/>
      <c r="L89" s="1792"/>
      <c r="M89" s="1792"/>
      <c r="N89" s="1792"/>
      <c r="O89" s="1792"/>
      <c r="P89" s="1792"/>
      <c r="Q89" s="1792"/>
      <c r="R89" s="1792"/>
      <c r="S89" s="1792"/>
      <c r="T89" s="1792"/>
      <c r="U89" s="1792"/>
      <c r="V89" s="1792"/>
      <c r="W89" s="1792"/>
      <c r="X89" s="1792"/>
      <c r="Y89" s="1792"/>
      <c r="Z89" s="1792"/>
      <c r="AA89" s="1792"/>
      <c r="AB89" s="1792"/>
      <c r="AC89" s="1792"/>
      <c r="AD89" s="1792"/>
      <c r="AE89" s="1792"/>
      <c r="AF89" s="1792"/>
      <c r="AG89" s="1792"/>
      <c r="AH89" s="1792"/>
      <c r="AI89" s="1792"/>
      <c r="AJ89" s="1792"/>
      <c r="AK89" s="1792"/>
      <c r="AL89" s="1792"/>
      <c r="AM89" s="1792"/>
      <c r="AN89" s="1792"/>
      <c r="AO89" s="1792"/>
      <c r="AP89" s="1792"/>
      <c r="AQ89" s="1792"/>
      <c r="AR89" s="1792"/>
      <c r="AS89" s="1792"/>
      <c r="AT89" s="1792"/>
      <c r="AU89" s="17"/>
      <c r="AV89" s="17"/>
      <c r="AW89" s="17"/>
      <c r="AX89" s="17"/>
      <c r="AY89" s="17"/>
      <c r="AZ89" s="20"/>
    </row>
    <row r="90" spans="1:52" ht="12.95" customHeight="1">
      <c r="A90" s="1792"/>
      <c r="B90" s="1792"/>
      <c r="C90" s="1792"/>
      <c r="D90" s="1792"/>
      <c r="E90" s="1792"/>
      <c r="F90" s="1792"/>
      <c r="G90" s="1792"/>
      <c r="H90" s="1792"/>
      <c r="I90" s="1792"/>
      <c r="J90" s="1792"/>
      <c r="K90" s="1792"/>
      <c r="L90" s="1792"/>
      <c r="M90" s="1792"/>
      <c r="N90" s="1792"/>
      <c r="O90" s="1792"/>
      <c r="P90" s="1792"/>
      <c r="Q90" s="1792"/>
      <c r="R90" s="1792"/>
      <c r="S90" s="1792"/>
      <c r="T90" s="1792"/>
      <c r="U90" s="1792"/>
      <c r="V90" s="1792"/>
      <c r="W90" s="1792"/>
      <c r="X90" s="1792"/>
      <c r="Y90" s="1792"/>
      <c r="Z90" s="1792"/>
      <c r="AA90" s="1792"/>
      <c r="AB90" s="1792"/>
      <c r="AC90" s="1792"/>
      <c r="AD90" s="1792"/>
      <c r="AE90" s="1792"/>
      <c r="AF90" s="1792"/>
      <c r="AG90" s="1792"/>
      <c r="AH90" s="1792"/>
      <c r="AI90" s="1792"/>
      <c r="AJ90" s="1792"/>
      <c r="AK90" s="1792"/>
      <c r="AL90" s="1792"/>
      <c r="AM90" s="1792"/>
      <c r="AN90" s="1792"/>
      <c r="AO90" s="1792"/>
      <c r="AP90" s="1792"/>
      <c r="AQ90" s="1792"/>
      <c r="AR90" s="1792"/>
      <c r="AS90" s="1792"/>
      <c r="AT90" s="1792"/>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793" t="s">
        <v>2527</v>
      </c>
      <c r="B92" s="1793"/>
      <c r="C92" s="1793"/>
      <c r="D92" s="1793"/>
      <c r="E92" s="1793"/>
      <c r="F92" s="1793"/>
      <c r="G92" s="1793"/>
      <c r="H92" s="1793"/>
      <c r="I92" s="1793"/>
      <c r="J92" s="1793"/>
      <c r="K92" s="1793"/>
      <c r="L92" s="1793"/>
      <c r="M92" s="1793"/>
      <c r="N92" s="1793"/>
      <c r="O92" s="1793"/>
      <c r="P92" s="1793"/>
      <c r="Q92" s="1793"/>
      <c r="R92" s="1793"/>
      <c r="S92" s="1793"/>
      <c r="T92" s="1793"/>
      <c r="U92" s="1793"/>
      <c r="V92" s="1793"/>
      <c r="W92" s="1793"/>
      <c r="X92" s="1793"/>
      <c r="Y92" s="1793"/>
      <c r="Z92" s="1793"/>
      <c r="AA92" s="1793"/>
      <c r="AB92" s="1793"/>
      <c r="AC92" s="1793"/>
      <c r="AD92" s="1793"/>
      <c r="AE92" s="1793"/>
      <c r="AF92" s="1793"/>
      <c r="AG92" s="1793"/>
      <c r="AH92" s="1793"/>
      <c r="AI92" s="1793"/>
      <c r="AJ92" s="1793"/>
      <c r="AK92" s="1793"/>
      <c r="AL92" s="1793"/>
      <c r="AM92" s="1793"/>
      <c r="AN92" s="1793"/>
      <c r="AO92" s="1793"/>
      <c r="AP92" s="1793"/>
      <c r="AQ92" s="1793"/>
      <c r="AR92" s="1793"/>
      <c r="AS92" s="1793"/>
      <c r="AT92" s="1793"/>
      <c r="AU92" s="20"/>
      <c r="AV92" s="20"/>
      <c r="AW92" s="20"/>
      <c r="AX92" s="20"/>
      <c r="AY92" s="20"/>
      <c r="AZ92" s="20"/>
    </row>
    <row r="93" spans="1:52" ht="12.95" customHeight="1">
      <c r="A93" s="1793"/>
      <c r="B93" s="1793"/>
      <c r="C93" s="1793"/>
      <c r="D93" s="1793"/>
      <c r="E93" s="1793"/>
      <c r="F93" s="1793"/>
      <c r="G93" s="1793"/>
      <c r="H93" s="1793"/>
      <c r="I93" s="1793"/>
      <c r="J93" s="1793"/>
      <c r="K93" s="1793"/>
      <c r="L93" s="1793"/>
      <c r="M93" s="1793"/>
      <c r="N93" s="1793"/>
      <c r="O93" s="1793"/>
      <c r="P93" s="1793"/>
      <c r="Q93" s="1793"/>
      <c r="R93" s="1793"/>
      <c r="S93" s="1793"/>
      <c r="T93" s="1793"/>
      <c r="U93" s="1793"/>
      <c r="V93" s="1793"/>
      <c r="W93" s="1793"/>
      <c r="X93" s="1793"/>
      <c r="Y93" s="1793"/>
      <c r="Z93" s="1793"/>
      <c r="AA93" s="1793"/>
      <c r="AB93" s="1793"/>
      <c r="AC93" s="1793"/>
      <c r="AD93" s="1793"/>
      <c r="AE93" s="1793"/>
      <c r="AF93" s="1793"/>
      <c r="AG93" s="1793"/>
      <c r="AH93" s="1793"/>
      <c r="AI93" s="1793"/>
      <c r="AJ93" s="1793"/>
      <c r="AK93" s="1793"/>
      <c r="AL93" s="1793"/>
      <c r="AM93" s="1793"/>
      <c r="AN93" s="1793"/>
      <c r="AO93" s="1793"/>
      <c r="AP93" s="1793"/>
      <c r="AQ93" s="1793"/>
      <c r="AR93" s="1793"/>
      <c r="AS93" s="1793"/>
      <c r="AT93" s="1793"/>
      <c r="AU93" s="20"/>
      <c r="AV93" s="20"/>
      <c r="AW93" s="20"/>
      <c r="AX93" s="20"/>
      <c r="AY93" s="20"/>
      <c r="AZ93" s="20"/>
    </row>
    <row r="94" spans="1:52" ht="12.95" customHeight="1">
      <c r="A94" s="1793"/>
      <c r="B94" s="1793"/>
      <c r="C94" s="1793"/>
      <c r="D94" s="1793"/>
      <c r="E94" s="1793"/>
      <c r="F94" s="1793"/>
      <c r="G94" s="1793"/>
      <c r="H94" s="1793"/>
      <c r="I94" s="1793"/>
      <c r="J94" s="1793"/>
      <c r="K94" s="1793"/>
      <c r="L94" s="1793"/>
      <c r="M94" s="1793"/>
      <c r="N94" s="1793"/>
      <c r="O94" s="1793"/>
      <c r="P94" s="1793"/>
      <c r="Q94" s="1793"/>
      <c r="R94" s="1793"/>
      <c r="S94" s="1793"/>
      <c r="T94" s="1793"/>
      <c r="U94" s="1793"/>
      <c r="V94" s="1793"/>
      <c r="W94" s="1793"/>
      <c r="X94" s="1793"/>
      <c r="Y94" s="1793"/>
      <c r="Z94" s="1793"/>
      <c r="AA94" s="1793"/>
      <c r="AB94" s="1793"/>
      <c r="AC94" s="1793"/>
      <c r="AD94" s="1793"/>
      <c r="AE94" s="1793"/>
      <c r="AF94" s="1793"/>
      <c r="AG94" s="1793"/>
      <c r="AH94" s="1793"/>
      <c r="AI94" s="1793"/>
      <c r="AJ94" s="1793"/>
      <c r="AK94" s="1793"/>
      <c r="AL94" s="1793"/>
      <c r="AM94" s="1793"/>
      <c r="AN94" s="1793"/>
      <c r="AO94" s="1793"/>
      <c r="AP94" s="1793"/>
      <c r="AQ94" s="1793"/>
      <c r="AR94" s="1793"/>
      <c r="AS94" s="1793"/>
      <c r="AT94" s="1793"/>
      <c r="AU94" s="20"/>
      <c r="AV94" s="20"/>
      <c r="AW94" s="20"/>
      <c r="AX94" s="20"/>
      <c r="AY94" s="20"/>
      <c r="AZ94" s="20"/>
    </row>
    <row r="95" spans="1:52" ht="12.95" customHeight="1">
      <c r="A95" s="1793"/>
      <c r="B95" s="1793"/>
      <c r="C95" s="1793"/>
      <c r="D95" s="1793"/>
      <c r="E95" s="1793"/>
      <c r="F95" s="1793"/>
      <c r="G95" s="1793"/>
      <c r="H95" s="1793"/>
      <c r="I95" s="1793"/>
      <c r="J95" s="1793"/>
      <c r="K95" s="1793"/>
      <c r="L95" s="1793"/>
      <c r="M95" s="1793"/>
      <c r="N95" s="1793"/>
      <c r="O95" s="1793"/>
      <c r="P95" s="1793"/>
      <c r="Q95" s="1793"/>
      <c r="R95" s="1793"/>
      <c r="S95" s="1793"/>
      <c r="T95" s="1793"/>
      <c r="U95" s="1793"/>
      <c r="V95" s="1793"/>
      <c r="W95" s="1793"/>
      <c r="X95" s="1793"/>
      <c r="Y95" s="1793"/>
      <c r="Z95" s="1793"/>
      <c r="AA95" s="1793"/>
      <c r="AB95" s="1793"/>
      <c r="AC95" s="1793"/>
      <c r="AD95" s="1793"/>
      <c r="AE95" s="1793"/>
      <c r="AF95" s="1793"/>
      <c r="AG95" s="1793"/>
      <c r="AH95" s="1793"/>
      <c r="AI95" s="1793"/>
      <c r="AJ95" s="1793"/>
      <c r="AK95" s="1793"/>
      <c r="AL95" s="1793"/>
      <c r="AM95" s="1793"/>
      <c r="AN95" s="1793"/>
      <c r="AO95" s="1793"/>
      <c r="AP95" s="1793"/>
      <c r="AQ95" s="1793"/>
      <c r="AR95" s="1793"/>
      <c r="AS95" s="1793"/>
      <c r="AT95" s="1793"/>
      <c r="AU95" s="20"/>
      <c r="AV95" s="20"/>
      <c r="AW95" s="20"/>
      <c r="AX95" s="20"/>
      <c r="AY95" s="20"/>
      <c r="AZ95" s="20"/>
    </row>
    <row r="96" spans="1:52" ht="12.95" customHeight="1">
      <c r="A96" s="1793"/>
      <c r="B96" s="1793"/>
      <c r="C96" s="1793"/>
      <c r="D96" s="1793"/>
      <c r="E96" s="1793"/>
      <c r="F96" s="1793"/>
      <c r="G96" s="1793"/>
      <c r="H96" s="1793"/>
      <c r="I96" s="1793"/>
      <c r="J96" s="1793"/>
      <c r="K96" s="1793"/>
      <c r="L96" s="1793"/>
      <c r="M96" s="1793"/>
      <c r="N96" s="1793"/>
      <c r="O96" s="1793"/>
      <c r="P96" s="1793"/>
      <c r="Q96" s="1793"/>
      <c r="R96" s="1793"/>
      <c r="S96" s="1793"/>
      <c r="T96" s="1793"/>
      <c r="U96" s="1793"/>
      <c r="V96" s="1793"/>
      <c r="W96" s="1793"/>
      <c r="X96" s="1793"/>
      <c r="Y96" s="1793"/>
      <c r="Z96" s="1793"/>
      <c r="AA96" s="1793"/>
      <c r="AB96" s="1793"/>
      <c r="AC96" s="1793"/>
      <c r="AD96" s="1793"/>
      <c r="AE96" s="1793"/>
      <c r="AF96" s="1793"/>
      <c r="AG96" s="1793"/>
      <c r="AH96" s="1793"/>
      <c r="AI96" s="1793"/>
      <c r="AJ96" s="1793"/>
      <c r="AK96" s="1793"/>
      <c r="AL96" s="1793"/>
      <c r="AM96" s="1793"/>
      <c r="AN96" s="1793"/>
      <c r="AO96" s="1793"/>
      <c r="AP96" s="1793"/>
      <c r="AQ96" s="1793"/>
      <c r="AR96" s="1793"/>
      <c r="AS96" s="1793"/>
      <c r="AT96" s="1793"/>
      <c r="AU96" s="20"/>
      <c r="AV96" s="20"/>
      <c r="AW96" s="20"/>
      <c r="AX96" s="20"/>
      <c r="AY96" s="20"/>
      <c r="AZ96" s="20"/>
    </row>
    <row r="97" spans="1:52" ht="12.95" customHeight="1">
      <c r="A97" s="1793"/>
      <c r="B97" s="1793"/>
      <c r="C97" s="1793"/>
      <c r="D97" s="1793"/>
      <c r="E97" s="1793"/>
      <c r="F97" s="1793"/>
      <c r="G97" s="1793"/>
      <c r="H97" s="1793"/>
      <c r="I97" s="1793"/>
      <c r="J97" s="1793"/>
      <c r="K97" s="1793"/>
      <c r="L97" s="1793"/>
      <c r="M97" s="1793"/>
      <c r="N97" s="1793"/>
      <c r="O97" s="1793"/>
      <c r="P97" s="1793"/>
      <c r="Q97" s="1793"/>
      <c r="R97" s="1793"/>
      <c r="S97" s="1793"/>
      <c r="T97" s="1793"/>
      <c r="U97" s="1793"/>
      <c r="V97" s="1793"/>
      <c r="W97" s="1793"/>
      <c r="X97" s="1793"/>
      <c r="Y97" s="1793"/>
      <c r="Z97" s="1793"/>
      <c r="AA97" s="1793"/>
      <c r="AB97" s="1793"/>
      <c r="AC97" s="1793"/>
      <c r="AD97" s="1793"/>
      <c r="AE97" s="1793"/>
      <c r="AF97" s="1793"/>
      <c r="AG97" s="1793"/>
      <c r="AH97" s="1793"/>
      <c r="AI97" s="1793"/>
      <c r="AJ97" s="1793"/>
      <c r="AK97" s="1793"/>
      <c r="AL97" s="1793"/>
      <c r="AM97" s="1793"/>
      <c r="AN97" s="1793"/>
      <c r="AO97" s="1793"/>
      <c r="AP97" s="1793"/>
      <c r="AQ97" s="1793"/>
      <c r="AR97" s="1793"/>
      <c r="AS97" s="1793"/>
      <c r="AT97" s="1793"/>
      <c r="AU97" s="20"/>
      <c r="AV97" s="20"/>
      <c r="AW97" s="20"/>
      <c r="AX97" s="20"/>
      <c r="AY97" s="20"/>
      <c r="AZ97" s="20"/>
    </row>
    <row r="98" spans="1:52" ht="12.95" customHeight="1">
      <c r="A98" s="1793"/>
      <c r="B98" s="1793"/>
      <c r="C98" s="1793"/>
      <c r="D98" s="1793"/>
      <c r="E98" s="1793"/>
      <c r="F98" s="1793"/>
      <c r="G98" s="1793"/>
      <c r="H98" s="1793"/>
      <c r="I98" s="1793"/>
      <c r="J98" s="1793"/>
      <c r="K98" s="1793"/>
      <c r="L98" s="1793"/>
      <c r="M98" s="1793"/>
      <c r="N98" s="1793"/>
      <c r="O98" s="1793"/>
      <c r="P98" s="1793"/>
      <c r="Q98" s="1793"/>
      <c r="R98" s="1793"/>
      <c r="S98" s="1793"/>
      <c r="T98" s="1793"/>
      <c r="U98" s="1793"/>
      <c r="V98" s="1793"/>
      <c r="W98" s="1793"/>
      <c r="X98" s="1793"/>
      <c r="Y98" s="1793"/>
      <c r="Z98" s="1793"/>
      <c r="AA98" s="1793"/>
      <c r="AB98" s="1793"/>
      <c r="AC98" s="1793"/>
      <c r="AD98" s="1793"/>
      <c r="AE98" s="1793"/>
      <c r="AF98" s="1793"/>
      <c r="AG98" s="1793"/>
      <c r="AH98" s="1793"/>
      <c r="AI98" s="1793"/>
      <c r="AJ98" s="1793"/>
      <c r="AK98" s="1793"/>
      <c r="AL98" s="1793"/>
      <c r="AM98" s="1793"/>
      <c r="AN98" s="1793"/>
      <c r="AO98" s="1793"/>
      <c r="AP98" s="1793"/>
      <c r="AQ98" s="1793"/>
      <c r="AR98" s="1793"/>
      <c r="AS98" s="1793"/>
      <c r="AT98" s="1793"/>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1" t="s">
        <v>2528</v>
      </c>
      <c r="B100" s="1301"/>
      <c r="C100" s="1301"/>
      <c r="D100" s="1301"/>
      <c r="E100" s="1301"/>
      <c r="F100" s="1301"/>
      <c r="G100" s="1301"/>
      <c r="H100" s="1301"/>
      <c r="I100" s="1301"/>
      <c r="J100" s="1301"/>
      <c r="K100" s="1301"/>
      <c r="L100" s="1301"/>
      <c r="M100" s="1301"/>
      <c r="N100" s="1301"/>
      <c r="O100" s="1301"/>
      <c r="P100" s="1301"/>
      <c r="Q100" s="1301"/>
      <c r="R100" s="1301"/>
      <c r="S100" s="1301"/>
      <c r="T100" s="1301"/>
      <c r="U100" s="1301"/>
      <c r="V100" s="1301"/>
      <c r="W100" s="1301"/>
      <c r="X100" s="1301"/>
      <c r="Y100" s="1301"/>
      <c r="Z100" s="1301"/>
      <c r="AA100" s="1301"/>
      <c r="AB100" s="1301"/>
      <c r="AC100" s="1301"/>
      <c r="AD100" s="1301"/>
      <c r="AE100" s="1301"/>
      <c r="AF100" s="1301"/>
      <c r="AG100" s="1301"/>
      <c r="AH100" s="1301"/>
      <c r="AI100" s="1301"/>
      <c r="AJ100" s="1301"/>
      <c r="AK100" s="1301"/>
      <c r="AL100" s="1301"/>
      <c r="AM100" s="1301"/>
      <c r="AN100" s="1301"/>
      <c r="AO100" s="1301"/>
      <c r="AP100" s="1301"/>
      <c r="AQ100" s="1301"/>
      <c r="AR100" s="1301"/>
      <c r="AS100" s="1301"/>
      <c r="AT100" s="1301"/>
      <c r="AU100" s="20"/>
      <c r="AV100" s="20"/>
      <c r="AW100" s="20"/>
      <c r="AX100" s="20"/>
      <c r="AY100" s="20"/>
      <c r="AZ100" s="20"/>
    </row>
    <row r="101" spans="1:52" ht="12.95" customHeight="1">
      <c r="A101" s="1301"/>
      <c r="B101" s="1301"/>
      <c r="C101" s="1301"/>
      <c r="D101" s="1301"/>
      <c r="E101" s="1301"/>
      <c r="F101" s="1301"/>
      <c r="G101" s="1301"/>
      <c r="H101" s="1301"/>
      <c r="I101" s="1301"/>
      <c r="J101" s="1301"/>
      <c r="K101" s="1301"/>
      <c r="L101" s="1301"/>
      <c r="M101" s="1301"/>
      <c r="N101" s="1301"/>
      <c r="O101" s="1301"/>
      <c r="P101" s="1301"/>
      <c r="Q101" s="1301"/>
      <c r="R101" s="1301"/>
      <c r="S101" s="1301"/>
      <c r="T101" s="1301"/>
      <c r="U101" s="1301"/>
      <c r="V101" s="1301"/>
      <c r="W101" s="1301"/>
      <c r="X101" s="1301"/>
      <c r="Y101" s="1301"/>
      <c r="Z101" s="1301"/>
      <c r="AA101" s="1301"/>
      <c r="AB101" s="1301"/>
      <c r="AC101" s="1301"/>
      <c r="AD101" s="1301"/>
      <c r="AE101" s="1301"/>
      <c r="AF101" s="1301"/>
      <c r="AG101" s="1301"/>
      <c r="AH101" s="1301"/>
      <c r="AI101" s="1301"/>
      <c r="AJ101" s="1301"/>
      <c r="AK101" s="1301"/>
      <c r="AL101" s="1301"/>
      <c r="AM101" s="1301"/>
      <c r="AN101" s="1301"/>
      <c r="AO101" s="1301"/>
      <c r="AP101" s="1301"/>
      <c r="AQ101" s="1301"/>
      <c r="AR101" s="1301"/>
      <c r="AS101" s="1301"/>
      <c r="AT101" s="1301"/>
      <c r="AU101" s="20"/>
      <c r="AV101" s="20"/>
      <c r="AW101" s="20"/>
      <c r="AX101" s="20"/>
      <c r="AY101" s="20"/>
      <c r="AZ101" s="20"/>
    </row>
    <row r="102" spans="1:52" ht="12.95" customHeight="1">
      <c r="A102" s="1301"/>
      <c r="B102" s="1301"/>
      <c r="C102" s="1301"/>
      <c r="D102" s="1301"/>
      <c r="E102" s="1301"/>
      <c r="F102" s="1301"/>
      <c r="G102" s="1301"/>
      <c r="H102" s="1301"/>
      <c r="I102" s="1301"/>
      <c r="J102" s="1301"/>
      <c r="K102" s="1301"/>
      <c r="L102" s="1301"/>
      <c r="M102" s="1301"/>
      <c r="N102" s="1301"/>
      <c r="O102" s="1301"/>
      <c r="P102" s="1301"/>
      <c r="Q102" s="1301"/>
      <c r="R102" s="1301"/>
      <c r="S102" s="1301"/>
      <c r="T102" s="1301"/>
      <c r="U102" s="1301"/>
      <c r="V102" s="1301"/>
      <c r="W102" s="1301"/>
      <c r="X102" s="1301"/>
      <c r="Y102" s="1301"/>
      <c r="Z102" s="1301"/>
      <c r="AA102" s="1301"/>
      <c r="AB102" s="1301"/>
      <c r="AC102" s="1301"/>
      <c r="AD102" s="1301"/>
      <c r="AE102" s="1301"/>
      <c r="AF102" s="1301"/>
      <c r="AG102" s="1301"/>
      <c r="AH102" s="1301"/>
      <c r="AI102" s="1301"/>
      <c r="AJ102" s="1301"/>
      <c r="AK102" s="1301"/>
      <c r="AL102" s="1301"/>
      <c r="AM102" s="1301"/>
      <c r="AN102" s="1301"/>
      <c r="AO102" s="1301"/>
      <c r="AP102" s="1301"/>
      <c r="AQ102" s="1301"/>
      <c r="AR102" s="1301"/>
      <c r="AS102" s="1301"/>
      <c r="AT102" s="1301"/>
      <c r="AU102" s="20"/>
      <c r="AV102" s="20"/>
      <c r="AW102" s="20"/>
      <c r="AX102" s="20"/>
      <c r="AY102" s="20"/>
      <c r="AZ102" s="20"/>
    </row>
    <row r="103" spans="1:52" ht="12.95" customHeight="1">
      <c r="A103" s="1301"/>
      <c r="B103" s="1301"/>
      <c r="C103" s="1301"/>
      <c r="D103" s="1301"/>
      <c r="E103" s="1301"/>
      <c r="F103" s="1301"/>
      <c r="G103" s="1301"/>
      <c r="H103" s="1301"/>
      <c r="I103" s="1301"/>
      <c r="J103" s="1301"/>
      <c r="K103" s="1301"/>
      <c r="L103" s="1301"/>
      <c r="M103" s="1301"/>
      <c r="N103" s="1301"/>
      <c r="O103" s="1301"/>
      <c r="P103" s="1301"/>
      <c r="Q103" s="1301"/>
      <c r="R103" s="1301"/>
      <c r="S103" s="1301"/>
      <c r="T103" s="1301"/>
      <c r="U103" s="1301"/>
      <c r="V103" s="1301"/>
      <c r="W103" s="1301"/>
      <c r="X103" s="1301"/>
      <c r="Y103" s="1301"/>
      <c r="Z103" s="1301"/>
      <c r="AA103" s="1301"/>
      <c r="AB103" s="1301"/>
      <c r="AC103" s="1301"/>
      <c r="AD103" s="1301"/>
      <c r="AE103" s="1301"/>
      <c r="AF103" s="1301"/>
      <c r="AG103" s="1301"/>
      <c r="AH103" s="1301"/>
      <c r="AI103" s="1301"/>
      <c r="AJ103" s="1301"/>
      <c r="AK103" s="1301"/>
      <c r="AL103" s="1301"/>
      <c r="AM103" s="1301"/>
      <c r="AN103" s="1301"/>
      <c r="AO103" s="1301"/>
      <c r="AP103" s="1301"/>
      <c r="AQ103" s="1301"/>
      <c r="AR103" s="1301"/>
      <c r="AS103" s="1301"/>
      <c r="AT103" s="1301"/>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1" t="s">
        <v>2529</v>
      </c>
      <c r="B105" s="1301"/>
      <c r="C105" s="1301"/>
      <c r="D105" s="1301"/>
      <c r="E105" s="1301"/>
      <c r="F105" s="1301"/>
      <c r="G105" s="1301"/>
      <c r="H105" s="1301"/>
      <c r="I105" s="1301"/>
      <c r="J105" s="1301"/>
      <c r="K105" s="1301"/>
      <c r="L105" s="1301"/>
      <c r="M105" s="1301"/>
      <c r="N105" s="1301"/>
      <c r="O105" s="1301"/>
      <c r="P105" s="1301"/>
      <c r="Q105" s="1301"/>
      <c r="R105" s="1301"/>
      <c r="S105" s="1301"/>
      <c r="T105" s="1301"/>
      <c r="U105" s="1301"/>
      <c r="V105" s="1301"/>
      <c r="W105" s="1301"/>
      <c r="X105" s="1301"/>
      <c r="Y105" s="1301"/>
      <c r="Z105" s="1301"/>
      <c r="AA105" s="1301"/>
      <c r="AB105" s="1301"/>
      <c r="AC105" s="1301"/>
      <c r="AD105" s="1301"/>
      <c r="AE105" s="1301"/>
      <c r="AF105" s="1301"/>
      <c r="AG105" s="1301"/>
      <c r="AH105" s="1301"/>
      <c r="AI105" s="1301"/>
      <c r="AJ105" s="1301"/>
      <c r="AK105" s="1301"/>
      <c r="AL105" s="1301"/>
      <c r="AM105" s="1301"/>
      <c r="AN105" s="1301"/>
      <c r="AO105" s="1301"/>
      <c r="AP105" s="1301"/>
      <c r="AQ105" s="1301"/>
      <c r="AR105" s="1301"/>
      <c r="AS105" s="1301"/>
      <c r="AT105" s="1301"/>
      <c r="AU105" s="20"/>
      <c r="AV105" s="20"/>
      <c r="AW105" s="20"/>
      <c r="AX105" s="20"/>
      <c r="AY105" s="20"/>
    </row>
    <row r="106" spans="1:52" ht="12.95" customHeight="1">
      <c r="A106" s="1301"/>
      <c r="B106" s="1301"/>
      <c r="C106" s="1301"/>
      <c r="D106" s="1301"/>
      <c r="E106" s="1301"/>
      <c r="F106" s="1301"/>
      <c r="G106" s="1301"/>
      <c r="H106" s="1301"/>
      <c r="I106" s="1301"/>
      <c r="J106" s="1301"/>
      <c r="K106" s="1301"/>
      <c r="L106" s="1301"/>
      <c r="M106" s="1301"/>
      <c r="N106" s="1301"/>
      <c r="O106" s="1301"/>
      <c r="P106" s="1301"/>
      <c r="Q106" s="1301"/>
      <c r="R106" s="1301"/>
      <c r="S106" s="1301"/>
      <c r="T106" s="1301"/>
      <c r="U106" s="1301"/>
      <c r="V106" s="1301"/>
      <c r="W106" s="1301"/>
      <c r="X106" s="1301"/>
      <c r="Y106" s="1301"/>
      <c r="Z106" s="1301"/>
      <c r="AA106" s="1301"/>
      <c r="AB106" s="1301"/>
      <c r="AC106" s="1301"/>
      <c r="AD106" s="1301"/>
      <c r="AE106" s="1301"/>
      <c r="AF106" s="1301"/>
      <c r="AG106" s="1301"/>
      <c r="AH106" s="1301"/>
      <c r="AI106" s="1301"/>
      <c r="AJ106" s="1301"/>
      <c r="AK106" s="1301"/>
      <c r="AL106" s="1301"/>
      <c r="AM106" s="1301"/>
      <c r="AN106" s="1301"/>
      <c r="AO106" s="1301"/>
      <c r="AP106" s="1301"/>
      <c r="AQ106" s="1301"/>
      <c r="AR106" s="1301"/>
      <c r="AS106" s="1301"/>
      <c r="AT106" s="1301"/>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2530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797"/>
      <c r="H113" s="1797"/>
      <c r="I113" s="3" t="s">
        <v>182</v>
      </c>
      <c r="L113" s="1797"/>
      <c r="M113" s="1797"/>
      <c r="N113" s="1797"/>
      <c r="O113" s="1797"/>
      <c r="P113" s="1800" t="s">
        <v>2531</v>
      </c>
      <c r="Q113" s="1800"/>
      <c r="R113" s="1800"/>
      <c r="S113" s="1800"/>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05"/>
      <c r="D115" s="1805"/>
      <c r="E115" s="1805"/>
      <c r="F115" s="1805"/>
      <c r="G115" s="1805"/>
      <c r="H115" s="1805"/>
      <c r="I115" s="1805"/>
      <c r="J115" s="1805"/>
      <c r="K115" s="1805"/>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797"/>
      <c r="Z117" s="1797"/>
      <c r="AA117" s="1797"/>
      <c r="AB117" s="1797"/>
      <c r="AC117" s="1797"/>
      <c r="AD117" s="1797"/>
      <c r="AE117" s="1797"/>
      <c r="AF117" s="1797"/>
      <c r="AG117" s="1797"/>
      <c r="AH117" s="1797"/>
      <c r="AI117" s="1797"/>
      <c r="AJ117" s="1797"/>
      <c r="AK117" s="1797"/>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797" t="s">
        <v>2742</v>
      </c>
      <c r="Z120" s="1797"/>
      <c r="AA120" s="1797"/>
      <c r="AB120" s="1797"/>
      <c r="AC120" s="1797"/>
      <c r="AD120" s="1797"/>
      <c r="AE120" s="1797"/>
      <c r="AF120" s="1797"/>
      <c r="AG120" s="1797"/>
      <c r="AH120" s="1797"/>
      <c r="AI120" s="1797"/>
      <c r="AJ120" s="1797"/>
      <c r="AK120" s="1797"/>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32.25" customHeight="1">
      <c r="A123" s="3"/>
      <c r="B123" s="3"/>
      <c r="T123" s="3"/>
      <c r="U123" s="3"/>
      <c r="V123" s="3"/>
      <c r="W123" s="3"/>
      <c r="X123" s="3"/>
      <c r="Y123" s="1799" t="s">
        <v>2814</v>
      </c>
      <c r="Z123" s="1797"/>
      <c r="AA123" s="1797"/>
      <c r="AB123" s="1797"/>
      <c r="AC123" s="1797"/>
      <c r="AD123" s="1797"/>
      <c r="AE123" s="1797"/>
      <c r="AF123" s="1797"/>
      <c r="AG123" s="1797"/>
      <c r="AH123" s="1797"/>
      <c r="AI123" s="1797"/>
      <c r="AJ123" s="1797"/>
      <c r="AK123" s="1797"/>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5"/>
      <c r="G150" s="1305"/>
      <c r="H150" s="1305"/>
      <c r="I150" s="1305"/>
      <c r="J150" s="1305"/>
      <c r="K150" s="1305"/>
      <c r="L150" s="1305"/>
      <c r="M150" s="1305"/>
      <c r="N150" s="1305"/>
      <c r="O150" s="1305"/>
      <c r="P150" s="1305"/>
      <c r="Q150" s="1305"/>
      <c r="R150" s="1305"/>
      <c r="S150" s="1305"/>
      <c r="T150" s="13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427" t="s">
        <v>2639</v>
      </c>
      <c r="P153" s="1428"/>
      <c r="Q153" s="1428"/>
      <c r="R153" s="1428"/>
      <c r="S153" s="1428"/>
      <c r="T153" s="1428"/>
      <c r="U153" s="1428"/>
      <c r="V153" s="1428"/>
      <c r="W153" s="1428"/>
      <c r="X153" s="1428"/>
      <c r="Y153" s="1428"/>
      <c r="Z153" s="1428"/>
      <c r="AA153" s="1428"/>
      <c r="AB153" s="1428"/>
      <c r="AC153" s="1428"/>
      <c r="AD153" s="1428"/>
      <c r="AE153" s="1428"/>
      <c r="AF153" s="1428"/>
      <c r="AG153" s="1428"/>
      <c r="AH153" s="1428"/>
    </row>
    <row r="154" spans="1:72" ht="12.95" customHeight="1">
      <c r="D154" s="325" t="s">
        <v>442</v>
      </c>
      <c r="O154" s="1582" t="s">
        <v>2697</v>
      </c>
      <c r="P154" s="1455"/>
      <c r="Q154" s="1455"/>
      <c r="R154" s="1455"/>
      <c r="S154" s="1455"/>
      <c r="T154" s="1455"/>
      <c r="U154" s="1455"/>
      <c r="V154" s="1455"/>
      <c r="W154" s="1455"/>
      <c r="X154" s="1455"/>
      <c r="Y154" s="1455"/>
      <c r="Z154" s="1455"/>
      <c r="AA154" s="1455"/>
      <c r="AB154" s="1455"/>
      <c r="AC154" s="1455"/>
      <c r="AD154" s="1455"/>
      <c r="AE154" s="1455"/>
      <c r="AF154" s="1455"/>
      <c r="AG154" s="1455"/>
      <c r="AH154" s="1455"/>
    </row>
    <row r="155" spans="1:72" ht="12.95" customHeight="1">
      <c r="D155" s="8" t="s">
        <v>443</v>
      </c>
      <c r="F155" s="8"/>
      <c r="G155" s="8"/>
      <c r="H155" s="8"/>
      <c r="I155" s="8"/>
      <c r="J155" s="8"/>
      <c r="K155" s="8"/>
      <c r="L155" s="8"/>
      <c r="M155" s="8"/>
      <c r="N155" s="8"/>
      <c r="O155" s="1785" t="s">
        <v>2698</v>
      </c>
      <c r="P155" s="1786"/>
      <c r="Q155" s="1786"/>
      <c r="R155" s="1786"/>
      <c r="S155" s="1786"/>
      <c r="T155" s="1786"/>
      <c r="U155" s="1786"/>
      <c r="V155" s="1786"/>
      <c r="W155" s="1786"/>
      <c r="X155" s="1786"/>
      <c r="Y155" s="1786"/>
      <c r="Z155" s="1786"/>
      <c r="AA155" s="1786"/>
      <c r="AB155" s="1786"/>
      <c r="AC155" s="1786"/>
      <c r="AD155" s="1786"/>
      <c r="AE155" s="1786"/>
      <c r="AF155" s="1786"/>
      <c r="AG155" s="1786"/>
      <c r="AH155" s="1786"/>
    </row>
    <row r="156" spans="1:72" ht="12.95" customHeight="1">
      <c r="D156" t="s">
        <v>314</v>
      </c>
      <c r="O156" s="1378" t="s">
        <v>2699</v>
      </c>
      <c r="P156" s="1378"/>
      <c r="Q156" s="1378"/>
      <c r="R156" s="1378"/>
      <c r="S156" s="1378"/>
      <c r="T156" s="1378"/>
      <c r="U156" s="1378"/>
      <c r="V156" s="1378"/>
      <c r="W156" s="1378"/>
      <c r="X156" s="1378"/>
      <c r="Y156" s="1378"/>
      <c r="Z156" s="1378"/>
      <c r="AA156" s="1378"/>
      <c r="AB156" s="1378"/>
      <c r="AC156" s="1378"/>
      <c r="AD156" s="1378"/>
      <c r="AE156" s="1378"/>
      <c r="AF156" s="1378"/>
      <c r="AG156" s="1378"/>
      <c r="AH156" s="1378"/>
      <c r="BT156" t="s">
        <v>308</v>
      </c>
    </row>
    <row r="157" spans="1:72" ht="12.95" customHeight="1">
      <c r="D157" t="s">
        <v>315</v>
      </c>
      <c r="O157" s="1427" t="s">
        <v>2640</v>
      </c>
      <c r="P157" s="1428"/>
      <c r="Q157" s="1428"/>
      <c r="R157" s="1428"/>
      <c r="S157" s="1428"/>
      <c r="T157" s="1428"/>
      <c r="U157" s="1428"/>
      <c r="V157" s="1428"/>
      <c r="W157" s="1428"/>
      <c r="X157" s="1428"/>
      <c r="Y157" s="8"/>
      <c r="Z157" s="8"/>
      <c r="AA157" s="8"/>
      <c r="AB157" s="8"/>
      <c r="AC157" s="8"/>
      <c r="AD157" s="8"/>
      <c r="AE157" s="8"/>
      <c r="AF157" s="8"/>
      <c r="BN157" s="23" t="s">
        <v>644</v>
      </c>
      <c r="BT157" t="s">
        <v>484</v>
      </c>
    </row>
    <row r="158" spans="1:72" ht="12.95" customHeight="1">
      <c r="D158" t="s">
        <v>316</v>
      </c>
      <c r="O158" s="1787">
        <v>95113</v>
      </c>
      <c r="P158" s="1787"/>
      <c r="Q158" s="1787"/>
      <c r="R158" s="1787"/>
      <c r="S158" s="9"/>
      <c r="T158" s="9"/>
      <c r="U158" s="9"/>
      <c r="V158" s="9"/>
      <c r="W158" s="9"/>
      <c r="X158" s="9"/>
      <c r="Y158" s="9"/>
      <c r="Z158" s="9"/>
      <c r="AA158" s="9"/>
      <c r="AB158" s="9"/>
      <c r="AC158" s="9"/>
      <c r="AD158" s="9"/>
      <c r="AE158" s="9"/>
      <c r="AF158" s="9"/>
      <c r="BN158" s="23" t="s">
        <v>645</v>
      </c>
      <c r="BT158" t="s">
        <v>485</v>
      </c>
    </row>
    <row r="159" spans="1:72" ht="12.95" customHeight="1">
      <c r="D159" t="s">
        <v>317</v>
      </c>
      <c r="O159" s="1789" t="s">
        <v>2700</v>
      </c>
      <c r="P159" s="1789"/>
      <c r="Q159" s="1789"/>
      <c r="R159" s="1789"/>
      <c r="S159" s="1789"/>
      <c r="T159" s="1789"/>
      <c r="V159" s="97" t="s">
        <v>272</v>
      </c>
      <c r="W159" s="1788"/>
      <c r="X159" s="1788"/>
      <c r="Y159" s="10"/>
      <c r="Z159" s="10"/>
      <c r="AA159" s="10"/>
      <c r="AB159" s="10"/>
      <c r="AC159" s="10"/>
      <c r="AD159" s="10"/>
      <c r="AE159" s="10"/>
      <c r="AF159" s="10"/>
      <c r="BN159" s="23" t="s">
        <v>340</v>
      </c>
      <c r="BT159" t="s">
        <v>486</v>
      </c>
    </row>
    <row r="160" spans="1:72" ht="12.95" customHeight="1">
      <c r="D160" t="s">
        <v>318</v>
      </c>
      <c r="O160" s="1789" t="s">
        <v>2701</v>
      </c>
      <c r="P160" s="1789"/>
      <c r="Q160" s="1789"/>
      <c r="R160" s="1789"/>
      <c r="S160" s="1789"/>
      <c r="T160" s="1789"/>
      <c r="U160" s="10"/>
      <c r="V160" s="10"/>
      <c r="W160" s="10"/>
      <c r="X160" s="10"/>
      <c r="Y160" s="10"/>
      <c r="Z160" s="10"/>
      <c r="AA160" s="10"/>
      <c r="AB160" s="10"/>
      <c r="AC160" s="10"/>
      <c r="AD160" s="10"/>
      <c r="AE160" s="10"/>
      <c r="AF160" s="10"/>
      <c r="BN160" s="23" t="s">
        <v>668</v>
      </c>
      <c r="BT160" t="s">
        <v>487</v>
      </c>
    </row>
    <row r="161" spans="1:72" ht="12.95" customHeight="1">
      <c r="D161" t="s">
        <v>319</v>
      </c>
      <c r="O161" s="1775" t="s">
        <v>2702</v>
      </c>
      <c r="P161" s="1775"/>
      <c r="Q161" s="1775"/>
      <c r="R161" s="1775"/>
      <c r="S161" s="1775"/>
      <c r="T161" s="1775"/>
      <c r="U161" s="1775"/>
      <c r="V161" s="1775"/>
      <c r="W161" s="1775"/>
      <c r="X161" s="1775"/>
      <c r="Y161" s="1775"/>
      <c r="Z161" s="1775"/>
      <c r="AA161" s="1775"/>
      <c r="AB161" s="1775"/>
      <c r="AC161" s="1775"/>
      <c r="AD161" s="1775"/>
      <c r="AE161" s="1775"/>
      <c r="AF161" s="1775"/>
      <c r="AG161" s="1775"/>
      <c r="AH161" s="1775"/>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806" t="s">
        <v>2626</v>
      </c>
      <c r="E164" s="1806"/>
      <c r="F164" s="1806"/>
      <c r="G164" s="1806"/>
      <c r="H164" s="1806"/>
      <c r="I164" s="1806"/>
      <c r="J164" s="1806"/>
      <c r="K164" s="1806"/>
      <c r="L164" s="1806"/>
      <c r="M164" s="1806"/>
      <c r="N164" s="1806"/>
      <c r="O164" s="1806"/>
      <c r="P164" s="1806"/>
      <c r="Q164" s="1806"/>
      <c r="R164" s="1806"/>
      <c r="S164" s="1806"/>
      <c r="T164" s="1806"/>
      <c r="U164" s="1806"/>
      <c r="V164" s="1806"/>
      <c r="W164" s="1806"/>
      <c r="X164" s="1806"/>
      <c r="Y164" s="1806"/>
      <c r="Z164" s="1806"/>
      <c r="AA164" s="1806"/>
      <c r="AB164" s="1806"/>
      <c r="AC164" s="1806"/>
      <c r="AD164" s="1806"/>
      <c r="AE164" s="1806"/>
      <c r="AF164" s="1806"/>
      <c r="AG164" s="1806"/>
      <c r="AH164" s="1806"/>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456" t="s">
        <v>547</v>
      </c>
      <c r="B169" s="1456"/>
      <c r="C169" s="1456"/>
      <c r="D169" s="1456"/>
      <c r="E169" s="1456"/>
      <c r="F169" s="1456"/>
      <c r="G169" s="1456"/>
      <c r="H169" s="1456"/>
      <c r="I169" s="1456"/>
      <c r="J169" s="1456"/>
      <c r="K169" s="1456"/>
      <c r="L169" s="1456"/>
      <c r="M169" s="1456"/>
      <c r="N169" s="1456"/>
      <c r="O169" s="1456"/>
      <c r="P169" s="1456"/>
      <c r="Q169" s="1456"/>
      <c r="R169" s="1456"/>
      <c r="S169" s="1456"/>
      <c r="T169" s="1456"/>
      <c r="U169" s="1456"/>
      <c r="V169" s="1456"/>
      <c r="W169" s="1456"/>
      <c r="X169" s="1456"/>
      <c r="Y169" s="1456"/>
      <c r="Z169" s="1456"/>
      <c r="AA169" s="1456"/>
      <c r="AB169" s="1456"/>
      <c r="AC169" s="1456"/>
      <c r="AD169" s="1456"/>
      <c r="AE169" s="1456"/>
      <c r="AF169" s="1456"/>
      <c r="AG169" s="1456"/>
      <c r="AH169" s="1456"/>
      <c r="AI169" s="1456"/>
      <c r="AJ169" s="1456"/>
      <c r="AK169" s="1456"/>
      <c r="AL169" s="1456"/>
      <c r="AM169" s="1456"/>
      <c r="AN169" s="1456"/>
      <c r="AO169" s="1456"/>
      <c r="AP169" s="1456"/>
      <c r="AQ169" s="1456"/>
      <c r="AR169" s="1456"/>
      <c r="AS169" s="1456"/>
      <c r="AT169" s="1456"/>
      <c r="AU169" s="95"/>
      <c r="AV169" s="95"/>
      <c r="AW169" s="95"/>
      <c r="AX169" s="95"/>
      <c r="AY169" s="95"/>
      <c r="BN169" s="23" t="s">
        <v>681</v>
      </c>
      <c r="BT169" t="s">
        <v>496</v>
      </c>
    </row>
    <row r="170" spans="1:72" ht="12.95" customHeight="1">
      <c r="A170" s="1456"/>
      <c r="B170" s="1456"/>
      <c r="C170" s="1456"/>
      <c r="D170" s="1456"/>
      <c r="E170" s="1456"/>
      <c r="F170" s="1456"/>
      <c r="G170" s="1456"/>
      <c r="H170" s="1456"/>
      <c r="I170" s="1456"/>
      <c r="J170" s="1456"/>
      <c r="K170" s="1456"/>
      <c r="L170" s="1456"/>
      <c r="M170" s="1456"/>
      <c r="N170" s="1456"/>
      <c r="O170" s="1456"/>
      <c r="P170" s="1456"/>
      <c r="Q170" s="1456"/>
      <c r="R170" s="1456"/>
      <c r="S170" s="1456"/>
      <c r="T170" s="1456"/>
      <c r="U170" s="1456"/>
      <c r="V170" s="1456"/>
      <c r="W170" s="1456"/>
      <c r="X170" s="1456"/>
      <c r="Y170" s="1456"/>
      <c r="Z170" s="1456"/>
      <c r="AA170" s="1456"/>
      <c r="AB170" s="1456"/>
      <c r="AC170" s="1456"/>
      <c r="AD170" s="1456"/>
      <c r="AE170" s="1456"/>
      <c r="AF170" s="1456"/>
      <c r="AG170" s="1456"/>
      <c r="AH170" s="1456"/>
      <c r="AI170" s="1456"/>
      <c r="AJ170" s="1456"/>
      <c r="AK170" s="1456"/>
      <c r="AL170" s="1456"/>
      <c r="AM170" s="1456"/>
      <c r="AN170" s="1456"/>
      <c r="AO170" s="1456"/>
      <c r="AP170" s="1456"/>
      <c r="AQ170" s="1456"/>
      <c r="AR170" s="1456"/>
      <c r="AS170" s="1456"/>
      <c r="AT170" s="1456"/>
      <c r="AU170" s="95"/>
      <c r="AV170" s="95"/>
      <c r="AW170" s="95"/>
      <c r="AX170" s="95"/>
      <c r="AY170" s="95"/>
      <c r="BN170" s="23" t="s">
        <v>682</v>
      </c>
      <c r="BT170" t="s">
        <v>497</v>
      </c>
    </row>
    <row r="171" spans="1:72" ht="12.95" customHeight="1">
      <c r="BN171" s="23" t="s">
        <v>212</v>
      </c>
      <c r="BT171" t="s">
        <v>498</v>
      </c>
    </row>
    <row r="172" spans="1:72" ht="12.95" customHeight="1">
      <c r="A172" s="2" t="s">
        <v>320</v>
      </c>
      <c r="C172" s="2" t="s">
        <v>321</v>
      </c>
      <c r="BN172" s="23" t="s">
        <v>214</v>
      </c>
      <c r="BT172" t="s">
        <v>499</v>
      </c>
    </row>
    <row r="173" spans="1:72" ht="12.95" customHeight="1">
      <c r="C173" s="24"/>
      <c r="D173" t="s">
        <v>322</v>
      </c>
      <c r="J173" s="1784" t="s">
        <v>372</v>
      </c>
      <c r="K173" s="1784"/>
      <c r="L173" s="1784"/>
      <c r="M173" s="1784"/>
      <c r="N173" s="1784"/>
      <c r="O173" s="1784"/>
      <c r="P173" s="1784"/>
      <c r="Q173" s="1784"/>
      <c r="R173" s="1784"/>
      <c r="S173" s="1784"/>
      <c r="U173" s="25"/>
      <c r="X173" s="25"/>
      <c r="BB173" s="3" t="s">
        <v>308</v>
      </c>
      <c r="BN173" s="23" t="s">
        <v>215</v>
      </c>
      <c r="BT173" t="s">
        <v>500</v>
      </c>
    </row>
    <row r="174" spans="1:72" ht="12.95" customHeight="1">
      <c r="C174" s="24"/>
      <c r="D174" s="3" t="s">
        <v>1308</v>
      </c>
      <c r="J174" s="1378" t="s">
        <v>2421</v>
      </c>
      <c r="K174" s="1378"/>
      <c r="L174" s="1378"/>
      <c r="M174" s="1378"/>
      <c r="N174" s="1378"/>
      <c r="O174" s="1378"/>
      <c r="P174" s="1378"/>
      <c r="Q174" s="1378"/>
      <c r="R174" s="1378"/>
      <c r="S174" s="1378"/>
      <c r="T174" s="1378"/>
      <c r="U174" s="1378"/>
      <c r="V174" s="1378"/>
      <c r="W174" s="1378"/>
      <c r="X174" s="1378"/>
      <c r="Y174" s="1378"/>
      <c r="Z174" s="1378"/>
      <c r="AA174" s="1378"/>
      <c r="AB174" s="1378"/>
      <c r="BB174" t="s">
        <v>2274</v>
      </c>
      <c r="BN174" s="23" t="s">
        <v>217</v>
      </c>
      <c r="BT174" t="s">
        <v>501</v>
      </c>
    </row>
    <row r="175" spans="1:72" ht="12.95" customHeight="1">
      <c r="C175" s="8"/>
      <c r="D175" s="3" t="s">
        <v>323</v>
      </c>
      <c r="O175" s="27"/>
      <c r="U175" s="1430" t="s">
        <v>677</v>
      </c>
      <c r="V175" s="1430"/>
      <c r="BB175" t="s">
        <v>2238</v>
      </c>
      <c r="BN175" s="23" t="s">
        <v>218</v>
      </c>
      <c r="BT175" t="s">
        <v>502</v>
      </c>
    </row>
    <row r="176" spans="1:72" ht="12.95" customHeight="1">
      <c r="C176" s="8"/>
      <c r="D176" s="26"/>
      <c r="E176" t="s">
        <v>305</v>
      </c>
      <c r="O176" s="27"/>
      <c r="P176" t="s">
        <v>2396</v>
      </c>
      <c r="T176" s="27" t="s">
        <v>306</v>
      </c>
      <c r="U176" s="1449"/>
      <c r="V176" s="1449"/>
      <c r="W176" s="1" t="s">
        <v>307</v>
      </c>
      <c r="X176" s="1794"/>
      <c r="Y176" s="1794"/>
      <c r="BB176" t="s">
        <v>2275</v>
      </c>
      <c r="BN176" s="23" t="s">
        <v>220</v>
      </c>
      <c r="BT176" t="s">
        <v>503</v>
      </c>
    </row>
    <row r="177" spans="1:72" ht="12.95" customHeight="1">
      <c r="C177" s="24"/>
      <c r="D177" t="s">
        <v>250</v>
      </c>
      <c r="R177" s="1430" t="s">
        <v>677</v>
      </c>
      <c r="S177" s="1430"/>
      <c r="BB177" t="s">
        <v>2580</v>
      </c>
      <c r="BN177" s="23" t="s">
        <v>221</v>
      </c>
      <c r="BT177" t="s">
        <v>504</v>
      </c>
    </row>
    <row r="178" spans="1:72" ht="12.95" customHeight="1">
      <c r="C178" s="24"/>
      <c r="D178" s="3" t="s">
        <v>1309</v>
      </c>
      <c r="AA178" t="s">
        <v>2396</v>
      </c>
      <c r="AE178" s="27" t="s">
        <v>306</v>
      </c>
      <c r="AF178" s="1808"/>
      <c r="AG178" s="1808"/>
      <c r="AH178" s="1" t="s">
        <v>307</v>
      </c>
      <c r="AI178" s="1704"/>
      <c r="AJ178" s="1704"/>
      <c r="AK178" s="1704"/>
      <c r="BB178" t="s">
        <v>2581</v>
      </c>
      <c r="BN178" s="23" t="s">
        <v>222</v>
      </c>
      <c r="BT178" t="s">
        <v>53</v>
      </c>
    </row>
    <row r="179" spans="1:72" ht="12.95" customHeight="1">
      <c r="C179" s="24"/>
      <c r="BN179" s="23" t="s">
        <v>223</v>
      </c>
      <c r="BT179" t="s">
        <v>54</v>
      </c>
    </row>
    <row r="180" spans="1:72" ht="12.95" customHeight="1">
      <c r="C180" s="24"/>
      <c r="D180" t="s">
        <v>2397</v>
      </c>
      <c r="X180" s="1430"/>
      <c r="Y180" s="1430"/>
      <c r="BN180" s="23" t="s">
        <v>225</v>
      </c>
      <c r="BT180" t="s">
        <v>55</v>
      </c>
    </row>
    <row r="181" spans="1:72" ht="12.95" customHeight="1">
      <c r="C181" s="8"/>
      <c r="E181" s="4" t="s">
        <v>995</v>
      </c>
      <c r="BN181" s="23" t="s">
        <v>226</v>
      </c>
      <c r="BT181" t="s">
        <v>56</v>
      </c>
    </row>
    <row r="182" spans="1:72" ht="12.95" customHeight="1">
      <c r="C182" s="564"/>
      <c r="BN182" s="23" t="s">
        <v>227</v>
      </c>
      <c r="BT182" t="s">
        <v>60</v>
      </c>
    </row>
    <row r="183" spans="1:72" ht="12.95" customHeight="1">
      <c r="A183" s="2" t="s">
        <v>584</v>
      </c>
      <c r="C183" s="2" t="s">
        <v>585</v>
      </c>
      <c r="BN183" s="23" t="s">
        <v>229</v>
      </c>
      <c r="BT183" t="s">
        <v>61</v>
      </c>
    </row>
    <row r="184" spans="1:72" ht="12.95" customHeight="1">
      <c r="C184" s="21"/>
      <c r="D184" t="s">
        <v>586</v>
      </c>
      <c r="I184" s="1457" t="str">
        <f>H18</f>
        <v>525 N Capitol</v>
      </c>
      <c r="J184" s="1457"/>
      <c r="K184" s="1457"/>
      <c r="L184" s="1457"/>
      <c r="M184" s="1457"/>
      <c r="N184" s="1457"/>
      <c r="O184" s="1457"/>
      <c r="P184" s="1457"/>
      <c r="Q184" s="1457"/>
      <c r="R184" s="1457"/>
      <c r="S184" s="1457"/>
      <c r="T184" s="1457"/>
      <c r="U184" s="1457"/>
      <c r="V184" s="1457"/>
      <c r="W184" s="1457"/>
      <c r="X184" s="1457"/>
      <c r="Y184" s="1457"/>
      <c r="Z184" s="1457"/>
      <c r="AA184" s="1457"/>
      <c r="AB184" s="1457"/>
      <c r="AC184" s="1457"/>
      <c r="AD184" s="1457"/>
      <c r="AE184" s="1457"/>
      <c r="BC184" t="s">
        <v>595</v>
      </c>
      <c r="BN184" s="23" t="s">
        <v>231</v>
      </c>
      <c r="BT184" t="s">
        <v>62</v>
      </c>
    </row>
    <row r="185" spans="1:72" ht="12.95" customHeight="1">
      <c r="C185" s="21"/>
      <c r="D185" t="s">
        <v>587</v>
      </c>
      <c r="I185" s="1434" t="s">
        <v>2641</v>
      </c>
      <c r="J185" s="1434"/>
      <c r="K185" s="1434"/>
      <c r="L185" s="1434"/>
      <c r="M185" s="1434"/>
      <c r="N185" s="1434"/>
      <c r="O185" s="1434"/>
      <c r="P185" s="1434"/>
      <c r="Q185" s="1434"/>
      <c r="R185" s="1434"/>
      <c r="S185" s="1434"/>
      <c r="T185" s="1434"/>
      <c r="U185" s="1434"/>
      <c r="V185" s="1434"/>
      <c r="W185" s="1434"/>
      <c r="X185" s="1434"/>
      <c r="Y185" s="1434"/>
      <c r="Z185" s="1434"/>
      <c r="AA185" s="1434"/>
      <c r="AB185" s="1434"/>
      <c r="AC185" s="1434"/>
      <c r="AD185" s="1434"/>
      <c r="AE185" s="1434"/>
      <c r="BC185" t="s">
        <v>596</v>
      </c>
      <c r="BN185" s="23" t="s">
        <v>232</v>
      </c>
      <c r="BT185" t="s">
        <v>63</v>
      </c>
    </row>
    <row r="186" spans="1:72" ht="12.95" customHeight="1">
      <c r="C186" s="21"/>
      <c r="E186" t="s">
        <v>168</v>
      </c>
      <c r="BN186" s="23" t="s">
        <v>233</v>
      </c>
      <c r="BT186" t="s">
        <v>64</v>
      </c>
    </row>
    <row r="187" spans="1:72" ht="12.95" customHeight="1">
      <c r="C187" s="21"/>
      <c r="E187" s="1802"/>
      <c r="F187" s="1802"/>
      <c r="G187" s="1802"/>
      <c r="H187" s="1802"/>
      <c r="I187" s="1802"/>
      <c r="J187" s="1802"/>
      <c r="K187" s="1802"/>
      <c r="L187" s="1802"/>
      <c r="M187" s="1802"/>
      <c r="N187" s="1802"/>
      <c r="O187" s="1802"/>
      <c r="P187" s="1802"/>
      <c r="Q187" s="1802"/>
      <c r="R187" s="1802"/>
      <c r="S187" s="1802"/>
      <c r="T187" s="1802"/>
      <c r="U187" s="1802"/>
      <c r="V187" s="1802"/>
      <c r="W187" s="1802"/>
      <c r="X187" s="1802"/>
      <c r="Y187" s="1802"/>
      <c r="Z187" s="1802"/>
      <c r="AA187" s="1802"/>
      <c r="AB187" s="1802"/>
      <c r="AC187" s="1802"/>
      <c r="AD187" s="1802"/>
      <c r="AE187" s="1802"/>
      <c r="BN187" s="23" t="s">
        <v>234</v>
      </c>
      <c r="BT187" t="s">
        <v>65</v>
      </c>
    </row>
    <row r="188" spans="1:72" ht="12.95" customHeight="1">
      <c r="C188" s="21"/>
      <c r="E188" s="1803"/>
      <c r="F188" s="1803"/>
      <c r="G188" s="1803"/>
      <c r="H188" s="1803"/>
      <c r="I188" s="1803"/>
      <c r="J188" s="1803"/>
      <c r="K188" s="1803"/>
      <c r="L188" s="1803"/>
      <c r="M188" s="1803"/>
      <c r="N188" s="1803"/>
      <c r="O188" s="1803"/>
      <c r="P188" s="1803"/>
      <c r="Q188" s="1803"/>
      <c r="R188" s="1803"/>
      <c r="S188" s="1803"/>
      <c r="T188" s="1803"/>
      <c r="U188" s="1803"/>
      <c r="V188" s="1803"/>
      <c r="W188" s="1803"/>
      <c r="X188" s="1803"/>
      <c r="Y188" s="1803"/>
      <c r="Z188" s="1803"/>
      <c r="AA188" s="1803"/>
      <c r="AB188" s="1803"/>
      <c r="AC188" s="1803"/>
      <c r="AD188" s="1803"/>
      <c r="AE188" s="1803"/>
      <c r="BN188" s="23" t="s">
        <v>236</v>
      </c>
      <c r="BT188" t="s">
        <v>66</v>
      </c>
    </row>
    <row r="189" spans="1:72" ht="12.95" customHeight="1">
      <c r="C189" s="21"/>
      <c r="D189" t="s">
        <v>588</v>
      </c>
      <c r="I189" s="1378" t="s">
        <v>2640</v>
      </c>
      <c r="J189" s="1378"/>
      <c r="K189" s="1378"/>
      <c r="L189" s="1378"/>
      <c r="M189" s="1378"/>
      <c r="N189" s="1378"/>
      <c r="O189" s="1378"/>
      <c r="P189" s="1378"/>
      <c r="Q189" t="s">
        <v>590</v>
      </c>
      <c r="T189" s="1378" t="s">
        <v>193</v>
      </c>
      <c r="U189" s="1378"/>
      <c r="V189" s="1378"/>
      <c r="W189" s="1378"/>
      <c r="X189" s="1378"/>
      <c r="Y189" s="1378"/>
      <c r="Z189" s="1378"/>
      <c r="AA189" s="1378"/>
      <c r="AB189" s="1378"/>
      <c r="AC189" s="1378"/>
      <c r="AD189" s="1378"/>
      <c r="AE189" s="1378"/>
      <c r="BC189" t="s">
        <v>308</v>
      </c>
      <c r="BH189" s="3" t="s">
        <v>599</v>
      </c>
      <c r="BN189" s="23" t="s">
        <v>237</v>
      </c>
      <c r="BT189" t="s">
        <v>67</v>
      </c>
    </row>
    <row r="190" spans="1:72" ht="12.95" customHeight="1">
      <c r="C190" s="21"/>
      <c r="D190" t="s">
        <v>591</v>
      </c>
      <c r="I190" s="1434">
        <v>95133</v>
      </c>
      <c r="J190" s="1434"/>
      <c r="K190" s="1434"/>
      <c r="L190" s="1434"/>
      <c r="M190" s="1434"/>
      <c r="N190" s="1434"/>
      <c r="O190" t="s">
        <v>593</v>
      </c>
      <c r="T190" s="1798">
        <v>5038</v>
      </c>
      <c r="U190" s="1798"/>
      <c r="V190" s="1798"/>
      <c r="W190" s="1798"/>
      <c r="X190" s="1798"/>
      <c r="Y190" s="1798"/>
      <c r="Z190" s="1798"/>
      <c r="AA190" s="1798"/>
      <c r="AB190" s="1798"/>
      <c r="AC190" s="1798"/>
      <c r="AD190" s="1798"/>
      <c r="AE190" s="1798"/>
      <c r="BC190" t="s">
        <v>1065</v>
      </c>
      <c r="BH190" t="s">
        <v>1065</v>
      </c>
      <c r="BN190" s="23" t="s">
        <v>643</v>
      </c>
      <c r="BT190" t="s">
        <v>68</v>
      </c>
    </row>
    <row r="191" spans="1:72" ht="12.95" customHeight="1">
      <c r="C191" s="21"/>
      <c r="D191" t="s">
        <v>470</v>
      </c>
      <c r="N191" s="1801" t="s">
        <v>2642</v>
      </c>
      <c r="O191" s="1802"/>
      <c r="P191" s="1802"/>
      <c r="Q191" s="1802"/>
      <c r="R191" s="1802"/>
      <c r="S191" s="1802"/>
      <c r="T191" s="1802"/>
      <c r="U191" s="1802"/>
      <c r="V191" s="1802"/>
      <c r="W191" s="1802"/>
      <c r="X191" s="1802"/>
      <c r="Y191" s="1802"/>
      <c r="Z191" s="1802"/>
      <c r="AA191" s="1802"/>
      <c r="AB191" s="1802"/>
      <c r="AC191" s="1802"/>
      <c r="AD191" s="1802"/>
      <c r="AE191" s="1802"/>
      <c r="BC191" t="s">
        <v>1064</v>
      </c>
      <c r="BH191" t="s">
        <v>1064</v>
      </c>
      <c r="BN191" s="23" t="s">
        <v>697</v>
      </c>
      <c r="BT191" t="s">
        <v>736</v>
      </c>
    </row>
    <row r="192" spans="1:72" ht="12.95" customHeight="1">
      <c r="C192" s="21"/>
      <c r="M192" s="40"/>
      <c r="N192" s="1803"/>
      <c r="O192" s="1803"/>
      <c r="P192" s="1803"/>
      <c r="Q192" s="1803"/>
      <c r="R192" s="1803"/>
      <c r="S192" s="1803"/>
      <c r="T192" s="1803"/>
      <c r="U192" s="1803"/>
      <c r="V192" s="1803"/>
      <c r="W192" s="1803"/>
      <c r="X192" s="1803"/>
      <c r="Y192" s="1803"/>
      <c r="Z192" s="1803"/>
      <c r="AA192" s="1803"/>
      <c r="AB192" s="1803"/>
      <c r="AC192" s="1803"/>
      <c r="AD192" s="1803"/>
      <c r="AE192" s="1803"/>
      <c r="BC192" t="s">
        <v>1067</v>
      </c>
      <c r="BH192" s="3" t="s">
        <v>1475</v>
      </c>
      <c r="BN192" s="23" t="s">
        <v>698</v>
      </c>
      <c r="BT192" t="s">
        <v>737</v>
      </c>
    </row>
    <row r="193" spans="1:74" ht="12.95" customHeight="1">
      <c r="C193" s="21"/>
      <c r="D193" t="s">
        <v>2398</v>
      </c>
      <c r="M193" s="40"/>
      <c r="N193" s="928"/>
      <c r="O193" s="928"/>
      <c r="P193" s="928"/>
      <c r="Q193" s="928"/>
      <c r="R193" s="928"/>
      <c r="S193" s="928"/>
      <c r="T193" s="1783" t="s">
        <v>2580</v>
      </c>
      <c r="U193" s="1783"/>
      <c r="V193" s="1783"/>
      <c r="W193" s="1783"/>
      <c r="X193" s="1783"/>
      <c r="Y193" s="1783"/>
      <c r="Z193" s="1783"/>
      <c r="AA193" s="1783"/>
      <c r="AB193" s="1783"/>
      <c r="AC193" s="1783"/>
      <c r="AD193" s="1783"/>
      <c r="AE193" s="1783"/>
      <c r="AF193" s="1783"/>
      <c r="AG193" s="1783"/>
      <c r="AH193" s="1783"/>
      <c r="AI193" s="1783"/>
      <c r="BC193" t="s">
        <v>1066</v>
      </c>
      <c r="BH193" s="3" t="s">
        <v>1742</v>
      </c>
      <c r="BN193" s="23" t="s">
        <v>699</v>
      </c>
      <c r="BT193" t="s">
        <v>738</v>
      </c>
    </row>
    <row r="194" spans="1:74" ht="12.95" customHeight="1">
      <c r="C194" s="21"/>
      <c r="D194" s="3" t="s">
        <v>2582</v>
      </c>
      <c r="M194" s="40"/>
      <c r="N194" s="928"/>
      <c r="O194" s="928"/>
      <c r="P194" s="928"/>
      <c r="Q194" s="928"/>
      <c r="R194" s="928"/>
      <c r="S194" s="928"/>
      <c r="AH194" s="1430" t="s">
        <v>677</v>
      </c>
      <c r="AI194" s="1430"/>
      <c r="BC194" t="s">
        <v>1475</v>
      </c>
      <c r="BN194" s="23" t="s">
        <v>700</v>
      </c>
      <c r="BT194" t="s">
        <v>739</v>
      </c>
    </row>
    <row r="195" spans="1:74" ht="12.95" customHeight="1">
      <c r="C195" s="21"/>
      <c r="D195" t="s">
        <v>332</v>
      </c>
      <c r="T195" s="1430" t="s">
        <v>677</v>
      </c>
      <c r="U195" s="1430"/>
      <c r="W195" t="s">
        <v>693</v>
      </c>
      <c r="AH195" s="1430">
        <v>17</v>
      </c>
      <c r="AI195" s="1430"/>
      <c r="BC195" t="s">
        <v>2048</v>
      </c>
      <c r="BN195" s="23" t="s">
        <v>243</v>
      </c>
      <c r="BT195" t="s">
        <v>740</v>
      </c>
    </row>
    <row r="196" spans="1:74" ht="12.95" customHeight="1">
      <c r="C196" s="21"/>
      <c r="D196" t="s">
        <v>387</v>
      </c>
      <c r="T196" s="1442" t="s">
        <v>677</v>
      </c>
      <c r="U196" s="1442"/>
      <c r="W196" t="s">
        <v>694</v>
      </c>
      <c r="AH196" s="1430">
        <v>24</v>
      </c>
      <c r="AI196" s="1430"/>
      <c r="BN196" s="23" t="s">
        <v>244</v>
      </c>
      <c r="BT196" t="s">
        <v>69</v>
      </c>
    </row>
    <row r="197" spans="1:74" ht="12.95" customHeight="1">
      <c r="C197" s="21"/>
      <c r="D197" s="3" t="s">
        <v>169</v>
      </c>
      <c r="T197" s="1442" t="s">
        <v>677</v>
      </c>
      <c r="U197" s="1442"/>
      <c r="W197" t="s">
        <v>695</v>
      </c>
      <c r="AH197" s="1430">
        <v>15</v>
      </c>
      <c r="AI197" s="1430"/>
      <c r="BC197" t="s">
        <v>308</v>
      </c>
      <c r="BN197" s="23" t="s">
        <v>245</v>
      </c>
      <c r="BT197" t="s">
        <v>70</v>
      </c>
    </row>
    <row r="198" spans="1:74" s="14" customFormat="1" ht="12.95" customHeight="1">
      <c r="A198"/>
      <c r="B198"/>
      <c r="C198" s="21"/>
      <c r="D198" s="3" t="s">
        <v>1765</v>
      </c>
      <c r="E198"/>
      <c r="F198"/>
      <c r="G198"/>
      <c r="H198"/>
      <c r="I198"/>
      <c r="J198"/>
      <c r="K198"/>
      <c r="L198"/>
      <c r="M198"/>
      <c r="N198"/>
      <c r="O198"/>
      <c r="P198"/>
      <c r="Q198"/>
      <c r="R198"/>
      <c r="S198"/>
      <c r="T198" s="1442"/>
      <c r="U198" s="1442"/>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192</v>
      </c>
      <c r="BU198"/>
      <c r="BV198" s="31"/>
    </row>
    <row r="199" spans="1:74" s="14" customFormat="1" ht="12.95" customHeight="1">
      <c r="A199"/>
      <c r="B199"/>
      <c r="C199" s="21"/>
      <c r="D199" s="118" t="s">
        <v>2532</v>
      </c>
      <c r="E199"/>
      <c r="F199"/>
      <c r="G199"/>
      <c r="H199"/>
      <c r="I199"/>
      <c r="J199"/>
      <c r="K199"/>
      <c r="L199"/>
      <c r="M199"/>
      <c r="N199"/>
      <c r="O199"/>
      <c r="P199"/>
      <c r="Q199"/>
      <c r="R199"/>
      <c r="S199"/>
      <c r="T199"/>
      <c r="U199"/>
      <c r="V199"/>
      <c r="W199"/>
      <c r="Z199" s="1430" t="s">
        <v>677</v>
      </c>
      <c r="AA199" s="1430"/>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193</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194</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195</v>
      </c>
      <c r="BU201"/>
    </row>
    <row r="202" spans="1:74" ht="12.95" customHeight="1">
      <c r="C202" s="21"/>
      <c r="D202" s="546"/>
      <c r="BC202" t="s">
        <v>1091</v>
      </c>
      <c r="BD202" s="469"/>
      <c r="BN202" s="23" t="s">
        <v>710</v>
      </c>
      <c r="BO202" s="14"/>
      <c r="BP202" s="32"/>
      <c r="BQ202" s="32"/>
      <c r="BR202" s="32"/>
      <c r="BS202" s="32"/>
      <c r="BT202" s="32" t="s">
        <v>196</v>
      </c>
    </row>
    <row r="203" spans="1:74" ht="12.95" customHeight="1">
      <c r="A203" s="2" t="s">
        <v>594</v>
      </c>
      <c r="C203" s="2" t="s">
        <v>136</v>
      </c>
      <c r="BC203" t="s">
        <v>1092</v>
      </c>
      <c r="BN203" s="23" t="s">
        <v>711</v>
      </c>
      <c r="BO203" s="14"/>
      <c r="BP203" s="32"/>
      <c r="BQ203" s="32"/>
      <c r="BR203" s="32"/>
      <c r="BS203" s="32"/>
      <c r="BT203" s="32" t="s">
        <v>197</v>
      </c>
    </row>
    <row r="204" spans="1:74" ht="12.95" customHeight="1">
      <c r="D204" s="1457" t="s">
        <v>386</v>
      </c>
      <c r="E204" s="1457"/>
      <c r="F204" s="1457"/>
      <c r="G204" s="1457"/>
      <c r="H204" s="1457"/>
      <c r="I204" s="1457"/>
      <c r="J204" s="1457"/>
      <c r="K204" s="1457"/>
      <c r="L204" s="1457"/>
      <c r="M204" s="1457"/>
      <c r="P204" s="1807">
        <f>M26</f>
        <v>4426094</v>
      </c>
      <c r="Q204" s="1779"/>
      <c r="R204" s="1779"/>
      <c r="S204" s="1779"/>
      <c r="T204" s="1779"/>
      <c r="U204" s="1779"/>
      <c r="Z204" s="1777" t="s">
        <v>2630</v>
      </c>
      <c r="AA204" s="1777"/>
      <c r="AB204" s="1777"/>
      <c r="AC204" s="1777"/>
      <c r="AD204" s="1777"/>
      <c r="AE204" s="1777"/>
      <c r="AF204" s="1777"/>
      <c r="BC204" t="s">
        <v>618</v>
      </c>
      <c r="BN204" s="23" t="s">
        <v>712</v>
      </c>
      <c r="BT204" s="32" t="s">
        <v>198</v>
      </c>
      <c r="BU204" s="14"/>
    </row>
    <row r="205" spans="1:74" ht="12.95" customHeight="1">
      <c r="C205" s="21"/>
      <c r="D205" s="1776" t="s">
        <v>1355</v>
      </c>
      <c r="E205" s="1457"/>
      <c r="F205" s="1457"/>
      <c r="G205" s="1457"/>
      <c r="H205" s="1457"/>
      <c r="I205" s="1457"/>
      <c r="J205" s="1457"/>
      <c r="K205" s="1457"/>
      <c r="L205" s="1457"/>
      <c r="M205" s="1457"/>
      <c r="P205" s="1779">
        <f>M27</f>
        <v>5341726</v>
      </c>
      <c r="Q205" s="1779"/>
      <c r="R205" s="1779"/>
      <c r="S205" s="1779"/>
      <c r="T205" s="1779"/>
      <c r="U205" s="1779"/>
      <c r="V205" s="28"/>
      <c r="W205" s="3" t="s">
        <v>1910</v>
      </c>
      <c r="Z205" s="1777"/>
      <c r="AA205" s="1777"/>
      <c r="AB205" s="1777"/>
      <c r="AC205" s="1777"/>
      <c r="AD205" s="1777"/>
      <c r="AE205" s="1777"/>
      <c r="AF205" s="1777"/>
      <c r="AG205" t="s">
        <v>1356</v>
      </c>
      <c r="AP205" s="1430" t="s">
        <v>677</v>
      </c>
      <c r="AQ205" s="1430"/>
      <c r="BC205" t="s">
        <v>1050</v>
      </c>
      <c r="BN205" s="23" t="s">
        <v>109</v>
      </c>
      <c r="BT205" s="32" t="s">
        <v>174</v>
      </c>
      <c r="BU205" s="14"/>
    </row>
    <row r="206" spans="1:74" ht="12.95" customHeight="1">
      <c r="D206" s="29"/>
      <c r="E206" s="29"/>
      <c r="F206" s="29"/>
      <c r="G206" s="29"/>
      <c r="H206" s="29"/>
      <c r="I206" s="29"/>
      <c r="J206" s="29"/>
      <c r="K206" s="29"/>
      <c r="L206" s="29"/>
      <c r="M206" s="29"/>
      <c r="N206" s="29"/>
      <c r="O206" s="29"/>
      <c r="P206" s="29"/>
      <c r="Z206" s="1778"/>
      <c r="AA206" s="1778"/>
      <c r="AB206" s="1778"/>
      <c r="AC206" s="1778"/>
      <c r="AD206" s="1778"/>
      <c r="AE206" s="1778"/>
      <c r="AF206" s="1778"/>
      <c r="BC206" s="470" t="s">
        <v>1093</v>
      </c>
      <c r="BN206" s="23" t="s">
        <v>110</v>
      </c>
      <c r="BT206" s="32" t="s">
        <v>199</v>
      </c>
      <c r="BU206" s="14"/>
    </row>
    <row r="207" spans="1:74" ht="12.95" customHeight="1">
      <c r="A207" s="2" t="s">
        <v>597</v>
      </c>
      <c r="C207" s="2" t="s">
        <v>559</v>
      </c>
      <c r="BC207" s="3" t="s">
        <v>2572</v>
      </c>
      <c r="BN207" s="23" t="s">
        <v>45</v>
      </c>
      <c r="BT207" s="32" t="s">
        <v>200</v>
      </c>
    </row>
    <row r="208" spans="1:74" ht="12.95" customHeight="1">
      <c r="C208" s="21"/>
      <c r="D208" s="1428" t="s">
        <v>2643</v>
      </c>
      <c r="E208" s="1428"/>
      <c r="F208" s="1428"/>
      <c r="G208" s="1428"/>
      <c r="H208" s="1428"/>
      <c r="I208" s="1428"/>
      <c r="J208" s="1428"/>
      <c r="K208" s="1428"/>
      <c r="L208" s="1428"/>
      <c r="M208" s="1428"/>
      <c r="BC208" t="s">
        <v>1094</v>
      </c>
      <c r="BN208" s="23" t="s">
        <v>46</v>
      </c>
      <c r="BT208" s="32" t="s">
        <v>201</v>
      </c>
    </row>
    <row r="209" spans="1:72" ht="12.95" customHeight="1">
      <c r="BC209" t="s">
        <v>667</v>
      </c>
      <c r="BN209" s="23" t="s">
        <v>47</v>
      </c>
      <c r="BT209" s="32" t="s">
        <v>202</v>
      </c>
    </row>
    <row r="210" spans="1:72" ht="12.95" customHeight="1">
      <c r="A210" s="2" t="s">
        <v>598</v>
      </c>
      <c r="C210" s="2" t="s">
        <v>389</v>
      </c>
      <c r="BN210" s="23" t="s">
        <v>48</v>
      </c>
      <c r="BT210" s="32" t="s">
        <v>203</v>
      </c>
    </row>
    <row r="211" spans="1:72" ht="12.95" customHeight="1">
      <c r="C211" s="21"/>
      <c r="D211" s="1428" t="s">
        <v>2048</v>
      </c>
      <c r="E211" s="1428"/>
      <c r="F211" s="1428"/>
      <c r="G211" s="1428"/>
      <c r="H211" s="1428"/>
      <c r="I211" s="1428"/>
      <c r="J211" s="1428"/>
      <c r="K211" s="1428"/>
      <c r="L211" s="1428"/>
      <c r="M211" s="1428"/>
      <c r="BN211" s="23" t="s">
        <v>129</v>
      </c>
      <c r="BT211" s="32" t="s">
        <v>130</v>
      </c>
    </row>
    <row r="212" spans="1:72" ht="12.95" customHeight="1">
      <c r="C212" s="21"/>
      <c r="D212" t="s">
        <v>1352</v>
      </c>
      <c r="Y212" s="1430"/>
      <c r="Z212" s="1430"/>
      <c r="AB212" s="1781">
        <f>IFERROR(Y212/AG440,"")</f>
        <v>0</v>
      </c>
      <c r="AC212" s="1782"/>
      <c r="BC212" t="s">
        <v>308</v>
      </c>
      <c r="BI212" t="s">
        <v>1290</v>
      </c>
      <c r="BN212" s="23" t="s">
        <v>49</v>
      </c>
      <c r="BT212" s="32" t="s">
        <v>204</v>
      </c>
    </row>
    <row r="213" spans="1:72" ht="12.95" customHeight="1">
      <c r="D213" s="1189" t="s">
        <v>1741</v>
      </c>
      <c r="BC213" t="s">
        <v>534</v>
      </c>
      <c r="BI213" t="s">
        <v>2630</v>
      </c>
      <c r="BN213" s="23" t="s">
        <v>50</v>
      </c>
      <c r="BT213" s="32" t="s">
        <v>205</v>
      </c>
    </row>
    <row r="214" spans="1:72" ht="12.95" customHeight="1">
      <c r="D214" s="1796" t="s">
        <v>599</v>
      </c>
      <c r="E214" s="1796"/>
      <c r="F214" s="1796"/>
      <c r="G214" s="1796"/>
      <c r="H214" s="1796"/>
      <c r="I214" s="1796"/>
      <c r="J214" s="1796"/>
      <c r="K214" s="1796"/>
      <c r="L214" s="1796"/>
      <c r="M214" s="1796"/>
      <c r="N214" s="1796"/>
      <c r="O214" s="1796"/>
      <c r="P214" s="1796"/>
      <c r="Q214" s="1796"/>
      <c r="R214" s="1796"/>
      <c r="S214" s="1796"/>
      <c r="T214" s="1796"/>
      <c r="U214" s="1796"/>
      <c r="V214" s="1796"/>
      <c r="W214" s="1796"/>
      <c r="X214" s="1796"/>
      <c r="Y214" s="1796"/>
      <c r="Z214" s="1796"/>
      <c r="AU214" s="21"/>
      <c r="AV214" s="21"/>
      <c r="AW214" s="21"/>
      <c r="AX214" s="21"/>
      <c r="AY214" s="21"/>
      <c r="BC214" t="s">
        <v>538</v>
      </c>
      <c r="BI214" t="s">
        <v>2636</v>
      </c>
      <c r="BN214" s="23" t="s">
        <v>327</v>
      </c>
      <c r="BT214" s="32" t="s">
        <v>206</v>
      </c>
    </row>
    <row r="215" spans="1:72" ht="12.95" customHeight="1">
      <c r="D215" s="3" t="s">
        <v>1766</v>
      </c>
      <c r="Z215" s="40"/>
      <c r="AB215" s="1795"/>
      <c r="AC215" s="1795"/>
      <c r="AD215" s="1795"/>
      <c r="AE215" s="1795"/>
      <c r="AF215" s="1795"/>
      <c r="AG215" s="1795"/>
      <c r="AH215" s="1795"/>
      <c r="AI215" s="1795"/>
      <c r="AJ215" s="1795"/>
      <c r="AK215" s="1795"/>
      <c r="AL215" s="1795"/>
      <c r="AM215" s="21"/>
      <c r="AN215" s="21"/>
      <c r="AO215" s="21"/>
      <c r="AP215" s="21"/>
      <c r="AQ215" s="21"/>
      <c r="AR215" s="21"/>
      <c r="AS215" s="21"/>
      <c r="AT215" s="21"/>
      <c r="AU215" s="21"/>
      <c r="AV215" s="21"/>
      <c r="AW215" s="21"/>
      <c r="AX215" s="21"/>
      <c r="AY215" s="21"/>
      <c r="BC215" t="s">
        <v>535</v>
      </c>
      <c r="BI215" t="s">
        <v>2631</v>
      </c>
    </row>
    <row r="216" spans="1:72" ht="12.95" customHeight="1">
      <c r="D216" s="3" t="s">
        <v>1764</v>
      </c>
      <c r="Z216" s="40"/>
      <c r="AB216" s="1795"/>
      <c r="AC216" s="1795"/>
      <c r="AD216" s="1795"/>
      <c r="AE216" s="1795"/>
      <c r="AF216" s="1795"/>
      <c r="AG216" s="1795"/>
      <c r="AH216" s="1795"/>
      <c r="AI216" s="1795"/>
      <c r="AJ216" s="1795"/>
      <c r="AK216" s="1795"/>
      <c r="AL216" s="1795"/>
      <c r="AM216" s="21"/>
      <c r="AN216" s="21"/>
      <c r="AO216" s="21"/>
      <c r="AP216" s="21"/>
      <c r="AQ216" s="21"/>
      <c r="AR216" s="21"/>
      <c r="AS216" s="21"/>
      <c r="AT216" s="21"/>
      <c r="AU216" s="21"/>
      <c r="AV216" s="21"/>
      <c r="AW216" s="21"/>
      <c r="AX216" s="21"/>
      <c r="AY216" s="21"/>
      <c r="BC216" t="s">
        <v>574</v>
      </c>
      <c r="BI216" t="s">
        <v>2632</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2.95" customHeight="1">
      <c r="A218" s="2" t="s">
        <v>600</v>
      </c>
      <c r="C218" s="2" t="s">
        <v>1328</v>
      </c>
      <c r="D218" s="28"/>
      <c r="BC218" t="s">
        <v>537</v>
      </c>
    </row>
    <row r="219" spans="1:72" ht="12.95" customHeight="1">
      <c r="A219" s="2"/>
      <c r="C219" s="2"/>
      <c r="D219" s="4" t="s">
        <v>1008</v>
      </c>
      <c r="AZ219" s="3"/>
      <c r="BA219" s="3"/>
      <c r="BC219" t="s">
        <v>378</v>
      </c>
    </row>
    <row r="220" spans="1:72" ht="12.95" customHeight="1">
      <c r="A220" s="2"/>
      <c r="C220" s="2"/>
      <c r="D220" s="1428" t="s">
        <v>1050</v>
      </c>
      <c r="E220" s="1428"/>
      <c r="F220" s="1428"/>
      <c r="G220" s="1428"/>
      <c r="H220" s="1428"/>
      <c r="I220" s="1428"/>
      <c r="J220" s="1428"/>
      <c r="K220" s="1428"/>
      <c r="L220" s="1428"/>
      <c r="M220" s="1428"/>
      <c r="N220" s="1428"/>
      <c r="O220" s="1428"/>
      <c r="P220" s="1428"/>
      <c r="Q220" s="1428"/>
      <c r="R220" s="1428"/>
      <c r="S220" s="1428"/>
      <c r="T220" s="1428"/>
      <c r="U220" s="1428"/>
      <c r="V220" s="1428"/>
      <c r="W220" s="1428"/>
      <c r="X220" s="1428"/>
      <c r="Y220" s="1428"/>
      <c r="Z220" s="1428"/>
      <c r="BA220" s="3"/>
      <c r="BC220" t="s">
        <v>301</v>
      </c>
    </row>
    <row r="221" spans="1:72" ht="12.95" customHeight="1">
      <c r="A221" s="2"/>
      <c r="B221" s="14"/>
      <c r="C221" s="2"/>
      <c r="AU221" s="95"/>
      <c r="AV221" s="95"/>
      <c r="AW221" s="95"/>
      <c r="AX221" s="95"/>
      <c r="AY221" s="95"/>
      <c r="BA221" s="3"/>
    </row>
    <row r="222" spans="1:72" ht="12.95" customHeight="1">
      <c r="A222" s="1456" t="s">
        <v>548</v>
      </c>
      <c r="B222" s="1456"/>
      <c r="C222" s="1456"/>
      <c r="D222" s="1456"/>
      <c r="E222" s="1456"/>
      <c r="F222" s="1456"/>
      <c r="G222" s="1456"/>
      <c r="H222" s="1456"/>
      <c r="I222" s="1456"/>
      <c r="J222" s="1456"/>
      <c r="K222" s="1456"/>
      <c r="L222" s="1456"/>
      <c r="M222" s="1456"/>
      <c r="N222" s="1456"/>
      <c r="O222" s="1456"/>
      <c r="P222" s="1456"/>
      <c r="Q222" s="1456"/>
      <c r="R222" s="1456"/>
      <c r="S222" s="1456"/>
      <c r="T222" s="1456"/>
      <c r="U222" s="1456"/>
      <c r="V222" s="1456"/>
      <c r="W222" s="1456"/>
      <c r="X222" s="1456"/>
      <c r="Y222" s="1456"/>
      <c r="Z222" s="1456"/>
      <c r="AA222" s="1456"/>
      <c r="AB222" s="1456"/>
      <c r="AC222" s="1456"/>
      <c r="AD222" s="1456"/>
      <c r="AE222" s="1456"/>
      <c r="AF222" s="1456"/>
      <c r="AG222" s="1456"/>
      <c r="AH222" s="1456"/>
      <c r="AI222" s="1456"/>
      <c r="AJ222" s="1456"/>
      <c r="AK222" s="1456"/>
      <c r="AL222" s="1456"/>
      <c r="AM222" s="1456"/>
      <c r="AN222" s="1456"/>
      <c r="AO222" s="1456"/>
      <c r="AP222" s="1456"/>
      <c r="AQ222" s="1456"/>
      <c r="AR222" s="1456"/>
      <c r="AS222" s="1456"/>
      <c r="AT222" s="1456"/>
      <c r="AU222" s="95"/>
      <c r="AV222" s="95"/>
      <c r="AW222" s="95"/>
      <c r="AX222" s="95"/>
      <c r="AY222" s="95"/>
      <c r="AZ222" s="3"/>
      <c r="BA222" s="3"/>
      <c r="BP222" s="34"/>
    </row>
    <row r="223" spans="1:72" ht="12.95" customHeight="1">
      <c r="A223" s="1456"/>
      <c r="B223" s="1456"/>
      <c r="C223" s="1456"/>
      <c r="D223" s="1456"/>
      <c r="E223" s="1456"/>
      <c r="F223" s="1456"/>
      <c r="G223" s="1456"/>
      <c r="H223" s="1456"/>
      <c r="I223" s="1456"/>
      <c r="J223" s="1456"/>
      <c r="K223" s="1456"/>
      <c r="L223" s="1456"/>
      <c r="M223" s="1456"/>
      <c r="N223" s="1456"/>
      <c r="O223" s="1456"/>
      <c r="P223" s="1456"/>
      <c r="Q223" s="1456"/>
      <c r="R223" s="1456"/>
      <c r="S223" s="1456"/>
      <c r="T223" s="1456"/>
      <c r="U223" s="1456"/>
      <c r="V223" s="1456"/>
      <c r="W223" s="1456"/>
      <c r="X223" s="1456"/>
      <c r="Y223" s="1456"/>
      <c r="Z223" s="1456"/>
      <c r="AA223" s="1456"/>
      <c r="AB223" s="1456"/>
      <c r="AC223" s="1456"/>
      <c r="AD223" s="1456"/>
      <c r="AE223" s="1456"/>
      <c r="AF223" s="1456"/>
      <c r="AG223" s="1456"/>
      <c r="AH223" s="1456"/>
      <c r="AI223" s="1456"/>
      <c r="AJ223" s="1456"/>
      <c r="AK223" s="1456"/>
      <c r="AL223" s="1456"/>
      <c r="AM223" s="1456"/>
      <c r="AN223" s="1456"/>
      <c r="AO223" s="1456"/>
      <c r="AP223" s="1456"/>
      <c r="AQ223" s="1456"/>
      <c r="AR223" s="1456"/>
      <c r="AS223" s="1456"/>
      <c r="AT223" s="1456"/>
      <c r="BA223" s="3"/>
      <c r="BB223" s="3"/>
      <c r="BQ223" s="34"/>
    </row>
    <row r="224" spans="1:72" ht="12.95" customHeight="1">
      <c r="AZ224" s="4"/>
      <c r="BA224" s="3"/>
      <c r="BB224" s="3"/>
      <c r="BQ224" s="34"/>
    </row>
    <row r="225" spans="1:69" ht="12.95" customHeight="1">
      <c r="A225" s="2" t="s">
        <v>320</v>
      </c>
      <c r="B225" s="2"/>
      <c r="C225" s="2" t="s">
        <v>2399</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30" t="s">
        <v>553</v>
      </c>
      <c r="AJ226" s="1430"/>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30" t="s">
        <v>599</v>
      </c>
      <c r="AJ227" s="1430"/>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30" t="s">
        <v>599</v>
      </c>
      <c r="AJ228" s="1430"/>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30" t="s">
        <v>599</v>
      </c>
      <c r="AJ229" s="1430"/>
      <c r="AL229" s="3"/>
      <c r="AM229" s="3"/>
      <c r="AN229" s="3"/>
      <c r="AO229" s="3"/>
      <c r="AP229" s="3"/>
      <c r="AQ229" s="3"/>
      <c r="AR229" s="3"/>
      <c r="AS229" s="3"/>
      <c r="AT229" s="3"/>
      <c r="AU229" s="3"/>
      <c r="AV229" s="3"/>
      <c r="AW229" s="3"/>
      <c r="AX229" s="3"/>
      <c r="AY229" s="3"/>
      <c r="BA229" s="3"/>
      <c r="BB229" s="218" t="s">
        <v>546</v>
      </c>
      <c r="BG229" s="259">
        <f>IF(AND(AND($M$249="for profit",$M$257="nonprofit",$M$265="(select one)")),2,0)</f>
        <v>2</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2.95" customHeight="1">
      <c r="A231" s="2" t="s">
        <v>584</v>
      </c>
      <c r="B231" s="4"/>
      <c r="C231" s="2" t="s">
        <v>2400</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809" t="str">
        <f>H16</f>
        <v>525 Capitol LP</v>
      </c>
      <c r="N232" s="1809"/>
      <c r="O232" s="1809"/>
      <c r="P232" s="1809"/>
      <c r="Q232" s="1809"/>
      <c r="R232" s="1809"/>
      <c r="S232" s="1809"/>
      <c r="T232" s="1809"/>
      <c r="U232" s="1809"/>
      <c r="V232" s="1809"/>
      <c r="W232" s="1809"/>
      <c r="X232" s="1809"/>
      <c r="Y232" s="1809"/>
      <c r="Z232" s="1809"/>
      <c r="AA232" s="1809"/>
      <c r="AB232" s="1809"/>
      <c r="AC232" s="1809"/>
      <c r="AD232" s="1809"/>
      <c r="AE232" s="1809"/>
      <c r="AF232" s="1809"/>
      <c r="AG232" s="1809"/>
      <c r="AH232" s="1809"/>
      <c r="AI232" s="1809"/>
      <c r="AJ232" s="1809"/>
      <c r="AK232" s="1809"/>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1428" t="s">
        <v>2645</v>
      </c>
      <c r="N233" s="1428"/>
      <c r="O233" s="1428"/>
      <c r="P233" s="1428"/>
      <c r="Q233" s="1428"/>
      <c r="R233" s="1428"/>
      <c r="S233" s="1428"/>
      <c r="T233" s="1428"/>
      <c r="U233" s="1428"/>
      <c r="V233" s="1428"/>
      <c r="W233" s="1428"/>
      <c r="X233" s="1428"/>
      <c r="Y233" s="1428"/>
      <c r="Z233" s="1428"/>
      <c r="AA233" s="1428"/>
      <c r="AB233" s="1428"/>
      <c r="AC233" s="1428"/>
      <c r="AD233" s="1428"/>
      <c r="AE233" s="1428"/>
      <c r="BB233" s="219" t="s">
        <v>546</v>
      </c>
      <c r="BG233" s="259">
        <f>IF(AND(AND($M$249="nonprofit",$M$257="for profit",$M$265="nonprofit")),2,0)</f>
        <v>0</v>
      </c>
    </row>
    <row r="234" spans="1:69" ht="12.95" customHeight="1">
      <c r="D234" s="4" t="s">
        <v>588</v>
      </c>
      <c r="E234" s="4"/>
      <c r="M234" s="1428" t="s">
        <v>2646</v>
      </c>
      <c r="N234" s="1428"/>
      <c r="O234" s="1428"/>
      <c r="P234" s="1428"/>
      <c r="Q234" s="1428"/>
      <c r="R234" s="1428"/>
      <c r="S234" s="1428"/>
      <c r="T234" s="1428"/>
      <c r="V234" s="33" t="s">
        <v>86</v>
      </c>
      <c r="W234" s="1582" t="s">
        <v>2647</v>
      </c>
      <c r="X234" s="1455"/>
      <c r="Y234" s="4" t="s">
        <v>591</v>
      </c>
      <c r="AC234" s="1428">
        <v>92663</v>
      </c>
      <c r="AD234" s="1428"/>
      <c r="AE234" s="1428"/>
      <c r="AU234" s="4"/>
      <c r="AV234" s="4"/>
      <c r="AW234" s="4"/>
      <c r="AX234" s="4"/>
      <c r="AY234" s="4"/>
      <c r="AZ234" s="4"/>
      <c r="BB234" s="219" t="s">
        <v>546</v>
      </c>
      <c r="BG234" s="258">
        <f>IF(AND(AND($M$249="for profit",$M$257="nonprofit",$M$265="nonprofit")),2,0)</f>
        <v>0</v>
      </c>
      <c r="BO234" s="34"/>
    </row>
    <row r="235" spans="1:69" ht="12.95" customHeight="1">
      <c r="D235" s="4" t="s">
        <v>87</v>
      </c>
      <c r="E235" s="4"/>
      <c r="F235" s="4"/>
      <c r="G235" s="4"/>
      <c r="H235" s="4"/>
      <c r="I235" s="4"/>
      <c r="J235" s="4"/>
      <c r="K235" s="19"/>
      <c r="M235" s="1427" t="s">
        <v>2648</v>
      </c>
      <c r="N235" s="1428"/>
      <c r="O235" s="1428"/>
      <c r="P235" s="1428"/>
      <c r="Q235" s="1428"/>
      <c r="R235" s="1428"/>
      <c r="S235" s="1428"/>
      <c r="T235" s="1428"/>
      <c r="U235" s="1428"/>
      <c r="V235" s="1428"/>
      <c r="W235" s="1428"/>
      <c r="X235" s="1428"/>
      <c r="Y235" s="1428"/>
      <c r="Z235" s="1428"/>
      <c r="AA235" s="1428"/>
      <c r="AB235" s="1428"/>
      <c r="AC235" s="1428"/>
      <c r="AD235" s="1428"/>
      <c r="AE235" s="1428"/>
      <c r="AI235" s="4"/>
      <c r="AJ235" s="4"/>
      <c r="AK235" s="4"/>
      <c r="AL235" s="4"/>
      <c r="AM235" s="4"/>
      <c r="AN235" s="4"/>
      <c r="AO235" s="4"/>
      <c r="AP235" s="4"/>
      <c r="AQ235" s="4"/>
      <c r="AR235" s="4"/>
      <c r="AS235" s="4"/>
      <c r="AT235" s="4"/>
      <c r="BB235" s="219"/>
      <c r="BG235" s="218"/>
    </row>
    <row r="236" spans="1:69" ht="12.95" customHeight="1">
      <c r="D236" s="4" t="s">
        <v>88</v>
      </c>
      <c r="E236" s="4"/>
      <c r="F236" s="4"/>
      <c r="M236" s="1676" t="s">
        <v>2649</v>
      </c>
      <c r="N236" s="1379"/>
      <c r="O236" s="1379"/>
      <c r="P236" s="1379"/>
      <c r="Q236" s="1379"/>
      <c r="R236" s="1379"/>
      <c r="S236" s="4" t="s">
        <v>207</v>
      </c>
      <c r="T236" s="4"/>
      <c r="U236" s="1455"/>
      <c r="V236" s="1455"/>
      <c r="W236" s="1455"/>
      <c r="X236" s="4" t="s">
        <v>89</v>
      </c>
      <c r="Z236" s="1379"/>
      <c r="AA236" s="1379"/>
      <c r="AB236" s="1379"/>
      <c r="AC236" s="1379"/>
      <c r="AD236" s="1379"/>
      <c r="AE236" s="1379"/>
      <c r="AU236" s="4"/>
      <c r="AV236" s="4"/>
      <c r="AW236" s="4"/>
      <c r="AX236" s="4"/>
      <c r="AY236" s="4"/>
      <c r="AZ236" s="4"/>
      <c r="BB236" s="218" t="s">
        <v>545</v>
      </c>
      <c r="BG236" s="259">
        <f>IF(AND(AND($M$249="nonprofit",$M$257="nonprofit",$M$265="(select one)")),1,0)</f>
        <v>0</v>
      </c>
    </row>
    <row r="237" spans="1:69" ht="12.95" customHeight="1">
      <c r="D237" s="4" t="s">
        <v>90</v>
      </c>
      <c r="E237" s="4"/>
      <c r="F237" s="4"/>
      <c r="M237" s="1775" t="s">
        <v>2650</v>
      </c>
      <c r="N237" s="1775"/>
      <c r="O237" s="1775"/>
      <c r="P237" s="1775"/>
      <c r="Q237" s="1775"/>
      <c r="R237" s="1775"/>
      <c r="S237" s="1775"/>
      <c r="T237" s="1775"/>
      <c r="U237" s="1775"/>
      <c r="V237" s="1775"/>
      <c r="W237" s="1775"/>
      <c r="X237" s="1775"/>
      <c r="Y237" s="1775"/>
      <c r="Z237" s="1775"/>
      <c r="AA237" s="1775"/>
      <c r="AB237" s="1775"/>
      <c r="AC237" s="1775"/>
      <c r="AD237" s="1775"/>
      <c r="AE237" s="1775"/>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5" customHeight="1">
      <c r="A238" s="2" t="s">
        <v>594</v>
      </c>
      <c r="C238" s="2" t="s">
        <v>533</v>
      </c>
      <c r="M238" s="1434" t="s">
        <v>536</v>
      </c>
      <c r="N238" s="1434"/>
      <c r="O238" s="1434"/>
      <c r="P238" s="1434"/>
      <c r="Q238" s="1434"/>
      <c r="R238" s="1434"/>
      <c r="S238" s="1434"/>
      <c r="T238" s="1434"/>
      <c r="U238" s="218" t="s">
        <v>921</v>
      </c>
      <c r="V238" s="218"/>
      <c r="W238" s="218"/>
      <c r="X238" s="218"/>
      <c r="Y238" s="218"/>
      <c r="Z238" s="218"/>
      <c r="AA238" s="1790" t="s">
        <v>2651</v>
      </c>
      <c r="AB238" s="1791"/>
      <c r="AC238" s="1791"/>
      <c r="AD238" s="1791"/>
      <c r="AE238" s="1791"/>
      <c r="AF238" s="1791"/>
      <c r="AG238" s="1791"/>
      <c r="AH238" s="1791"/>
      <c r="AI238" s="1791"/>
      <c r="AJ238" s="1791"/>
      <c r="AK238" s="1791"/>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2.95" customHeight="1">
      <c r="D239" t="s">
        <v>539</v>
      </c>
      <c r="M239" s="1378"/>
      <c r="N239" s="1378"/>
      <c r="O239" s="1378"/>
      <c r="P239" s="1378"/>
      <c r="Q239" s="1378"/>
      <c r="R239" s="1378"/>
      <c r="S239" s="1378"/>
      <c r="T239" s="1378"/>
      <c r="U239" s="1378"/>
      <c r="V239" s="1378"/>
      <c r="W239" s="1378"/>
      <c r="X239" s="1378"/>
      <c r="Y239" s="1378"/>
      <c r="Z239" s="1378"/>
      <c r="AA239" s="1378"/>
      <c r="AB239" s="1378"/>
      <c r="AC239" s="1378"/>
      <c r="AD239" s="1378"/>
      <c r="AE239" s="1378"/>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5" customHeight="1">
      <c r="D240" s="4"/>
      <c r="BB240" s="218" t="s">
        <v>889</v>
      </c>
      <c r="BG240" s="259">
        <f>IF(AND(AND($M$249="for profit",$M$257="for profit",$M$265="for profit")),3,0)</f>
        <v>0</v>
      </c>
    </row>
    <row r="241" spans="1:71" ht="12.95"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431" t="s">
        <v>2652</v>
      </c>
      <c r="N243" s="1432"/>
      <c r="O243" s="1432"/>
      <c r="P243" s="1432"/>
      <c r="Q243" s="1432"/>
      <c r="R243" s="1432"/>
      <c r="S243" s="1432"/>
      <c r="T243" s="1432"/>
      <c r="U243" s="1432"/>
      <c r="V243" s="1432"/>
      <c r="W243" s="1432"/>
      <c r="X243" s="1432"/>
      <c r="Y243" s="1432"/>
      <c r="Z243" s="1432"/>
      <c r="AA243" s="1432"/>
      <c r="AB243" s="1432"/>
      <c r="AC243" s="1432"/>
      <c r="AD243" s="1432"/>
      <c r="AE243" s="1432"/>
      <c r="AF243" s="1432" t="s">
        <v>2654</v>
      </c>
      <c r="AG243" s="1432"/>
      <c r="AH243" s="1432"/>
      <c r="AI243" s="1432"/>
      <c r="AJ243" s="1432"/>
      <c r="AK243" s="1432"/>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428" t="s">
        <v>2645</v>
      </c>
      <c r="N244" s="1428"/>
      <c r="O244" s="1428"/>
      <c r="P244" s="1428"/>
      <c r="Q244" s="1428"/>
      <c r="R244" s="1428"/>
      <c r="S244" s="1428"/>
      <c r="T244" s="1428"/>
      <c r="U244" s="1428"/>
      <c r="V244" s="1428"/>
      <c r="W244" s="1428"/>
      <c r="X244" s="1428"/>
      <c r="Y244" s="1428"/>
      <c r="Z244" s="1428"/>
      <c r="AA244" s="1428"/>
      <c r="AB244" s="1428"/>
      <c r="AC244" s="1428"/>
      <c r="AD244" s="1428"/>
      <c r="AE244" s="1428"/>
      <c r="AF244" s="3" t="s">
        <v>1285</v>
      </c>
      <c r="AL244" s="4"/>
      <c r="AM244" s="4"/>
      <c r="AN244" s="4"/>
      <c r="AO244" s="4"/>
      <c r="AP244" s="4"/>
      <c r="AQ244" s="4"/>
      <c r="AR244" s="4"/>
      <c r="AS244" s="4"/>
      <c r="AT244" s="4"/>
      <c r="BB244" t="s">
        <v>308</v>
      </c>
      <c r="BG244">
        <v>1</v>
      </c>
      <c r="BH244" t="s">
        <v>542</v>
      </c>
    </row>
    <row r="245" spans="1:71" ht="12.95" customHeight="1">
      <c r="A245" s="19"/>
      <c r="B245" s="4"/>
      <c r="C245" s="4"/>
      <c r="D245" s="4" t="s">
        <v>588</v>
      </c>
      <c r="E245" s="4"/>
      <c r="M245" s="1427" t="s">
        <v>2646</v>
      </c>
      <c r="N245" s="1428"/>
      <c r="O245" s="1428"/>
      <c r="P245" s="1428"/>
      <c r="Q245" s="1428"/>
      <c r="R245" s="1428"/>
      <c r="S245" s="1428"/>
      <c r="T245" s="1428"/>
      <c r="V245" s="33" t="s">
        <v>86</v>
      </c>
      <c r="W245" s="1582" t="s">
        <v>2647</v>
      </c>
      <c r="X245" s="1455"/>
      <c r="Y245" s="4" t="s">
        <v>591</v>
      </c>
      <c r="AC245" s="1428">
        <v>92663</v>
      </c>
      <c r="AD245" s="1428"/>
      <c r="AE245" s="1428"/>
      <c r="AF245" s="3" t="s">
        <v>1286</v>
      </c>
      <c r="AU245" s="4"/>
      <c r="AV245" s="4"/>
      <c r="AW245" s="4"/>
      <c r="AX245" s="4"/>
      <c r="AY245" s="4"/>
      <c r="BB245" s="4" t="s">
        <v>281</v>
      </c>
      <c r="BG245">
        <v>2</v>
      </c>
      <c r="BH245" t="s">
        <v>574</v>
      </c>
      <c r="BO245" s="257" t="str">
        <f>VLOOKUP(BG243,BG244:BH247,2,FALSE)</f>
        <v>Joint Venture</v>
      </c>
    </row>
    <row r="246" spans="1:71" ht="12.95" customHeight="1">
      <c r="A246" s="19"/>
      <c r="B246" s="4"/>
      <c r="C246" s="4"/>
      <c r="D246" s="4" t="s">
        <v>87</v>
      </c>
      <c r="E246" s="4"/>
      <c r="F246" s="4"/>
      <c r="G246" s="4"/>
      <c r="H246" s="4"/>
      <c r="I246" s="4"/>
      <c r="J246" s="4"/>
      <c r="K246" s="4"/>
      <c r="L246" s="19"/>
      <c r="M246" s="1428" t="s">
        <v>2648</v>
      </c>
      <c r="N246" s="1428"/>
      <c r="O246" s="1428"/>
      <c r="P246" s="1428"/>
      <c r="Q246" s="1428"/>
      <c r="R246" s="1428"/>
      <c r="S246" s="1428"/>
      <c r="T246" s="1428"/>
      <c r="U246" s="1428"/>
      <c r="V246" s="1428"/>
      <c r="W246" s="1428"/>
      <c r="X246" s="1428"/>
      <c r="Y246" s="1428"/>
      <c r="Z246" s="1428"/>
      <c r="AA246" s="1428"/>
      <c r="AB246" s="1428"/>
      <c r="AC246" s="1428"/>
      <c r="AD246" s="1428"/>
      <c r="AE246" s="1428"/>
      <c r="AH246" s="1780">
        <v>5.1000000000000004E-3</v>
      </c>
      <c r="AI246" s="1780"/>
      <c r="AJ246" s="1780"/>
      <c r="AK246" s="1780"/>
      <c r="AL246" s="4"/>
      <c r="AM246" s="4"/>
      <c r="AN246" s="4"/>
      <c r="AO246" s="4"/>
      <c r="AP246" s="4"/>
      <c r="AQ246" s="4"/>
      <c r="AR246" s="4"/>
      <c r="AS246" s="4"/>
      <c r="AT246" s="4"/>
      <c r="BB246" s="4" t="s">
        <v>173</v>
      </c>
      <c r="BG246">
        <v>3</v>
      </c>
      <c r="BH246" t="s">
        <v>544</v>
      </c>
      <c r="BN246" s="34"/>
    </row>
    <row r="247" spans="1:71" ht="12.95" customHeight="1">
      <c r="A247" s="19"/>
      <c r="B247" s="4"/>
      <c r="C247" s="4"/>
      <c r="D247" s="4" t="s">
        <v>88</v>
      </c>
      <c r="E247" s="4"/>
      <c r="F247" s="4"/>
      <c r="M247" s="1379" t="s">
        <v>2649</v>
      </c>
      <c r="N247" s="1379"/>
      <c r="O247" s="1379"/>
      <c r="P247" s="1379"/>
      <c r="Q247" s="1379"/>
      <c r="R247" s="1379"/>
      <c r="S247" s="4" t="s">
        <v>207</v>
      </c>
      <c r="T247" s="4"/>
      <c r="U247" s="1455"/>
      <c r="V247" s="1455"/>
      <c r="W247" s="1455"/>
      <c r="X247" s="4" t="s">
        <v>89</v>
      </c>
      <c r="Z247" s="1379"/>
      <c r="AA247" s="1379"/>
      <c r="AB247" s="1379"/>
      <c r="AC247" s="1379"/>
      <c r="AD247" s="1379"/>
      <c r="AE247" s="1379"/>
      <c r="AU247" s="4"/>
      <c r="AV247" s="4"/>
      <c r="AW247" s="4"/>
      <c r="AX247" s="4"/>
      <c r="AY247" s="4"/>
      <c r="BG247">
        <v>0</v>
      </c>
      <c r="BH247" s="3"/>
      <c r="BN247" s="34"/>
    </row>
    <row r="248" spans="1:71" ht="12.95" customHeight="1">
      <c r="A248" s="19"/>
      <c r="B248" s="4"/>
      <c r="C248" s="4"/>
      <c r="D248" s="4" t="s">
        <v>90</v>
      </c>
      <c r="E248" s="4"/>
      <c r="F248" s="4"/>
      <c r="M248" s="1775" t="s">
        <v>2650</v>
      </c>
      <c r="N248" s="1775"/>
      <c r="O248" s="1775"/>
      <c r="P248" s="1775"/>
      <c r="Q248" s="1775"/>
      <c r="R248" s="1775"/>
      <c r="S248" s="1775"/>
      <c r="T248" s="1775"/>
      <c r="U248" s="1775"/>
      <c r="V248" s="1775"/>
      <c r="W248" s="1775"/>
      <c r="X248" s="1775"/>
      <c r="Y248" s="1775"/>
      <c r="Z248" s="1775"/>
      <c r="AA248" s="1775"/>
      <c r="AB248" s="1775"/>
      <c r="AC248" s="1775"/>
      <c r="AD248" s="1775"/>
      <c r="AE248" s="1775"/>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434" t="s">
        <v>544</v>
      </c>
      <c r="N249" s="1434"/>
      <c r="O249" s="1434"/>
      <c r="P249" s="1434"/>
      <c r="Q249" s="1434"/>
      <c r="R249" s="1434"/>
      <c r="S249" s="1434"/>
      <c r="T249" s="1434"/>
      <c r="U249" s="218" t="s">
        <v>921</v>
      </c>
      <c r="V249" s="218"/>
      <c r="W249" s="218"/>
      <c r="X249" s="218"/>
      <c r="Y249" s="218"/>
      <c r="Z249" s="218"/>
      <c r="AA249" s="1790" t="s">
        <v>2651</v>
      </c>
      <c r="AB249" s="1791"/>
      <c r="AC249" s="1791"/>
      <c r="AD249" s="1791"/>
      <c r="AE249" s="1791"/>
      <c r="AF249" s="1791"/>
      <c r="AG249" s="1791"/>
      <c r="AH249" s="1791"/>
      <c r="AI249" s="1791"/>
      <c r="AJ249" s="1791"/>
      <c r="AK249" s="1791"/>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431" t="s">
        <v>2653</v>
      </c>
      <c r="N251" s="1432"/>
      <c r="O251" s="1432"/>
      <c r="P251" s="1432"/>
      <c r="Q251" s="1432"/>
      <c r="R251" s="1432"/>
      <c r="S251" s="1432"/>
      <c r="T251" s="1432"/>
      <c r="U251" s="1432"/>
      <c r="V251" s="1432"/>
      <c r="W251" s="1432"/>
      <c r="X251" s="1432"/>
      <c r="Y251" s="1432"/>
      <c r="Z251" s="1432"/>
      <c r="AA251" s="1432"/>
      <c r="AB251" s="1432"/>
      <c r="AC251" s="1432"/>
      <c r="AD251" s="1432"/>
      <c r="AE251" s="1432"/>
      <c r="AF251" s="1432" t="s">
        <v>2812</v>
      </c>
      <c r="AG251" s="1432"/>
      <c r="AH251" s="1432"/>
      <c r="AI251" s="1432"/>
      <c r="AJ251" s="1432"/>
      <c r="AK251" s="1432"/>
      <c r="AU251" s="4"/>
      <c r="AV251" s="4"/>
      <c r="AW251" s="4"/>
      <c r="AX251" s="4"/>
      <c r="AY251" s="4"/>
      <c r="BN251" s="34"/>
    </row>
    <row r="252" spans="1:71" ht="12.95" customHeight="1">
      <c r="A252" s="19"/>
      <c r="B252" s="4"/>
      <c r="C252" s="4"/>
      <c r="D252" s="4" t="s">
        <v>85</v>
      </c>
      <c r="E252" s="4"/>
      <c r="F252" s="4"/>
      <c r="G252" s="4"/>
      <c r="H252" s="4"/>
      <c r="I252" s="4"/>
      <c r="J252" s="4"/>
      <c r="K252" s="4"/>
      <c r="L252" s="4"/>
      <c r="M252" s="1427" t="s">
        <v>2655</v>
      </c>
      <c r="N252" s="1428"/>
      <c r="O252" s="1428"/>
      <c r="P252" s="1428"/>
      <c r="Q252" s="1428"/>
      <c r="R252" s="1428"/>
      <c r="S252" s="1428"/>
      <c r="T252" s="1428"/>
      <c r="U252" s="1428"/>
      <c r="V252" s="1428"/>
      <c r="W252" s="1428"/>
      <c r="X252" s="1428"/>
      <c r="Y252" s="1428"/>
      <c r="Z252" s="1428"/>
      <c r="AA252" s="1428"/>
      <c r="AB252" s="1428"/>
      <c r="AC252" s="1428"/>
      <c r="AD252" s="1428"/>
      <c r="AE252" s="1428"/>
      <c r="AF252" s="3" t="s">
        <v>1285</v>
      </c>
      <c r="AL252" s="4"/>
      <c r="AM252" s="4"/>
      <c r="AN252" s="4"/>
      <c r="AO252" s="4"/>
      <c r="AP252" s="4"/>
      <c r="AQ252" s="4"/>
      <c r="AR252" s="4"/>
      <c r="AS252" s="4"/>
      <c r="AT252" s="4"/>
      <c r="BN252" s="34"/>
    </row>
    <row r="253" spans="1:71" ht="12.95" customHeight="1">
      <c r="A253" s="19"/>
      <c r="B253" s="4"/>
      <c r="C253" s="4"/>
      <c r="D253" s="4" t="s">
        <v>588</v>
      </c>
      <c r="E253" s="4"/>
      <c r="M253" s="1427" t="s">
        <v>2656</v>
      </c>
      <c r="N253" s="1428"/>
      <c r="O253" s="1428"/>
      <c r="P253" s="1428"/>
      <c r="Q253" s="1428"/>
      <c r="R253" s="1428"/>
      <c r="S253" s="1428"/>
      <c r="T253" s="1428"/>
      <c r="V253" s="33" t="s">
        <v>86</v>
      </c>
      <c r="W253" s="1582" t="s">
        <v>2647</v>
      </c>
      <c r="X253" s="1455"/>
      <c r="Y253" s="4" t="s">
        <v>591</v>
      </c>
      <c r="AC253" s="1428">
        <v>92612</v>
      </c>
      <c r="AD253" s="1428"/>
      <c r="AE253" s="1428"/>
      <c r="AF253" s="3" t="s">
        <v>1286</v>
      </c>
      <c r="AU253" s="4"/>
      <c r="AV253" s="4"/>
      <c r="AW253" s="4"/>
      <c r="AX253" s="4"/>
      <c r="AY253" s="4"/>
      <c r="BN253" s="34"/>
    </row>
    <row r="254" spans="1:71" ht="12.95" customHeight="1">
      <c r="A254" s="19"/>
      <c r="B254" s="4"/>
      <c r="C254" s="4"/>
      <c r="D254" s="4" t="s">
        <v>87</v>
      </c>
      <c r="E254" s="4"/>
      <c r="F254" s="4"/>
      <c r="G254" s="4"/>
      <c r="H254" s="4"/>
      <c r="I254" s="4"/>
      <c r="J254" s="4"/>
      <c r="K254" s="4"/>
      <c r="L254" s="19"/>
      <c r="M254" s="1427" t="s">
        <v>2657</v>
      </c>
      <c r="N254" s="1428"/>
      <c r="O254" s="1428"/>
      <c r="P254" s="1428"/>
      <c r="Q254" s="1428"/>
      <c r="R254" s="1428"/>
      <c r="S254" s="1428"/>
      <c r="T254" s="1428"/>
      <c r="U254" s="1428"/>
      <c r="V254" s="1428"/>
      <c r="W254" s="1428"/>
      <c r="X254" s="1428"/>
      <c r="Y254" s="1428"/>
      <c r="Z254" s="1428"/>
      <c r="AA254" s="1428"/>
      <c r="AB254" s="1428"/>
      <c r="AC254" s="1428"/>
      <c r="AD254" s="1428"/>
      <c r="AE254" s="1428"/>
      <c r="AH254" s="1780">
        <v>4.8999999999999998E-3</v>
      </c>
      <c r="AI254" s="1780"/>
      <c r="AJ254" s="1780"/>
      <c r="AK254" s="1780"/>
      <c r="AL254" s="4"/>
      <c r="AM254" s="4"/>
      <c r="AN254" s="4"/>
      <c r="AO254" s="4"/>
      <c r="AP254" s="4"/>
      <c r="AQ254" s="4"/>
      <c r="AR254" s="4"/>
      <c r="AS254" s="4"/>
      <c r="AT254" s="4"/>
    </row>
    <row r="255" spans="1:71" ht="12.95" customHeight="1">
      <c r="A255" s="19"/>
      <c r="B255" s="4"/>
      <c r="C255" s="4"/>
      <c r="D255" s="4" t="s">
        <v>88</v>
      </c>
      <c r="E255" s="4"/>
      <c r="F255" s="4"/>
      <c r="M255" s="1676" t="s">
        <v>2658</v>
      </c>
      <c r="N255" s="1379"/>
      <c r="O255" s="1379"/>
      <c r="P255" s="1379"/>
      <c r="Q255" s="1379"/>
      <c r="R255" s="1379"/>
      <c r="S255" s="4" t="s">
        <v>207</v>
      </c>
      <c r="T255" s="4"/>
      <c r="U255" s="1455"/>
      <c r="V255" s="1455"/>
      <c r="W255" s="1455"/>
      <c r="X255" s="4" t="s">
        <v>89</v>
      </c>
      <c r="Z255" s="1379"/>
      <c r="AA255" s="1379"/>
      <c r="AB255" s="1379"/>
      <c r="AC255" s="1379"/>
      <c r="AD255" s="1379"/>
      <c r="AE255" s="1379"/>
      <c r="AU255" s="4"/>
      <c r="AV255" s="4"/>
      <c r="AW255" s="4"/>
      <c r="AX255" s="4"/>
      <c r="AY255" s="4"/>
      <c r="BN255" s="34"/>
    </row>
    <row r="256" spans="1:71" ht="12.95" customHeight="1">
      <c r="A256" s="19"/>
      <c r="B256" s="4"/>
      <c r="C256" s="4"/>
      <c r="D256" s="4" t="s">
        <v>90</v>
      </c>
      <c r="E256" s="4"/>
      <c r="F256" s="4"/>
      <c r="M256" s="1775" t="s">
        <v>2659</v>
      </c>
      <c r="N256" s="1775"/>
      <c r="O256" s="1775"/>
      <c r="P256" s="1775"/>
      <c r="Q256" s="1775"/>
      <c r="R256" s="1775"/>
      <c r="S256" s="1775"/>
      <c r="T256" s="1775"/>
      <c r="U256" s="1775"/>
      <c r="V256" s="1775"/>
      <c r="W256" s="1775"/>
      <c r="X256" s="1775"/>
      <c r="Y256" s="1775"/>
      <c r="Z256" s="1775"/>
      <c r="AA256" s="1775"/>
      <c r="AB256" s="1775"/>
      <c r="AC256" s="1775"/>
      <c r="AD256" s="1775"/>
      <c r="AE256" s="1775"/>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434" t="s">
        <v>542</v>
      </c>
      <c r="N257" s="1434"/>
      <c r="O257" s="1434"/>
      <c r="P257" s="1434"/>
      <c r="Q257" s="1434"/>
      <c r="R257" s="1434"/>
      <c r="S257" s="1434"/>
      <c r="T257" s="1434"/>
      <c r="U257" s="218" t="s">
        <v>921</v>
      </c>
      <c r="V257" s="218"/>
      <c r="W257" s="218"/>
      <c r="X257" s="218"/>
      <c r="Y257" s="218"/>
      <c r="Z257" s="218"/>
      <c r="AA257" s="1790" t="s">
        <v>2660</v>
      </c>
      <c r="AB257" s="1791"/>
      <c r="AC257" s="1791"/>
      <c r="AD257" s="1791"/>
      <c r="AE257" s="1791"/>
      <c r="AF257" s="1791"/>
      <c r="AG257" s="1791"/>
      <c r="AH257" s="1791"/>
      <c r="AI257" s="1791"/>
      <c r="AJ257" s="1791"/>
      <c r="AK257" s="1791"/>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540</v>
      </c>
      <c r="E259" s="4"/>
      <c r="F259" s="4"/>
      <c r="G259" s="4"/>
      <c r="H259" s="4"/>
      <c r="I259" s="4"/>
      <c r="J259" s="4"/>
      <c r="K259" s="4"/>
      <c r="L259" s="4"/>
      <c r="M259" s="1432"/>
      <c r="N259" s="1432"/>
      <c r="O259" s="1432"/>
      <c r="P259" s="1432"/>
      <c r="Q259" s="1432"/>
      <c r="R259" s="1432"/>
      <c r="S259" s="1432"/>
      <c r="T259" s="1432"/>
      <c r="U259" s="1432"/>
      <c r="V259" s="1432"/>
      <c r="W259" s="1432"/>
      <c r="X259" s="1432"/>
      <c r="Y259" s="1432"/>
      <c r="Z259" s="1432"/>
      <c r="AA259" s="1432"/>
      <c r="AB259" s="1432"/>
      <c r="AC259" s="1432"/>
      <c r="AD259" s="1432"/>
      <c r="AE259" s="1432"/>
      <c r="AF259" s="1432" t="s">
        <v>308</v>
      </c>
      <c r="AG259" s="1432"/>
      <c r="AH259" s="1432"/>
      <c r="AI259" s="1432"/>
      <c r="AJ259" s="1432"/>
      <c r="AK259" s="1432"/>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28"/>
      <c r="N260" s="1428"/>
      <c r="O260" s="1428"/>
      <c r="P260" s="1428"/>
      <c r="Q260" s="1428"/>
      <c r="R260" s="1428"/>
      <c r="S260" s="1428"/>
      <c r="T260" s="1428"/>
      <c r="U260" s="1428"/>
      <c r="V260" s="1428"/>
      <c r="W260" s="1428"/>
      <c r="X260" s="1428"/>
      <c r="Y260" s="1428"/>
      <c r="Z260" s="1428"/>
      <c r="AA260" s="1428"/>
      <c r="AB260" s="1428"/>
      <c r="AC260" s="1428"/>
      <c r="AD260" s="1428"/>
      <c r="AE260" s="1428"/>
      <c r="AF260" s="3" t="s">
        <v>1285</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428"/>
      <c r="N261" s="1428"/>
      <c r="O261" s="1428"/>
      <c r="P261" s="1428"/>
      <c r="Q261" s="1428"/>
      <c r="R261" s="1428"/>
      <c r="S261" s="1428"/>
      <c r="T261" s="1428"/>
      <c r="V261" s="33" t="s">
        <v>86</v>
      </c>
      <c r="W261" s="1455"/>
      <c r="X261" s="1455"/>
      <c r="Y261" s="4" t="s">
        <v>591</v>
      </c>
      <c r="AC261" s="1428"/>
      <c r="AD261" s="1428"/>
      <c r="AE261" s="1428"/>
      <c r="AF261" s="3" t="s">
        <v>1286</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28"/>
      <c r="N262" s="1428"/>
      <c r="O262" s="1428"/>
      <c r="P262" s="1428"/>
      <c r="Q262" s="1428"/>
      <c r="R262" s="1428"/>
      <c r="S262" s="1428"/>
      <c r="T262" s="1428"/>
      <c r="U262" s="1428"/>
      <c r="V262" s="1428"/>
      <c r="W262" s="1428"/>
      <c r="X262" s="1428"/>
      <c r="Y262" s="1428"/>
      <c r="Z262" s="1428"/>
      <c r="AA262" s="1428"/>
      <c r="AB262" s="1428"/>
      <c r="AC262" s="1428"/>
      <c r="AD262" s="1428"/>
      <c r="AE262" s="1428"/>
      <c r="AH262" s="1780"/>
      <c r="AI262" s="1780"/>
      <c r="AJ262" s="1780"/>
      <c r="AK262" s="1780"/>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79"/>
      <c r="N263" s="1379"/>
      <c r="O263" s="1379"/>
      <c r="P263" s="1379"/>
      <c r="Q263" s="1379"/>
      <c r="R263" s="1379"/>
      <c r="S263" s="4" t="s">
        <v>207</v>
      </c>
      <c r="T263" s="4"/>
      <c r="U263" s="1455"/>
      <c r="V263" s="1455"/>
      <c r="W263" s="1455"/>
      <c r="X263" s="4" t="s">
        <v>89</v>
      </c>
      <c r="Z263" s="1379"/>
      <c r="AA263" s="1379"/>
      <c r="AB263" s="1379"/>
      <c r="AC263" s="1379"/>
      <c r="AD263" s="1379"/>
      <c r="AE263" s="1379"/>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75"/>
      <c r="N264" s="1775"/>
      <c r="O264" s="1775"/>
      <c r="P264" s="1775"/>
      <c r="Q264" s="1775"/>
      <c r="R264" s="1775"/>
      <c r="S264" s="1775"/>
      <c r="T264" s="1775"/>
      <c r="U264" s="1775"/>
      <c r="V264" s="1775"/>
      <c r="W264" s="1775"/>
      <c r="X264" s="1775"/>
      <c r="Y264" s="1775"/>
      <c r="Z264" s="1775"/>
      <c r="AA264" s="1811"/>
      <c r="AB264" s="1811"/>
      <c r="AC264" s="1811"/>
      <c r="AD264" s="1811"/>
      <c r="AE264" s="1811"/>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434" t="s">
        <v>308</v>
      </c>
      <c r="N265" s="1434"/>
      <c r="O265" s="1434"/>
      <c r="P265" s="1434"/>
      <c r="Q265" s="1434"/>
      <c r="R265" s="1434"/>
      <c r="S265" s="1434"/>
      <c r="T265" s="1434"/>
      <c r="U265" s="218" t="s">
        <v>921</v>
      </c>
      <c r="V265" s="218"/>
      <c r="W265" s="218"/>
      <c r="X265" s="218"/>
      <c r="Y265" s="218"/>
      <c r="Z265" s="218"/>
      <c r="AA265" s="1812"/>
      <c r="AB265" s="1812"/>
      <c r="AC265" s="1812"/>
      <c r="AD265" s="1812"/>
      <c r="AE265" s="1812"/>
      <c r="AF265" s="1812"/>
      <c r="AG265" s="1812"/>
      <c r="AH265" s="1812"/>
      <c r="AI265" s="1812"/>
      <c r="AJ265" s="1812"/>
      <c r="AK265" s="1812"/>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296</v>
      </c>
      <c r="D267" s="4"/>
      <c r="E267" s="4"/>
      <c r="F267" s="4"/>
      <c r="G267" s="4"/>
      <c r="H267" s="4"/>
      <c r="I267" s="4"/>
      <c r="J267" s="4"/>
      <c r="K267" s="4"/>
      <c r="L267" s="4"/>
      <c r="M267" s="35"/>
      <c r="N267" s="35"/>
      <c r="O267" s="35"/>
      <c r="P267" s="35"/>
      <c r="Q267" s="35"/>
      <c r="T267" s="1804" t="str">
        <f>IFERROR(BO245,"")</f>
        <v>Joint Venture</v>
      </c>
      <c r="U267" s="1804"/>
      <c r="V267" s="1804"/>
      <c r="W267" s="1804"/>
      <c r="X267" s="1804"/>
      <c r="Z267" s="331" t="s">
        <v>973</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5"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5" customHeight="1">
      <c r="A270" s="4"/>
      <c r="B270" s="36">
        <v>0</v>
      </c>
      <c r="D270" s="1428" t="s">
        <v>281</v>
      </c>
      <c r="E270" s="1428"/>
      <c r="F270" s="1428"/>
      <c r="G270" s="1428"/>
      <c r="H270" s="1428"/>
      <c r="J270" t="s">
        <v>280</v>
      </c>
      <c r="X270" s="1485"/>
      <c r="Y270" s="1485"/>
      <c r="Z270" s="1485"/>
      <c r="AA270" s="1485"/>
      <c r="AB270" s="1485"/>
      <c r="AC270" s="1485"/>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431" t="s">
        <v>2651</v>
      </c>
      <c r="M274" s="1432"/>
      <c r="N274" s="1432"/>
      <c r="O274" s="1432"/>
      <c r="P274" s="1432"/>
      <c r="Q274" s="1432"/>
      <c r="R274" s="1432"/>
      <c r="S274" s="1432"/>
      <c r="T274" s="1432"/>
      <c r="U274" s="1432"/>
      <c r="V274" s="1432"/>
      <c r="W274" s="1432"/>
      <c r="X274" s="1432"/>
      <c r="Y274" s="1432"/>
      <c r="Z274" s="1432"/>
      <c r="AA274" s="1432"/>
      <c r="AB274" s="1432"/>
      <c r="AC274" s="1432"/>
      <c r="AD274" s="1432"/>
      <c r="AE274" s="1432"/>
      <c r="AF274" s="1432"/>
      <c r="AG274" s="1432"/>
      <c r="AH274" s="1432"/>
      <c r="AI274" s="1432"/>
      <c r="AJ274" s="1432"/>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28" t="s">
        <v>2645</v>
      </c>
      <c r="M275" s="1428"/>
      <c r="N275" s="1428"/>
      <c r="O275" s="1428"/>
      <c r="P275" s="1428"/>
      <c r="Q275" s="1428"/>
      <c r="R275" s="1428"/>
      <c r="S275" s="1428"/>
      <c r="T275" s="1428"/>
      <c r="U275" s="1428"/>
      <c r="V275" s="1428"/>
      <c r="W275" s="1428"/>
      <c r="X275" s="1428"/>
      <c r="Y275" s="1428"/>
      <c r="Z275" s="1428"/>
      <c r="AA275" s="1428"/>
      <c r="AB275" s="1428"/>
      <c r="AC275" s="1428"/>
      <c r="AD275" s="1428"/>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428" t="s">
        <v>2646</v>
      </c>
      <c r="M276" s="1428"/>
      <c r="N276" s="1428"/>
      <c r="O276" s="1428"/>
      <c r="P276" s="1428"/>
      <c r="Q276" s="1428"/>
      <c r="R276" s="1428"/>
      <c r="S276" s="1428"/>
      <c r="U276" s="33" t="s">
        <v>86</v>
      </c>
      <c r="V276" s="1582" t="s">
        <v>2647</v>
      </c>
      <c r="W276" s="1455"/>
      <c r="X276" s="4" t="s">
        <v>591</v>
      </c>
      <c r="AB276" s="1428">
        <v>92663</v>
      </c>
      <c r="AC276" s="1428"/>
      <c r="AD276" s="1428"/>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27" t="s">
        <v>2661</v>
      </c>
      <c r="M277" s="1428"/>
      <c r="N277" s="1428"/>
      <c r="O277" s="1428"/>
      <c r="P277" s="1428"/>
      <c r="Q277" s="1428"/>
      <c r="R277" s="1428"/>
      <c r="S277" s="1428"/>
      <c r="T277" s="1428"/>
      <c r="U277" s="1428"/>
      <c r="V277" s="1428"/>
      <c r="W277" s="1428"/>
      <c r="X277" s="1428"/>
      <c r="Y277" s="1428"/>
      <c r="Z277" s="1428"/>
      <c r="AA277" s="1428"/>
      <c r="AB277" s="1428"/>
      <c r="AC277" s="1428"/>
      <c r="AD277" s="1428"/>
      <c r="AI277" s="4"/>
      <c r="AJ277" s="4"/>
      <c r="AK277" s="3"/>
      <c r="AL277" s="3"/>
      <c r="AM277" s="3"/>
      <c r="AN277" s="3"/>
      <c r="AO277" s="3"/>
      <c r="AP277" s="3"/>
      <c r="AQ277" s="3"/>
      <c r="AR277" s="3"/>
      <c r="AS277" s="3"/>
      <c r="AT277" s="3"/>
      <c r="BN277" s="34"/>
    </row>
    <row r="278" spans="1:66" ht="12.95" customHeight="1">
      <c r="D278" s="4" t="s">
        <v>88</v>
      </c>
      <c r="E278" s="4"/>
      <c r="F278" s="4"/>
      <c r="L278" s="1676" t="s">
        <v>2662</v>
      </c>
      <c r="M278" s="1379"/>
      <c r="N278" s="1379"/>
      <c r="O278" s="1379"/>
      <c r="P278" s="1379"/>
      <c r="Q278" s="1379"/>
      <c r="R278" s="4" t="s">
        <v>207</v>
      </c>
      <c r="S278" s="4"/>
      <c r="T278" s="1455"/>
      <c r="U278" s="1455"/>
      <c r="V278" s="1455"/>
      <c r="W278" s="4" t="s">
        <v>89</v>
      </c>
      <c r="Y278" s="1379"/>
      <c r="Z278" s="1379"/>
      <c r="AA278" s="1379"/>
      <c r="AB278" s="1379"/>
      <c r="AC278" s="1379"/>
      <c r="AD278" s="1379"/>
      <c r="BN278" s="34"/>
    </row>
    <row r="279" spans="1:66" ht="12.95" customHeight="1">
      <c r="D279" s="4" t="s">
        <v>90</v>
      </c>
      <c r="E279" s="4"/>
      <c r="F279" s="4"/>
      <c r="L279" s="1775" t="s">
        <v>2663</v>
      </c>
      <c r="M279" s="1775"/>
      <c r="N279" s="1775"/>
      <c r="O279" s="1775"/>
      <c r="P279" s="1775"/>
      <c r="Q279" s="1775"/>
      <c r="R279" s="1775"/>
      <c r="S279" s="1775"/>
      <c r="T279" s="1775"/>
      <c r="U279" s="1775"/>
      <c r="V279" s="1775"/>
      <c r="W279" s="1775"/>
      <c r="X279" s="1775"/>
      <c r="Y279" s="1775"/>
      <c r="Z279" s="1775"/>
      <c r="AA279" s="1775"/>
      <c r="AB279" s="1775"/>
      <c r="AC279" s="1775"/>
      <c r="AD279" s="1775"/>
      <c r="AF279" s="4"/>
      <c r="AG279" s="4"/>
      <c r="AH279" s="4"/>
      <c r="AI279" s="4"/>
      <c r="AJ279" s="4"/>
      <c r="AU279" s="3"/>
      <c r="AV279" s="3"/>
      <c r="AW279" s="3"/>
      <c r="AX279" s="3"/>
      <c r="AY279" s="3"/>
      <c r="BN279" s="34"/>
    </row>
    <row r="280" spans="1:66" ht="12.95" customHeight="1">
      <c r="D280" s="3" t="s">
        <v>631</v>
      </c>
      <c r="E280" s="3"/>
      <c r="F280" s="3"/>
      <c r="G280" s="3"/>
      <c r="H280" s="3"/>
      <c r="I280" s="3"/>
      <c r="L280" s="1582" t="s">
        <v>2664</v>
      </c>
      <c r="M280" s="1582"/>
      <c r="N280" s="1582"/>
      <c r="O280" s="1582"/>
      <c r="P280" s="1582"/>
      <c r="Q280" s="1582"/>
      <c r="R280" s="1582"/>
      <c r="S280" s="1582"/>
      <c r="T280" s="1582"/>
      <c r="U280" s="1582"/>
      <c r="V280" s="1582"/>
      <c r="W280" s="1582"/>
      <c r="X280" s="1582"/>
      <c r="Y280" s="1582"/>
      <c r="Z280" s="1582"/>
      <c r="AA280" s="1582"/>
      <c r="AB280" s="1582"/>
      <c r="AC280" s="1582"/>
      <c r="AD280" s="1582"/>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456" t="s">
        <v>549</v>
      </c>
      <c r="B282" s="1456"/>
      <c r="C282" s="1456"/>
      <c r="D282" s="1456"/>
      <c r="E282" s="1456"/>
      <c r="F282" s="1456"/>
      <c r="G282" s="1456"/>
      <c r="H282" s="1456"/>
      <c r="I282" s="1456"/>
      <c r="J282" s="1456"/>
      <c r="K282" s="1456"/>
      <c r="L282" s="1456"/>
      <c r="M282" s="1456"/>
      <c r="N282" s="1456"/>
      <c r="O282" s="1456"/>
      <c r="P282" s="1456"/>
      <c r="Q282" s="1456"/>
      <c r="R282" s="1456"/>
      <c r="S282" s="1456"/>
      <c r="T282" s="1456"/>
      <c r="U282" s="1456"/>
      <c r="V282" s="1456"/>
      <c r="W282" s="1456"/>
      <c r="X282" s="1456"/>
      <c r="Y282" s="1456"/>
      <c r="Z282" s="1456"/>
      <c r="AA282" s="1456"/>
      <c r="AB282" s="1456"/>
      <c r="AC282" s="1456"/>
      <c r="AD282" s="1456"/>
      <c r="AE282" s="1456"/>
      <c r="AF282" s="1456"/>
      <c r="AG282" s="1456"/>
      <c r="AH282" s="1456"/>
      <c r="AI282" s="1456"/>
      <c r="AJ282" s="1456"/>
      <c r="AK282" s="1456"/>
      <c r="AL282" s="1456"/>
      <c r="AM282" s="1456"/>
      <c r="AN282" s="1456"/>
      <c r="AO282" s="1456"/>
      <c r="AP282" s="1456"/>
      <c r="AQ282" s="1456"/>
      <c r="AR282" s="1456"/>
      <c r="AS282" s="1456"/>
      <c r="AT282" s="1456"/>
      <c r="AU282" s="95"/>
      <c r="AV282" s="95"/>
      <c r="AW282" s="95"/>
      <c r="AX282" s="95"/>
      <c r="AY282" s="95"/>
      <c r="BN282" s="34"/>
    </row>
    <row r="283" spans="1:66" ht="12.95" customHeight="1">
      <c r="A283" s="1456"/>
      <c r="B283" s="1456"/>
      <c r="C283" s="1456"/>
      <c r="D283" s="1456"/>
      <c r="E283" s="1456"/>
      <c r="F283" s="1456"/>
      <c r="G283" s="1456"/>
      <c r="H283" s="1456"/>
      <c r="I283" s="1456"/>
      <c r="J283" s="1456"/>
      <c r="K283" s="1456"/>
      <c r="L283" s="1456"/>
      <c r="M283" s="1456"/>
      <c r="N283" s="1456"/>
      <c r="O283" s="1456"/>
      <c r="P283" s="1456"/>
      <c r="Q283" s="1456"/>
      <c r="R283" s="1456"/>
      <c r="S283" s="1456"/>
      <c r="T283" s="1456"/>
      <c r="U283" s="1456"/>
      <c r="V283" s="1456"/>
      <c r="W283" s="1456"/>
      <c r="X283" s="1456"/>
      <c r="Y283" s="1456"/>
      <c r="Z283" s="1456"/>
      <c r="AA283" s="1456"/>
      <c r="AB283" s="1456"/>
      <c r="AC283" s="1456"/>
      <c r="AD283" s="1456"/>
      <c r="AE283" s="1456"/>
      <c r="AF283" s="1456"/>
      <c r="AG283" s="1456"/>
      <c r="AH283" s="1456"/>
      <c r="AI283" s="1456"/>
      <c r="AJ283" s="1456"/>
      <c r="AK283" s="1456"/>
      <c r="AL283" s="1456"/>
      <c r="AM283" s="1456"/>
      <c r="AN283" s="1456"/>
      <c r="AO283" s="1456"/>
      <c r="AP283" s="1456"/>
      <c r="AQ283" s="1456"/>
      <c r="AR283" s="1456"/>
      <c r="AS283" s="1456"/>
      <c r="AT283" s="1456"/>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378" t="s">
        <v>2651</v>
      </c>
      <c r="I287" s="1378"/>
      <c r="J287" s="1378"/>
      <c r="K287" s="1378"/>
      <c r="L287" s="1378"/>
      <c r="M287" s="1378"/>
      <c r="N287" s="1378"/>
      <c r="O287" s="1378"/>
      <c r="P287" s="1378"/>
      <c r="Q287" s="1378"/>
      <c r="R287" s="1378"/>
      <c r="T287" s="3" t="s">
        <v>575</v>
      </c>
      <c r="V287" s="3"/>
      <c r="W287" s="3"/>
      <c r="X287" s="3"/>
      <c r="Y287" s="3"/>
      <c r="AA287" s="1378" t="s">
        <v>2716</v>
      </c>
      <c r="AB287" s="1378"/>
      <c r="AC287" s="1378"/>
      <c r="AD287" s="1378"/>
      <c r="AE287" s="1378"/>
      <c r="AF287" s="1378"/>
      <c r="AG287" s="1378"/>
      <c r="AH287" s="1378"/>
      <c r="AI287" s="1378"/>
      <c r="AJ287" s="1378"/>
      <c r="AK287" s="1378"/>
      <c r="BN287" s="34"/>
    </row>
    <row r="288" spans="1:66" ht="12.95" customHeight="1">
      <c r="B288" s="3" t="s">
        <v>479</v>
      </c>
      <c r="C288" s="3"/>
      <c r="D288" s="3"/>
      <c r="E288" s="3"/>
      <c r="F288" s="3"/>
      <c r="H288" s="1434" t="s">
        <v>2645</v>
      </c>
      <c r="I288" s="1434"/>
      <c r="J288" s="1434"/>
      <c r="K288" s="1434"/>
      <c r="L288" s="1434"/>
      <c r="M288" s="1434"/>
      <c r="N288" s="1434"/>
      <c r="O288" s="1434"/>
      <c r="P288" s="1434"/>
      <c r="Q288" s="1434"/>
      <c r="R288" s="1434"/>
      <c r="T288" s="3" t="s">
        <v>479</v>
      </c>
      <c r="V288" s="3"/>
      <c r="W288" s="3"/>
      <c r="X288" s="3"/>
      <c r="Y288" s="3"/>
      <c r="AA288" s="1434" t="s">
        <v>2717</v>
      </c>
      <c r="AB288" s="1434"/>
      <c r="AC288" s="1434"/>
      <c r="AD288" s="1434"/>
      <c r="AE288" s="1434"/>
      <c r="AF288" s="1434"/>
      <c r="AG288" s="1434"/>
      <c r="AH288" s="1434"/>
      <c r="AI288" s="1434"/>
      <c r="AJ288" s="1434"/>
      <c r="AK288" s="1434"/>
      <c r="BN288" s="34"/>
    </row>
    <row r="289" spans="2:66" ht="12.95" customHeight="1">
      <c r="B289" s="3" t="s">
        <v>480</v>
      </c>
      <c r="C289" s="3"/>
      <c r="D289" s="3"/>
      <c r="E289" s="3"/>
      <c r="F289" s="3"/>
      <c r="H289" s="1434" t="s">
        <v>2665</v>
      </c>
      <c r="I289" s="1434"/>
      <c r="J289" s="1434"/>
      <c r="K289" s="1434"/>
      <c r="L289" s="1434"/>
      <c r="M289" s="1434"/>
      <c r="N289" s="1434"/>
      <c r="O289" s="1434"/>
      <c r="P289" s="1434"/>
      <c r="Q289" s="1434"/>
      <c r="R289" s="1434"/>
      <c r="T289" s="3" t="s">
        <v>75</v>
      </c>
      <c r="V289" s="3"/>
      <c r="W289" s="3"/>
      <c r="X289" s="3"/>
      <c r="Y289" s="3"/>
      <c r="AA289" s="1434" t="s">
        <v>2718</v>
      </c>
      <c r="AB289" s="1434"/>
      <c r="AC289" s="1434"/>
      <c r="AD289" s="1434"/>
      <c r="AE289" s="1434"/>
      <c r="AF289" s="1434"/>
      <c r="AG289" s="1434"/>
      <c r="AH289" s="1434"/>
      <c r="AI289" s="1434"/>
      <c r="AJ289" s="1434"/>
      <c r="AK289" s="1434"/>
      <c r="BN289" s="34"/>
    </row>
    <row r="290" spans="2:66" ht="12.95" customHeight="1">
      <c r="B290" s="3" t="s">
        <v>87</v>
      </c>
      <c r="C290" s="3"/>
      <c r="D290" s="3"/>
      <c r="E290" s="3"/>
      <c r="F290" s="3"/>
      <c r="H290" s="1434" t="s">
        <v>2648</v>
      </c>
      <c r="I290" s="1434"/>
      <c r="J290" s="1434"/>
      <c r="K290" s="1434"/>
      <c r="L290" s="1434"/>
      <c r="M290" s="1434"/>
      <c r="N290" s="1434"/>
      <c r="O290" s="1434"/>
      <c r="P290" s="1434"/>
      <c r="Q290" s="1434"/>
      <c r="R290" s="1434"/>
      <c r="T290" s="3" t="s">
        <v>87</v>
      </c>
      <c r="V290" s="3"/>
      <c r="W290" s="3"/>
      <c r="X290" s="3"/>
      <c r="Y290" s="3"/>
      <c r="AA290" s="1434" t="s">
        <v>2719</v>
      </c>
      <c r="AB290" s="1434"/>
      <c r="AC290" s="1434"/>
      <c r="AD290" s="1434"/>
      <c r="AE290" s="1434"/>
      <c r="AF290" s="1434"/>
      <c r="AG290" s="1434"/>
      <c r="AH290" s="1434"/>
      <c r="AI290" s="1434"/>
      <c r="AJ290" s="1434"/>
      <c r="AK290" s="1434"/>
      <c r="BN290" s="34"/>
    </row>
    <row r="291" spans="2:66" ht="12.95" customHeight="1">
      <c r="B291" s="3" t="s">
        <v>88</v>
      </c>
      <c r="C291" s="3"/>
      <c r="D291" s="3"/>
      <c r="E291" s="3"/>
      <c r="F291" s="3"/>
      <c r="G291" s="3"/>
      <c r="H291" s="1762" t="s">
        <v>2649</v>
      </c>
      <c r="I291" s="1762"/>
      <c r="J291" s="1762"/>
      <c r="K291" s="1762"/>
      <c r="L291" s="1762"/>
      <c r="M291" s="1762"/>
      <c r="N291" s="4" t="s">
        <v>207</v>
      </c>
      <c r="O291" s="4"/>
      <c r="P291" s="1428"/>
      <c r="Q291" s="1428"/>
      <c r="R291" s="1428"/>
      <c r="S291" s="3"/>
      <c r="T291" s="3" t="s">
        <v>88</v>
      </c>
      <c r="V291" s="3"/>
      <c r="W291" s="3"/>
      <c r="X291" s="3"/>
      <c r="Y291" s="3"/>
      <c r="AA291" s="1774" t="s">
        <v>2720</v>
      </c>
      <c r="AB291" s="1762"/>
      <c r="AC291" s="1762"/>
      <c r="AD291" s="1762"/>
      <c r="AE291" s="1762"/>
      <c r="AF291" s="1762"/>
      <c r="AG291" s="4" t="s">
        <v>207</v>
      </c>
      <c r="AH291" s="4"/>
      <c r="AI291" s="1428"/>
      <c r="AJ291" s="1428"/>
      <c r="AK291" s="1428"/>
      <c r="BN291" s="34"/>
    </row>
    <row r="292" spans="2:66" ht="12.95" customHeight="1">
      <c r="B292" s="3" t="s">
        <v>89</v>
      </c>
      <c r="C292" s="3"/>
      <c r="D292" s="3"/>
      <c r="E292" s="3"/>
      <c r="F292" s="3"/>
      <c r="G292" s="3"/>
      <c r="H292" s="1379"/>
      <c r="I292" s="1379"/>
      <c r="J292" s="1379"/>
      <c r="K292" s="1379"/>
      <c r="L292" s="1379"/>
      <c r="M292" s="1379"/>
      <c r="N292" s="4"/>
      <c r="O292" s="4"/>
      <c r="P292" s="35"/>
      <c r="Q292" s="35"/>
      <c r="R292" s="35"/>
      <c r="S292" s="3"/>
      <c r="T292" s="3" t="s">
        <v>89</v>
      </c>
      <c r="V292" s="3"/>
      <c r="W292" s="3"/>
      <c r="X292" s="3"/>
      <c r="Y292" s="3"/>
      <c r="AA292" s="1379"/>
      <c r="AB292" s="1379"/>
      <c r="AC292" s="1379"/>
      <c r="AD292" s="1379"/>
      <c r="AE292" s="1379"/>
      <c r="AF292" s="1379"/>
      <c r="AG292" s="4"/>
      <c r="AH292" s="4"/>
      <c r="AI292" s="35"/>
      <c r="AJ292" s="35"/>
      <c r="AK292" s="35"/>
      <c r="BN292" s="34"/>
    </row>
    <row r="293" spans="2:66" ht="12.95" customHeight="1">
      <c r="B293" s="3" t="s">
        <v>76</v>
      </c>
      <c r="C293" s="3"/>
      <c r="D293" s="3"/>
      <c r="E293" s="3"/>
      <c r="F293" s="3"/>
      <c r="G293" s="3"/>
      <c r="H293" s="1434" t="s">
        <v>2650</v>
      </c>
      <c r="I293" s="1434"/>
      <c r="J293" s="1434"/>
      <c r="K293" s="1434"/>
      <c r="L293" s="1434"/>
      <c r="M293" s="1434"/>
      <c r="N293" s="1378"/>
      <c r="O293" s="1378"/>
      <c r="P293" s="1378"/>
      <c r="Q293" s="1378"/>
      <c r="R293" s="1378"/>
      <c r="S293" s="3"/>
      <c r="T293" s="3" t="s">
        <v>76</v>
      </c>
      <c r="V293" s="3"/>
      <c r="W293" s="3"/>
      <c r="X293" s="3"/>
      <c r="Y293" s="3"/>
      <c r="AA293" s="1434" t="s">
        <v>2721</v>
      </c>
      <c r="AB293" s="1434"/>
      <c r="AC293" s="1434"/>
      <c r="AD293" s="1434"/>
      <c r="AE293" s="1434"/>
      <c r="AF293" s="1434"/>
      <c r="AG293" s="1378"/>
      <c r="AH293" s="1378"/>
      <c r="AI293" s="1378"/>
      <c r="AJ293" s="1378"/>
      <c r="AK293" s="1378"/>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378" t="s">
        <v>2666</v>
      </c>
      <c r="I295" s="1378"/>
      <c r="J295" s="1378"/>
      <c r="K295" s="1378"/>
      <c r="L295" s="1378"/>
      <c r="M295" s="1378"/>
      <c r="N295" s="1378"/>
      <c r="O295" s="1378"/>
      <c r="P295" s="1378"/>
      <c r="Q295" s="1378"/>
      <c r="R295" s="1378"/>
      <c r="T295" s="3" t="s">
        <v>365</v>
      </c>
      <c r="V295" s="3"/>
      <c r="W295" s="3"/>
      <c r="X295" s="3"/>
      <c r="Y295" s="3"/>
      <c r="AA295" s="1378" t="s">
        <v>2722</v>
      </c>
      <c r="AB295" s="1378"/>
      <c r="AC295" s="1378"/>
      <c r="AD295" s="1378"/>
      <c r="AE295" s="1378"/>
      <c r="AF295" s="1378"/>
      <c r="AG295" s="1378"/>
      <c r="AH295" s="1378"/>
      <c r="AI295" s="1378"/>
      <c r="AJ295" s="1378"/>
      <c r="AK295" s="1378"/>
      <c r="BN295" s="34"/>
    </row>
    <row r="296" spans="2:66" ht="12.95" customHeight="1">
      <c r="B296" s="3" t="s">
        <v>479</v>
      </c>
      <c r="C296" s="3"/>
      <c r="D296" s="3"/>
      <c r="E296" s="3"/>
      <c r="F296" s="3"/>
      <c r="H296" s="1434" t="s">
        <v>2667</v>
      </c>
      <c r="I296" s="1434"/>
      <c r="J296" s="1434"/>
      <c r="K296" s="1434"/>
      <c r="L296" s="1434"/>
      <c r="M296" s="1434"/>
      <c r="N296" s="1434"/>
      <c r="O296" s="1434"/>
      <c r="P296" s="1434"/>
      <c r="Q296" s="1434"/>
      <c r="R296" s="1434"/>
      <c r="T296" s="3" t="s">
        <v>479</v>
      </c>
      <c r="V296" s="3"/>
      <c r="W296" s="3"/>
      <c r="X296" s="3"/>
      <c r="Y296" s="3"/>
      <c r="AA296" s="1434" t="s">
        <v>2723</v>
      </c>
      <c r="AB296" s="1434"/>
      <c r="AC296" s="1434"/>
      <c r="AD296" s="1434"/>
      <c r="AE296" s="1434"/>
      <c r="AF296" s="1434"/>
      <c r="AG296" s="1434"/>
      <c r="AH296" s="1434"/>
      <c r="AI296" s="1434"/>
      <c r="AJ296" s="1434"/>
      <c r="AK296" s="1434"/>
      <c r="BN296" s="34"/>
    </row>
    <row r="297" spans="2:66" ht="12.95" customHeight="1">
      <c r="B297" s="3" t="s">
        <v>480</v>
      </c>
      <c r="C297" s="3"/>
      <c r="D297" s="3"/>
      <c r="E297" s="3"/>
      <c r="F297" s="3"/>
      <c r="H297" s="1434" t="s">
        <v>2668</v>
      </c>
      <c r="I297" s="1434"/>
      <c r="J297" s="1434"/>
      <c r="K297" s="1434"/>
      <c r="L297" s="1434"/>
      <c r="M297" s="1434"/>
      <c r="N297" s="1434"/>
      <c r="O297" s="1434"/>
      <c r="P297" s="1434"/>
      <c r="Q297" s="1434"/>
      <c r="R297" s="1434"/>
      <c r="T297" s="3" t="s">
        <v>75</v>
      </c>
      <c r="V297" s="3"/>
      <c r="W297" s="3"/>
      <c r="X297" s="3"/>
      <c r="Y297" s="3"/>
      <c r="AA297" s="1434" t="s">
        <v>2724</v>
      </c>
      <c r="AB297" s="1434"/>
      <c r="AC297" s="1434"/>
      <c r="AD297" s="1434"/>
      <c r="AE297" s="1434"/>
      <c r="AF297" s="1434"/>
      <c r="AG297" s="1434"/>
      <c r="AH297" s="1434"/>
      <c r="AI297" s="1434"/>
      <c r="AJ297" s="1434"/>
      <c r="AK297" s="1434"/>
      <c r="BN297" s="34"/>
    </row>
    <row r="298" spans="2:66" ht="12.95" customHeight="1">
      <c r="B298" s="3" t="s">
        <v>87</v>
      </c>
      <c r="C298" s="3"/>
      <c r="D298" s="3"/>
      <c r="E298" s="3"/>
      <c r="F298" s="3"/>
      <c r="H298" s="1434" t="s">
        <v>2669</v>
      </c>
      <c r="I298" s="1434"/>
      <c r="J298" s="1434"/>
      <c r="K298" s="1434"/>
      <c r="L298" s="1434"/>
      <c r="M298" s="1434"/>
      <c r="N298" s="1434"/>
      <c r="O298" s="1434"/>
      <c r="P298" s="1434"/>
      <c r="Q298" s="1434"/>
      <c r="R298" s="1434"/>
      <c r="T298" s="3" t="s">
        <v>87</v>
      </c>
      <c r="V298" s="3"/>
      <c r="W298" s="3"/>
      <c r="X298" s="3"/>
      <c r="Y298" s="3"/>
      <c r="AA298" s="1434" t="s">
        <v>2725</v>
      </c>
      <c r="AB298" s="1434"/>
      <c r="AC298" s="1434"/>
      <c r="AD298" s="1434"/>
      <c r="AE298" s="1434"/>
      <c r="AF298" s="1434"/>
      <c r="AG298" s="1434"/>
      <c r="AH298" s="1434"/>
      <c r="AI298" s="1434"/>
      <c r="AJ298" s="1434"/>
      <c r="AK298" s="1434"/>
      <c r="BN298" s="34"/>
    </row>
    <row r="299" spans="2:66" ht="12.95" customHeight="1">
      <c r="B299" s="3" t="s">
        <v>88</v>
      </c>
      <c r="C299" s="3"/>
      <c r="D299" s="3"/>
      <c r="E299" s="3"/>
      <c r="F299" s="3"/>
      <c r="G299" s="3"/>
      <c r="H299" s="1762" t="s">
        <v>2670</v>
      </c>
      <c r="I299" s="1762"/>
      <c r="J299" s="1762"/>
      <c r="K299" s="1762"/>
      <c r="L299" s="1762"/>
      <c r="M299" s="1762"/>
      <c r="N299" s="4" t="s">
        <v>207</v>
      </c>
      <c r="O299" s="4"/>
      <c r="P299" s="1428"/>
      <c r="Q299" s="1428"/>
      <c r="R299" s="1428"/>
      <c r="S299" s="3"/>
      <c r="T299" s="3" t="s">
        <v>88</v>
      </c>
      <c r="V299" s="3"/>
      <c r="W299" s="3"/>
      <c r="X299" s="3"/>
      <c r="Y299" s="3"/>
      <c r="AA299" s="1774" t="s">
        <v>2726</v>
      </c>
      <c r="AB299" s="1762"/>
      <c r="AC299" s="1762"/>
      <c r="AD299" s="1762"/>
      <c r="AE299" s="1762"/>
      <c r="AF299" s="1762"/>
      <c r="AG299" s="4" t="s">
        <v>207</v>
      </c>
      <c r="AH299" s="4"/>
      <c r="AI299" s="1428"/>
      <c r="AJ299" s="1428"/>
      <c r="AK299" s="1428"/>
      <c r="BN299" s="34"/>
    </row>
    <row r="300" spans="2:66" ht="12.95" customHeight="1">
      <c r="B300" s="3" t="s">
        <v>89</v>
      </c>
      <c r="C300" s="3"/>
      <c r="D300" s="3"/>
      <c r="E300" s="3"/>
      <c r="F300" s="3"/>
      <c r="G300" s="3"/>
      <c r="H300" s="1379"/>
      <c r="I300" s="1379"/>
      <c r="J300" s="1379"/>
      <c r="K300" s="1379"/>
      <c r="L300" s="1379"/>
      <c r="M300" s="1379"/>
      <c r="N300" s="4"/>
      <c r="O300" s="4"/>
      <c r="P300" s="35"/>
      <c r="Q300" s="35"/>
      <c r="R300" s="35"/>
      <c r="S300" s="3"/>
      <c r="T300" s="3" t="s">
        <v>89</v>
      </c>
      <c r="V300" s="3"/>
      <c r="W300" s="3"/>
      <c r="X300" s="3"/>
      <c r="Y300" s="3"/>
      <c r="AA300" s="1676" t="s">
        <v>2727</v>
      </c>
      <c r="AB300" s="1379"/>
      <c r="AC300" s="1379"/>
      <c r="AD300" s="1379"/>
      <c r="AE300" s="1379"/>
      <c r="AF300" s="1379"/>
      <c r="AG300" s="4"/>
      <c r="AH300" s="4"/>
      <c r="AI300" s="35"/>
      <c r="AJ300" s="35"/>
      <c r="AK300" s="35"/>
      <c r="BN300" s="34"/>
    </row>
    <row r="301" spans="2:66" ht="12.95" customHeight="1">
      <c r="B301" s="3" t="s">
        <v>76</v>
      </c>
      <c r="C301" s="3"/>
      <c r="D301" s="3"/>
      <c r="E301" s="3"/>
      <c r="F301" s="3"/>
      <c r="G301" s="3"/>
      <c r="H301" s="1434" t="s">
        <v>2671</v>
      </c>
      <c r="I301" s="1434"/>
      <c r="J301" s="1434"/>
      <c r="K301" s="1434"/>
      <c r="L301" s="1434"/>
      <c r="M301" s="1434"/>
      <c r="N301" s="1378"/>
      <c r="O301" s="1378"/>
      <c r="P301" s="1378"/>
      <c r="Q301" s="1378"/>
      <c r="R301" s="1378"/>
      <c r="S301" s="3"/>
      <c r="T301" s="3" t="s">
        <v>76</v>
      </c>
      <c r="V301" s="3"/>
      <c r="W301" s="3"/>
      <c r="X301" s="3"/>
      <c r="Y301" s="3"/>
      <c r="AA301" s="1434" t="s">
        <v>2728</v>
      </c>
      <c r="AB301" s="1434"/>
      <c r="AC301" s="1434"/>
      <c r="AD301" s="1434"/>
      <c r="AE301" s="1434"/>
      <c r="AF301" s="1434"/>
      <c r="AG301" s="1378"/>
      <c r="AH301" s="1378"/>
      <c r="AI301" s="1378"/>
      <c r="AJ301" s="1378"/>
      <c r="AK301" s="1378"/>
      <c r="BN301" s="34"/>
    </row>
    <row r="302" spans="2:66" ht="12.95" customHeight="1">
      <c r="BN302" s="34"/>
    </row>
    <row r="303" spans="2:66" ht="12.95" customHeight="1">
      <c r="B303" s="3" t="s">
        <v>77</v>
      </c>
      <c r="C303" s="3"/>
      <c r="D303" s="3"/>
      <c r="E303" s="3"/>
      <c r="F303" s="3"/>
      <c r="H303" s="1378" t="s">
        <v>2672</v>
      </c>
      <c r="I303" s="1378"/>
      <c r="J303" s="1378"/>
      <c r="K303" s="1378"/>
      <c r="L303" s="1378"/>
      <c r="M303" s="1378"/>
      <c r="N303" s="1378"/>
      <c r="O303" s="1378"/>
      <c r="P303" s="1378"/>
      <c r="Q303" s="1378"/>
      <c r="R303" s="1378"/>
      <c r="T303" s="4" t="s">
        <v>890</v>
      </c>
      <c r="V303" s="3"/>
      <c r="W303" s="3"/>
      <c r="X303" s="3"/>
      <c r="Y303" s="3"/>
      <c r="AA303" s="1378" t="s">
        <v>2729</v>
      </c>
      <c r="AB303" s="1378"/>
      <c r="AC303" s="1378"/>
      <c r="AD303" s="1378"/>
      <c r="AE303" s="1378"/>
      <c r="AF303" s="1378"/>
      <c r="AG303" s="1378"/>
      <c r="AH303" s="1378"/>
      <c r="AI303" s="1378"/>
      <c r="AJ303" s="1378"/>
      <c r="AK303" s="1378"/>
      <c r="BN303" s="34"/>
    </row>
    <row r="304" spans="2:66" ht="12.95" customHeight="1">
      <c r="B304" s="3" t="s">
        <v>479</v>
      </c>
      <c r="C304" s="3"/>
      <c r="D304" s="3"/>
      <c r="E304" s="3"/>
      <c r="F304" s="3"/>
      <c r="H304" s="1434" t="s">
        <v>2673</v>
      </c>
      <c r="I304" s="1434"/>
      <c r="J304" s="1434"/>
      <c r="K304" s="1434"/>
      <c r="L304" s="1434"/>
      <c r="M304" s="1434"/>
      <c r="N304" s="1434"/>
      <c r="O304" s="1434"/>
      <c r="P304" s="1434"/>
      <c r="Q304" s="1434"/>
      <c r="R304" s="1434"/>
      <c r="T304" s="3" t="s">
        <v>479</v>
      </c>
      <c r="V304" s="3"/>
      <c r="W304" s="3"/>
      <c r="X304" s="3"/>
      <c r="Y304" s="3"/>
      <c r="AA304" s="1434" t="s">
        <v>2730</v>
      </c>
      <c r="AB304" s="1434"/>
      <c r="AC304" s="1434"/>
      <c r="AD304" s="1434"/>
      <c r="AE304" s="1434"/>
      <c r="AF304" s="1434"/>
      <c r="AG304" s="1434"/>
      <c r="AH304" s="1434"/>
      <c r="AI304" s="1434"/>
      <c r="AJ304" s="1434"/>
      <c r="AK304" s="1434"/>
      <c r="BN304" s="34"/>
    </row>
    <row r="305" spans="2:66" ht="12.95" customHeight="1">
      <c r="B305" s="3" t="s">
        <v>480</v>
      </c>
      <c r="C305" s="3"/>
      <c r="D305" s="3"/>
      <c r="E305" s="3"/>
      <c r="F305" s="3"/>
      <c r="H305" s="1434" t="s">
        <v>2674</v>
      </c>
      <c r="I305" s="1434"/>
      <c r="J305" s="1434"/>
      <c r="K305" s="1434"/>
      <c r="L305" s="1434"/>
      <c r="M305" s="1434"/>
      <c r="N305" s="1434"/>
      <c r="O305" s="1434"/>
      <c r="P305" s="1434"/>
      <c r="Q305" s="1434"/>
      <c r="R305" s="1434"/>
      <c r="T305" s="3" t="s">
        <v>75</v>
      </c>
      <c r="V305" s="3"/>
      <c r="W305" s="3"/>
      <c r="X305" s="3"/>
      <c r="Y305" s="3"/>
      <c r="AA305" s="1434" t="s">
        <v>2731</v>
      </c>
      <c r="AB305" s="1434"/>
      <c r="AC305" s="1434"/>
      <c r="AD305" s="1434"/>
      <c r="AE305" s="1434"/>
      <c r="AF305" s="1434"/>
      <c r="AG305" s="1434"/>
      <c r="AH305" s="1434"/>
      <c r="AI305" s="1434"/>
      <c r="AJ305" s="1434"/>
      <c r="AK305" s="1434"/>
      <c r="BN305" s="34"/>
    </row>
    <row r="306" spans="2:66" ht="12.95" customHeight="1">
      <c r="B306" s="3" t="s">
        <v>87</v>
      </c>
      <c r="C306" s="3"/>
      <c r="D306" s="3"/>
      <c r="E306" s="3"/>
      <c r="F306" s="3"/>
      <c r="H306" s="1434" t="s">
        <v>2675</v>
      </c>
      <c r="I306" s="1434"/>
      <c r="J306" s="1434"/>
      <c r="K306" s="1434"/>
      <c r="L306" s="1434"/>
      <c r="M306" s="1434"/>
      <c r="N306" s="1434"/>
      <c r="O306" s="1434"/>
      <c r="P306" s="1434"/>
      <c r="Q306" s="1434"/>
      <c r="R306" s="1434"/>
      <c r="T306" s="3" t="s">
        <v>87</v>
      </c>
      <c r="V306" s="3"/>
      <c r="W306" s="3"/>
      <c r="X306" s="3"/>
      <c r="Y306" s="3"/>
      <c r="AA306" s="1434" t="s">
        <v>2732</v>
      </c>
      <c r="AB306" s="1434"/>
      <c r="AC306" s="1434"/>
      <c r="AD306" s="1434"/>
      <c r="AE306" s="1434"/>
      <c r="AF306" s="1434"/>
      <c r="AG306" s="1434"/>
      <c r="AH306" s="1434"/>
      <c r="AI306" s="1434"/>
      <c r="AJ306" s="1434"/>
      <c r="AK306" s="1434"/>
      <c r="BN306" s="34"/>
    </row>
    <row r="307" spans="2:66" ht="12.95" customHeight="1">
      <c r="B307" s="3" t="s">
        <v>88</v>
      </c>
      <c r="C307" s="3"/>
      <c r="D307" s="3"/>
      <c r="E307" s="3"/>
      <c r="F307" s="3"/>
      <c r="G307" s="3"/>
      <c r="H307" s="1762" t="s">
        <v>2676</v>
      </c>
      <c r="I307" s="1762"/>
      <c r="J307" s="1762"/>
      <c r="K307" s="1762"/>
      <c r="L307" s="1762"/>
      <c r="M307" s="1762"/>
      <c r="N307" s="4" t="s">
        <v>207</v>
      </c>
      <c r="O307" s="4"/>
      <c r="P307" s="1428"/>
      <c r="Q307" s="1428"/>
      <c r="R307" s="1428"/>
      <c r="S307" s="3"/>
      <c r="T307" s="3" t="s">
        <v>88</v>
      </c>
      <c r="V307" s="3"/>
      <c r="W307" s="3"/>
      <c r="X307" s="3"/>
      <c r="Y307" s="3"/>
      <c r="AA307" s="1774" t="s">
        <v>2734</v>
      </c>
      <c r="AB307" s="1762"/>
      <c r="AC307" s="1762"/>
      <c r="AD307" s="1762"/>
      <c r="AE307" s="1762"/>
      <c r="AF307" s="1762"/>
      <c r="AG307" s="4" t="s">
        <v>207</v>
      </c>
      <c r="AH307" s="4"/>
      <c r="AI307" s="1428"/>
      <c r="AJ307" s="1428"/>
      <c r="AK307" s="1428"/>
      <c r="BN307" s="34"/>
    </row>
    <row r="308" spans="2:66" ht="12.95" customHeight="1">
      <c r="B308" s="3" t="s">
        <v>89</v>
      </c>
      <c r="C308" s="3"/>
      <c r="D308" s="3"/>
      <c r="E308" s="3"/>
      <c r="F308" s="3"/>
      <c r="G308" s="3"/>
      <c r="H308" s="1379"/>
      <c r="I308" s="1379"/>
      <c r="J308" s="1379"/>
      <c r="K308" s="1379"/>
      <c r="L308" s="1379"/>
      <c r="M308" s="1379"/>
      <c r="N308" s="4"/>
      <c r="O308" s="4"/>
      <c r="P308" s="35"/>
      <c r="Q308" s="35"/>
      <c r="R308" s="35"/>
      <c r="S308" s="3"/>
      <c r="T308" s="3" t="s">
        <v>89</v>
      </c>
      <c r="V308" s="3"/>
      <c r="W308" s="3"/>
      <c r="X308" s="3"/>
      <c r="Y308" s="3"/>
      <c r="AA308" s="1379"/>
      <c r="AB308" s="1379"/>
      <c r="AC308" s="1379"/>
      <c r="AD308" s="1379"/>
      <c r="AE308" s="1379"/>
      <c r="AF308" s="1379"/>
      <c r="AG308" s="4"/>
      <c r="AH308" s="4"/>
      <c r="AI308" s="35"/>
      <c r="AJ308" s="35"/>
      <c r="AK308" s="35"/>
      <c r="BN308" s="34"/>
    </row>
    <row r="309" spans="2:66" ht="12.95" customHeight="1">
      <c r="B309" s="3" t="s">
        <v>76</v>
      </c>
      <c r="C309" s="3"/>
      <c r="D309" s="3"/>
      <c r="E309" s="3"/>
      <c r="F309" s="3"/>
      <c r="G309" s="3"/>
      <c r="H309" s="1434" t="s">
        <v>2677</v>
      </c>
      <c r="I309" s="1434"/>
      <c r="J309" s="1434"/>
      <c r="K309" s="1434"/>
      <c r="L309" s="1434"/>
      <c r="M309" s="1434"/>
      <c r="N309" s="1378"/>
      <c r="O309" s="1378"/>
      <c r="P309" s="1378"/>
      <c r="Q309" s="1378"/>
      <c r="R309" s="1378"/>
      <c r="S309" s="3"/>
      <c r="T309" s="3" t="s">
        <v>76</v>
      </c>
      <c r="V309" s="3"/>
      <c r="W309" s="3"/>
      <c r="X309" s="3"/>
      <c r="Y309" s="3"/>
      <c r="AA309" s="1434" t="s">
        <v>2733</v>
      </c>
      <c r="AB309" s="1434"/>
      <c r="AC309" s="1434"/>
      <c r="AD309" s="1434"/>
      <c r="AE309" s="1434"/>
      <c r="AF309" s="1434"/>
      <c r="AG309" s="1378"/>
      <c r="AH309" s="1378"/>
      <c r="AI309" s="1378"/>
      <c r="AJ309" s="1378"/>
      <c r="AK309" s="1378"/>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378" t="s">
        <v>2672</v>
      </c>
      <c r="I311" s="1378"/>
      <c r="J311" s="1378"/>
      <c r="K311" s="1378"/>
      <c r="L311" s="1378"/>
      <c r="M311" s="1378"/>
      <c r="N311" s="1378"/>
      <c r="O311" s="1378"/>
      <c r="P311" s="1378"/>
      <c r="Q311" s="1378"/>
      <c r="R311" s="1378"/>
      <c r="S311" s="3"/>
      <c r="T311" s="3" t="s">
        <v>366</v>
      </c>
      <c r="V311" s="3"/>
      <c r="W311" s="3"/>
      <c r="X311" s="3"/>
      <c r="Y311" s="3"/>
      <c r="AA311" s="1378" t="s">
        <v>2795</v>
      </c>
      <c r="AB311" s="1378"/>
      <c r="AC311" s="1378"/>
      <c r="AD311" s="1378"/>
      <c r="AE311" s="1378"/>
      <c r="AF311" s="1378"/>
      <c r="AG311" s="1378"/>
      <c r="AH311" s="1378"/>
      <c r="AI311" s="1378"/>
      <c r="AJ311" s="1378"/>
      <c r="AK311" s="1378"/>
      <c r="BN311" s="34"/>
    </row>
    <row r="312" spans="2:66" ht="12.95" customHeight="1">
      <c r="B312" s="3" t="s">
        <v>479</v>
      </c>
      <c r="C312" s="3"/>
      <c r="D312" s="3"/>
      <c r="E312" s="3"/>
      <c r="F312" s="3"/>
      <c r="H312" s="1434" t="s">
        <v>2673</v>
      </c>
      <c r="I312" s="1434"/>
      <c r="J312" s="1434"/>
      <c r="K312" s="1434"/>
      <c r="L312" s="1434"/>
      <c r="M312" s="1434"/>
      <c r="N312" s="1434"/>
      <c r="O312" s="1434"/>
      <c r="P312" s="1434"/>
      <c r="Q312" s="1434"/>
      <c r="R312" s="1434"/>
      <c r="S312" s="3"/>
      <c r="T312" s="3" t="s">
        <v>479</v>
      </c>
      <c r="V312" s="3"/>
      <c r="W312" s="3"/>
      <c r="X312" s="3"/>
      <c r="Y312" s="3"/>
      <c r="AA312" s="1434" t="s">
        <v>2788</v>
      </c>
      <c r="AB312" s="1434"/>
      <c r="AC312" s="1434"/>
      <c r="AD312" s="1434"/>
      <c r="AE312" s="1434"/>
      <c r="AF312" s="1434"/>
      <c r="AG312" s="1434"/>
      <c r="AH312" s="1434"/>
      <c r="AI312" s="1434"/>
      <c r="AJ312" s="1434"/>
      <c r="AK312" s="1434"/>
      <c r="BN312" s="34"/>
    </row>
    <row r="313" spans="2:66" ht="12.95" customHeight="1">
      <c r="B313" s="3" t="s">
        <v>480</v>
      </c>
      <c r="C313" s="3"/>
      <c r="D313" s="3"/>
      <c r="E313" s="3"/>
      <c r="F313" s="3"/>
      <c r="H313" s="1434" t="s">
        <v>2674</v>
      </c>
      <c r="I313" s="1434"/>
      <c r="J313" s="1434"/>
      <c r="K313" s="1434"/>
      <c r="L313" s="1434"/>
      <c r="M313" s="1434"/>
      <c r="N313" s="1434"/>
      <c r="O313" s="1434"/>
      <c r="P313" s="1434"/>
      <c r="Q313" s="1434"/>
      <c r="R313" s="1434"/>
      <c r="S313" s="3"/>
      <c r="T313" s="3" t="s">
        <v>75</v>
      </c>
      <c r="V313" s="3"/>
      <c r="W313" s="3"/>
      <c r="X313" s="3"/>
      <c r="Y313" s="3"/>
      <c r="AA313" s="1434" t="s">
        <v>2796</v>
      </c>
      <c r="AB313" s="1434"/>
      <c r="AC313" s="1434"/>
      <c r="AD313" s="1434"/>
      <c r="AE313" s="1434"/>
      <c r="AF313" s="1434"/>
      <c r="AG313" s="1434"/>
      <c r="AH313" s="1434"/>
      <c r="AI313" s="1434"/>
      <c r="AJ313" s="1434"/>
      <c r="AK313" s="1434"/>
      <c r="BN313" s="34"/>
    </row>
    <row r="314" spans="2:66" ht="12.95" customHeight="1">
      <c r="B314" s="3" t="s">
        <v>87</v>
      </c>
      <c r="C314" s="3"/>
      <c r="D314" s="3"/>
      <c r="E314" s="3"/>
      <c r="F314" s="3"/>
      <c r="H314" s="1434" t="s">
        <v>2675</v>
      </c>
      <c r="I314" s="1434"/>
      <c r="J314" s="1434"/>
      <c r="K314" s="1434"/>
      <c r="L314" s="1434"/>
      <c r="M314" s="1434"/>
      <c r="N314" s="1434"/>
      <c r="O314" s="1434"/>
      <c r="P314" s="1434"/>
      <c r="Q314" s="1434"/>
      <c r="R314" s="1434"/>
      <c r="S314" s="3"/>
      <c r="T314" s="3" t="s">
        <v>87</v>
      </c>
      <c r="V314" s="3"/>
      <c r="W314" s="3"/>
      <c r="X314" s="3"/>
      <c r="Y314" s="3"/>
      <c r="AA314" s="1434" t="s">
        <v>2789</v>
      </c>
      <c r="AB314" s="1434"/>
      <c r="AC314" s="1434"/>
      <c r="AD314" s="1434"/>
      <c r="AE314" s="1434"/>
      <c r="AF314" s="1434"/>
      <c r="AG314" s="1434"/>
      <c r="AH314" s="1434"/>
      <c r="AI314" s="1434"/>
      <c r="AJ314" s="1434"/>
      <c r="AK314" s="1434"/>
      <c r="BN314" s="34"/>
    </row>
    <row r="315" spans="2:66" ht="12.95" customHeight="1">
      <c r="B315" s="3" t="s">
        <v>88</v>
      </c>
      <c r="C315" s="3"/>
      <c r="D315" s="3"/>
      <c r="E315" s="3"/>
      <c r="F315" s="3"/>
      <c r="G315" s="3"/>
      <c r="H315" s="1762" t="s">
        <v>2676</v>
      </c>
      <c r="I315" s="1762"/>
      <c r="J315" s="1762"/>
      <c r="K315" s="1762"/>
      <c r="L315" s="1762"/>
      <c r="M315" s="1762"/>
      <c r="N315" s="4" t="s">
        <v>207</v>
      </c>
      <c r="O315" s="4"/>
      <c r="P315" s="1428"/>
      <c r="Q315" s="1428"/>
      <c r="R315" s="1428"/>
      <c r="S315" s="3"/>
      <c r="T315" s="3" t="s">
        <v>88</v>
      </c>
      <c r="V315" s="3"/>
      <c r="W315" s="3"/>
      <c r="X315" s="3"/>
      <c r="Y315" s="3"/>
      <c r="AA315" s="1774" t="s">
        <v>2790</v>
      </c>
      <c r="AB315" s="1762"/>
      <c r="AC315" s="1762"/>
      <c r="AD315" s="1762"/>
      <c r="AE315" s="1762"/>
      <c r="AF315" s="1762"/>
      <c r="AG315" s="4" t="s">
        <v>207</v>
      </c>
      <c r="AH315" s="4"/>
      <c r="AI315" s="1428"/>
      <c r="AJ315" s="1428"/>
      <c r="AK315" s="1428"/>
      <c r="BN315" s="34"/>
    </row>
    <row r="316" spans="2:66" ht="12.95" customHeight="1">
      <c r="B316" s="3" t="s">
        <v>89</v>
      </c>
      <c r="C316" s="3"/>
      <c r="D316" s="3"/>
      <c r="E316" s="3"/>
      <c r="F316" s="3"/>
      <c r="G316" s="3"/>
      <c r="H316" s="1379"/>
      <c r="I316" s="1379"/>
      <c r="J316" s="1379"/>
      <c r="K316" s="1379"/>
      <c r="L316" s="1379"/>
      <c r="M316" s="1379"/>
      <c r="N316" s="4"/>
      <c r="O316" s="4"/>
      <c r="P316" s="35"/>
      <c r="Q316" s="35"/>
      <c r="R316" s="35"/>
      <c r="S316" s="3"/>
      <c r="T316" s="3" t="s">
        <v>89</v>
      </c>
      <c r="V316" s="3"/>
      <c r="W316" s="3"/>
      <c r="X316" s="3"/>
      <c r="Y316" s="3"/>
      <c r="AA316" s="1676"/>
      <c r="AB316" s="1379"/>
      <c r="AC316" s="1379"/>
      <c r="AD316" s="1379"/>
      <c r="AE316" s="1379"/>
      <c r="AF316" s="1379"/>
      <c r="AG316" s="4"/>
      <c r="AH316" s="4"/>
      <c r="AI316" s="35"/>
      <c r="AJ316" s="35"/>
      <c r="AK316" s="35"/>
      <c r="BN316" s="34"/>
    </row>
    <row r="317" spans="2:66" ht="12.95" customHeight="1">
      <c r="B317" s="3" t="s">
        <v>76</v>
      </c>
      <c r="C317" s="3"/>
      <c r="D317" s="3"/>
      <c r="E317" s="3"/>
      <c r="F317" s="3"/>
      <c r="G317" s="3"/>
      <c r="H317" s="1434" t="s">
        <v>2677</v>
      </c>
      <c r="I317" s="1434"/>
      <c r="J317" s="1434"/>
      <c r="K317" s="1434"/>
      <c r="L317" s="1434"/>
      <c r="M317" s="1434"/>
      <c r="N317" s="1378"/>
      <c r="O317" s="1378"/>
      <c r="P317" s="1378"/>
      <c r="Q317" s="1378"/>
      <c r="R317" s="1378"/>
      <c r="S317" s="3"/>
      <c r="T317" s="3" t="s">
        <v>76</v>
      </c>
      <c r="V317" s="3"/>
      <c r="W317" s="3"/>
      <c r="X317" s="3"/>
      <c r="Y317" s="3"/>
      <c r="AA317" s="1434" t="s">
        <v>2797</v>
      </c>
      <c r="AB317" s="1434"/>
      <c r="AC317" s="1434"/>
      <c r="AD317" s="1434"/>
      <c r="AE317" s="1434"/>
      <c r="AF317" s="1434"/>
      <c r="AG317" s="1378"/>
      <c r="AH317" s="1378"/>
      <c r="AI317" s="1378"/>
      <c r="AJ317" s="1378"/>
      <c r="AK317" s="1378"/>
      <c r="BN317" s="34"/>
    </row>
    <row r="318" spans="2:66" ht="12.95" customHeight="1">
      <c r="BN318" s="34"/>
    </row>
    <row r="319" spans="2:66" ht="12.95" customHeight="1">
      <c r="B319" s="4" t="s">
        <v>923</v>
      </c>
      <c r="C319" s="3"/>
      <c r="D319" s="3"/>
      <c r="E319" s="3"/>
      <c r="F319" s="3"/>
      <c r="H319" s="1378" t="s">
        <v>2804</v>
      </c>
      <c r="I319" s="1378"/>
      <c r="J319" s="1378"/>
      <c r="K319" s="1378"/>
      <c r="L319" s="1378"/>
      <c r="M319" s="1378"/>
      <c r="N319" s="1378"/>
      <c r="O319" s="1378"/>
      <c r="P319" s="1378"/>
      <c r="Q319" s="1378"/>
      <c r="R319" s="1378"/>
      <c r="T319" s="3" t="s">
        <v>367</v>
      </c>
      <c r="V319" s="3"/>
      <c r="W319" s="3"/>
      <c r="X319" s="3"/>
      <c r="Y319" s="3"/>
      <c r="AA319" s="1378" t="s">
        <v>2735</v>
      </c>
      <c r="AB319" s="1378"/>
      <c r="AC319" s="1378"/>
      <c r="AD319" s="1378"/>
      <c r="AE319" s="1378"/>
      <c r="AF319" s="1378"/>
      <c r="AG319" s="1378"/>
      <c r="AH319" s="1378"/>
      <c r="AI319" s="1378"/>
      <c r="AJ319" s="1378"/>
      <c r="AK319" s="1378"/>
      <c r="BN319" s="34"/>
    </row>
    <row r="320" spans="2:66" ht="12.95" customHeight="1">
      <c r="B320" s="3" t="s">
        <v>479</v>
      </c>
      <c r="C320" s="3"/>
      <c r="D320" s="3"/>
      <c r="E320" s="3"/>
      <c r="F320" s="3"/>
      <c r="H320" s="1434" t="s">
        <v>2805</v>
      </c>
      <c r="I320" s="1434"/>
      <c r="J320" s="1434"/>
      <c r="K320" s="1434"/>
      <c r="L320" s="1434"/>
      <c r="M320" s="1434"/>
      <c r="N320" s="1434"/>
      <c r="O320" s="1434"/>
      <c r="P320" s="1434"/>
      <c r="Q320" s="1434"/>
      <c r="R320" s="1434"/>
      <c r="T320" s="3" t="s">
        <v>479</v>
      </c>
      <c r="V320" s="3"/>
      <c r="W320" s="3"/>
      <c r="X320" s="3"/>
      <c r="Y320" s="3"/>
      <c r="AA320" s="1434" t="s">
        <v>2736</v>
      </c>
      <c r="AB320" s="1434"/>
      <c r="AC320" s="1434"/>
      <c r="AD320" s="1434"/>
      <c r="AE320" s="1434"/>
      <c r="AF320" s="1434"/>
      <c r="AG320" s="1434"/>
      <c r="AH320" s="1434"/>
      <c r="AI320" s="1434"/>
      <c r="AJ320" s="1434"/>
      <c r="AK320" s="1434"/>
      <c r="BN320" s="34"/>
    </row>
    <row r="321" spans="2:66" ht="12.95" customHeight="1">
      <c r="B321" s="3" t="s">
        <v>480</v>
      </c>
      <c r="C321" s="3"/>
      <c r="D321" s="3"/>
      <c r="E321" s="3"/>
      <c r="F321" s="3"/>
      <c r="H321" s="1434" t="s">
        <v>2798</v>
      </c>
      <c r="I321" s="1434"/>
      <c r="J321" s="1434"/>
      <c r="K321" s="1434"/>
      <c r="L321" s="1434"/>
      <c r="M321" s="1434"/>
      <c r="N321" s="1434"/>
      <c r="O321" s="1434"/>
      <c r="P321" s="1434"/>
      <c r="Q321" s="1434"/>
      <c r="R321" s="1434"/>
      <c r="T321" s="3" t="s">
        <v>75</v>
      </c>
      <c r="V321" s="3"/>
      <c r="W321" s="3"/>
      <c r="X321" s="3"/>
      <c r="Y321" s="3"/>
      <c r="AA321" s="1434" t="s">
        <v>2737</v>
      </c>
      <c r="AB321" s="1434"/>
      <c r="AC321" s="1434"/>
      <c r="AD321" s="1434"/>
      <c r="AE321" s="1434"/>
      <c r="AF321" s="1434"/>
      <c r="AG321" s="1434"/>
      <c r="AH321" s="1434"/>
      <c r="AI321" s="1434"/>
      <c r="AJ321" s="1434"/>
      <c r="AK321" s="1434"/>
      <c r="BN321" s="34"/>
    </row>
    <row r="322" spans="2:66" ht="12.95" customHeight="1">
      <c r="B322" s="3" t="s">
        <v>87</v>
      </c>
      <c r="C322" s="3"/>
      <c r="D322" s="3"/>
      <c r="E322" s="3"/>
      <c r="F322" s="3"/>
      <c r="H322" s="1434" t="s">
        <v>2799</v>
      </c>
      <c r="I322" s="1434"/>
      <c r="J322" s="1434"/>
      <c r="K322" s="1434"/>
      <c r="L322" s="1434"/>
      <c r="M322" s="1434"/>
      <c r="N322" s="1434"/>
      <c r="O322" s="1434"/>
      <c r="P322" s="1434"/>
      <c r="Q322" s="1434"/>
      <c r="R322" s="1434"/>
      <c r="T322" s="3" t="s">
        <v>87</v>
      </c>
      <c r="V322" s="3"/>
      <c r="W322" s="3"/>
      <c r="X322" s="3"/>
      <c r="Y322" s="3"/>
      <c r="AA322" s="1434" t="s">
        <v>2738</v>
      </c>
      <c r="AB322" s="1434"/>
      <c r="AC322" s="1434"/>
      <c r="AD322" s="1434"/>
      <c r="AE322" s="1434"/>
      <c r="AF322" s="1434"/>
      <c r="AG322" s="1434"/>
      <c r="AH322" s="1434"/>
      <c r="AI322" s="1434"/>
      <c r="AJ322" s="1434"/>
      <c r="AK322" s="1434"/>
      <c r="BN322" s="34"/>
    </row>
    <row r="323" spans="2:66" ht="12.95" customHeight="1">
      <c r="B323" s="3" t="s">
        <v>88</v>
      </c>
      <c r="C323" s="3"/>
      <c r="D323" s="3"/>
      <c r="E323" s="3"/>
      <c r="F323" s="3"/>
      <c r="G323" s="3"/>
      <c r="H323" s="1774" t="s">
        <v>2800</v>
      </c>
      <c r="I323" s="1762"/>
      <c r="J323" s="1762"/>
      <c r="K323" s="1762"/>
      <c r="L323" s="1762"/>
      <c r="M323" s="1762"/>
      <c r="N323" s="4" t="s">
        <v>207</v>
      </c>
      <c r="O323" s="4"/>
      <c r="P323" s="1428"/>
      <c r="Q323" s="1428"/>
      <c r="R323" s="1428"/>
      <c r="S323" s="3"/>
      <c r="T323" s="3" t="s">
        <v>88</v>
      </c>
      <c r="V323" s="3"/>
      <c r="W323" s="3"/>
      <c r="X323" s="3"/>
      <c r="Y323" s="3"/>
      <c r="AA323" s="1762" t="s">
        <v>2739</v>
      </c>
      <c r="AB323" s="1762"/>
      <c r="AC323" s="1762"/>
      <c r="AD323" s="1762"/>
      <c r="AE323" s="1762"/>
      <c r="AF323" s="1762"/>
      <c r="AG323" s="4" t="s">
        <v>207</v>
      </c>
      <c r="AH323" s="4"/>
      <c r="AI323" s="1428"/>
      <c r="AJ323" s="1428"/>
      <c r="AK323" s="1428"/>
    </row>
    <row r="324" spans="2:66" ht="12.95" customHeight="1">
      <c r="B324" s="3" t="s">
        <v>89</v>
      </c>
      <c r="C324" s="3"/>
      <c r="D324" s="3"/>
      <c r="E324" s="3"/>
      <c r="F324" s="3"/>
      <c r="G324" s="3"/>
      <c r="H324" s="1676" t="s">
        <v>2801</v>
      </c>
      <c r="I324" s="1379"/>
      <c r="J324" s="1379"/>
      <c r="K324" s="1379"/>
      <c r="L324" s="1379"/>
      <c r="M324" s="1379"/>
      <c r="N324" s="4"/>
      <c r="O324" s="4"/>
      <c r="P324" s="35"/>
      <c r="Q324" s="35"/>
      <c r="R324" s="35"/>
      <c r="S324" s="3"/>
      <c r="T324" s="3" t="s">
        <v>89</v>
      </c>
      <c r="V324" s="3"/>
      <c r="W324" s="3"/>
      <c r="X324" s="3"/>
      <c r="Y324" s="3"/>
      <c r="AA324" s="1379" t="s">
        <v>2740</v>
      </c>
      <c r="AB324" s="1379"/>
      <c r="AC324" s="1379"/>
      <c r="AD324" s="1379"/>
      <c r="AE324" s="1379"/>
      <c r="AF324" s="1379"/>
      <c r="AG324" s="4"/>
      <c r="AH324" s="4"/>
      <c r="AI324" s="35"/>
      <c r="AJ324" s="35"/>
      <c r="AK324" s="35"/>
    </row>
    <row r="325" spans="2:66" ht="12.95" customHeight="1">
      <c r="B325" s="3" t="s">
        <v>76</v>
      </c>
      <c r="C325" s="3"/>
      <c r="D325" s="3"/>
      <c r="E325" s="3"/>
      <c r="F325" s="3"/>
      <c r="G325" s="3"/>
      <c r="H325" s="1434" t="s">
        <v>2806</v>
      </c>
      <c r="I325" s="1434"/>
      <c r="J325" s="1434"/>
      <c r="K325" s="1434"/>
      <c r="L325" s="1434"/>
      <c r="M325" s="1434"/>
      <c r="N325" s="1378"/>
      <c r="O325" s="1378"/>
      <c r="P325" s="1378"/>
      <c r="Q325" s="1378"/>
      <c r="R325" s="1378"/>
      <c r="S325" s="3"/>
      <c r="T325" s="3" t="s">
        <v>76</v>
      </c>
      <c r="V325" s="3"/>
      <c r="W325" s="3"/>
      <c r="X325" s="3"/>
      <c r="Y325" s="3"/>
      <c r="AA325" s="1434" t="s">
        <v>2741</v>
      </c>
      <c r="AB325" s="1434"/>
      <c r="AC325" s="1434"/>
      <c r="AD325" s="1434"/>
      <c r="AE325" s="1434"/>
      <c r="AF325" s="1434"/>
      <c r="AG325" s="1378"/>
      <c r="AH325" s="1378"/>
      <c r="AI325" s="1378"/>
      <c r="AJ325" s="1378"/>
      <c r="AK325" s="1378"/>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378" t="s">
        <v>2709</v>
      </c>
      <c r="I327" s="1378"/>
      <c r="J327" s="1378"/>
      <c r="K327" s="1378"/>
      <c r="L327" s="1378"/>
      <c r="M327" s="1378"/>
      <c r="N327" s="1378"/>
      <c r="O327" s="1378"/>
      <c r="P327" s="1378"/>
      <c r="Q327" s="1378"/>
      <c r="R327" s="1378"/>
      <c r="T327" s="3" t="s">
        <v>369</v>
      </c>
      <c r="V327" s="3"/>
      <c r="W327" s="3"/>
      <c r="X327" s="3"/>
      <c r="Y327" s="3"/>
      <c r="AA327" s="1378"/>
      <c r="AB327" s="1378"/>
      <c r="AC327" s="1378"/>
      <c r="AD327" s="1378"/>
      <c r="AE327" s="1378"/>
      <c r="AF327" s="1378"/>
      <c r="AG327" s="1378"/>
      <c r="AH327" s="1378"/>
      <c r="AI327" s="1378"/>
      <c r="AJ327" s="1378"/>
      <c r="AK327" s="1378"/>
    </row>
    <row r="328" spans="2:66" ht="12.95" customHeight="1">
      <c r="B328" s="3" t="s">
        <v>479</v>
      </c>
      <c r="C328" s="3"/>
      <c r="D328" s="3"/>
      <c r="E328" s="3"/>
      <c r="F328" s="3"/>
      <c r="H328" s="1434" t="s">
        <v>2710</v>
      </c>
      <c r="I328" s="1434"/>
      <c r="J328" s="1434"/>
      <c r="K328" s="1434"/>
      <c r="L328" s="1434"/>
      <c r="M328" s="1434"/>
      <c r="N328" s="1434"/>
      <c r="O328" s="1434"/>
      <c r="P328" s="1434"/>
      <c r="Q328" s="1434"/>
      <c r="R328" s="1434"/>
      <c r="T328" s="3" t="s">
        <v>479</v>
      </c>
      <c r="V328" s="3"/>
      <c r="W328" s="3"/>
      <c r="X328" s="3"/>
      <c r="Y328" s="3"/>
      <c r="AA328" s="1434"/>
      <c r="AB328" s="1434"/>
      <c r="AC328" s="1434"/>
      <c r="AD328" s="1434"/>
      <c r="AE328" s="1434"/>
      <c r="AF328" s="1434"/>
      <c r="AG328" s="1434"/>
      <c r="AH328" s="1434"/>
      <c r="AI328" s="1434"/>
      <c r="AJ328" s="1434"/>
      <c r="AK328" s="1434"/>
    </row>
    <row r="329" spans="2:66" ht="12.95" customHeight="1">
      <c r="B329" s="3" t="s">
        <v>480</v>
      </c>
      <c r="C329" s="3"/>
      <c r="D329" s="3"/>
      <c r="E329" s="3"/>
      <c r="F329" s="3"/>
      <c r="H329" s="1434" t="s">
        <v>2711</v>
      </c>
      <c r="I329" s="1434"/>
      <c r="J329" s="1434"/>
      <c r="K329" s="1434"/>
      <c r="L329" s="1434"/>
      <c r="M329" s="1434"/>
      <c r="N329" s="1434"/>
      <c r="O329" s="1434"/>
      <c r="P329" s="1434"/>
      <c r="Q329" s="1434"/>
      <c r="R329" s="1434"/>
      <c r="T329" s="3" t="s">
        <v>75</v>
      </c>
      <c r="V329" s="3"/>
      <c r="W329" s="3"/>
      <c r="X329" s="3"/>
      <c r="Y329" s="3"/>
      <c r="AA329" s="1434"/>
      <c r="AB329" s="1434"/>
      <c r="AC329" s="1434"/>
      <c r="AD329" s="1434"/>
      <c r="AE329" s="1434"/>
      <c r="AF329" s="1434"/>
      <c r="AG329" s="1434"/>
      <c r="AH329" s="1434"/>
      <c r="AI329" s="1434"/>
      <c r="AJ329" s="1434"/>
      <c r="AK329" s="1434"/>
    </row>
    <row r="330" spans="2:66" ht="12.95" customHeight="1">
      <c r="B330" s="3" t="s">
        <v>87</v>
      </c>
      <c r="C330" s="3"/>
      <c r="D330" s="3"/>
      <c r="E330" s="3"/>
      <c r="F330" s="3"/>
      <c r="H330" s="1434" t="s">
        <v>2712</v>
      </c>
      <c r="I330" s="1434"/>
      <c r="J330" s="1434"/>
      <c r="K330" s="1434"/>
      <c r="L330" s="1434"/>
      <c r="M330" s="1434"/>
      <c r="N330" s="1434"/>
      <c r="O330" s="1434"/>
      <c r="P330" s="1434"/>
      <c r="Q330" s="1434"/>
      <c r="R330" s="1434"/>
      <c r="T330" s="3" t="s">
        <v>87</v>
      </c>
      <c r="V330" s="3"/>
      <c r="W330" s="3"/>
      <c r="X330" s="3"/>
      <c r="Y330" s="3"/>
      <c r="AA330" s="1434"/>
      <c r="AB330" s="1434"/>
      <c r="AC330" s="1434"/>
      <c r="AD330" s="1434"/>
      <c r="AE330" s="1434"/>
      <c r="AF330" s="1434"/>
      <c r="AG330" s="1434"/>
      <c r="AH330" s="1434"/>
      <c r="AI330" s="1434"/>
      <c r="AJ330" s="1434"/>
      <c r="AK330" s="1434"/>
    </row>
    <row r="331" spans="2:66" ht="12.95" customHeight="1">
      <c r="B331" s="3" t="s">
        <v>88</v>
      </c>
      <c r="C331" s="3"/>
      <c r="D331" s="3"/>
      <c r="E331" s="3"/>
      <c r="F331" s="3"/>
      <c r="G331" s="3"/>
      <c r="H331" s="1762" t="s">
        <v>2713</v>
      </c>
      <c r="I331" s="1762"/>
      <c r="J331" s="1762"/>
      <c r="K331" s="1762"/>
      <c r="L331" s="1762"/>
      <c r="M331" s="1762"/>
      <c r="N331" s="4" t="s">
        <v>207</v>
      </c>
      <c r="O331" s="4"/>
      <c r="P331" s="1428"/>
      <c r="Q331" s="1428"/>
      <c r="R331" s="1428"/>
      <c r="S331" s="3"/>
      <c r="T331" s="3" t="s">
        <v>88</v>
      </c>
      <c r="V331" s="3"/>
      <c r="W331" s="3"/>
      <c r="X331" s="3"/>
      <c r="Y331" s="3"/>
      <c r="AA331" s="1762"/>
      <c r="AB331" s="1762"/>
      <c r="AC331" s="1762"/>
      <c r="AD331" s="1762"/>
      <c r="AE331" s="1762"/>
      <c r="AF331" s="1762"/>
      <c r="AG331" s="4" t="s">
        <v>207</v>
      </c>
      <c r="AH331" s="4"/>
      <c r="AI331" s="1428"/>
      <c r="AJ331" s="1428"/>
      <c r="AK331" s="1428"/>
    </row>
    <row r="332" spans="2:66" ht="12.95" customHeight="1">
      <c r="B332" s="3" t="s">
        <v>89</v>
      </c>
      <c r="C332" s="3"/>
      <c r="D332" s="3"/>
      <c r="E332" s="3"/>
      <c r="F332" s="3"/>
      <c r="G332" s="3"/>
      <c r="H332" s="1379" t="s">
        <v>2714</v>
      </c>
      <c r="I332" s="1379"/>
      <c r="J332" s="1379"/>
      <c r="K332" s="1379"/>
      <c r="L332" s="1379"/>
      <c r="M332" s="1379"/>
      <c r="N332" s="4"/>
      <c r="O332" s="4"/>
      <c r="P332" s="35"/>
      <c r="Q332" s="35"/>
      <c r="R332" s="35"/>
      <c r="S332" s="3"/>
      <c r="T332" s="3" t="s">
        <v>89</v>
      </c>
      <c r="V332" s="3"/>
      <c r="W332" s="3"/>
      <c r="X332" s="3"/>
      <c r="Y332" s="3"/>
      <c r="AA332" s="1379"/>
      <c r="AB332" s="1379"/>
      <c r="AC332" s="1379"/>
      <c r="AD332" s="1379"/>
      <c r="AE332" s="1379"/>
      <c r="AF332" s="1379"/>
      <c r="AG332" s="4"/>
      <c r="AH332" s="4"/>
      <c r="AI332" s="35"/>
      <c r="AJ332" s="35"/>
      <c r="AK332" s="35"/>
    </row>
    <row r="333" spans="2:66" ht="12.95" customHeight="1">
      <c r="B333" s="3" t="s">
        <v>76</v>
      </c>
      <c r="C333" s="3"/>
      <c r="D333" s="3"/>
      <c r="E333" s="3"/>
      <c r="F333" s="3"/>
      <c r="G333" s="3"/>
      <c r="H333" s="1434" t="s">
        <v>2715</v>
      </c>
      <c r="I333" s="1434"/>
      <c r="J333" s="1434"/>
      <c r="K333" s="1434"/>
      <c r="L333" s="1434"/>
      <c r="M333" s="1434"/>
      <c r="N333" s="1378"/>
      <c r="O333" s="1378"/>
      <c r="P333" s="1378"/>
      <c r="Q333" s="1378"/>
      <c r="R333" s="1378"/>
      <c r="S333" s="3"/>
      <c r="T333" s="3" t="s">
        <v>76</v>
      </c>
      <c r="V333" s="3"/>
      <c r="W333" s="3"/>
      <c r="X333" s="3"/>
      <c r="Y333" s="3"/>
      <c r="AA333" s="1434"/>
      <c r="AB333" s="1434"/>
      <c r="AC333" s="1434"/>
      <c r="AD333" s="1434"/>
      <c r="AE333" s="1434"/>
      <c r="AF333" s="1434"/>
      <c r="AG333" s="1378"/>
      <c r="AH333" s="1378"/>
      <c r="AI333" s="1378"/>
      <c r="AJ333" s="1378"/>
      <c r="AK333" s="1378"/>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27" t="s">
        <v>2703</v>
      </c>
      <c r="I335" s="1378"/>
      <c r="J335" s="1378"/>
      <c r="K335" s="1378"/>
      <c r="L335" s="1378"/>
      <c r="M335" s="1378"/>
      <c r="N335" s="1378"/>
      <c r="O335" s="1378"/>
      <c r="P335" s="1378"/>
      <c r="Q335" s="1378"/>
      <c r="R335" s="1378"/>
      <c r="T335" s="218" t="s">
        <v>899</v>
      </c>
      <c r="V335" s="3"/>
      <c r="W335" s="3"/>
      <c r="X335" s="3"/>
      <c r="Y335" s="3"/>
      <c r="AA335" s="1378" t="s">
        <v>2678</v>
      </c>
      <c r="AB335" s="1378"/>
      <c r="AC335" s="1378"/>
      <c r="AD335" s="1378"/>
      <c r="AE335" s="1378"/>
      <c r="AF335" s="1378"/>
      <c r="AG335" s="1378"/>
      <c r="AH335" s="1378"/>
      <c r="AI335" s="1378"/>
      <c r="AJ335" s="1378"/>
      <c r="AK335" s="1378"/>
    </row>
    <row r="336" spans="2:66" ht="12.95" customHeight="1">
      <c r="B336" s="3" t="s">
        <v>479</v>
      </c>
      <c r="C336" s="3"/>
      <c r="D336" s="3"/>
      <c r="E336" s="3"/>
      <c r="F336" s="3"/>
      <c r="H336" s="1434" t="s">
        <v>2704</v>
      </c>
      <c r="I336" s="1434"/>
      <c r="J336" s="1434"/>
      <c r="K336" s="1434"/>
      <c r="L336" s="1434"/>
      <c r="M336" s="1434"/>
      <c r="N336" s="1434"/>
      <c r="O336" s="1434"/>
      <c r="P336" s="1434"/>
      <c r="Q336" s="1434"/>
      <c r="R336" s="1434"/>
      <c r="T336" s="3" t="s">
        <v>479</v>
      </c>
      <c r="V336" s="3"/>
      <c r="W336" s="3"/>
      <c r="X336" s="3"/>
      <c r="Y336" s="3"/>
      <c r="AA336" s="1434" t="s">
        <v>2679</v>
      </c>
      <c r="AB336" s="1434"/>
      <c r="AC336" s="1434"/>
      <c r="AD336" s="1434"/>
      <c r="AE336" s="1434"/>
      <c r="AF336" s="1434"/>
      <c r="AG336" s="1434"/>
      <c r="AH336" s="1434"/>
      <c r="AI336" s="1434"/>
      <c r="AJ336" s="1434"/>
      <c r="AK336" s="1434"/>
    </row>
    <row r="337" spans="1:66" ht="12.95" customHeight="1">
      <c r="B337" s="3" t="s">
        <v>75</v>
      </c>
      <c r="C337" s="3"/>
      <c r="D337" s="3"/>
      <c r="E337" s="3"/>
      <c r="F337" s="3"/>
      <c r="H337" s="1434" t="s">
        <v>2705</v>
      </c>
      <c r="I337" s="1434"/>
      <c r="J337" s="1434"/>
      <c r="K337" s="1434"/>
      <c r="L337" s="1434"/>
      <c r="M337" s="1434"/>
      <c r="N337" s="1434"/>
      <c r="O337" s="1434"/>
      <c r="P337" s="1434"/>
      <c r="Q337" s="1434"/>
      <c r="R337" s="1434"/>
      <c r="T337" s="3" t="s">
        <v>75</v>
      </c>
      <c r="V337" s="3"/>
      <c r="W337" s="3"/>
      <c r="X337" s="3"/>
      <c r="Y337" s="3"/>
      <c r="AA337" s="1434" t="s">
        <v>2680</v>
      </c>
      <c r="AB337" s="1434"/>
      <c r="AC337" s="1434"/>
      <c r="AD337" s="1434"/>
      <c r="AE337" s="1434"/>
      <c r="AF337" s="1434"/>
      <c r="AG337" s="1434"/>
      <c r="AH337" s="1434"/>
      <c r="AI337" s="1434"/>
      <c r="AJ337" s="1434"/>
      <c r="AK337" s="1434"/>
    </row>
    <row r="338" spans="1:66" ht="12.95" customHeight="1">
      <c r="B338" s="3" t="s">
        <v>87</v>
      </c>
      <c r="C338" s="3"/>
      <c r="D338" s="3"/>
      <c r="E338" s="3"/>
      <c r="F338" s="3"/>
      <c r="G338" s="3"/>
      <c r="H338" s="1434" t="s">
        <v>2706</v>
      </c>
      <c r="I338" s="1434"/>
      <c r="J338" s="1434"/>
      <c r="K338" s="1434"/>
      <c r="L338" s="1434"/>
      <c r="M338" s="1434"/>
      <c r="N338" s="1434"/>
      <c r="O338" s="1434"/>
      <c r="P338" s="1434"/>
      <c r="Q338" s="1434"/>
      <c r="R338" s="1434"/>
      <c r="T338" s="3" t="s">
        <v>87</v>
      </c>
      <c r="V338" s="3"/>
      <c r="W338" s="3"/>
      <c r="X338" s="3"/>
      <c r="Y338" s="3"/>
      <c r="AA338" s="1434" t="s">
        <v>2681</v>
      </c>
      <c r="AB338" s="1434"/>
      <c r="AC338" s="1434"/>
      <c r="AD338" s="1434"/>
      <c r="AE338" s="1434"/>
      <c r="AF338" s="1434"/>
      <c r="AG338" s="1434"/>
      <c r="AH338" s="1434"/>
      <c r="AI338" s="1434"/>
      <c r="AJ338" s="1434"/>
      <c r="AK338" s="1434"/>
    </row>
    <row r="339" spans="1:66" ht="12.95" customHeight="1">
      <c r="B339" s="3" t="s">
        <v>88</v>
      </c>
      <c r="C339" s="3"/>
      <c r="D339" s="3"/>
      <c r="E339" s="3"/>
      <c r="F339" s="3"/>
      <c r="G339" s="3"/>
      <c r="H339" s="1774" t="s">
        <v>2707</v>
      </c>
      <c r="I339" s="1774"/>
      <c r="J339" s="1774"/>
      <c r="K339" s="1774"/>
      <c r="L339" s="1774"/>
      <c r="M339" s="1774"/>
      <c r="N339" s="4" t="s">
        <v>207</v>
      </c>
      <c r="O339" s="4"/>
      <c r="P339" s="1428"/>
      <c r="Q339" s="1428"/>
      <c r="R339" s="1428"/>
      <c r="S339" s="3"/>
      <c r="T339" s="3" t="s">
        <v>88</v>
      </c>
      <c r="V339" s="3"/>
      <c r="W339" s="3"/>
      <c r="X339" s="3"/>
      <c r="Y339" s="3"/>
      <c r="AA339" s="1762" t="s">
        <v>2682</v>
      </c>
      <c r="AB339" s="1762"/>
      <c r="AC339" s="1762"/>
      <c r="AD339" s="1762"/>
      <c r="AE339" s="1762"/>
      <c r="AF339" s="1762"/>
      <c r="AG339" s="4" t="s">
        <v>207</v>
      </c>
      <c r="AH339" s="4"/>
      <c r="AI339" s="1428"/>
      <c r="AJ339" s="1428"/>
      <c r="AK339" s="1428"/>
    </row>
    <row r="340" spans="1:66" ht="12.95" customHeight="1">
      <c r="B340" s="3" t="s">
        <v>89</v>
      </c>
      <c r="C340" s="3"/>
      <c r="D340" s="3"/>
      <c r="E340" s="3"/>
      <c r="F340" s="3"/>
      <c r="G340" s="3"/>
      <c r="H340" s="1379"/>
      <c r="I340" s="1379"/>
      <c r="J340" s="1379"/>
      <c r="K340" s="1379"/>
      <c r="L340" s="1379"/>
      <c r="M340" s="1379"/>
      <c r="N340" s="4"/>
      <c r="O340" s="4"/>
      <c r="P340" s="35"/>
      <c r="Q340" s="35"/>
      <c r="R340" s="35"/>
      <c r="S340" s="3"/>
      <c r="T340" s="3" t="s">
        <v>89</v>
      </c>
      <c r="V340" s="3"/>
      <c r="W340" s="3"/>
      <c r="X340" s="3"/>
      <c r="Y340" s="3"/>
      <c r="AA340" s="1379"/>
      <c r="AB340" s="1379"/>
      <c r="AC340" s="1379"/>
      <c r="AD340" s="1379"/>
      <c r="AE340" s="1379"/>
      <c r="AF340" s="1379"/>
      <c r="AG340" s="4"/>
      <c r="AH340" s="4"/>
      <c r="AI340" s="35"/>
      <c r="AJ340" s="35"/>
      <c r="AK340" s="35"/>
    </row>
    <row r="341" spans="1:66" ht="12.95" customHeight="1">
      <c r="B341" s="3" t="s">
        <v>76</v>
      </c>
      <c r="C341" s="3"/>
      <c r="D341" s="3"/>
      <c r="E341" s="3"/>
      <c r="F341" s="3"/>
      <c r="G341" s="3"/>
      <c r="H341" s="1434" t="s">
        <v>2708</v>
      </c>
      <c r="I341" s="1434"/>
      <c r="J341" s="1434"/>
      <c r="K341" s="1434"/>
      <c r="L341" s="1434"/>
      <c r="M341" s="1434"/>
      <c r="N341" s="1378"/>
      <c r="O341" s="1378"/>
      <c r="P341" s="1378"/>
      <c r="Q341" s="1378"/>
      <c r="R341" s="1378"/>
      <c r="S341" s="3"/>
      <c r="T341" s="3" t="s">
        <v>76</v>
      </c>
      <c r="V341" s="3"/>
      <c r="W341" s="3"/>
      <c r="X341" s="3"/>
      <c r="Y341" s="3"/>
      <c r="AA341" s="1434" t="s">
        <v>2683</v>
      </c>
      <c r="AB341" s="1434"/>
      <c r="AC341" s="1434"/>
      <c r="AD341" s="1434"/>
      <c r="AE341" s="1434"/>
      <c r="AF341" s="1434"/>
      <c r="AG341" s="1378"/>
      <c r="AH341" s="1378"/>
      <c r="AI341" s="1378"/>
      <c r="AJ341" s="1378"/>
      <c r="AK341" s="1378"/>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900</v>
      </c>
      <c r="P343" s="1378"/>
      <c r="Q343" s="1378"/>
      <c r="R343" s="1378"/>
      <c r="S343" s="1378"/>
      <c r="T343" s="1378"/>
      <c r="U343" s="1378"/>
      <c r="V343" s="1378"/>
      <c r="W343" s="1378"/>
      <c r="X343" s="1378"/>
      <c r="Y343" s="1378"/>
      <c r="Z343" s="1378"/>
      <c r="AA343" s="1378"/>
      <c r="AB343" s="1378"/>
      <c r="AC343" s="1378"/>
      <c r="AD343" s="1378"/>
      <c r="AE343" s="1378"/>
      <c r="BN343" t="s">
        <v>677</v>
      </c>
    </row>
    <row r="344" spans="1:66" ht="12.95" customHeight="1">
      <c r="B344" s="4"/>
      <c r="C344" s="4"/>
      <c r="D344" s="4"/>
      <c r="E344" s="4"/>
      <c r="F344" s="4"/>
      <c r="I344" s="4" t="s">
        <v>479</v>
      </c>
      <c r="P344" s="1434"/>
      <c r="Q344" s="1434"/>
      <c r="R344" s="1434"/>
      <c r="S344" s="1434"/>
      <c r="T344" s="1434"/>
      <c r="U344" s="1434"/>
      <c r="V344" s="1434"/>
      <c r="W344" s="1434"/>
      <c r="X344" s="1434"/>
      <c r="Y344" s="1434"/>
      <c r="Z344" s="1434"/>
      <c r="AA344" s="1434"/>
      <c r="AB344" s="1434"/>
      <c r="AC344" s="1434"/>
      <c r="AD344" s="1434"/>
      <c r="AE344" s="1434"/>
      <c r="BN344" t="s">
        <v>553</v>
      </c>
    </row>
    <row r="345" spans="1:66" ht="12.95" customHeight="1">
      <c r="B345" s="4"/>
      <c r="C345" s="4"/>
      <c r="D345" s="4"/>
      <c r="E345" s="4"/>
      <c r="F345" s="4"/>
      <c r="I345" s="4" t="s">
        <v>75</v>
      </c>
      <c r="P345" s="1434"/>
      <c r="Q345" s="1434"/>
      <c r="R345" s="1434"/>
      <c r="S345" s="1434"/>
      <c r="T345" s="1434"/>
      <c r="U345" s="1434"/>
      <c r="V345" s="1434"/>
      <c r="W345" s="1434"/>
      <c r="X345" s="1434"/>
      <c r="Y345" s="1434"/>
      <c r="Z345" s="1434"/>
      <c r="AA345" s="1434"/>
      <c r="AB345" s="1434"/>
      <c r="AC345" s="1434"/>
      <c r="AD345" s="1434"/>
      <c r="AE345" s="1434"/>
    </row>
    <row r="346" spans="1:66" ht="12.95" customHeight="1">
      <c r="B346" s="4"/>
      <c r="C346" s="4"/>
      <c r="D346" s="4"/>
      <c r="E346" s="4"/>
      <c r="F346" s="4"/>
      <c r="G346" s="4"/>
      <c r="I346" s="4" t="s">
        <v>87</v>
      </c>
      <c r="P346" s="1434"/>
      <c r="Q346" s="1434"/>
      <c r="R346" s="1434"/>
      <c r="S346" s="1434"/>
      <c r="T346" s="1434"/>
      <c r="U346" s="1434"/>
      <c r="V346" s="1434"/>
      <c r="W346" s="1434"/>
      <c r="X346" s="1434"/>
      <c r="Y346" s="1434"/>
      <c r="Z346" s="1434"/>
      <c r="AA346" s="1434"/>
      <c r="AB346" s="1434"/>
      <c r="AC346" s="1434"/>
      <c r="AD346" s="1434"/>
      <c r="AE346" s="1434"/>
    </row>
    <row r="347" spans="1:66" ht="12.95" customHeight="1">
      <c r="B347" s="4"/>
      <c r="C347" s="4"/>
      <c r="D347" s="4"/>
      <c r="E347" s="4"/>
      <c r="F347" s="4"/>
      <c r="G347" s="4"/>
      <c r="H347" s="324"/>
      <c r="I347" s="4" t="s">
        <v>88</v>
      </c>
      <c r="P347" s="1379"/>
      <c r="Q347" s="1379"/>
      <c r="R347" s="1379"/>
      <c r="S347" s="1379"/>
      <c r="T347" s="1379"/>
      <c r="U347" s="1379"/>
      <c r="V347" s="1379"/>
      <c r="W347" s="1379"/>
      <c r="X347" s="1379"/>
      <c r="Y347" s="1379"/>
      <c r="Z347" s="1379"/>
      <c r="AA347" s="4" t="s">
        <v>207</v>
      </c>
      <c r="AB347" s="4"/>
      <c r="AC347" s="1455"/>
      <c r="AD347" s="1455"/>
      <c r="AE347" s="1455"/>
      <c r="AF347" s="324"/>
      <c r="AG347" s="4"/>
      <c r="AH347" s="4"/>
      <c r="AI347" s="4"/>
      <c r="AJ347" s="4"/>
      <c r="AK347" s="4"/>
    </row>
    <row r="348" spans="1:66" ht="12.95" customHeight="1">
      <c r="B348" s="4"/>
      <c r="C348" s="4"/>
      <c r="D348" s="4"/>
      <c r="E348" s="4"/>
      <c r="F348" s="4"/>
      <c r="G348" s="4"/>
      <c r="H348" s="324"/>
      <c r="I348" s="4" t="s">
        <v>89</v>
      </c>
      <c r="P348" s="1379"/>
      <c r="Q348" s="1379"/>
      <c r="R348" s="1379"/>
      <c r="S348" s="1379"/>
      <c r="T348" s="1379"/>
      <c r="U348" s="1379"/>
      <c r="V348" s="1379"/>
      <c r="W348" s="1379"/>
      <c r="X348" s="1379"/>
      <c r="Y348" s="1379"/>
      <c r="Z348" s="1379"/>
      <c r="AF348" s="324"/>
      <c r="AG348" s="4"/>
      <c r="AH348" s="4"/>
      <c r="AI348" s="35"/>
      <c r="AJ348" s="35"/>
      <c r="AK348" s="35"/>
    </row>
    <row r="349" spans="1:66" ht="12.95" customHeight="1">
      <c r="B349" s="4"/>
      <c r="C349" s="4"/>
      <c r="D349" s="4"/>
      <c r="E349" s="4"/>
      <c r="F349" s="4"/>
      <c r="G349" s="4"/>
      <c r="I349" s="4" t="s">
        <v>76</v>
      </c>
      <c r="P349" s="1378"/>
      <c r="Q349" s="1378"/>
      <c r="R349" s="1378"/>
      <c r="S349" s="1378"/>
      <c r="T349" s="1378"/>
      <c r="U349" s="1378"/>
      <c r="V349" s="1378"/>
      <c r="W349" s="1378"/>
      <c r="X349" s="1378"/>
      <c r="Y349" s="1378"/>
      <c r="Z349" s="1378"/>
      <c r="AA349" s="1378"/>
      <c r="AB349" s="1378"/>
      <c r="AC349" s="1378"/>
      <c r="AD349" s="1378"/>
      <c r="AE349" s="1378"/>
    </row>
    <row r="350" spans="1:66" ht="12.95" customHeight="1">
      <c r="T350" s="8"/>
      <c r="U350" s="8"/>
      <c r="V350" s="8"/>
      <c r="W350" s="8"/>
      <c r="X350" s="8"/>
      <c r="Y350" s="8"/>
      <c r="Z350" s="8"/>
      <c r="AU350" s="95"/>
      <c r="AV350" s="95"/>
      <c r="AW350" s="95"/>
      <c r="AX350" s="95"/>
      <c r="AY350" s="95"/>
    </row>
    <row r="351" spans="1:66" ht="12.95" customHeight="1">
      <c r="A351" s="1456" t="s">
        <v>550</v>
      </c>
      <c r="B351" s="1456"/>
      <c r="C351" s="1456"/>
      <c r="D351" s="1456"/>
      <c r="E351" s="1456"/>
      <c r="F351" s="1456"/>
      <c r="G351" s="1456"/>
      <c r="H351" s="1456"/>
      <c r="I351" s="1456"/>
      <c r="J351" s="1456"/>
      <c r="K351" s="1456"/>
      <c r="L351" s="1456"/>
      <c r="M351" s="1456"/>
      <c r="N351" s="1456"/>
      <c r="O351" s="1456"/>
      <c r="P351" s="1456"/>
      <c r="Q351" s="1456"/>
      <c r="R351" s="1456"/>
      <c r="S351" s="1456"/>
      <c r="T351" s="1456"/>
      <c r="U351" s="1456"/>
      <c r="V351" s="1456"/>
      <c r="W351" s="1456"/>
      <c r="X351" s="1456"/>
      <c r="Y351" s="1456"/>
      <c r="Z351" s="1456"/>
      <c r="AA351" s="1456"/>
      <c r="AB351" s="1456"/>
      <c r="AC351" s="1456"/>
      <c r="AD351" s="1456"/>
      <c r="AE351" s="1456"/>
      <c r="AF351" s="1456"/>
      <c r="AG351" s="1456"/>
      <c r="AH351" s="1456"/>
      <c r="AI351" s="1456"/>
      <c r="AJ351" s="1456"/>
      <c r="AK351" s="1456"/>
      <c r="AL351" s="1456"/>
      <c r="AM351" s="1456"/>
      <c r="AN351" s="1456"/>
      <c r="AO351" s="1456"/>
      <c r="AP351" s="1456"/>
      <c r="AQ351" s="1456"/>
      <c r="AR351" s="1456"/>
      <c r="AS351" s="1456"/>
      <c r="AT351" s="1456"/>
      <c r="AU351" s="95"/>
      <c r="AV351" s="95"/>
      <c r="AW351" s="95"/>
      <c r="AX351" s="95"/>
      <c r="AY351" s="95"/>
    </row>
    <row r="352" spans="1:66" ht="12.95" customHeight="1">
      <c r="A352" s="1456"/>
      <c r="B352" s="1456"/>
      <c r="C352" s="1456"/>
      <c r="D352" s="1456"/>
      <c r="E352" s="1456"/>
      <c r="F352" s="1456"/>
      <c r="G352" s="1456"/>
      <c r="H352" s="1456"/>
      <c r="I352" s="1456"/>
      <c r="J352" s="1456"/>
      <c r="K352" s="1456"/>
      <c r="L352" s="1456"/>
      <c r="M352" s="1456"/>
      <c r="N352" s="1456"/>
      <c r="O352" s="1456"/>
      <c r="P352" s="1456"/>
      <c r="Q352" s="1456"/>
      <c r="R352" s="1456"/>
      <c r="S352" s="1456"/>
      <c r="T352" s="1456"/>
      <c r="U352" s="1456"/>
      <c r="V352" s="1456"/>
      <c r="W352" s="1456"/>
      <c r="X352" s="1456"/>
      <c r="Y352" s="1456"/>
      <c r="Z352" s="1456"/>
      <c r="AA352" s="1456"/>
      <c r="AB352" s="1456"/>
      <c r="AC352" s="1456"/>
      <c r="AD352" s="1456"/>
      <c r="AE352" s="1456"/>
      <c r="AF352" s="1456"/>
      <c r="AG352" s="1456"/>
      <c r="AH352" s="1456"/>
      <c r="AI352" s="1456"/>
      <c r="AJ352" s="1456"/>
      <c r="AK352" s="1456"/>
      <c r="AL352" s="1456"/>
      <c r="AM352" s="1456"/>
      <c r="AN352" s="1456"/>
      <c r="AO352" s="1456"/>
      <c r="AP352" s="1456"/>
      <c r="AQ352" s="1456"/>
      <c r="AR352" s="1456"/>
      <c r="AS352" s="1456"/>
      <c r="AT352" s="1456"/>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791</v>
      </c>
    </row>
    <row r="355" spans="1:46" ht="12.95" customHeight="1">
      <c r="D355" s="3" t="s">
        <v>2417</v>
      </c>
      <c r="M355" s="1430" t="s">
        <v>553</v>
      </c>
      <c r="N355" s="1430"/>
      <c r="P355" t="s">
        <v>1763</v>
      </c>
      <c r="AJ355" s="1430" t="s">
        <v>599</v>
      </c>
      <c r="AK355" s="1430"/>
    </row>
    <row r="356" spans="1:46" ht="12.95" customHeight="1">
      <c r="D356" s="3" t="s">
        <v>1752</v>
      </c>
      <c r="M356" s="1430" t="s">
        <v>599</v>
      </c>
      <c r="N356" s="1430"/>
      <c r="P356" s="3" t="s">
        <v>1909</v>
      </c>
      <c r="AJ356" s="1600"/>
      <c r="AK356" s="1600"/>
    </row>
    <row r="357" spans="1:46" ht="12.95" customHeight="1">
      <c r="D357" s="3" t="s">
        <v>713</v>
      </c>
      <c r="M357" s="1430" t="s">
        <v>599</v>
      </c>
      <c r="N357" s="1430"/>
      <c r="P357" t="s">
        <v>1762</v>
      </c>
      <c r="AJ357" s="1430" t="s">
        <v>599</v>
      </c>
      <c r="AK357" s="1430"/>
    </row>
    <row r="358" spans="1:46" ht="12.95" customHeight="1">
      <c r="D358" s="3" t="s">
        <v>714</v>
      </c>
      <c r="M358" s="1430" t="s">
        <v>599</v>
      </c>
      <c r="N358" s="1430"/>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30" t="s">
        <v>599</v>
      </c>
      <c r="O363" s="1430"/>
      <c r="P363" s="40"/>
      <c r="Q363" s="40"/>
      <c r="R363" s="40"/>
      <c r="S363" s="40"/>
      <c r="T363" s="40"/>
      <c r="U363" s="40"/>
      <c r="V363" s="40"/>
      <c r="W363" s="40"/>
      <c r="X363" s="40"/>
      <c r="Y363" s="40"/>
      <c r="Z363" s="40"/>
      <c r="AC363" s="40"/>
      <c r="AD363" s="40"/>
      <c r="AE363" s="40"/>
    </row>
    <row r="364" spans="1:46" ht="12.95" customHeight="1">
      <c r="E364" t="s">
        <v>371</v>
      </c>
      <c r="Y364" s="1430" t="s">
        <v>599</v>
      </c>
      <c r="Z364" s="1430"/>
    </row>
    <row r="365" spans="1:46" ht="12.95" customHeight="1">
      <c r="D365" s="4" t="s">
        <v>997</v>
      </c>
      <c r="Q365" s="1378"/>
      <c r="R365" s="1378"/>
      <c r="S365" s="1378"/>
      <c r="T365" s="1378"/>
      <c r="U365" s="1378"/>
      <c r="V365" s="1378"/>
      <c r="W365" s="1378"/>
      <c r="X365" s="1378"/>
      <c r="Y365" s="1378"/>
      <c r="Z365" s="1378"/>
      <c r="AA365" s="1378"/>
      <c r="AB365" s="1378"/>
      <c r="AC365" s="1378"/>
      <c r="AD365" s="1378"/>
      <c r="AE365" s="1378"/>
      <c r="AF365" s="1378"/>
      <c r="AG365" s="1378"/>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430" t="s">
        <v>599</v>
      </c>
      <c r="K367" s="1430"/>
      <c r="L367" s="40"/>
      <c r="M367" s="40"/>
      <c r="N367" s="40"/>
      <c r="O367" s="40"/>
      <c r="P367" s="40"/>
      <c r="Q367" s="40"/>
      <c r="R367" s="40"/>
      <c r="S367" s="40"/>
      <c r="T367" s="40"/>
      <c r="U367" s="40"/>
      <c r="V367" s="40"/>
      <c r="W367" s="40"/>
      <c r="X367" s="40"/>
      <c r="Y367" s="40"/>
      <c r="Z367" s="40"/>
      <c r="AC367" s="40"/>
      <c r="AD367" s="40"/>
      <c r="AE367" s="40"/>
    </row>
    <row r="368" spans="1:46" ht="12.95" customHeight="1">
      <c r="E368" s="1426" t="s">
        <v>715</v>
      </c>
      <c r="F368" s="1426"/>
      <c r="G368" s="1426"/>
      <c r="H368" s="1426"/>
      <c r="I368" s="1426"/>
      <c r="J368" s="1426"/>
      <c r="K368" s="1426"/>
      <c r="L368" s="1426"/>
      <c r="M368" s="1426"/>
      <c r="N368" s="1426"/>
      <c r="O368" s="1426"/>
      <c r="P368" s="1426"/>
      <c r="Q368" s="1426"/>
      <c r="R368" s="1426"/>
      <c r="S368" s="1426"/>
      <c r="T368" s="1426"/>
      <c r="U368" s="1426"/>
      <c r="V368" s="1426"/>
      <c r="W368" s="1426"/>
      <c r="X368" s="1426"/>
      <c r="Y368" s="1426"/>
      <c r="Z368" s="1426"/>
      <c r="AA368" s="1426"/>
      <c r="AB368" s="1426"/>
      <c r="AC368" s="1426"/>
      <c r="AD368" s="1426"/>
      <c r="AE368" s="1426"/>
      <c r="AF368" s="1426"/>
      <c r="AG368" s="1426"/>
      <c r="AH368" s="1426"/>
    </row>
    <row r="369" spans="1:34" ht="12.95" customHeight="1">
      <c r="E369" s="1426"/>
      <c r="F369" s="1426"/>
      <c r="G369" s="1426"/>
      <c r="H369" s="1426"/>
      <c r="I369" s="1426"/>
      <c r="J369" s="1426"/>
      <c r="K369" s="1426"/>
      <c r="L369" s="1426"/>
      <c r="M369" s="1426"/>
      <c r="N369" s="1426"/>
      <c r="O369" s="1426"/>
      <c r="P369" s="1426"/>
      <c r="Q369" s="1426"/>
      <c r="R369" s="1426"/>
      <c r="S369" s="1426"/>
      <c r="T369" s="1426"/>
      <c r="U369" s="1426"/>
      <c r="V369" s="1426"/>
      <c r="W369" s="1426"/>
      <c r="X369" s="1426"/>
      <c r="Y369" s="1426"/>
      <c r="Z369" s="1426"/>
      <c r="AA369" s="1426"/>
      <c r="AB369" s="1426"/>
      <c r="AC369" s="1426"/>
      <c r="AD369" s="1426"/>
      <c r="AE369" s="1426"/>
      <c r="AF369" s="1426"/>
      <c r="AG369" s="1426"/>
      <c r="AH369" s="1426"/>
    </row>
    <row r="370" spans="1:34" ht="12.95" customHeight="1">
      <c r="E370" s="4" t="s">
        <v>456</v>
      </c>
      <c r="F370" s="4"/>
      <c r="G370" s="4"/>
      <c r="H370" s="4"/>
      <c r="I370" s="4"/>
      <c r="J370" s="4"/>
      <c r="K370" s="4"/>
      <c r="L370" s="4"/>
      <c r="N370" s="1697"/>
      <c r="O370" s="1697"/>
      <c r="P370" s="1697"/>
      <c r="Q370" s="1697"/>
      <c r="R370" s="4"/>
      <c r="U370" s="4" t="s">
        <v>457</v>
      </c>
      <c r="V370" s="4"/>
      <c r="W370" s="4"/>
      <c r="X370" s="4"/>
      <c r="Y370" s="4"/>
      <c r="Z370" s="4"/>
      <c r="AA370" s="4"/>
      <c r="AB370" s="4"/>
      <c r="AC370" s="1697"/>
      <c r="AD370" s="1697"/>
      <c r="AE370" s="1697"/>
      <c r="AF370" s="1697"/>
    </row>
    <row r="371" spans="1:34" ht="12.95" customHeight="1">
      <c r="E371" s="4" t="s">
        <v>458</v>
      </c>
      <c r="F371" s="4"/>
      <c r="G371" s="4"/>
      <c r="H371" s="4"/>
      <c r="I371" s="4"/>
      <c r="J371" s="4"/>
      <c r="K371" s="4"/>
      <c r="L371" s="4"/>
      <c r="N371" s="1697"/>
      <c r="O371" s="1697"/>
      <c r="P371" s="1697"/>
      <c r="Q371" s="1697"/>
      <c r="R371" s="4"/>
      <c r="U371" s="4" t="s">
        <v>0</v>
      </c>
      <c r="V371" s="4"/>
      <c r="W371" s="4"/>
      <c r="X371" s="4"/>
      <c r="Y371" s="4"/>
      <c r="Z371" s="4"/>
      <c r="AA371" s="4"/>
      <c r="AB371" s="4"/>
      <c r="AC371" s="1697"/>
      <c r="AD371" s="1697"/>
      <c r="AE371" s="1697"/>
      <c r="AF371" s="1697"/>
    </row>
    <row r="372" spans="1:34" ht="12.95" customHeight="1">
      <c r="E372" s="4" t="s">
        <v>1</v>
      </c>
      <c r="F372" s="4"/>
      <c r="G372" s="4"/>
      <c r="H372" s="4"/>
      <c r="I372" s="4"/>
      <c r="J372" s="4"/>
      <c r="K372" s="4"/>
      <c r="L372" s="4"/>
      <c r="N372" s="1697"/>
      <c r="O372" s="1697"/>
      <c r="P372" s="1697"/>
      <c r="Q372" s="1697"/>
      <c r="R372" s="4"/>
      <c r="V372" s="4"/>
      <c r="W372" s="4"/>
      <c r="X372" s="4"/>
      <c r="Y372" s="4"/>
      <c r="Z372" s="4"/>
      <c r="AA372" s="4"/>
      <c r="AB372" s="4"/>
    </row>
    <row r="373" spans="1:34" ht="12.95" customHeight="1">
      <c r="E373" s="4" t="s">
        <v>2</v>
      </c>
      <c r="F373" s="4"/>
      <c r="G373" s="4"/>
      <c r="H373" s="4"/>
      <c r="I373" s="4"/>
      <c r="J373" s="4"/>
      <c r="K373" s="4"/>
      <c r="L373" s="4"/>
      <c r="N373" s="1858"/>
      <c r="O373" s="1858"/>
      <c r="P373" s="1858"/>
      <c r="Q373" s="1858"/>
      <c r="R373" s="1858"/>
      <c r="S373" s="1858"/>
      <c r="T373" s="1858"/>
      <c r="U373" s="1858"/>
      <c r="V373" s="1858"/>
      <c r="W373" s="1858"/>
      <c r="X373" s="1858"/>
      <c r="Y373" s="1858"/>
      <c r="Z373" s="1858"/>
      <c r="AA373" s="1858"/>
      <c r="AB373" s="1858"/>
      <c r="AC373" s="1858"/>
      <c r="AD373" s="1858"/>
      <c r="AE373" s="1858"/>
      <c r="AF373" s="1858"/>
    </row>
    <row r="374" spans="1:34" ht="12.95" customHeight="1">
      <c r="E374" s="4"/>
      <c r="F374" s="4"/>
      <c r="G374" s="4"/>
      <c r="H374" s="4"/>
      <c r="I374" s="4"/>
      <c r="J374" s="4"/>
      <c r="K374" s="4"/>
      <c r="L374" s="4"/>
      <c r="N374" s="1859"/>
      <c r="O374" s="1859"/>
      <c r="P374" s="1859"/>
      <c r="Q374" s="1859"/>
      <c r="R374" s="1859"/>
      <c r="S374" s="1859"/>
      <c r="T374" s="1859"/>
      <c r="U374" s="1859"/>
      <c r="V374" s="1859"/>
      <c r="W374" s="1859"/>
      <c r="X374" s="1859"/>
      <c r="Y374" s="1859"/>
      <c r="Z374" s="1859"/>
      <c r="AA374" s="1859"/>
      <c r="AB374" s="1859"/>
      <c r="AC374" s="1859"/>
      <c r="AD374" s="1859"/>
      <c r="AE374" s="1859"/>
      <c r="AF374" s="1859"/>
    </row>
    <row r="375" spans="1:34" ht="12.95" customHeight="1">
      <c r="C375" s="546"/>
      <c r="E375" s="4"/>
      <c r="F375" s="4"/>
      <c r="G375" s="4"/>
      <c r="H375" s="4"/>
      <c r="I375" s="4"/>
      <c r="J375" s="4"/>
      <c r="K375" s="4"/>
      <c r="L375" s="4"/>
    </row>
    <row r="376" spans="1:34" ht="12.95" customHeight="1">
      <c r="D376" s="2" t="s">
        <v>994</v>
      </c>
      <c r="E376" s="2"/>
      <c r="F376" s="4"/>
      <c r="G376" s="4"/>
      <c r="H376" s="4"/>
      <c r="I376" s="4"/>
      <c r="J376" s="4"/>
      <c r="K376" s="4"/>
      <c r="L376" s="4"/>
    </row>
    <row r="377" spans="1:34" ht="12.95" customHeight="1">
      <c r="E377" s="4" t="s">
        <v>2401</v>
      </c>
      <c r="F377" s="4"/>
      <c r="G377" s="4"/>
      <c r="H377" s="4"/>
      <c r="I377" s="4"/>
      <c r="J377" s="4"/>
      <c r="K377" s="4"/>
      <c r="L377" s="4"/>
      <c r="N377" t="s">
        <v>2396</v>
      </c>
      <c r="R377" s="27" t="s">
        <v>306</v>
      </c>
      <c r="S377" s="1703"/>
      <c r="T377" s="1703"/>
      <c r="U377" s="1" t="s">
        <v>307</v>
      </c>
      <c r="V377" s="1703"/>
      <c r="W377" s="1703"/>
      <c r="Y377" t="s">
        <v>2396</v>
      </c>
      <c r="AC377" s="27" t="s">
        <v>306</v>
      </c>
      <c r="AD377" s="1703"/>
      <c r="AE377" s="1703"/>
      <c r="AF377" s="1" t="s">
        <v>307</v>
      </c>
      <c r="AG377" s="1703"/>
      <c r="AH377" s="1703"/>
    </row>
    <row r="378" spans="1:34" ht="12.95" customHeight="1">
      <c r="E378" s="4" t="s">
        <v>1011</v>
      </c>
      <c r="F378" s="4"/>
      <c r="G378" s="4"/>
      <c r="H378" s="4"/>
      <c r="I378" s="4"/>
      <c r="J378" s="4"/>
      <c r="K378" s="4"/>
      <c r="L378" s="4"/>
      <c r="N378" s="1703"/>
      <c r="O378" s="1703"/>
      <c r="P378" s="1703"/>
    </row>
    <row r="379" spans="1:34" ht="12.95" customHeight="1">
      <c r="E379" s="218" t="s">
        <v>2402</v>
      </c>
      <c r="F379" s="4"/>
      <c r="G379" s="4"/>
      <c r="H379" s="4"/>
      <c r="I379" s="4"/>
      <c r="J379" s="4"/>
      <c r="K379" s="4"/>
      <c r="L379" s="4"/>
      <c r="AG379" s="1704" t="s">
        <v>599</v>
      </c>
      <c r="AH379" s="1704"/>
    </row>
    <row r="380" spans="1:34" ht="12.95" customHeight="1">
      <c r="E380" s="4"/>
      <c r="F380" s="4"/>
      <c r="G380" s="4" t="s">
        <v>2403</v>
      </c>
      <c r="H380" s="4"/>
      <c r="I380" s="4"/>
      <c r="J380" s="4"/>
      <c r="K380" s="4"/>
      <c r="L380" s="4"/>
      <c r="AG380" s="1704" t="s">
        <v>599</v>
      </c>
      <c r="AH380" s="1704"/>
    </row>
    <row r="381" spans="1:34" ht="12.95" customHeight="1">
      <c r="E381" s="4"/>
      <c r="F381" s="4"/>
      <c r="G381" s="348" t="s">
        <v>1012</v>
      </c>
      <c r="H381" s="4"/>
      <c r="I381" s="4"/>
      <c r="J381" s="4"/>
      <c r="K381" s="4"/>
      <c r="L381" s="4"/>
      <c r="V381" s="1430" t="s">
        <v>599</v>
      </c>
      <c r="W381" s="1430"/>
      <c r="Y381" s="22" t="s">
        <v>999</v>
      </c>
    </row>
    <row r="382" spans="1:34" ht="12.95" customHeight="1">
      <c r="E382" s="4" t="s">
        <v>1000</v>
      </c>
      <c r="F382" s="4"/>
      <c r="G382" s="4"/>
      <c r="H382" s="4"/>
      <c r="I382" s="4"/>
      <c r="J382" s="4"/>
      <c r="K382" s="4"/>
      <c r="L382" s="4"/>
      <c r="V382" s="1430" t="s">
        <v>599</v>
      </c>
      <c r="W382" s="1430"/>
      <c r="Y382" s="4" t="s">
        <v>1001</v>
      </c>
    </row>
    <row r="383" spans="1:34" ht="12.95" customHeight="1"/>
    <row r="384" spans="1:34" ht="12.95" customHeight="1">
      <c r="A384" s="2" t="s">
        <v>78</v>
      </c>
      <c r="B384" s="2"/>
    </row>
    <row r="385" spans="4:36" ht="12.95" customHeight="1">
      <c r="D385" t="s">
        <v>429</v>
      </c>
      <c r="J385" s="1378" t="s">
        <v>2652</v>
      </c>
      <c r="K385" s="1378"/>
      <c r="L385" s="1378"/>
      <c r="M385" s="1378"/>
      <c r="N385" s="1378"/>
      <c r="O385" s="1378"/>
      <c r="P385" s="1378"/>
      <c r="Q385" s="1378"/>
      <c r="R385" s="1378"/>
      <c r="S385" s="1378"/>
      <c r="T385" s="1378"/>
      <c r="U385" s="1378"/>
      <c r="V385" s="8" t="s">
        <v>83</v>
      </c>
      <c r="W385" s="8"/>
      <c r="X385" s="8"/>
      <c r="Y385" s="8"/>
      <c r="Z385" s="8"/>
      <c r="AA385" s="8"/>
      <c r="AB385" s="8"/>
      <c r="AC385" s="1378" t="s">
        <v>2742</v>
      </c>
      <c r="AD385" s="1378"/>
      <c r="AE385" s="1378"/>
      <c r="AF385" s="1378"/>
      <c r="AG385" s="1378"/>
      <c r="AH385" s="1378"/>
      <c r="AI385" s="1378"/>
      <c r="AJ385" s="1378"/>
    </row>
    <row r="386" spans="4:36" ht="12.95" customHeight="1">
      <c r="D386" s="3" t="s">
        <v>1288</v>
      </c>
      <c r="J386" s="1434" t="s">
        <v>2742</v>
      </c>
      <c r="K386" s="1434"/>
      <c r="L386" s="1434"/>
      <c r="M386" s="1434"/>
      <c r="N386" s="1434"/>
      <c r="O386" s="1434"/>
      <c r="P386" s="1434"/>
      <c r="Q386" s="1434"/>
      <c r="R386" s="1434"/>
      <c r="S386" s="1434"/>
      <c r="T386" s="1434"/>
      <c r="U386" s="1434"/>
      <c r="V386" s="3" t="s">
        <v>1288</v>
      </c>
      <c r="W386" s="8"/>
      <c r="X386" s="8"/>
      <c r="Y386" s="8"/>
      <c r="Z386" s="8"/>
      <c r="AA386" s="8"/>
      <c r="AB386" s="8"/>
      <c r="AC386" s="1378"/>
      <c r="AD386" s="1378"/>
      <c r="AE386" s="1378"/>
      <c r="AF386" s="1378"/>
      <c r="AG386" s="1378"/>
      <c r="AH386" s="1378"/>
      <c r="AI386" s="1378"/>
      <c r="AJ386" s="1378"/>
    </row>
    <row r="387" spans="4:36" ht="12.95" customHeight="1">
      <c r="D387" s="3" t="s">
        <v>443</v>
      </c>
      <c r="J387" s="1434" t="s">
        <v>2743</v>
      </c>
      <c r="K387" s="1434"/>
      <c r="L387" s="1434"/>
      <c r="M387" s="1434"/>
      <c r="N387" s="1434"/>
      <c r="O387" s="1434"/>
      <c r="P387" s="1434"/>
      <c r="Q387" s="1434"/>
      <c r="R387" s="1434"/>
      <c r="S387" s="1434"/>
      <c r="T387" s="1434"/>
      <c r="U387" s="1434"/>
      <c r="V387" s="3" t="s">
        <v>443</v>
      </c>
      <c r="W387" s="8"/>
      <c r="X387" s="8"/>
      <c r="Y387" s="8"/>
      <c r="Z387" s="8"/>
      <c r="AA387" s="8"/>
      <c r="AB387" s="8"/>
      <c r="AC387" s="1378"/>
      <c r="AD387" s="1378"/>
      <c r="AE387" s="1378"/>
      <c r="AF387" s="1378"/>
      <c r="AG387" s="1378"/>
      <c r="AH387" s="1378"/>
      <c r="AI387" s="1378"/>
      <c r="AJ387" s="1378"/>
    </row>
    <row r="388" spans="4:36" ht="12.95" customHeight="1">
      <c r="D388" t="s">
        <v>1284</v>
      </c>
      <c r="J388" s="1442" t="s">
        <v>2744</v>
      </c>
      <c r="K388" s="1442"/>
      <c r="L388" s="1442"/>
      <c r="M388" s="1442"/>
      <c r="N388" s="1442"/>
      <c r="O388" s="1442"/>
      <c r="P388" s="1442"/>
      <c r="Q388" s="1442"/>
      <c r="R388" s="1442"/>
      <c r="S388" s="1442"/>
      <c r="T388" s="1442"/>
      <c r="U388" s="1442"/>
      <c r="V388" s="1378"/>
      <c r="W388" s="1378"/>
      <c r="X388" s="1378"/>
      <c r="Y388" s="1378"/>
      <c r="Z388" s="1378"/>
      <c r="AA388" s="1378"/>
      <c r="AB388" s="1378"/>
      <c r="AC388" s="1378"/>
      <c r="AD388" s="1378"/>
      <c r="AE388" s="1378"/>
      <c r="AF388" s="1378"/>
      <c r="AG388" s="1378"/>
      <c r="AH388" s="1378"/>
      <c r="AI388" s="1378"/>
      <c r="AJ388" s="1378"/>
    </row>
    <row r="389" spans="4:36" ht="12.95" customHeight="1">
      <c r="D389" t="s">
        <v>4</v>
      </c>
      <c r="Q389" s="1857">
        <v>45383</v>
      </c>
      <c r="R389" s="1857"/>
      <c r="S389" s="1857"/>
      <c r="T389" s="1857"/>
      <c r="U389" s="1857"/>
      <c r="V389" t="s">
        <v>310</v>
      </c>
      <c r="AI389" s="1430" t="s">
        <v>677</v>
      </c>
      <c r="AJ389" s="1430"/>
    </row>
    <row r="390" spans="4:36" ht="12.95" customHeight="1">
      <c r="D390" t="s">
        <v>5</v>
      </c>
      <c r="Q390" s="1609">
        <v>45716</v>
      </c>
      <c r="R390" s="1810"/>
      <c r="S390" s="1810"/>
      <c r="T390" s="1810"/>
      <c r="U390" s="1810"/>
      <c r="W390" s="21" t="s">
        <v>74</v>
      </c>
      <c r="AG390" s="1701"/>
      <c r="AH390" s="1701"/>
      <c r="AI390" s="1701"/>
      <c r="AJ390" s="1701"/>
    </row>
    <row r="391" spans="4:36" ht="12.95" customHeight="1">
      <c r="D391" t="s">
        <v>428</v>
      </c>
      <c r="Q391" s="1702">
        <v>6500000</v>
      </c>
      <c r="R391" s="1702"/>
      <c r="S391" s="1702"/>
      <c r="T391" s="1702"/>
      <c r="U391" s="1702"/>
      <c r="V391" s="3" t="s">
        <v>1287</v>
      </c>
      <c r="AG391" s="1840">
        <v>45536</v>
      </c>
      <c r="AH391" s="1840"/>
      <c r="AI391" s="1840"/>
      <c r="AJ391" s="1840"/>
    </row>
    <row r="392" spans="4:36" ht="12.95" customHeight="1">
      <c r="D392" t="s">
        <v>88</v>
      </c>
      <c r="I392" s="1774" t="s">
        <v>2745</v>
      </c>
      <c r="J392" s="1762"/>
      <c r="K392" s="1762"/>
      <c r="L392" s="1762"/>
      <c r="M392" s="1762"/>
      <c r="N392" s="1762"/>
      <c r="Q392" s="4" t="s">
        <v>207</v>
      </c>
      <c r="S392" s="1856"/>
      <c r="T392" s="1856"/>
      <c r="U392" s="1856"/>
      <c r="V392" t="s">
        <v>73</v>
      </c>
      <c r="AI392" s="1430" t="s">
        <v>677</v>
      </c>
      <c r="AJ392" s="1430"/>
    </row>
    <row r="393" spans="4:36" ht="12.95" customHeight="1">
      <c r="D393" t="s">
        <v>311</v>
      </c>
      <c r="Q393" s="1445"/>
      <c r="R393" s="1445"/>
      <c r="S393" s="1445"/>
      <c r="T393" s="1445"/>
      <c r="U393" s="1445"/>
      <c r="V393" t="s">
        <v>312</v>
      </c>
      <c r="AG393" s="1701"/>
      <c r="AH393" s="1701"/>
      <c r="AI393" s="1701"/>
      <c r="AJ393" s="1701"/>
    </row>
    <row r="394" spans="4:36" ht="12.95" customHeight="1">
      <c r="D394" t="s">
        <v>313</v>
      </c>
      <c r="Q394" s="1870"/>
      <c r="R394" s="1870"/>
      <c r="S394" s="1870"/>
      <c r="T394" s="1870"/>
      <c r="U394" s="1870"/>
      <c r="V394" t="s">
        <v>1268</v>
      </c>
      <c r="AG394" s="1701"/>
      <c r="AH394" s="1701"/>
      <c r="AI394" s="1701"/>
      <c r="AJ394" s="1701"/>
    </row>
    <row r="395" spans="4:36" ht="12.95" customHeight="1">
      <c r="D395" t="s">
        <v>1267</v>
      </c>
      <c r="AG395" s="1701"/>
      <c r="AH395" s="1701"/>
      <c r="AI395" s="1701"/>
      <c r="AJ395" s="1701"/>
    </row>
    <row r="396" spans="4:36" ht="12.95" customHeight="1">
      <c r="AG396" s="490"/>
      <c r="AH396" s="490"/>
      <c r="AI396" s="490"/>
      <c r="AJ396" s="490"/>
    </row>
    <row r="397" spans="4:36" ht="12.95" customHeight="1">
      <c r="D397" s="3" t="s">
        <v>2502</v>
      </c>
      <c r="AG397" s="490"/>
      <c r="AH397" s="490"/>
      <c r="AI397" s="1430" t="s">
        <v>677</v>
      </c>
      <c r="AJ397" s="1430"/>
    </row>
    <row r="398" spans="4:36" ht="12.95" customHeight="1">
      <c r="D398" s="3" t="s">
        <v>1781</v>
      </c>
      <c r="T398" s="1766"/>
      <c r="U398" s="1766"/>
      <c r="V398" s="1766"/>
      <c r="W398" s="1766"/>
      <c r="X398" s="1766"/>
      <c r="Y398" s="1766"/>
      <c r="Z398" s="1766"/>
      <c r="AA398" s="1766"/>
      <c r="AB398" s="1766"/>
      <c r="AC398" s="1766"/>
      <c r="AD398" s="1766"/>
      <c r="AE398" s="1766"/>
      <c r="AF398" s="1766"/>
      <c r="AG398" s="1766"/>
      <c r="AH398" s="1766"/>
      <c r="AI398" s="1766"/>
      <c r="AJ398" s="1766"/>
    </row>
    <row r="399" spans="4:36" ht="12.95" customHeight="1">
      <c r="D399" s="3" t="s">
        <v>1780</v>
      </c>
      <c r="T399" s="1766"/>
      <c r="U399" s="1766"/>
      <c r="V399" s="1766"/>
      <c r="W399" s="1766"/>
      <c r="X399" s="1766"/>
      <c r="Y399" s="1766"/>
      <c r="Z399" s="1766"/>
      <c r="AA399" s="1766"/>
      <c r="AB399" s="1766"/>
      <c r="AC399" s="1766"/>
      <c r="AD399" s="1766"/>
      <c r="AE399" s="1766"/>
      <c r="AF399" s="1766"/>
      <c r="AG399" s="1766"/>
      <c r="AH399" s="1766"/>
      <c r="AI399" s="1766"/>
      <c r="AJ399" s="1766"/>
    </row>
    <row r="400" spans="4:36" ht="12.95" customHeight="1">
      <c r="AG400" s="490"/>
      <c r="AH400" s="490"/>
      <c r="AI400" s="490"/>
      <c r="AJ400" s="490"/>
    </row>
    <row r="401" spans="1:36" ht="12.95" customHeight="1">
      <c r="D401" s="3" t="s">
        <v>1774</v>
      </c>
      <c r="S401" s="1766" t="s">
        <v>553</v>
      </c>
      <c r="T401" s="1766"/>
      <c r="U401" s="1766"/>
      <c r="V401" t="s">
        <v>1775</v>
      </c>
      <c r="AG401" s="1846">
        <v>58</v>
      </c>
      <c r="AH401" s="1846"/>
      <c r="AI401" s="1846"/>
      <c r="AJ401" s="1846"/>
    </row>
    <row r="402" spans="1:36" ht="12.95" customHeight="1">
      <c r="D402" s="3" t="s">
        <v>1772</v>
      </c>
      <c r="S402" s="1766" t="s">
        <v>553</v>
      </c>
      <c r="T402" s="1766"/>
      <c r="U402" s="1766"/>
      <c r="V402" t="s">
        <v>1777</v>
      </c>
      <c r="AE402" s="1851">
        <v>1</v>
      </c>
      <c r="AF402" s="1851"/>
      <c r="AG402" s="1851"/>
      <c r="AH402" s="1851"/>
      <c r="AI402" s="1851"/>
      <c r="AJ402" s="1851"/>
    </row>
    <row r="403" spans="1:36" ht="12.95" customHeight="1">
      <c r="D403" s="3" t="s">
        <v>1773</v>
      </c>
      <c r="K403" s="1795"/>
      <c r="L403" s="1795"/>
      <c r="M403" s="1795"/>
      <c r="N403" s="1795"/>
      <c r="O403" s="1795"/>
      <c r="P403" s="1795"/>
      <c r="Q403" s="1795"/>
      <c r="R403" s="1795"/>
      <c r="S403" s="1795"/>
      <c r="T403" s="1795"/>
      <c r="U403" s="1795"/>
      <c r="V403" s="1795"/>
      <c r="W403" s="1795"/>
      <c r="X403" s="1795"/>
      <c r="Y403" s="1795"/>
      <c r="Z403" s="1795"/>
      <c r="AA403" s="1795"/>
      <c r="AB403" s="1795"/>
      <c r="AC403" s="1795"/>
      <c r="AD403" s="1795"/>
      <c r="AE403" s="1795"/>
      <c r="AF403" s="1795"/>
      <c r="AG403" s="1795"/>
      <c r="AH403" s="1795"/>
      <c r="AI403" s="1795"/>
      <c r="AJ403" s="1795"/>
    </row>
    <row r="404" spans="1:36" ht="12.95" customHeight="1">
      <c r="D404" s="3" t="s">
        <v>1776</v>
      </c>
      <c r="K404" s="1795" t="s">
        <v>2746</v>
      </c>
      <c r="L404" s="1795"/>
      <c r="M404" s="1795"/>
      <c r="N404" s="1795"/>
      <c r="O404" s="1795"/>
      <c r="P404" s="1795"/>
      <c r="Q404" s="1795"/>
      <c r="R404" s="1795"/>
      <c r="S404" s="1795"/>
      <c r="T404" s="1795"/>
      <c r="U404" s="1795"/>
      <c r="V404" s="1795"/>
      <c r="W404" s="1795"/>
      <c r="X404" s="1795"/>
      <c r="Y404" s="1795"/>
      <c r="Z404" s="1795"/>
      <c r="AA404" s="1795"/>
      <c r="AB404" s="1795"/>
      <c r="AC404" s="1795"/>
      <c r="AD404" s="1795"/>
      <c r="AE404" s="1795"/>
      <c r="AF404" s="1795"/>
      <c r="AG404" s="1795"/>
      <c r="AH404" s="1795"/>
      <c r="AI404" s="1795"/>
      <c r="AJ404" s="1795"/>
    </row>
    <row r="405" spans="1:36" ht="12.95" customHeight="1">
      <c r="D405" s="3" t="s">
        <v>1779</v>
      </c>
      <c r="E405" s="511"/>
      <c r="F405" s="511"/>
      <c r="G405" s="511"/>
      <c r="H405" s="511"/>
      <c r="I405" s="511"/>
      <c r="J405" s="511"/>
      <c r="K405" s="511"/>
      <c r="L405" s="511"/>
      <c r="M405" s="511"/>
      <c r="N405" s="511"/>
      <c r="O405" s="511"/>
      <c r="P405" s="511"/>
      <c r="Q405" s="511"/>
      <c r="R405" s="511"/>
      <c r="S405" s="1816" t="s">
        <v>2747</v>
      </c>
      <c r="T405" s="1816"/>
      <c r="U405" s="1816"/>
      <c r="V405" s="1816"/>
      <c r="W405" s="1816"/>
      <c r="X405" s="1816"/>
      <c r="Y405" s="1816"/>
      <c r="Z405" s="1816"/>
      <c r="AA405" s="1816"/>
      <c r="AB405" s="1816"/>
      <c r="AC405" s="1816"/>
      <c r="AD405" s="1816"/>
      <c r="AE405" s="1816"/>
      <c r="AF405" s="1816"/>
      <c r="AG405" s="1816"/>
      <c r="AH405" s="1816"/>
      <c r="AI405" s="1816"/>
      <c r="AJ405" s="1816"/>
    </row>
    <row r="406" spans="1:36" ht="12.95" customHeight="1">
      <c r="D406" s="1274" t="s">
        <v>1778</v>
      </c>
      <c r="E406" s="1274"/>
      <c r="F406" s="1274"/>
      <c r="G406" s="1274"/>
      <c r="H406" s="1274"/>
      <c r="I406" s="1274"/>
      <c r="J406" s="1274"/>
      <c r="K406" s="1274"/>
      <c r="L406" s="1274"/>
      <c r="M406" s="1274"/>
      <c r="N406" s="1274"/>
      <c r="O406" s="1274"/>
      <c r="P406" s="1274"/>
      <c r="Q406" s="1274"/>
      <c r="R406" s="1274"/>
      <c r="S406" s="1274"/>
      <c r="T406" s="1274"/>
      <c r="U406" s="1274"/>
      <c r="V406" s="1274"/>
      <c r="W406" s="1274"/>
      <c r="X406" s="1274"/>
      <c r="Y406" s="1274"/>
      <c r="Z406" s="1274"/>
      <c r="AA406" s="1274"/>
      <c r="AB406" s="1274"/>
      <c r="AC406" s="1274"/>
      <c r="AD406" s="1274"/>
      <c r="AE406" s="1274"/>
      <c r="AF406" s="1274"/>
      <c r="AG406" s="1274"/>
      <c r="AH406" s="1274"/>
      <c r="AI406" s="1274"/>
      <c r="AJ406" s="1274"/>
    </row>
    <row r="407" spans="1:36" ht="12.95" customHeight="1">
      <c r="D407" s="1274"/>
      <c r="E407" s="1274"/>
      <c r="F407" s="1274"/>
      <c r="G407" s="1274"/>
      <c r="H407" s="1274"/>
      <c r="I407" s="1274"/>
      <c r="J407" s="1274"/>
      <c r="K407" s="1274"/>
      <c r="L407" s="1274"/>
      <c r="M407" s="1274"/>
      <c r="N407" s="1274"/>
      <c r="O407" s="1274"/>
      <c r="P407" s="1274"/>
      <c r="Q407" s="1274"/>
      <c r="R407" s="1274"/>
      <c r="S407" s="1274"/>
      <c r="T407" s="1274"/>
      <c r="U407" s="1274"/>
      <c r="V407" s="1274"/>
      <c r="W407" s="1274"/>
      <c r="X407" s="1274"/>
      <c r="Y407" s="1274"/>
      <c r="Z407" s="1274"/>
      <c r="AA407" s="1274"/>
      <c r="AB407" s="1274"/>
      <c r="AC407" s="1274"/>
      <c r="AD407" s="1274"/>
      <c r="AE407" s="1274"/>
      <c r="AF407" s="1274"/>
      <c r="AG407" s="1274"/>
      <c r="AH407" s="1274"/>
      <c r="AI407" s="1274"/>
      <c r="AJ407" s="1274"/>
    </row>
    <row r="408" spans="1:36" ht="12.95" customHeight="1">
      <c r="AG408" s="490"/>
      <c r="AH408" s="490"/>
      <c r="AI408" s="490"/>
      <c r="AJ408" s="490"/>
    </row>
    <row r="409" spans="1:36" ht="12.95" customHeight="1">
      <c r="A409" s="2" t="s">
        <v>597</v>
      </c>
      <c r="B409" s="2"/>
      <c r="C409" s="2" t="s">
        <v>111</v>
      </c>
    </row>
    <row r="410" spans="1:36" ht="12.95" customHeight="1">
      <c r="B410" s="2"/>
      <c r="C410" s="2"/>
      <c r="D410" s="2" t="s">
        <v>1310</v>
      </c>
      <c r="I410" s="1427" t="s">
        <v>2684</v>
      </c>
      <c r="J410" s="1427"/>
      <c r="K410" s="1427"/>
      <c r="L410" s="1427"/>
      <c r="M410" s="1427"/>
      <c r="N410" s="1427"/>
      <c r="O410" s="1427"/>
      <c r="P410" s="1427"/>
      <c r="Q410" s="1427"/>
      <c r="R410" s="1427"/>
      <c r="S410" s="1427"/>
      <c r="T410" s="1427"/>
      <c r="U410" s="1427"/>
      <c r="V410" s="1427"/>
      <c r="W410" s="1427"/>
      <c r="X410" s="1427"/>
      <c r="Y410" s="1427"/>
      <c r="Z410" s="1427"/>
      <c r="AA410" s="1427"/>
      <c r="AB410" s="1427"/>
      <c r="AC410" s="1427"/>
      <c r="AD410" s="1427"/>
      <c r="AE410" s="1427"/>
    </row>
    <row r="411" spans="1:36" ht="12.95" customHeight="1">
      <c r="E411" t="s">
        <v>106</v>
      </c>
      <c r="R411" s="1430" t="s">
        <v>553</v>
      </c>
      <c r="S411" s="1430"/>
      <c r="AC411" s="27" t="s">
        <v>578</v>
      </c>
      <c r="AD411" s="1697">
        <v>5</v>
      </c>
      <c r="AE411" s="1697"/>
    </row>
    <row r="412" spans="1:36" ht="12.95" customHeight="1">
      <c r="E412" t="s">
        <v>107</v>
      </c>
      <c r="R412" s="1430" t="s">
        <v>599</v>
      </c>
      <c r="S412" s="1430"/>
      <c r="AC412" s="27" t="s">
        <v>578</v>
      </c>
      <c r="AD412" s="1697"/>
      <c r="AE412" s="1697"/>
    </row>
    <row r="413" spans="1:36" ht="12.95" customHeight="1">
      <c r="E413" t="s">
        <v>108</v>
      </c>
      <c r="S413" s="1430" t="s">
        <v>599</v>
      </c>
      <c r="T413" s="1430"/>
    </row>
    <row r="414" spans="1:36" ht="12.95" customHeight="1">
      <c r="E414" t="s">
        <v>170</v>
      </c>
      <c r="H414" s="1458" t="s">
        <v>2748</v>
      </c>
      <c r="I414" s="1458"/>
      <c r="J414" s="1458"/>
      <c r="K414" s="1458"/>
      <c r="L414" s="1458"/>
      <c r="M414" s="1458"/>
      <c r="N414" s="1458"/>
      <c r="O414" s="1458"/>
      <c r="P414" s="1458"/>
      <c r="Q414" s="1458"/>
      <c r="R414" s="1458"/>
      <c r="S414" s="1458"/>
      <c r="T414" s="1458"/>
      <c r="U414" s="1458"/>
      <c r="V414" s="1458"/>
      <c r="W414" s="1458"/>
      <c r="X414" s="1458"/>
      <c r="Y414" s="1458"/>
      <c r="Z414" s="1458"/>
      <c r="AA414" s="1458"/>
      <c r="AB414" s="1458"/>
      <c r="AC414" s="1458"/>
      <c r="AD414" s="1458"/>
      <c r="AE414" s="1458"/>
    </row>
    <row r="415" spans="1:36" ht="12.95" customHeight="1">
      <c r="H415" s="1459"/>
      <c r="I415" s="1459"/>
      <c r="J415" s="1459"/>
      <c r="K415" s="1459"/>
      <c r="L415" s="1459"/>
      <c r="M415" s="1459"/>
      <c r="N415" s="1459"/>
      <c r="O415" s="1459"/>
      <c r="P415" s="1459"/>
      <c r="Q415" s="1459"/>
      <c r="R415" s="1459"/>
      <c r="S415" s="1459"/>
      <c r="T415" s="1459"/>
      <c r="U415" s="1459"/>
      <c r="V415" s="1459"/>
      <c r="W415" s="1459"/>
      <c r="X415" s="1459"/>
      <c r="Y415" s="1459"/>
      <c r="Z415" s="1459"/>
      <c r="AA415" s="1459"/>
      <c r="AB415" s="1459"/>
      <c r="AC415" s="1459"/>
      <c r="AD415" s="1459"/>
      <c r="AE415" s="1459"/>
    </row>
    <row r="416" spans="1:36" ht="12.95" customHeight="1"/>
    <row r="417" spans="1:39" ht="12.95" customHeight="1">
      <c r="A417" s="2" t="s">
        <v>598</v>
      </c>
      <c r="B417" s="2"/>
      <c r="C417" s="2"/>
      <c r="D417" s="2" t="s">
        <v>114</v>
      </c>
      <c r="AF417" s="2" t="s">
        <v>976</v>
      </c>
    </row>
    <row r="418" spans="1:39" ht="12.95" customHeight="1">
      <c r="E418" s="1703"/>
      <c r="F418" s="1703"/>
      <c r="G418" s="1703"/>
      <c r="H418" s="13" t="s">
        <v>115</v>
      </c>
      <c r="I418" s="1703"/>
      <c r="J418" s="1703"/>
      <c r="K418" s="1703"/>
      <c r="L418" t="s">
        <v>116</v>
      </c>
      <c r="N418" s="27" t="s">
        <v>583</v>
      </c>
      <c r="P418" s="1855">
        <v>0.97</v>
      </c>
      <c r="Q418" s="1855"/>
      <c r="R418" s="1855"/>
      <c r="S418" t="s">
        <v>117</v>
      </c>
      <c r="W418" s="1871">
        <f>IF(E418&gt;0,(E418*I418),(P418*43560))</f>
        <v>42253.2</v>
      </c>
      <c r="X418" s="1871"/>
      <c r="Y418" s="1871"/>
      <c r="Z418" t="s">
        <v>118</v>
      </c>
      <c r="AF418" s="1700">
        <f>IFERROR(IF(P418&gt;0,(AG437/P418),(AG437/(W418/43560))),0)</f>
        <v>164.94845360824743</v>
      </c>
      <c r="AG418" s="1700"/>
      <c r="AH418" s="1700"/>
      <c r="AM418" s="3"/>
    </row>
    <row r="419" spans="1:39" ht="12.95" customHeight="1">
      <c r="E419" t="s">
        <v>51</v>
      </c>
    </row>
    <row r="420" spans="1:39" ht="12.95" customHeight="1">
      <c r="E420" s="1850"/>
      <c r="F420" s="1850"/>
      <c r="G420" s="1850"/>
      <c r="H420" s="1850"/>
      <c r="I420" s="1850"/>
      <c r="J420" s="1850"/>
      <c r="K420" s="1850"/>
      <c r="L420" s="1850"/>
      <c r="M420" s="1850"/>
      <c r="N420" s="1850"/>
      <c r="O420" s="1850"/>
      <c r="P420" s="1850"/>
      <c r="Q420" s="1850"/>
      <c r="R420" s="1850"/>
      <c r="S420" s="1850"/>
      <c r="T420" s="1850"/>
      <c r="U420" s="1850"/>
      <c r="V420" s="1850"/>
      <c r="W420" s="1850"/>
      <c r="X420" s="1850"/>
      <c r="Y420" s="1850"/>
      <c r="Z420" s="1850"/>
      <c r="AA420" s="1850"/>
      <c r="AB420" s="1850"/>
      <c r="AC420" s="1850"/>
      <c r="AD420" s="1850"/>
      <c r="AE420" s="1850"/>
      <c r="AF420" s="1850"/>
      <c r="AG420" s="1850"/>
      <c r="AH420" s="1850"/>
      <c r="AI420" s="1850"/>
      <c r="AJ420" s="1850"/>
    </row>
    <row r="421" spans="1:39" ht="12.95" customHeight="1">
      <c r="E421" s="118" t="s">
        <v>1926</v>
      </c>
      <c r="F421" s="1048"/>
      <c r="G421" s="1048"/>
      <c r="H421" s="1048"/>
      <c r="I421" s="1773">
        <v>0.97</v>
      </c>
      <c r="J421" s="1773"/>
      <c r="K421" s="1773"/>
      <c r="L421" s="1048"/>
      <c r="M421" s="118"/>
      <c r="N421" s="1048"/>
      <c r="O421" s="1048"/>
      <c r="P421" s="1818">
        <f>(CS634+CS642+CS658)/I421</f>
        <v>210.30927835051546</v>
      </c>
      <c r="Q421" s="1818"/>
      <c r="R421" s="1818"/>
      <c r="S421" s="118" t="s">
        <v>1927</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600</v>
      </c>
      <c r="B423" s="2"/>
      <c r="C423" s="2"/>
      <c r="D423" s="2" t="s">
        <v>120</v>
      </c>
    </row>
    <row r="424" spans="1:39" ht="12.95" customHeight="1">
      <c r="E424" t="s">
        <v>121</v>
      </c>
      <c r="P424" s="1430">
        <v>1</v>
      </c>
      <c r="Q424" s="1430"/>
      <c r="S424" t="s">
        <v>190</v>
      </c>
      <c r="AE424" s="1430">
        <v>1</v>
      </c>
      <c r="AF424" s="1430"/>
    </row>
    <row r="425" spans="1:39" ht="12.95" customHeight="1">
      <c r="E425" t="s">
        <v>191</v>
      </c>
      <c r="P425" s="1430">
        <v>0</v>
      </c>
      <c r="Q425" s="1430"/>
      <c r="S425" t="s">
        <v>131</v>
      </c>
      <c r="AE425" s="1430" t="s">
        <v>599</v>
      </c>
      <c r="AF425" s="1430"/>
    </row>
    <row r="426" spans="1:39" ht="12.95" customHeight="1">
      <c r="F426" s="28" t="s">
        <v>132</v>
      </c>
    </row>
    <row r="427" spans="1:39" ht="12.95" customHeight="1">
      <c r="F427" s="1801" t="s">
        <v>2685</v>
      </c>
      <c r="G427" s="1802"/>
      <c r="H427" s="1802"/>
      <c r="I427" s="1802"/>
      <c r="J427" s="1802"/>
      <c r="K427" s="1802"/>
      <c r="L427" s="1802"/>
      <c r="M427" s="1802"/>
      <c r="N427" s="1802"/>
      <c r="O427" s="1802"/>
      <c r="P427" s="1802"/>
      <c r="Q427" s="1802"/>
      <c r="R427" s="1802"/>
      <c r="S427" s="1802"/>
      <c r="T427" s="1802"/>
      <c r="U427" s="1802"/>
      <c r="V427" s="1802"/>
      <c r="W427" s="1802"/>
      <c r="X427" s="1802"/>
      <c r="Y427" s="1802"/>
      <c r="Z427" s="1802"/>
      <c r="AA427" s="1802"/>
      <c r="AB427" s="1802"/>
      <c r="AC427" s="1802"/>
      <c r="AD427" s="1802"/>
      <c r="AE427" s="1802"/>
      <c r="AF427" s="1802"/>
      <c r="AG427" s="1802"/>
      <c r="AH427" s="1802"/>
    </row>
    <row r="428" spans="1:39" ht="12.95" customHeight="1">
      <c r="F428" s="1803"/>
      <c r="G428" s="1803"/>
      <c r="H428" s="1803"/>
      <c r="I428" s="1803"/>
      <c r="J428" s="1803"/>
      <c r="K428" s="1803"/>
      <c r="L428" s="1803"/>
      <c r="M428" s="1803"/>
      <c r="N428" s="1803"/>
      <c r="O428" s="1803"/>
      <c r="P428" s="1803"/>
      <c r="Q428" s="1803"/>
      <c r="R428" s="1803"/>
      <c r="S428" s="1803"/>
      <c r="T428" s="1803"/>
      <c r="U428" s="1803"/>
      <c r="V428" s="1803"/>
      <c r="W428" s="1803"/>
      <c r="X428" s="1803"/>
      <c r="Y428" s="1803"/>
      <c r="Z428" s="1803"/>
      <c r="AA428" s="1803"/>
      <c r="AB428" s="1803"/>
      <c r="AC428" s="1803"/>
      <c r="AD428" s="1803"/>
      <c r="AE428" s="1803"/>
      <c r="AF428" s="1803"/>
      <c r="AG428" s="1803"/>
      <c r="AH428" s="1803"/>
    </row>
    <row r="429" spans="1:39" ht="12.95" customHeight="1">
      <c r="E429" t="s">
        <v>616</v>
      </c>
      <c r="P429" s="1"/>
      <c r="Q429" s="1430" t="s">
        <v>553</v>
      </c>
      <c r="R429" s="1430"/>
    </row>
    <row r="430" spans="1:39" ht="12.95" customHeight="1">
      <c r="F430" t="s">
        <v>617</v>
      </c>
      <c r="P430" s="1"/>
      <c r="Q430" s="1"/>
      <c r="AF430" s="1430" t="s">
        <v>599</v>
      </c>
      <c r="AG430" s="1872"/>
    </row>
    <row r="431" spans="1:39" ht="12.95" customHeight="1"/>
    <row r="432" spans="1:39" ht="12.95" customHeight="1">
      <c r="A432" s="2"/>
      <c r="B432" s="2"/>
      <c r="C432" s="2"/>
      <c r="E432" s="4" t="s">
        <v>309</v>
      </c>
      <c r="Z432" s="1430" t="s">
        <v>677</v>
      </c>
      <c r="AA432" s="1430"/>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430" t="s">
        <v>599</v>
      </c>
      <c r="AA434" s="1430"/>
    </row>
    <row r="435" spans="1:110" ht="12.95" customHeight="1"/>
    <row r="436" spans="1:110" ht="12.95" customHeight="1">
      <c r="A436" s="2" t="s">
        <v>475</v>
      </c>
      <c r="B436" s="2"/>
      <c r="C436" s="2"/>
      <c r="D436" s="2" t="s">
        <v>773</v>
      </c>
      <c r="AF436" s="48"/>
    </row>
    <row r="437" spans="1:110" ht="12.95" customHeight="1">
      <c r="D437" s="1729" t="s">
        <v>43</v>
      </c>
      <c r="E437" s="1612"/>
      <c r="F437" s="1612"/>
      <c r="G437" s="1612"/>
      <c r="H437" s="1612"/>
      <c r="I437" s="1612"/>
      <c r="J437" s="1612"/>
      <c r="K437" s="1612"/>
      <c r="L437" s="1612"/>
      <c r="M437" s="1612"/>
      <c r="N437" s="1612"/>
      <c r="O437" s="1612"/>
      <c r="P437" s="1612"/>
      <c r="Q437" s="1612"/>
      <c r="R437" s="1612"/>
      <c r="S437" s="1612"/>
      <c r="T437" s="1612"/>
      <c r="U437" s="1612"/>
      <c r="V437" s="1612"/>
      <c r="W437" s="1612"/>
      <c r="X437" s="1612"/>
      <c r="Y437" s="1612"/>
      <c r="Z437" s="1612"/>
      <c r="AA437" s="1612"/>
      <c r="AB437" s="1612"/>
      <c r="AC437" s="1612"/>
      <c r="AD437" s="1612"/>
      <c r="AE437" s="1612"/>
      <c r="AF437" s="1847"/>
      <c r="AG437" s="1852">
        <v>160</v>
      </c>
      <c r="AH437" s="1853"/>
      <c r="AI437" s="1853"/>
      <c r="AJ437" s="1853"/>
    </row>
    <row r="438" spans="1:110" ht="12.95" customHeight="1">
      <c r="D438" s="1708" t="s">
        <v>1329</v>
      </c>
      <c r="E438" s="1709"/>
      <c r="F438" s="1709"/>
      <c r="G438" s="1709"/>
      <c r="H438" s="1709"/>
      <c r="I438" s="1709"/>
      <c r="J438" s="1709"/>
      <c r="K438" s="1709"/>
      <c r="L438" s="1709"/>
      <c r="M438" s="1709"/>
      <c r="N438" s="1709"/>
      <c r="O438" s="1709"/>
      <c r="P438" s="1709"/>
      <c r="Q438" s="1709"/>
      <c r="R438" s="1709"/>
      <c r="S438" s="1709"/>
      <c r="T438" s="1709"/>
      <c r="U438" s="1709"/>
      <c r="V438" s="1709"/>
      <c r="W438" s="1709"/>
      <c r="X438" s="1709"/>
      <c r="Y438" s="1709"/>
      <c r="Z438" s="1709"/>
      <c r="AA438" s="1709"/>
      <c r="AB438" s="1709"/>
      <c r="AC438" s="1709"/>
      <c r="AD438" s="1709"/>
      <c r="AE438" s="1709"/>
      <c r="AF438" s="1710"/>
      <c r="AG438" s="1849">
        <v>0</v>
      </c>
      <c r="AH438" s="1602"/>
      <c r="AI438" s="1602"/>
      <c r="AJ438" s="1602"/>
    </row>
    <row r="439" spans="1:110" ht="12.95" customHeight="1">
      <c r="D439" s="1708" t="s">
        <v>1055</v>
      </c>
      <c r="E439" s="1709"/>
      <c r="F439" s="1709"/>
      <c r="G439" s="1709"/>
      <c r="H439" s="1709"/>
      <c r="I439" s="1709"/>
      <c r="J439" s="1709"/>
      <c r="K439" s="1709"/>
      <c r="L439" s="1709"/>
      <c r="M439" s="1709"/>
      <c r="N439" s="1709"/>
      <c r="O439" s="1709"/>
      <c r="P439" s="1709"/>
      <c r="Q439" s="1709"/>
      <c r="R439" s="1709"/>
      <c r="S439" s="1709"/>
      <c r="T439" s="1709"/>
      <c r="U439" s="1709"/>
      <c r="V439" s="1709"/>
      <c r="W439" s="1709"/>
      <c r="X439" s="1709"/>
      <c r="Y439" s="1709"/>
      <c r="Z439" s="1709"/>
      <c r="AA439" s="1709"/>
      <c r="AB439" s="1709"/>
      <c r="AC439" s="1709"/>
      <c r="AD439" s="1709"/>
      <c r="AE439" s="1709"/>
      <c r="AF439" s="1710"/>
      <c r="AG439" s="1853">
        <v>158</v>
      </c>
      <c r="AH439" s="1853"/>
      <c r="AI439" s="1853"/>
      <c r="AJ439" s="1853"/>
    </row>
    <row r="440" spans="1:110" ht="12.95" customHeight="1">
      <c r="D440" s="1708" t="s">
        <v>1056</v>
      </c>
      <c r="E440" s="1709"/>
      <c r="F440" s="1709"/>
      <c r="G440" s="1709"/>
      <c r="H440" s="1709"/>
      <c r="I440" s="1709"/>
      <c r="J440" s="1709"/>
      <c r="K440" s="1709"/>
      <c r="L440" s="1709"/>
      <c r="M440" s="1709"/>
      <c r="N440" s="1709"/>
      <c r="O440" s="1709"/>
      <c r="P440" s="1709"/>
      <c r="Q440" s="1709"/>
      <c r="R440" s="1709"/>
      <c r="S440" s="1709"/>
      <c r="T440" s="1709"/>
      <c r="U440" s="1709"/>
      <c r="V440" s="1709"/>
      <c r="W440" s="1709"/>
      <c r="X440" s="1709"/>
      <c r="Y440" s="1709"/>
      <c r="Z440" s="1709"/>
      <c r="AA440" s="1709"/>
      <c r="AB440" s="1709"/>
      <c r="AC440" s="1709"/>
      <c r="AD440" s="1709"/>
      <c r="AE440" s="1709"/>
      <c r="AF440" s="1710"/>
      <c r="AG440" s="1853">
        <v>158</v>
      </c>
      <c r="AH440" s="1853"/>
      <c r="AI440" s="1853"/>
      <c r="AJ440" s="1853"/>
    </row>
    <row r="441" spans="1:110" ht="12.95" customHeight="1">
      <c r="D441" s="1708" t="s">
        <v>1058</v>
      </c>
      <c r="E441" s="1709"/>
      <c r="F441" s="1709"/>
      <c r="G441" s="1709"/>
      <c r="H441" s="1709"/>
      <c r="I441" s="1709"/>
      <c r="J441" s="1709"/>
      <c r="K441" s="1709"/>
      <c r="L441" s="1709"/>
      <c r="M441" s="1709"/>
      <c r="N441" s="1709"/>
      <c r="O441" s="1709"/>
      <c r="P441" s="1709"/>
      <c r="Q441" s="1709"/>
      <c r="R441" s="1709"/>
      <c r="S441" s="1709"/>
      <c r="T441" s="1709"/>
      <c r="U441" s="1709"/>
      <c r="V441" s="1709"/>
      <c r="W441" s="1709"/>
      <c r="X441" s="1709"/>
      <c r="Y441" s="1709"/>
      <c r="Z441" s="1709"/>
      <c r="AA441" s="1709"/>
      <c r="AB441" s="1709"/>
      <c r="AC441" s="1709"/>
      <c r="AD441" s="1709"/>
      <c r="AE441" s="1709"/>
      <c r="AF441" s="1710"/>
      <c r="AG441" s="1848">
        <f>IF(ISERROR(AG440/AG439),"",AG440/AG439)</f>
        <v>1</v>
      </c>
      <c r="AH441" s="1848"/>
      <c r="AI441" s="1848"/>
      <c r="AJ441" s="1848"/>
    </row>
    <row r="442" spans="1:110" ht="12.95" customHeight="1">
      <c r="D442" s="1708" t="s">
        <v>1057</v>
      </c>
      <c r="E442" s="1709"/>
      <c r="F442" s="1709"/>
      <c r="G442" s="1709"/>
      <c r="H442" s="1709"/>
      <c r="I442" s="1709"/>
      <c r="J442" s="1709"/>
      <c r="K442" s="1709"/>
      <c r="L442" s="1709"/>
      <c r="M442" s="1709"/>
      <c r="N442" s="1709"/>
      <c r="O442" s="1709"/>
      <c r="P442" s="1709"/>
      <c r="Q442" s="1709"/>
      <c r="R442" s="1709"/>
      <c r="S442" s="1709"/>
      <c r="T442" s="1709"/>
      <c r="U442" s="1709"/>
      <c r="V442" s="1709"/>
      <c r="W442" s="1709"/>
      <c r="X442" s="1709"/>
      <c r="Y442" s="1709"/>
      <c r="Z442" s="1709"/>
      <c r="AA442" s="1709"/>
      <c r="AB442" s="1709"/>
      <c r="AC442" s="1709"/>
      <c r="AD442" s="1709"/>
      <c r="AE442" s="1709"/>
      <c r="AF442" s="1710"/>
      <c r="AG442" s="1839">
        <v>91824</v>
      </c>
      <c r="AH442" s="1839"/>
      <c r="AI442" s="1839"/>
      <c r="AJ442" s="1839"/>
    </row>
    <row r="443" spans="1:110" ht="12.95" customHeight="1">
      <c r="D443" s="1708" t="s">
        <v>1059</v>
      </c>
      <c r="E443" s="1709"/>
      <c r="F443" s="1709"/>
      <c r="G443" s="1709"/>
      <c r="H443" s="1709"/>
      <c r="I443" s="1709"/>
      <c r="J443" s="1709"/>
      <c r="K443" s="1709"/>
      <c r="L443" s="1709"/>
      <c r="M443" s="1709"/>
      <c r="N443" s="1709"/>
      <c r="O443" s="1709"/>
      <c r="P443" s="1709"/>
      <c r="Q443" s="1709"/>
      <c r="R443" s="1709"/>
      <c r="S443" s="1709"/>
      <c r="T443" s="1709"/>
      <c r="U443" s="1709"/>
      <c r="V443" s="1709"/>
      <c r="W443" s="1709"/>
      <c r="X443" s="1709"/>
      <c r="Y443" s="1709"/>
      <c r="Z443" s="1709"/>
      <c r="AA443" s="1709"/>
      <c r="AB443" s="1709"/>
      <c r="AC443" s="1709"/>
      <c r="AD443" s="1709"/>
      <c r="AE443" s="1709"/>
      <c r="AF443" s="1710"/>
      <c r="AG443" s="1839">
        <v>91824</v>
      </c>
      <c r="AH443" s="1839"/>
      <c r="AI443" s="1839"/>
      <c r="AJ443" s="1839"/>
    </row>
    <row r="444" spans="1:110" ht="12.95" customHeight="1">
      <c r="D444" s="1708" t="s">
        <v>1060</v>
      </c>
      <c r="E444" s="1709"/>
      <c r="F444" s="1709"/>
      <c r="G444" s="1709"/>
      <c r="H444" s="1709"/>
      <c r="I444" s="1709"/>
      <c r="J444" s="1709"/>
      <c r="K444" s="1709"/>
      <c r="L444" s="1709"/>
      <c r="M444" s="1709"/>
      <c r="N444" s="1709"/>
      <c r="O444" s="1709"/>
      <c r="P444" s="1709"/>
      <c r="Q444" s="1709"/>
      <c r="R444" s="1709"/>
      <c r="S444" s="1709"/>
      <c r="T444" s="1709"/>
      <c r="U444" s="1709"/>
      <c r="V444" s="1709"/>
      <c r="W444" s="1709"/>
      <c r="X444" s="1709"/>
      <c r="Y444" s="1709"/>
      <c r="Z444" s="1709"/>
      <c r="AA444" s="1709"/>
      <c r="AB444" s="1709"/>
      <c r="AC444" s="1709"/>
      <c r="AD444" s="1709"/>
      <c r="AE444" s="1709"/>
      <c r="AF444" s="1710"/>
      <c r="AG444" s="1848">
        <f>IF(ISERROR(AG443/AG442),"",AG443/AG442)</f>
        <v>1</v>
      </c>
      <c r="AH444" s="1848"/>
      <c r="AI444" s="1848"/>
      <c r="AJ444" s="1848"/>
    </row>
    <row r="445" spans="1:110" ht="12.95" customHeight="1">
      <c r="D445" s="1708" t="s">
        <v>1061</v>
      </c>
      <c r="E445" s="1709"/>
      <c r="F445" s="1709"/>
      <c r="G445" s="1709"/>
      <c r="H445" s="1709"/>
      <c r="I445" s="1709"/>
      <c r="J445" s="1709"/>
      <c r="K445" s="1709"/>
      <c r="L445" s="1709"/>
      <c r="M445" s="1709"/>
      <c r="N445" s="1709"/>
      <c r="O445" s="1709"/>
      <c r="P445" s="1709"/>
      <c r="Q445" s="1709"/>
      <c r="R445" s="1709"/>
      <c r="S445" s="1709"/>
      <c r="T445" s="1709"/>
      <c r="U445" s="1709"/>
      <c r="V445" s="1709"/>
      <c r="W445" s="1709"/>
      <c r="X445" s="1709"/>
      <c r="Y445" s="1709"/>
      <c r="Z445" s="1709"/>
      <c r="AA445" s="1709"/>
      <c r="AB445" s="1709"/>
      <c r="AC445" s="1709"/>
      <c r="AD445" s="1709"/>
      <c r="AE445" s="1709"/>
      <c r="AF445" s="1710"/>
      <c r="AG445" s="1848">
        <f>MIN(IF(AG441&gt;AG444,AG444,AG441),1)</f>
        <v>1</v>
      </c>
      <c r="AH445" s="1848"/>
      <c r="AI445" s="1848"/>
      <c r="AJ445" s="1848"/>
    </row>
    <row r="446" spans="1:110" ht="12.95" customHeight="1">
      <c r="D446" s="1708" t="s">
        <v>2404</v>
      </c>
      <c r="E446" s="1612"/>
      <c r="F446" s="1612"/>
      <c r="G446" s="1612"/>
      <c r="H446" s="1612"/>
      <c r="I446" s="1612"/>
      <c r="J446" s="1612"/>
      <c r="K446" s="1612"/>
      <c r="L446" s="1612"/>
      <c r="M446" s="1612"/>
      <c r="N446" s="1612"/>
      <c r="O446" s="1612"/>
      <c r="P446" s="1612"/>
      <c r="Q446" s="1612"/>
      <c r="R446" s="1612"/>
      <c r="S446" s="1612"/>
      <c r="T446" s="1612"/>
      <c r="U446" s="1612"/>
      <c r="V446" s="1612"/>
      <c r="W446" s="1612"/>
      <c r="X446" s="1612"/>
      <c r="Y446" s="1612"/>
      <c r="Z446" s="1612"/>
      <c r="AA446" s="1612"/>
      <c r="AB446" s="1612"/>
      <c r="AC446" s="1612"/>
      <c r="AD446" s="1612"/>
      <c r="AE446" s="1612"/>
      <c r="AF446" s="1847"/>
      <c r="AG446" s="1839">
        <f>3060+4310</f>
        <v>7370</v>
      </c>
      <c r="AH446" s="1839"/>
      <c r="AI446" s="1839"/>
      <c r="AJ446" s="1839"/>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729" t="s">
        <v>577</v>
      </c>
      <c r="E447" s="1612"/>
      <c r="F447" s="1612"/>
      <c r="G447" s="1612"/>
      <c r="H447" s="1612"/>
      <c r="I447" s="1612"/>
      <c r="J447" s="1612"/>
      <c r="K447" s="1612"/>
      <c r="L447" s="1612"/>
      <c r="M447" s="1612"/>
      <c r="N447" s="1612"/>
      <c r="O447" s="1612"/>
      <c r="P447" s="1612"/>
      <c r="Q447" s="1612"/>
      <c r="R447" s="1612"/>
      <c r="S447" s="1612"/>
      <c r="T447" s="1612"/>
      <c r="U447" s="1612"/>
      <c r="V447" s="1612"/>
      <c r="W447" s="1612"/>
      <c r="X447" s="1612"/>
      <c r="Y447" s="1612"/>
      <c r="Z447" s="1612"/>
      <c r="AA447" s="1612"/>
      <c r="AB447" s="1612"/>
      <c r="AC447" s="1612"/>
      <c r="AD447" s="1612"/>
      <c r="AE447" s="1612"/>
      <c r="AF447" s="1847"/>
      <c r="AG447" s="1839">
        <v>0</v>
      </c>
      <c r="AH447" s="1839"/>
      <c r="AI447" s="1839"/>
      <c r="AJ447" s="1839"/>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708" t="s">
        <v>1311</v>
      </c>
      <c r="E448" s="1612"/>
      <c r="F448" s="1612"/>
      <c r="G448" s="1612"/>
      <c r="H448" s="1612"/>
      <c r="I448" s="1612"/>
      <c r="J448" s="1612"/>
      <c r="K448" s="1612"/>
      <c r="L448" s="1612"/>
      <c r="M448" s="1612"/>
      <c r="N448" s="1612"/>
      <c r="O448" s="1612"/>
      <c r="P448" s="1612"/>
      <c r="Q448" s="1612"/>
      <c r="R448" s="1612"/>
      <c r="S448" s="1612"/>
      <c r="T448" s="1612"/>
      <c r="U448" s="1612"/>
      <c r="V448" s="1612"/>
      <c r="W448" s="1612"/>
      <c r="X448" s="1612"/>
      <c r="Y448" s="1612"/>
      <c r="Z448" s="1612"/>
      <c r="AA448" s="1612"/>
      <c r="AB448" s="1612"/>
      <c r="AC448" s="1612"/>
      <c r="AD448" s="1612"/>
      <c r="AE448" s="1612"/>
      <c r="AF448" s="1847"/>
      <c r="AG448" s="1839">
        <f>3040+5500+4276+15420-2560</f>
        <v>25676</v>
      </c>
      <c r="AH448" s="1839"/>
      <c r="AI448" s="1839"/>
      <c r="AJ448" s="1839"/>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708" t="s">
        <v>1062</v>
      </c>
      <c r="E449" s="1612"/>
      <c r="F449" s="1612"/>
      <c r="G449" s="1612"/>
      <c r="H449" s="1612"/>
      <c r="I449" s="1612"/>
      <c r="J449" s="1612"/>
      <c r="K449" s="1612"/>
      <c r="L449" s="1612"/>
      <c r="M449" s="1612"/>
      <c r="N449" s="1612"/>
      <c r="O449" s="1612"/>
      <c r="P449" s="1612"/>
      <c r="Q449" s="1612"/>
      <c r="R449" s="1612"/>
      <c r="S449" s="1612"/>
      <c r="T449" s="1612"/>
      <c r="U449" s="1612"/>
      <c r="V449" s="1612"/>
      <c r="W449" s="1612"/>
      <c r="X449" s="1612"/>
      <c r="Y449" s="1612"/>
      <c r="Z449" s="1612"/>
      <c r="AA449" s="1612"/>
      <c r="AB449" s="1612"/>
      <c r="AC449" s="1612"/>
      <c r="AD449" s="1612"/>
      <c r="AE449" s="1612"/>
      <c r="AF449" s="1847"/>
      <c r="AG449" s="1839">
        <v>18380</v>
      </c>
      <c r="AH449" s="1839"/>
      <c r="AI449" s="1839"/>
      <c r="AJ449" s="1839"/>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686" t="s">
        <v>1063</v>
      </c>
      <c r="E450" s="1687"/>
      <c r="F450" s="1687"/>
      <c r="G450" s="1687"/>
      <c r="H450" s="1687"/>
      <c r="I450" s="1687"/>
      <c r="J450" s="1687"/>
      <c r="K450" s="1687"/>
      <c r="L450" s="1687"/>
      <c r="M450" s="1687"/>
      <c r="N450" s="1687"/>
      <c r="O450" s="1687"/>
      <c r="P450" s="1687"/>
      <c r="Q450" s="1687"/>
      <c r="R450" s="1687"/>
      <c r="S450" s="1687"/>
      <c r="T450" s="1687"/>
      <c r="U450" s="1687"/>
      <c r="V450" s="1687"/>
      <c r="W450" s="1687"/>
      <c r="X450" s="1687"/>
      <c r="Y450" s="1687"/>
      <c r="Z450" s="1687"/>
      <c r="AA450" s="1687"/>
      <c r="AB450" s="1687"/>
      <c r="AC450" s="1687"/>
      <c r="AD450" s="1687"/>
      <c r="AE450" s="1687"/>
      <c r="AF450" s="1688"/>
      <c r="AG450" s="1854">
        <f>AG442+AG446+AG448+AG449</f>
        <v>143250</v>
      </c>
      <c r="AH450" s="1854"/>
      <c r="AI450" s="1854"/>
      <c r="AJ450" s="1854"/>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689" t="s">
        <v>1312</v>
      </c>
      <c r="E451" s="1689"/>
      <c r="F451" s="1689"/>
      <c r="G451" s="1689"/>
      <c r="H451" s="1689"/>
      <c r="I451" s="1689"/>
      <c r="J451" s="1689"/>
      <c r="K451" s="1689"/>
      <c r="L451" s="1689"/>
      <c r="M451" s="1689"/>
      <c r="N451" s="1689"/>
      <c r="O451" s="1689"/>
      <c r="P451" s="1689"/>
      <c r="Q451" s="1689"/>
      <c r="R451" s="1689"/>
      <c r="S451" s="1689"/>
      <c r="T451" s="1689"/>
      <c r="U451" s="1689"/>
      <c r="V451" s="1689"/>
      <c r="W451" s="1689"/>
      <c r="X451" s="1689"/>
      <c r="Y451" s="1689"/>
      <c r="Z451" s="1689"/>
      <c r="AA451" s="1689"/>
      <c r="AB451" s="1689"/>
      <c r="AC451" s="1689"/>
      <c r="AD451" s="1689"/>
      <c r="AE451" s="1689"/>
      <c r="AF451" s="1689"/>
      <c r="AG451" s="1689"/>
      <c r="AH451" s="1689"/>
      <c r="AI451" s="1689"/>
      <c r="AJ451" s="1689"/>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690"/>
      <c r="E452" s="1690"/>
      <c r="F452" s="1690"/>
      <c r="G452" s="1690"/>
      <c r="H452" s="1690"/>
      <c r="I452" s="1690"/>
      <c r="J452" s="1690"/>
      <c r="K452" s="1690"/>
      <c r="L452" s="1690"/>
      <c r="M452" s="1690"/>
      <c r="N452" s="1690"/>
      <c r="O452" s="1690"/>
      <c r="P452" s="1690"/>
      <c r="Q452" s="1690"/>
      <c r="R452" s="1690"/>
      <c r="S452" s="1690"/>
      <c r="T452" s="1690"/>
      <c r="U452" s="1690"/>
      <c r="V452" s="1690"/>
      <c r="W452" s="1690"/>
      <c r="X452" s="1690"/>
      <c r="Y452" s="1690"/>
      <c r="Z452" s="1690"/>
      <c r="AA452" s="1690"/>
      <c r="AB452" s="1690"/>
      <c r="AC452" s="1690"/>
      <c r="AD452" s="1690"/>
      <c r="AE452" s="1690"/>
      <c r="AF452" s="1690"/>
      <c r="AG452" s="1690"/>
      <c r="AH452" s="1690"/>
      <c r="AI452" s="1690"/>
      <c r="AJ452" s="1690"/>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63">
        <f>IF(AG437=0,"",'Sources and Uses Budget'!B105/Application!AG437)</f>
        <v>762486.59126497118</v>
      </c>
      <c r="AD454" s="1763"/>
      <c r="AE454" s="1763"/>
      <c r="AF454" s="1763"/>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63">
        <f>IF(AG437=0,"",'Sources and Uses Budget'!C105/Application!AG437)</f>
        <v>762486.59126497118</v>
      </c>
      <c r="AD455" s="1763"/>
      <c r="AE455" s="1763"/>
      <c r="AF455" s="1763"/>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763">
        <f>IF(AG437=0,"",('Sources and Uses Budget'!$S$107+'Sources and Uses Budget'!$T$107)/Application!AG437)</f>
        <v>691577.23243152618</v>
      </c>
      <c r="AD456" s="1763"/>
      <c r="AE456" s="1763"/>
      <c r="AF456" s="1763"/>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40"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40"/>
      <c r="H457" s="1440"/>
      <c r="I457" s="1440"/>
      <c r="J457" s="1440"/>
      <c r="K457" s="1440"/>
      <c r="L457" s="1440"/>
      <c r="M457" s="1440"/>
      <c r="N457" s="1440"/>
      <c r="O457" s="1440"/>
      <c r="P457" s="1440"/>
      <c r="Q457" s="1440"/>
      <c r="R457" s="1440"/>
      <c r="S457" s="1440"/>
      <c r="T457" s="1440"/>
      <c r="U457" s="1440"/>
      <c r="V457" s="1440"/>
      <c r="W457" s="1440"/>
      <c r="X457" s="1440"/>
      <c r="Y457" s="1440"/>
      <c r="Z457" s="1440"/>
      <c r="AA457" s="1440"/>
      <c r="AB457" s="1440"/>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40"/>
      <c r="G458" s="1440"/>
      <c r="H458" s="1440"/>
      <c r="I458" s="1440"/>
      <c r="J458" s="1440"/>
      <c r="K458" s="1440"/>
      <c r="L458" s="1440"/>
      <c r="M458" s="1440"/>
      <c r="N458" s="1440"/>
      <c r="O458" s="1440"/>
      <c r="P458" s="1440"/>
      <c r="Q458" s="1440"/>
      <c r="R458" s="1440"/>
      <c r="S458" s="1440"/>
      <c r="T458" s="1440"/>
      <c r="U458" s="1440"/>
      <c r="V458" s="1440"/>
      <c r="W458" s="1440"/>
      <c r="X458" s="1440"/>
      <c r="Y458" s="1440"/>
      <c r="Z458" s="1440"/>
      <c r="AA458" s="1440"/>
      <c r="AB458" s="1440"/>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2067</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2068</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2069</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43" t="s">
        <v>2418</v>
      </c>
      <c r="E465" s="1771"/>
      <c r="F465" s="1771"/>
      <c r="G465" s="1771"/>
      <c r="H465" s="1771"/>
      <c r="I465" s="1771"/>
      <c r="J465" s="1771"/>
      <c r="K465" s="1771"/>
      <c r="L465" s="1771"/>
      <c r="M465" s="1771"/>
      <c r="N465" s="1771"/>
      <c r="O465" s="1771"/>
      <c r="P465" s="1771"/>
      <c r="Q465" s="1771"/>
      <c r="R465" s="1771"/>
      <c r="S465" s="1771"/>
      <c r="T465" s="1771"/>
      <c r="U465" s="1771"/>
      <c r="V465" s="1772"/>
      <c r="W465" s="1705">
        <v>15</v>
      </c>
      <c r="X465" s="1706"/>
      <c r="Y465" s="1707"/>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70" t="s">
        <v>702</v>
      </c>
      <c r="E466" s="1771"/>
      <c r="F466" s="1771"/>
      <c r="G466" s="1771"/>
      <c r="H466" s="1771"/>
      <c r="I466" s="1771"/>
      <c r="J466" s="1771"/>
      <c r="K466" s="1771"/>
      <c r="L466" s="1771"/>
      <c r="M466" s="1771"/>
      <c r="N466" s="1771"/>
      <c r="O466" s="1771"/>
      <c r="P466" s="1771"/>
      <c r="Q466" s="1771"/>
      <c r="R466" s="1771"/>
      <c r="S466" s="1771"/>
      <c r="T466" s="1771"/>
      <c r="U466" s="1771"/>
      <c r="V466" s="1772"/>
      <c r="W466" s="1705">
        <v>0</v>
      </c>
      <c r="X466" s="1706"/>
      <c r="Y466" s="1707"/>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70" t="s">
        <v>703</v>
      </c>
      <c r="E467" s="1771"/>
      <c r="F467" s="1771"/>
      <c r="G467" s="1771"/>
      <c r="H467" s="1771"/>
      <c r="I467" s="1771"/>
      <c r="J467" s="1771"/>
      <c r="K467" s="1771"/>
      <c r="L467" s="1771"/>
      <c r="M467" s="1771"/>
      <c r="N467" s="1771"/>
      <c r="O467" s="1771"/>
      <c r="P467" s="1771"/>
      <c r="Q467" s="1771"/>
      <c r="R467" s="1771"/>
      <c r="S467" s="1771"/>
      <c r="T467" s="1771"/>
      <c r="U467" s="1771"/>
      <c r="V467" s="1772"/>
      <c r="W467" s="1705">
        <v>10</v>
      </c>
      <c r="X467" s="1706"/>
      <c r="Y467" s="1707"/>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70" t="s">
        <v>704</v>
      </c>
      <c r="E468" s="1771"/>
      <c r="F468" s="1771"/>
      <c r="G468" s="1771"/>
      <c r="H468" s="1771"/>
      <c r="I468" s="1771"/>
      <c r="J468" s="1771"/>
      <c r="K468" s="1771"/>
      <c r="L468" s="1771"/>
      <c r="M468" s="1771"/>
      <c r="N468" s="1771"/>
      <c r="O468" s="1771"/>
      <c r="P468" s="1771"/>
      <c r="Q468" s="1771"/>
      <c r="R468" s="1771"/>
      <c r="S468" s="1771"/>
      <c r="T468" s="1771"/>
      <c r="U468" s="1771"/>
      <c r="V468" s="1772"/>
      <c r="W468" s="1705">
        <v>0</v>
      </c>
      <c r="X468" s="1706"/>
      <c r="Y468" s="1707"/>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70" t="s">
        <v>893</v>
      </c>
      <c r="E469" s="1771"/>
      <c r="F469" s="1771"/>
      <c r="G469" s="1771"/>
      <c r="H469" s="1771"/>
      <c r="I469" s="1771"/>
      <c r="J469" s="1771"/>
      <c r="K469" s="1771"/>
      <c r="L469" s="1771"/>
      <c r="M469" s="1771"/>
      <c r="N469" s="1771"/>
      <c r="O469" s="1771"/>
      <c r="P469" s="1771"/>
      <c r="Q469" s="1771"/>
      <c r="R469" s="1771"/>
      <c r="S469" s="1771"/>
      <c r="T469" s="1771"/>
      <c r="U469" s="1771"/>
      <c r="V469" s="1772"/>
      <c r="W469" s="1705">
        <v>0</v>
      </c>
      <c r="X469" s="1706"/>
      <c r="Y469" s="1707"/>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70" t="s">
        <v>705</v>
      </c>
      <c r="E470" s="1771"/>
      <c r="F470" s="1771"/>
      <c r="G470" s="1771"/>
      <c r="H470" s="1771"/>
      <c r="I470" s="1771"/>
      <c r="J470" s="1771"/>
      <c r="K470" s="1771"/>
      <c r="L470" s="1771"/>
      <c r="M470" s="1771"/>
      <c r="N470" s="1771"/>
      <c r="O470" s="1771"/>
      <c r="P470" s="1771"/>
      <c r="Q470" s="1771"/>
      <c r="R470" s="1771"/>
      <c r="S470" s="1771"/>
      <c r="T470" s="1771"/>
      <c r="U470" s="1771"/>
      <c r="V470" s="1772"/>
      <c r="W470" s="1705">
        <v>0</v>
      </c>
      <c r="X470" s="1706"/>
      <c r="Y470" s="1707"/>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70" t="s">
        <v>1036</v>
      </c>
      <c r="E471" s="1771"/>
      <c r="F471" s="1771"/>
      <c r="G471" s="1771"/>
      <c r="H471" s="1771"/>
      <c r="I471" s="1771"/>
      <c r="J471" s="1771"/>
      <c r="K471" s="1771"/>
      <c r="L471" s="1771"/>
      <c r="M471" s="1771"/>
      <c r="N471" s="1771"/>
      <c r="O471" s="1771"/>
      <c r="P471" s="1771"/>
      <c r="Q471" s="1771"/>
      <c r="R471" s="1771"/>
      <c r="S471" s="1771"/>
      <c r="T471" s="1771"/>
      <c r="U471" s="1771"/>
      <c r="V471" s="1772"/>
      <c r="W471" s="1705">
        <v>0</v>
      </c>
      <c r="X471" s="1706"/>
      <c r="Y471" s="1707"/>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43" t="s">
        <v>2555</v>
      </c>
      <c r="E472" s="1844"/>
      <c r="F472" s="1844"/>
      <c r="G472" s="1844"/>
      <c r="H472" s="1844"/>
      <c r="I472" s="1844"/>
      <c r="J472" s="1844"/>
      <c r="K472" s="1844"/>
      <c r="L472" s="1844"/>
      <c r="M472" s="1844"/>
      <c r="N472" s="1844"/>
      <c r="O472" s="1844"/>
      <c r="P472" s="1844"/>
      <c r="Q472" s="1844"/>
      <c r="R472" s="1844"/>
      <c r="S472" s="1844"/>
      <c r="T472" s="1844"/>
      <c r="U472" s="1844"/>
      <c r="V472" s="1845"/>
      <c r="W472" s="1705">
        <v>25</v>
      </c>
      <c r="X472" s="1706"/>
      <c r="Y472" s="1707"/>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43" t="s">
        <v>1767</v>
      </c>
      <c r="E473" s="1771"/>
      <c r="F473" s="1771"/>
      <c r="G473" s="1771"/>
      <c r="H473" s="1771"/>
      <c r="I473" s="1771"/>
      <c r="J473" s="1771"/>
      <c r="K473" s="1771"/>
      <c r="L473" s="1771"/>
      <c r="M473" s="1771"/>
      <c r="N473" s="1771"/>
      <c r="O473" s="1771"/>
      <c r="P473" s="1771"/>
      <c r="Q473" s="1771"/>
      <c r="R473" s="1771"/>
      <c r="S473" s="1771"/>
      <c r="T473" s="1771"/>
      <c r="U473" s="1771"/>
      <c r="V473" s="1772"/>
      <c r="W473" s="1705">
        <v>0</v>
      </c>
      <c r="X473" s="1706"/>
      <c r="Y473" s="170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813"/>
      <c r="H474" s="1814"/>
      <c r="I474" s="1814"/>
      <c r="J474" s="1814"/>
      <c r="K474" s="1814"/>
      <c r="L474" s="1814"/>
      <c r="M474" s="1814"/>
      <c r="N474" s="1814"/>
      <c r="O474" s="1814"/>
      <c r="P474" s="1814"/>
      <c r="Q474" s="1814"/>
      <c r="R474" s="1814"/>
      <c r="S474" s="1814"/>
      <c r="T474" s="1814"/>
      <c r="U474" s="1814"/>
      <c r="V474" s="1815"/>
      <c r="W474" s="1705">
        <v>0</v>
      </c>
      <c r="X474" s="1706"/>
      <c r="Y474" s="1707"/>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56" t="s">
        <v>819</v>
      </c>
      <c r="B480" s="1456"/>
      <c r="C480" s="1456"/>
      <c r="D480" s="1456"/>
      <c r="E480" s="1456"/>
      <c r="F480" s="1456"/>
      <c r="G480" s="1456"/>
      <c r="H480" s="1456"/>
      <c r="I480" s="1456"/>
      <c r="J480" s="1456"/>
      <c r="K480" s="1456"/>
      <c r="L480" s="1456"/>
      <c r="M480" s="1456"/>
      <c r="N480" s="1456"/>
      <c r="O480" s="1456"/>
      <c r="P480" s="1456"/>
      <c r="Q480" s="1456"/>
      <c r="R480" s="1456"/>
      <c r="S480" s="1456"/>
      <c r="T480" s="1456"/>
      <c r="U480" s="1456"/>
      <c r="V480" s="1456"/>
      <c r="W480" s="1456"/>
      <c r="X480" s="1456"/>
      <c r="Y480" s="1456"/>
      <c r="Z480" s="1456"/>
      <c r="AA480" s="1456"/>
      <c r="AB480" s="1456"/>
      <c r="AC480" s="1456"/>
      <c r="AD480" s="1456"/>
      <c r="AE480" s="1456"/>
      <c r="AF480" s="1456"/>
      <c r="AG480" s="1456"/>
      <c r="AH480" s="1456"/>
      <c r="AI480" s="1456"/>
      <c r="AJ480" s="1456"/>
      <c r="AK480" s="1456"/>
      <c r="AL480" s="1456"/>
      <c r="AM480" s="1456"/>
      <c r="AN480" s="1456"/>
      <c r="AO480" s="1456"/>
      <c r="AP480" s="1456"/>
      <c r="AQ480" s="1456"/>
      <c r="AR480" s="1456"/>
      <c r="AS480" s="1456"/>
      <c r="AT480" s="1456"/>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56"/>
      <c r="B481" s="1456"/>
      <c r="C481" s="1456"/>
      <c r="D481" s="1456"/>
      <c r="E481" s="1456"/>
      <c r="F481" s="1456"/>
      <c r="G481" s="1456"/>
      <c r="H481" s="1456"/>
      <c r="I481" s="1456"/>
      <c r="J481" s="1456"/>
      <c r="K481" s="1456"/>
      <c r="L481" s="1456"/>
      <c r="M481" s="1456"/>
      <c r="N481" s="1456"/>
      <c r="O481" s="1456"/>
      <c r="P481" s="1456"/>
      <c r="Q481" s="1456"/>
      <c r="R481" s="1456"/>
      <c r="S481" s="1456"/>
      <c r="T481" s="1456"/>
      <c r="U481" s="1456"/>
      <c r="V481" s="1456"/>
      <c r="W481" s="1456"/>
      <c r="X481" s="1456"/>
      <c r="Y481" s="1456"/>
      <c r="Z481" s="1456"/>
      <c r="AA481" s="1456"/>
      <c r="AB481" s="1456"/>
      <c r="AC481" s="1456"/>
      <c r="AD481" s="1456"/>
      <c r="AE481" s="1456"/>
      <c r="AF481" s="1456"/>
      <c r="AG481" s="1456"/>
      <c r="AH481" s="1456"/>
      <c r="AI481" s="1456"/>
      <c r="AJ481" s="1456"/>
      <c r="AK481" s="1456"/>
      <c r="AL481" s="1456"/>
      <c r="AM481" s="1456"/>
      <c r="AN481" s="1456"/>
      <c r="AO481" s="1456"/>
      <c r="AP481" s="1456"/>
      <c r="AQ481" s="1456"/>
      <c r="AR481" s="1456"/>
      <c r="AS481" s="1456"/>
      <c r="AT481" s="1456"/>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767" t="s">
        <v>394</v>
      </c>
      <c r="R485" s="1768"/>
      <c r="S485" s="1768"/>
      <c r="T485" s="1768"/>
      <c r="U485" s="1768"/>
      <c r="V485" s="1768"/>
      <c r="W485" s="1768"/>
      <c r="X485" s="1768"/>
      <c r="Y485" s="1768"/>
      <c r="Z485" s="1768"/>
      <c r="AA485" s="1768"/>
      <c r="AB485" s="1768"/>
      <c r="AC485" s="1768"/>
      <c r="AD485" s="1768"/>
      <c r="AE485" s="1768"/>
      <c r="AF485" s="1768"/>
      <c r="AG485" s="1768"/>
      <c r="AH485" s="1768"/>
      <c r="AI485" s="1768"/>
      <c r="AJ485" s="1768"/>
      <c r="AK485" s="1769"/>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698" t="s">
        <v>2749</v>
      </c>
      <c r="R486" s="1434"/>
      <c r="S486" s="1434"/>
      <c r="T486" s="1434"/>
      <c r="U486" s="1434"/>
      <c r="V486" s="1434"/>
      <c r="W486" s="1434"/>
      <c r="X486" s="1434"/>
      <c r="Y486" s="1434"/>
      <c r="Z486" s="1434"/>
      <c r="AA486" s="1434"/>
      <c r="AB486" s="1434"/>
      <c r="AC486" s="1434"/>
      <c r="AD486" s="1434"/>
      <c r="AE486" s="1434"/>
      <c r="AF486" s="1434"/>
      <c r="AG486" s="1434"/>
      <c r="AH486" s="1434"/>
      <c r="AI486" s="1434"/>
      <c r="AJ486" s="1434"/>
      <c r="AK486" s="1699"/>
      <c r="AZ486" s="3"/>
      <c r="BB486" s="3"/>
      <c r="BC486" s="3"/>
      <c r="BD486" s="3"/>
      <c r="BE486" s="3"/>
      <c r="BF486" s="3"/>
      <c r="BG486" s="3"/>
      <c r="BH486" s="3"/>
      <c r="BI486" s="3"/>
      <c r="BJ486" s="3"/>
      <c r="BK486" s="3"/>
      <c r="BL486" s="3"/>
      <c r="BM486" s="3"/>
      <c r="BN486" s="3"/>
      <c r="BO486" s="3"/>
      <c r="BP486" s="3"/>
      <c r="BQ486" s="3"/>
      <c r="BR486" s="3"/>
      <c r="BS486" s="3"/>
      <c r="BT486" s="3"/>
      <c r="BU486" s="3"/>
      <c r="BV486" s="207" t="s">
        <v>2508</v>
      </c>
      <c r="BW486" s="208"/>
      <c r="BX486" s="208"/>
      <c r="BY486" s="208"/>
      <c r="BZ486" s="208"/>
      <c r="CA486" s="208"/>
      <c r="CB486" s="208"/>
      <c r="CC486" s="3"/>
      <c r="CD486" s="207" t="s">
        <v>2507</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24" customHeight="1">
      <c r="B487" s="45" t="s">
        <v>396</v>
      </c>
      <c r="C487" s="5"/>
      <c r="D487" s="5"/>
      <c r="E487" s="5"/>
      <c r="F487" s="5"/>
      <c r="G487" s="5"/>
      <c r="H487" s="5"/>
      <c r="I487" s="5"/>
      <c r="J487" s="5"/>
      <c r="K487" s="5"/>
      <c r="L487" s="5"/>
      <c r="M487" s="5"/>
      <c r="N487" s="5"/>
      <c r="O487" s="5"/>
      <c r="P487" s="5"/>
      <c r="Q487" s="1817" t="s">
        <v>2750</v>
      </c>
      <c r="R487" s="1434"/>
      <c r="S487" s="1434"/>
      <c r="T487" s="1434"/>
      <c r="U487" s="1434"/>
      <c r="V487" s="1434"/>
      <c r="W487" s="1434"/>
      <c r="X487" s="1434"/>
      <c r="Y487" s="1434"/>
      <c r="Z487" s="1434"/>
      <c r="AA487" s="1434"/>
      <c r="AB487" s="1434"/>
      <c r="AC487" s="1434"/>
      <c r="AD487" s="1434"/>
      <c r="AE487" s="1434"/>
      <c r="AF487" s="1434"/>
      <c r="AG487" s="1434"/>
      <c r="AH487" s="1434"/>
      <c r="AI487" s="1434"/>
      <c r="AJ487" s="1434"/>
      <c r="AK487" s="1699"/>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2233</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698" t="s">
        <v>2751</v>
      </c>
      <c r="R488" s="1434"/>
      <c r="S488" s="1434"/>
      <c r="T488" s="1434"/>
      <c r="U488" s="1434"/>
      <c r="V488" s="1434"/>
      <c r="W488" s="1434"/>
      <c r="X488" s="1434"/>
      <c r="Y488" s="1434"/>
      <c r="Z488" s="1434"/>
      <c r="AA488" s="1434"/>
      <c r="AB488" s="1434"/>
      <c r="AC488" s="1434"/>
      <c r="AD488" s="1434"/>
      <c r="AE488" s="1434"/>
      <c r="AF488" s="1434"/>
      <c r="AG488" s="1434"/>
      <c r="AH488" s="1434"/>
      <c r="AI488" s="1434"/>
      <c r="AJ488" s="1434"/>
      <c r="AK488" s="1699"/>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60" t="s">
        <v>398</v>
      </c>
      <c r="C489" s="1861"/>
      <c r="D489" s="1861"/>
      <c r="E489" s="1861"/>
      <c r="F489" s="1861"/>
      <c r="G489" s="1861"/>
      <c r="H489" s="1861"/>
      <c r="I489" s="1861"/>
      <c r="J489" s="1861"/>
      <c r="K489" s="1861"/>
      <c r="L489" s="1861"/>
      <c r="M489" s="1861"/>
      <c r="N489" s="1861"/>
      <c r="O489" s="1861"/>
      <c r="P489" s="1862"/>
      <c r="Q489" s="1866" t="s">
        <v>677</v>
      </c>
      <c r="R489" s="1867"/>
      <c r="S489" s="1825" t="s">
        <v>166</v>
      </c>
      <c r="T489" s="1826"/>
      <c r="U489" s="1826"/>
      <c r="V489" s="1826"/>
      <c r="W489" s="1826"/>
      <c r="X489" s="1826"/>
      <c r="Y489" s="1826"/>
      <c r="Z489" s="1826"/>
      <c r="AA489" s="1826"/>
      <c r="AB489" s="1826"/>
      <c r="AC489" s="1826"/>
      <c r="AD489" s="1826"/>
      <c r="AE489" s="1826"/>
      <c r="AF489" s="1826"/>
      <c r="AG489" s="1826"/>
      <c r="AH489" s="1826"/>
      <c r="AI489" s="1826"/>
      <c r="AJ489" s="1826"/>
      <c r="AK489" s="1827"/>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63"/>
      <c r="C490" s="1864"/>
      <c r="D490" s="1864"/>
      <c r="E490" s="1864"/>
      <c r="F490" s="1864"/>
      <c r="G490" s="1864"/>
      <c r="H490" s="1864"/>
      <c r="I490" s="1864"/>
      <c r="J490" s="1864"/>
      <c r="K490" s="1864"/>
      <c r="L490" s="1864"/>
      <c r="M490" s="1864"/>
      <c r="N490" s="1864"/>
      <c r="O490" s="1864"/>
      <c r="P490" s="1865"/>
      <c r="Q490" s="1868"/>
      <c r="R490" s="1869"/>
      <c r="S490" s="1828"/>
      <c r="T490" s="1803"/>
      <c r="U490" s="1803"/>
      <c r="V490" s="1803"/>
      <c r="W490" s="1803"/>
      <c r="X490" s="1803"/>
      <c r="Y490" s="1803"/>
      <c r="Z490" s="1803"/>
      <c r="AA490" s="1803"/>
      <c r="AB490" s="1803"/>
      <c r="AC490" s="1803"/>
      <c r="AD490" s="1803"/>
      <c r="AE490" s="1803"/>
      <c r="AF490" s="1803"/>
      <c r="AG490" s="1803"/>
      <c r="AH490" s="1803"/>
      <c r="AI490" s="1803"/>
      <c r="AJ490" s="1803"/>
      <c r="AK490" s="1829"/>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1785</v>
      </c>
      <c r="C491" s="907"/>
      <c r="D491" s="907"/>
      <c r="E491" s="907"/>
      <c r="F491" s="907"/>
      <c r="G491" s="907"/>
      <c r="H491" s="907"/>
      <c r="I491" s="907"/>
      <c r="J491" s="907"/>
      <c r="K491" s="907"/>
      <c r="L491" s="907"/>
      <c r="M491" s="907"/>
      <c r="N491" s="907"/>
      <c r="O491" s="907"/>
      <c r="P491" s="907"/>
      <c r="Q491" s="1873"/>
      <c r="R491" s="1874"/>
      <c r="S491" s="1874"/>
      <c r="T491" s="1874"/>
      <c r="U491" s="1874"/>
      <c r="V491" s="1874"/>
      <c r="W491" s="1874"/>
      <c r="X491" s="1874"/>
      <c r="Y491" s="1874"/>
      <c r="Z491" s="1874"/>
      <c r="AA491" s="1874"/>
      <c r="AB491" s="1874"/>
      <c r="AC491" s="1874"/>
      <c r="AD491" s="1874"/>
      <c r="AE491" s="1874"/>
      <c r="AF491" s="1874"/>
      <c r="AG491" s="1874"/>
      <c r="AH491" s="1874"/>
      <c r="AI491" s="1874"/>
      <c r="AJ491" s="1874"/>
      <c r="AK491" s="1875"/>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698" t="s">
        <v>2753</v>
      </c>
      <c r="R492" s="1434"/>
      <c r="S492" s="1434"/>
      <c r="T492" s="1434"/>
      <c r="U492" s="1434"/>
      <c r="V492" s="1434"/>
      <c r="W492" s="1434"/>
      <c r="X492" s="1434"/>
      <c r="Y492" s="1434"/>
      <c r="Z492" s="1434"/>
      <c r="AA492" s="1434"/>
      <c r="AB492" s="1434"/>
      <c r="AC492" s="1434"/>
      <c r="AD492" s="1434"/>
      <c r="AE492" s="1434"/>
      <c r="AF492" s="1434"/>
      <c r="AG492" s="1434"/>
      <c r="AH492" s="1434"/>
      <c r="AI492" s="1434"/>
      <c r="AJ492" s="1434"/>
      <c r="AK492" s="1699"/>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698" t="s">
        <v>2752</v>
      </c>
      <c r="R493" s="1434"/>
      <c r="S493" s="1434"/>
      <c r="T493" s="1434"/>
      <c r="U493" s="1434"/>
      <c r="V493" s="1434"/>
      <c r="W493" s="1434"/>
      <c r="X493" s="1434"/>
      <c r="Y493" s="1434"/>
      <c r="Z493" s="1434"/>
      <c r="AA493" s="1434"/>
      <c r="AB493" s="1434"/>
      <c r="AC493" s="1434"/>
      <c r="AD493" s="1434"/>
      <c r="AE493" s="1434"/>
      <c r="AF493" s="1434"/>
      <c r="AG493" s="1434"/>
      <c r="AH493" s="1434"/>
      <c r="AI493" s="1434"/>
      <c r="AJ493" s="1434"/>
      <c r="AK493" s="1699"/>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1782</v>
      </c>
      <c r="C494" s="5"/>
      <c r="D494" s="5"/>
      <c r="E494" s="5"/>
      <c r="F494" s="5"/>
      <c r="G494" s="5"/>
      <c r="H494" s="5"/>
      <c r="I494" s="5"/>
      <c r="J494" s="5"/>
      <c r="K494" s="5"/>
      <c r="L494" s="5"/>
      <c r="M494" s="5"/>
      <c r="N494" s="5"/>
      <c r="O494" s="5"/>
      <c r="P494" s="5"/>
      <c r="Q494" s="1698">
        <v>109</v>
      </c>
      <c r="R494" s="1434"/>
      <c r="S494" s="1434"/>
      <c r="T494" s="1434"/>
      <c r="U494" s="1434"/>
      <c r="V494" s="1434"/>
      <c r="W494" s="1434"/>
      <c r="X494" s="1434"/>
      <c r="Y494" s="1434"/>
      <c r="Z494" s="1434"/>
      <c r="AA494" s="1434"/>
      <c r="AB494" s="1434"/>
      <c r="AC494" s="1434"/>
      <c r="AD494" s="1434"/>
      <c r="AE494" s="1434"/>
      <c r="AF494" s="1434"/>
      <c r="AG494" s="1434"/>
      <c r="AH494" s="1434"/>
      <c r="AI494" s="1434"/>
      <c r="AJ494" s="1434"/>
      <c r="AK494" s="1699"/>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1783</v>
      </c>
      <c r="C495" s="5"/>
      <c r="D495" s="5"/>
      <c r="E495" s="5"/>
      <c r="F495" s="5"/>
      <c r="G495" s="5"/>
      <c r="H495" s="5"/>
      <c r="I495" s="5"/>
      <c r="J495" s="5"/>
      <c r="K495" s="5"/>
      <c r="L495" s="5"/>
      <c r="M495" s="1599">
        <v>109</v>
      </c>
      <c r="N495" s="1600"/>
      <c r="O495" s="1600"/>
      <c r="P495" s="1601"/>
      <c r="Q495" s="121" t="s">
        <v>1784</v>
      </c>
      <c r="R495" s="5"/>
      <c r="S495" s="5"/>
      <c r="T495" s="5"/>
      <c r="U495" s="5"/>
      <c r="V495" s="5"/>
      <c r="W495" s="5"/>
      <c r="X495" s="5"/>
      <c r="Y495" s="5"/>
      <c r="Z495" s="5"/>
      <c r="AA495" s="5"/>
      <c r="AB495" s="5"/>
      <c r="AC495" s="5"/>
      <c r="AD495" s="5"/>
      <c r="AE495" s="5"/>
      <c r="AF495" s="5"/>
      <c r="AG495" s="5"/>
      <c r="AH495" s="1599">
        <v>0</v>
      </c>
      <c r="AI495" s="1600"/>
      <c r="AJ495" s="1600"/>
      <c r="AK495" s="1601"/>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7" t="s">
        <v>402</v>
      </c>
      <c r="AD499" s="1768"/>
      <c r="AE499" s="1768"/>
      <c r="AF499" s="1768"/>
      <c r="AG499" s="1768"/>
      <c r="AH499" s="1768"/>
      <c r="AI499" s="1768"/>
      <c r="AJ499" s="1768"/>
      <c r="AK499" s="1769"/>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7" t="s">
        <v>403</v>
      </c>
      <c r="AD500" s="1768"/>
      <c r="AE500" s="1768"/>
      <c r="AF500" s="1768"/>
      <c r="AG500" s="50" t="s">
        <v>404</v>
      </c>
      <c r="AH500" s="1768" t="s">
        <v>405</v>
      </c>
      <c r="AI500" s="1768"/>
      <c r="AJ500" s="1768"/>
      <c r="AK500" s="1769"/>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667" t="s">
        <v>406</v>
      </c>
      <c r="C501" s="1668"/>
      <c r="D501" s="1668"/>
      <c r="E501" s="1668"/>
      <c r="F501" s="1668"/>
      <c r="G501" s="1668"/>
      <c r="H501" s="1669"/>
      <c r="I501" s="42" t="s">
        <v>407</v>
      </c>
      <c r="J501" s="42"/>
      <c r="K501" s="42"/>
      <c r="L501" s="42"/>
      <c r="M501" s="42"/>
      <c r="N501" s="42"/>
      <c r="O501" s="42"/>
      <c r="P501" s="42"/>
      <c r="Q501" s="42"/>
      <c r="R501" s="42"/>
      <c r="S501" s="42"/>
      <c r="T501" s="42"/>
      <c r="U501" s="42"/>
      <c r="V501" s="42"/>
      <c r="W501" s="42"/>
      <c r="AC501" s="1764">
        <v>10</v>
      </c>
      <c r="AD501" s="1697"/>
      <c r="AE501" s="1697"/>
      <c r="AF501" s="1697"/>
      <c r="AG501" s="13" t="s">
        <v>404</v>
      </c>
      <c r="AH501" s="1442">
        <v>2024</v>
      </c>
      <c r="AI501" s="1442"/>
      <c r="AJ501" s="1442"/>
      <c r="AK501" s="1443"/>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670"/>
      <c r="C502" s="1671"/>
      <c r="D502" s="1671"/>
      <c r="E502" s="1671"/>
      <c r="F502" s="1671"/>
      <c r="G502" s="1671"/>
      <c r="H502" s="1672"/>
      <c r="I502" s="48" t="s">
        <v>408</v>
      </c>
      <c r="J502" s="48"/>
      <c r="K502" s="48"/>
      <c r="L502" s="48"/>
      <c r="M502" s="48"/>
      <c r="N502" s="48"/>
      <c r="O502" s="48"/>
      <c r="P502" s="48"/>
      <c r="Q502" s="48"/>
      <c r="R502" s="48"/>
      <c r="S502" s="48"/>
      <c r="T502" s="48"/>
      <c r="U502" s="48"/>
      <c r="V502" s="48"/>
      <c r="W502" s="48"/>
      <c r="X502" s="48"/>
      <c r="Y502" s="48"/>
      <c r="Z502" s="48"/>
      <c r="AA502" s="48"/>
      <c r="AB502" s="48"/>
      <c r="AC502" s="1764">
        <v>9</v>
      </c>
      <c r="AD502" s="1697"/>
      <c r="AE502" s="1697"/>
      <c r="AF502" s="1697"/>
      <c r="AG502" s="38" t="s">
        <v>404</v>
      </c>
      <c r="AH502" s="1442">
        <v>2024</v>
      </c>
      <c r="AI502" s="1442"/>
      <c r="AJ502" s="1442"/>
      <c r="AK502" s="1443"/>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667" t="s">
        <v>409</v>
      </c>
      <c r="C503" s="1668"/>
      <c r="D503" s="1668"/>
      <c r="E503" s="1668"/>
      <c r="F503" s="1668"/>
      <c r="G503" s="1668"/>
      <c r="H503" s="1669"/>
      <c r="I503" s="42" t="s">
        <v>410</v>
      </c>
      <c r="J503" s="42"/>
      <c r="K503" s="42"/>
      <c r="L503" s="42"/>
      <c r="M503" s="42"/>
      <c r="N503" s="42"/>
      <c r="O503" s="42"/>
      <c r="P503" s="42"/>
      <c r="Q503" s="42"/>
      <c r="R503" s="42"/>
      <c r="S503" s="42"/>
      <c r="T503" s="42"/>
      <c r="U503" s="42"/>
      <c r="V503" s="42"/>
      <c r="W503" s="42"/>
      <c r="AC503" s="1764" t="s">
        <v>599</v>
      </c>
      <c r="AD503" s="1697"/>
      <c r="AE503" s="1697"/>
      <c r="AF503" s="1697"/>
      <c r="AG503" s="13" t="s">
        <v>404</v>
      </c>
      <c r="AH503" s="1442"/>
      <c r="AI503" s="1442"/>
      <c r="AJ503" s="1442"/>
      <c r="AK503" s="1443"/>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670"/>
      <c r="C504" s="1671"/>
      <c r="D504" s="1671"/>
      <c r="E504" s="1671"/>
      <c r="F504" s="1671"/>
      <c r="G504" s="1671"/>
      <c r="H504" s="1672"/>
      <c r="I504" t="s">
        <v>411</v>
      </c>
      <c r="AC504" s="1764" t="s">
        <v>599</v>
      </c>
      <c r="AD504" s="1697"/>
      <c r="AE504" s="1697"/>
      <c r="AF504" s="1697"/>
      <c r="AG504" s="13" t="s">
        <v>404</v>
      </c>
      <c r="AH504" s="1442"/>
      <c r="AI504" s="1442"/>
      <c r="AJ504" s="1442"/>
      <c r="AK504" s="1443"/>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670"/>
      <c r="C505" s="1671"/>
      <c r="D505" s="1671"/>
      <c r="E505" s="1671"/>
      <c r="F505" s="1671"/>
      <c r="G505" s="1671"/>
      <c r="H505" s="1672"/>
      <c r="I505" t="s">
        <v>412</v>
      </c>
      <c r="AC505" s="1764" t="s">
        <v>599</v>
      </c>
      <c r="AD505" s="1697"/>
      <c r="AE505" s="1697"/>
      <c r="AF505" s="1697"/>
      <c r="AG505" s="13" t="s">
        <v>404</v>
      </c>
      <c r="AH505" s="1442"/>
      <c r="AI505" s="1442"/>
      <c r="AJ505" s="1442"/>
      <c r="AK505" s="1443"/>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670"/>
      <c r="C506" s="1671"/>
      <c r="D506" s="1671"/>
      <c r="E506" s="1671"/>
      <c r="F506" s="1671"/>
      <c r="G506" s="1671"/>
      <c r="H506" s="1672"/>
      <c r="I506" t="s">
        <v>413</v>
      </c>
      <c r="AC506" s="1764">
        <v>12</v>
      </c>
      <c r="AD506" s="1697"/>
      <c r="AE506" s="1697"/>
      <c r="AF506" s="1697"/>
      <c r="AG506" s="13" t="s">
        <v>404</v>
      </c>
      <c r="AH506" s="1442">
        <v>2024</v>
      </c>
      <c r="AI506" s="1442"/>
      <c r="AJ506" s="1442"/>
      <c r="AK506" s="1443"/>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670"/>
      <c r="C507" s="1671"/>
      <c r="D507" s="1671"/>
      <c r="E507" s="1671"/>
      <c r="F507" s="1671"/>
      <c r="G507" s="1671"/>
      <c r="H507" s="1672"/>
      <c r="I507" s="3" t="s">
        <v>414</v>
      </c>
      <c r="AC507" s="1357">
        <v>12</v>
      </c>
      <c r="AD507" s="1358"/>
      <c r="AE507" s="1358"/>
      <c r="AF507" s="1358"/>
      <c r="AG507" s="13" t="s">
        <v>404</v>
      </c>
      <c r="AH507" s="1442">
        <v>2024</v>
      </c>
      <c r="AI507" s="1442"/>
      <c r="AJ507" s="1442"/>
      <c r="AK507" s="1443"/>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670"/>
      <c r="C508" s="1671"/>
      <c r="D508" s="1671"/>
      <c r="E508" s="1671"/>
      <c r="F508" s="1671"/>
      <c r="G508" s="1671"/>
      <c r="H508" s="1672"/>
      <c r="I508" s="931" t="s">
        <v>170</v>
      </c>
      <c r="J508" s="48"/>
      <c r="K508" s="48"/>
      <c r="L508" s="1765" t="s">
        <v>335</v>
      </c>
      <c r="M508" s="1766"/>
      <c r="N508" s="1766"/>
      <c r="O508" s="1766"/>
      <c r="P508" s="1766"/>
      <c r="Q508" s="1766"/>
      <c r="R508" s="1766"/>
      <c r="S508" s="1766"/>
      <c r="T508" s="1766"/>
      <c r="U508" s="1766"/>
      <c r="V508" s="1766"/>
      <c r="W508" s="1766"/>
      <c r="X508" s="1766"/>
      <c r="Y508" s="1766"/>
      <c r="Z508" s="1766"/>
      <c r="AA508" s="1766"/>
      <c r="AB508" s="1841"/>
      <c r="AC508" s="1764" t="s">
        <v>599</v>
      </c>
      <c r="AD508" s="1697"/>
      <c r="AE508" s="1697"/>
      <c r="AF508" s="1697"/>
      <c r="AG508" s="38" t="s">
        <v>404</v>
      </c>
      <c r="AH508" s="1442"/>
      <c r="AI508" s="1442"/>
      <c r="AJ508" s="1442"/>
      <c r="AK508" s="1443"/>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1789</v>
      </c>
      <c r="AC509" s="1853" t="s">
        <v>553</v>
      </c>
      <c r="AD509" s="1853"/>
      <c r="AE509" s="1853"/>
      <c r="AF509" s="1853"/>
      <c r="AG509" s="13"/>
      <c r="AH509" s="1305"/>
      <c r="AI509" s="1305"/>
      <c r="AJ509" s="1305"/>
      <c r="AK509" s="1819"/>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1786</v>
      </c>
      <c r="AC510" s="1357">
        <v>3</v>
      </c>
      <c r="AD510" s="1358"/>
      <c r="AE510" s="1358"/>
      <c r="AF510" s="1359"/>
      <c r="AG510" s="13"/>
      <c r="AH510" s="1305"/>
      <c r="AI510" s="1305"/>
      <c r="AJ510" s="1305"/>
      <c r="AK510" s="1819"/>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1787</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1788</v>
      </c>
      <c r="J512" s="48"/>
      <c r="K512" s="48"/>
      <c r="L512" s="48"/>
      <c r="M512" s="48"/>
      <c r="N512" s="48"/>
      <c r="O512" s="48"/>
      <c r="P512" s="48"/>
      <c r="Q512" s="48"/>
      <c r="R512" s="48"/>
      <c r="S512" s="48"/>
      <c r="T512" s="48"/>
      <c r="U512" s="48"/>
      <c r="V512" s="48"/>
      <c r="W512" s="48"/>
      <c r="X512" s="48"/>
      <c r="Y512" s="48"/>
      <c r="Z512" s="48"/>
      <c r="AA512" s="48"/>
      <c r="AB512" s="48"/>
      <c r="AC512" s="1820">
        <v>0.5</v>
      </c>
      <c r="AD512" s="1821"/>
      <c r="AE512" s="1821"/>
      <c r="AF512" s="1822"/>
      <c r="AG512" s="38"/>
      <c r="AH512" s="1823"/>
      <c r="AI512" s="1823"/>
      <c r="AJ512" s="1823"/>
      <c r="AK512" s="1824"/>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42" t="s">
        <v>403</v>
      </c>
      <c r="AD513" s="1630"/>
      <c r="AE513" s="1630"/>
      <c r="AF513" s="1630"/>
      <c r="AG513" s="38" t="s">
        <v>404</v>
      </c>
      <c r="AH513" s="1630" t="s">
        <v>405</v>
      </c>
      <c r="AI513" s="1630"/>
      <c r="AJ513" s="1630"/>
      <c r="AK513" s="1876"/>
      <c r="AZ513" s="3"/>
      <c r="BA513" s="3"/>
      <c r="BB513" s="3"/>
      <c r="BC513" s="3"/>
      <c r="BD513" s="3"/>
      <c r="BE513" s="3"/>
      <c r="BF513" s="3"/>
      <c r="BG513" s="3"/>
      <c r="BH513" s="3"/>
      <c r="BI513" s="3"/>
      <c r="BJ513" s="3"/>
      <c r="BK513" s="3"/>
      <c r="BL513" s="3"/>
      <c r="BM513" s="3"/>
      <c r="BN513" s="3" t="s">
        <v>2424</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667" t="s">
        <v>415</v>
      </c>
      <c r="C514" s="1668"/>
      <c r="D514" s="1668"/>
      <c r="E514" s="1668"/>
      <c r="F514" s="1668"/>
      <c r="G514" s="1668"/>
      <c r="H514" s="1669"/>
      <c r="I514" s="42" t="s">
        <v>416</v>
      </c>
      <c r="J514" s="42"/>
      <c r="K514" s="42"/>
      <c r="L514" s="42"/>
      <c r="M514" s="42"/>
      <c r="N514" s="42"/>
      <c r="O514" s="42"/>
      <c r="P514" s="42"/>
      <c r="Q514" s="42"/>
      <c r="R514" s="42"/>
      <c r="S514" s="42"/>
      <c r="T514" s="42"/>
      <c r="U514" s="42"/>
      <c r="V514" s="42"/>
      <c r="W514" s="42"/>
      <c r="AC514" s="1764">
        <v>4</v>
      </c>
      <c r="AD514" s="1697"/>
      <c r="AE514" s="1697"/>
      <c r="AF514" s="1697"/>
      <c r="AG514" s="13" t="s">
        <v>404</v>
      </c>
      <c r="AH514" s="1442">
        <v>2024</v>
      </c>
      <c r="AI514" s="1442"/>
      <c r="AJ514" s="1442"/>
      <c r="AK514" s="1443"/>
      <c r="AZ514" s="3"/>
      <c r="BA514" s="3"/>
      <c r="BB514" s="3"/>
      <c r="BC514" s="3"/>
      <c r="BD514" s="3"/>
      <c r="BE514" s="3"/>
      <c r="BF514" s="3"/>
      <c r="BG514" s="3"/>
      <c r="BH514" s="3"/>
      <c r="BI514" s="3"/>
      <c r="BJ514" s="3"/>
      <c r="BK514" s="3"/>
      <c r="BL514" s="3"/>
      <c r="BM514" s="3"/>
      <c r="BN514" s="3" t="s">
        <v>2425</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670"/>
      <c r="C515" s="1671"/>
      <c r="D515" s="1671"/>
      <c r="E515" s="1671"/>
      <c r="F515" s="1671"/>
      <c r="G515" s="1671"/>
      <c r="H515" s="1672"/>
      <c r="I515" t="s">
        <v>417</v>
      </c>
      <c r="AC515" s="1764">
        <v>4</v>
      </c>
      <c r="AD515" s="1697"/>
      <c r="AE515" s="1697"/>
      <c r="AF515" s="1697"/>
      <c r="AG515" s="13" t="s">
        <v>404</v>
      </c>
      <c r="AH515" s="1442">
        <v>2024</v>
      </c>
      <c r="AI515" s="1442"/>
      <c r="AJ515" s="1442"/>
      <c r="AK515" s="1443"/>
      <c r="AZ515" s="3"/>
      <c r="BA515" s="3"/>
      <c r="BB515" s="3"/>
      <c r="BC515" s="3"/>
      <c r="BD515" s="3"/>
      <c r="BE515" s="3"/>
      <c r="BF515" s="3"/>
      <c r="BG515" s="3"/>
      <c r="BH515" s="3"/>
      <c r="BI515" s="3"/>
      <c r="BJ515" s="3"/>
      <c r="BK515" s="3"/>
      <c r="BL515" s="3"/>
      <c r="BM515" s="3"/>
      <c r="BN515" s="3" t="s">
        <v>2426</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670"/>
      <c r="C516" s="1671"/>
      <c r="D516" s="1671"/>
      <c r="E516" s="1671"/>
      <c r="F516" s="1671"/>
      <c r="G516" s="1671"/>
      <c r="H516" s="1672"/>
      <c r="I516" s="48" t="s">
        <v>418</v>
      </c>
      <c r="J516" s="48"/>
      <c r="K516" s="48"/>
      <c r="L516" s="48"/>
      <c r="M516" s="48"/>
      <c r="N516" s="48"/>
      <c r="O516" s="48"/>
      <c r="P516" s="48"/>
      <c r="Q516" s="48"/>
      <c r="R516" s="48"/>
      <c r="S516" s="48"/>
      <c r="T516" s="48"/>
      <c r="U516" s="48"/>
      <c r="V516" s="48"/>
      <c r="W516" s="48"/>
      <c r="X516" s="48"/>
      <c r="Y516" s="48"/>
      <c r="Z516" s="48"/>
      <c r="AA516" s="48"/>
      <c r="AB516" s="48"/>
      <c r="AC516" s="1764">
        <v>1</v>
      </c>
      <c r="AD516" s="1697"/>
      <c r="AE516" s="1697"/>
      <c r="AF516" s="1697"/>
      <c r="AG516" s="38" t="s">
        <v>404</v>
      </c>
      <c r="AH516" s="1442">
        <v>2025</v>
      </c>
      <c r="AI516" s="1442"/>
      <c r="AJ516" s="1442"/>
      <c r="AK516" s="1443"/>
      <c r="AZ516" s="3"/>
      <c r="BA516" s="3"/>
      <c r="BB516" s="3"/>
      <c r="BC516" s="3"/>
      <c r="BD516" s="3"/>
      <c r="BE516" s="3"/>
      <c r="BF516" s="3"/>
      <c r="BG516" s="3"/>
      <c r="BH516" s="3"/>
      <c r="BI516" s="3"/>
      <c r="BJ516" s="3"/>
      <c r="BK516" s="3"/>
      <c r="BL516" s="3"/>
      <c r="BM516" s="3"/>
      <c r="BN516" s="3" t="s">
        <v>2427</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667" t="s">
        <v>419</v>
      </c>
      <c r="C517" s="1668"/>
      <c r="D517" s="1668"/>
      <c r="E517" s="1668"/>
      <c r="F517" s="1668"/>
      <c r="G517" s="1668"/>
      <c r="H517" s="1669"/>
      <c r="I517" s="42" t="s">
        <v>416</v>
      </c>
      <c r="J517" s="42"/>
      <c r="K517" s="42"/>
      <c r="L517" s="42"/>
      <c r="M517" s="42"/>
      <c r="N517" s="42"/>
      <c r="O517" s="42"/>
      <c r="P517" s="42"/>
      <c r="Q517" s="42"/>
      <c r="R517" s="42"/>
      <c r="S517" s="42"/>
      <c r="T517" s="42"/>
      <c r="U517" s="42"/>
      <c r="V517" s="42"/>
      <c r="W517" s="42"/>
      <c r="X517" s="42"/>
      <c r="Y517" s="42"/>
      <c r="Z517" s="42"/>
      <c r="AA517" s="42"/>
      <c r="AB517" s="42"/>
      <c r="AC517" s="1357">
        <v>4</v>
      </c>
      <c r="AD517" s="1358"/>
      <c r="AE517" s="1358"/>
      <c r="AF517" s="1358"/>
      <c r="AG517" s="129" t="s">
        <v>404</v>
      </c>
      <c r="AH517" s="1442">
        <v>2024</v>
      </c>
      <c r="AI517" s="1442"/>
      <c r="AJ517" s="1442"/>
      <c r="AK517" s="1443"/>
      <c r="AZ517" s="3"/>
      <c r="BB517" s="3"/>
      <c r="BC517" s="3"/>
      <c r="BD517" s="3"/>
      <c r="BE517" s="3"/>
      <c r="BF517" s="3"/>
      <c r="BG517" s="3"/>
      <c r="BH517" s="3"/>
      <c r="BI517" s="3"/>
      <c r="BJ517" s="3"/>
      <c r="BK517" s="3"/>
      <c r="BL517" s="3"/>
      <c r="BM517" s="3"/>
      <c r="BN517" s="3" t="s">
        <v>2428</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670"/>
      <c r="C518" s="1671"/>
      <c r="D518" s="1671"/>
      <c r="E518" s="1671"/>
      <c r="F518" s="1671"/>
      <c r="G518" s="1671"/>
      <c r="H518" s="1672"/>
      <c r="I518" t="s">
        <v>417</v>
      </c>
      <c r="AC518" s="1764">
        <v>4</v>
      </c>
      <c r="AD518" s="1697"/>
      <c r="AE518" s="1697"/>
      <c r="AF518" s="1697"/>
      <c r="AG518" s="13" t="s">
        <v>404</v>
      </c>
      <c r="AH518" s="1442">
        <v>2024</v>
      </c>
      <c r="AI518" s="1442"/>
      <c r="AJ518" s="1442"/>
      <c r="AK518" s="1443"/>
      <c r="BB518" s="3"/>
      <c r="BC518" s="3"/>
      <c r="BD518" s="3"/>
      <c r="BE518" s="3"/>
      <c r="BF518" s="3"/>
      <c r="BG518" s="3"/>
      <c r="BH518" s="3"/>
      <c r="BI518" s="3"/>
      <c r="BJ518" s="3"/>
      <c r="BK518" s="3"/>
      <c r="BL518" s="3"/>
      <c r="BM518" s="3"/>
      <c r="BN518" s="3" t="s">
        <v>2429</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673"/>
      <c r="C519" s="1674"/>
      <c r="D519" s="1674"/>
      <c r="E519" s="1674"/>
      <c r="F519" s="1674"/>
      <c r="G519" s="1674"/>
      <c r="H519" s="1675"/>
      <c r="I519" s="48" t="s">
        <v>418</v>
      </c>
      <c r="J519" s="48"/>
      <c r="K519" s="48"/>
      <c r="L519" s="48"/>
      <c r="M519" s="48"/>
      <c r="N519" s="48"/>
      <c r="O519" s="48"/>
      <c r="P519" s="48"/>
      <c r="Q519" s="48"/>
      <c r="R519" s="48"/>
      <c r="S519" s="48"/>
      <c r="T519" s="48"/>
      <c r="U519" s="48"/>
      <c r="V519" s="48"/>
      <c r="W519" s="48"/>
      <c r="X519" s="48"/>
      <c r="Y519" s="48"/>
      <c r="Z519" s="48"/>
      <c r="AA519" s="48"/>
      <c r="AB519" s="48"/>
      <c r="AC519" s="1764">
        <v>5</v>
      </c>
      <c r="AD519" s="1697"/>
      <c r="AE519" s="1697"/>
      <c r="AF519" s="1697"/>
      <c r="AG519" s="38" t="s">
        <v>404</v>
      </c>
      <c r="AH519" s="1442">
        <v>2027</v>
      </c>
      <c r="AI519" s="1442"/>
      <c r="AJ519" s="1442"/>
      <c r="AK519" s="1443"/>
      <c r="BB519" s="3"/>
      <c r="BC519" s="3"/>
      <c r="BD519" s="3"/>
      <c r="BE519" s="3"/>
      <c r="BF519" s="3"/>
      <c r="BG519" s="3"/>
      <c r="BH519" s="3"/>
      <c r="BI519" s="3"/>
      <c r="BJ519" s="3"/>
      <c r="BK519" s="3"/>
      <c r="BL519" s="3"/>
      <c r="BM519" s="3"/>
      <c r="BN519" s="3" t="s">
        <v>2430</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667" t="s">
        <v>420</v>
      </c>
      <c r="C520" s="1668"/>
      <c r="D520" s="1668"/>
      <c r="E520" s="1668"/>
      <c r="F520" s="1668"/>
      <c r="G520" s="1668"/>
      <c r="H520" s="1669"/>
      <c r="I520" s="41" t="s">
        <v>421</v>
      </c>
      <c r="J520" s="42"/>
      <c r="K520" s="42"/>
      <c r="L520" s="42"/>
      <c r="M520" s="42"/>
      <c r="N520" s="42"/>
      <c r="O520" s="1765" t="s">
        <v>2754</v>
      </c>
      <c r="P520" s="1766"/>
      <c r="Q520" s="1766"/>
      <c r="R520" s="1766"/>
      <c r="S520" s="1766"/>
      <c r="T520" s="1766"/>
      <c r="U520" s="1766"/>
      <c r="V520" s="1766"/>
      <c r="W520" s="1766"/>
      <c r="X520" s="1766"/>
      <c r="Y520" s="1766"/>
      <c r="Z520" s="1766"/>
      <c r="AA520" s="1766"/>
      <c r="AB520" s="58"/>
      <c r="AC520" s="1357"/>
      <c r="AD520" s="1358"/>
      <c r="AE520" s="1358"/>
      <c r="AF520" s="1358"/>
      <c r="AG520" s="129" t="s">
        <v>404</v>
      </c>
      <c r="AH520" s="1442"/>
      <c r="AI520" s="1442"/>
      <c r="AJ520" s="1442"/>
      <c r="AK520" s="1443"/>
      <c r="AZ520" s="3"/>
      <c r="BB520" s="3"/>
      <c r="BC520" s="3"/>
      <c r="BD520" s="3"/>
      <c r="BE520" s="3"/>
      <c r="BF520" s="3"/>
      <c r="BG520" s="3"/>
      <c r="BH520" s="3"/>
      <c r="BI520" s="3"/>
      <c r="BJ520" s="3"/>
      <c r="BK520" s="3"/>
      <c r="BL520" s="3"/>
      <c r="BM520" s="3"/>
      <c r="BN520" s="3" t="s">
        <v>2431</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670"/>
      <c r="C521" s="1671"/>
      <c r="D521" s="1671"/>
      <c r="E521" s="1671"/>
      <c r="F521" s="1671"/>
      <c r="G521" s="1671"/>
      <c r="H521" s="1672"/>
      <c r="I521" s="114" t="s">
        <v>422</v>
      </c>
      <c r="AB521" s="65"/>
      <c r="AC521" s="1764">
        <v>10</v>
      </c>
      <c r="AD521" s="1697"/>
      <c r="AE521" s="1697"/>
      <c r="AF521" s="1697"/>
      <c r="AG521" s="13" t="s">
        <v>404</v>
      </c>
      <c r="AH521" s="1442">
        <v>2023</v>
      </c>
      <c r="AI521" s="1442"/>
      <c r="AJ521" s="1442"/>
      <c r="AK521" s="1443"/>
      <c r="AZ521" s="3"/>
      <c r="BB521" s="3"/>
      <c r="BC521" s="3"/>
      <c r="BD521" s="3"/>
      <c r="BE521" s="3"/>
      <c r="BF521" s="3"/>
      <c r="BG521" s="3"/>
      <c r="BH521" s="3"/>
      <c r="BI521" s="3"/>
      <c r="BJ521" s="3"/>
      <c r="BK521" s="3"/>
      <c r="BL521" s="3"/>
      <c r="BM521" s="3"/>
      <c r="BN521" s="3" t="s">
        <v>2432</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670"/>
      <c r="C522" s="1671"/>
      <c r="D522" s="1671"/>
      <c r="E522" s="1671"/>
      <c r="F522" s="1671"/>
      <c r="G522" s="1671"/>
      <c r="H522" s="1672"/>
      <c r="I522" s="47" t="s">
        <v>423</v>
      </c>
      <c r="J522" s="48"/>
      <c r="K522" s="48"/>
      <c r="L522" s="48"/>
      <c r="M522" s="48"/>
      <c r="N522" s="48"/>
      <c r="O522" s="48"/>
      <c r="P522" s="48"/>
      <c r="Q522" s="48"/>
      <c r="R522" s="48"/>
      <c r="S522" s="48"/>
      <c r="T522" s="48"/>
      <c r="U522" s="48"/>
      <c r="V522" s="48"/>
      <c r="W522" s="48"/>
      <c r="X522" s="48"/>
      <c r="Y522" s="48"/>
      <c r="Z522" s="48"/>
      <c r="AA522" s="48"/>
      <c r="AB522" s="49"/>
      <c r="AC522" s="1764">
        <v>3</v>
      </c>
      <c r="AD522" s="1697"/>
      <c r="AE522" s="1697"/>
      <c r="AF522" s="1697"/>
      <c r="AG522" s="38" t="s">
        <v>404</v>
      </c>
      <c r="AH522" s="1442">
        <v>2024</v>
      </c>
      <c r="AI522" s="1442"/>
      <c r="AJ522" s="1442"/>
      <c r="AK522" s="1443"/>
      <c r="AZ522" s="3"/>
      <c r="BA522" s="3"/>
      <c r="BB522" s="3"/>
      <c r="BC522" s="3"/>
      <c r="BD522" s="3"/>
      <c r="BE522" s="3"/>
      <c r="BF522" s="3"/>
      <c r="BG522" s="3"/>
      <c r="BH522" s="3"/>
      <c r="BI522" s="3"/>
      <c r="BJ522" s="3"/>
      <c r="BK522" s="3"/>
      <c r="BL522" s="3"/>
      <c r="BM522" s="3"/>
      <c r="BN522" s="3" t="s">
        <v>2433</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670"/>
      <c r="C523" s="1671"/>
      <c r="D523" s="1671"/>
      <c r="E523" s="1671"/>
      <c r="F523" s="1671"/>
      <c r="G523" s="1671"/>
      <c r="H523" s="1672"/>
      <c r="I523" s="42" t="s">
        <v>424</v>
      </c>
      <c r="J523" s="42"/>
      <c r="K523" s="42"/>
      <c r="L523" s="42"/>
      <c r="M523" s="42"/>
      <c r="N523" s="42"/>
      <c r="O523" s="1765" t="s">
        <v>2755</v>
      </c>
      <c r="P523" s="1766"/>
      <c r="Q523" s="1766"/>
      <c r="R523" s="1766"/>
      <c r="S523" s="1766"/>
      <c r="T523" s="1766"/>
      <c r="U523" s="1766"/>
      <c r="V523" s="1766"/>
      <c r="W523" s="1766"/>
      <c r="X523" s="1766"/>
      <c r="Y523" s="1766"/>
      <c r="Z523" s="1766"/>
      <c r="AA523" s="1766"/>
      <c r="AC523" s="1764"/>
      <c r="AD523" s="1697"/>
      <c r="AE523" s="1697"/>
      <c r="AF523" s="1697"/>
      <c r="AG523" s="13" t="s">
        <v>404</v>
      </c>
      <c r="AH523" s="1442"/>
      <c r="AI523" s="1442"/>
      <c r="AJ523" s="1442"/>
      <c r="AK523" s="1443"/>
      <c r="AZ523" s="3"/>
      <c r="BA523" s="3"/>
      <c r="BB523" s="3"/>
      <c r="BC523" s="3"/>
      <c r="BD523" s="3"/>
      <c r="BE523" s="3"/>
      <c r="BF523" s="3"/>
      <c r="BG523" s="3"/>
      <c r="BH523" s="3"/>
      <c r="BI523" s="3"/>
      <c r="BJ523" s="3"/>
      <c r="BK523" s="3"/>
      <c r="BL523" s="3"/>
      <c r="BM523" s="3"/>
      <c r="BN523" s="3" t="s">
        <v>2434</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670"/>
      <c r="C524" s="1671"/>
      <c r="D524" s="1671"/>
      <c r="E524" s="1671"/>
      <c r="F524" s="1671"/>
      <c r="G524" s="1671"/>
      <c r="H524" s="1672"/>
      <c r="I524" t="s">
        <v>422</v>
      </c>
      <c r="AC524" s="1764">
        <v>8</v>
      </c>
      <c r="AD524" s="1697"/>
      <c r="AE524" s="1697"/>
      <c r="AF524" s="1697"/>
      <c r="AG524" s="13" t="s">
        <v>404</v>
      </c>
      <c r="AH524" s="1442">
        <v>2023</v>
      </c>
      <c r="AI524" s="1442"/>
      <c r="AJ524" s="1442"/>
      <c r="AK524" s="1443"/>
      <c r="AZ524" s="3"/>
      <c r="BA524" s="3"/>
      <c r="BB524" s="3"/>
      <c r="BC524" s="3"/>
      <c r="BD524" s="3"/>
      <c r="BE524" s="3"/>
      <c r="BF524" s="3"/>
      <c r="BG524" s="3"/>
      <c r="BH524" s="3"/>
      <c r="BI524" s="3"/>
      <c r="BJ524" s="3"/>
      <c r="BK524" s="3"/>
      <c r="BL524" s="3"/>
      <c r="BM524" s="3"/>
      <c r="BN524" s="3" t="s">
        <v>2435</v>
      </c>
      <c r="BO524" s="3"/>
      <c r="BP524" s="3"/>
      <c r="BQ524" s="3"/>
      <c r="BR524" s="3"/>
      <c r="BS524" s="3"/>
      <c r="BT524" s="3"/>
      <c r="BU524" s="3"/>
      <c r="BV524" s="378" t="s">
        <v>736</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670"/>
      <c r="C525" s="1671"/>
      <c r="D525" s="1671"/>
      <c r="E525" s="1671"/>
      <c r="F525" s="1671"/>
      <c r="G525" s="1671"/>
      <c r="H525" s="1672"/>
      <c r="I525" s="48" t="s">
        <v>423</v>
      </c>
      <c r="J525" s="48"/>
      <c r="K525" s="48"/>
      <c r="L525" s="48"/>
      <c r="M525" s="48"/>
      <c r="N525" s="48"/>
      <c r="O525" s="48"/>
      <c r="P525" s="48"/>
      <c r="Q525" s="48"/>
      <c r="R525" s="48"/>
      <c r="S525" s="48"/>
      <c r="T525" s="48"/>
      <c r="U525" s="48"/>
      <c r="V525" s="48"/>
      <c r="W525" s="48"/>
      <c r="X525" s="48"/>
      <c r="Y525" s="48"/>
      <c r="Z525" s="48"/>
      <c r="AA525" s="48"/>
      <c r="AB525" s="48"/>
      <c r="AC525" s="1764">
        <v>12</v>
      </c>
      <c r="AD525" s="1697"/>
      <c r="AE525" s="1697"/>
      <c r="AF525" s="1697"/>
      <c r="AG525" s="38" t="s">
        <v>404</v>
      </c>
      <c r="AH525" s="1442">
        <v>2023</v>
      </c>
      <c r="AI525" s="1442"/>
      <c r="AJ525" s="1442"/>
      <c r="AK525" s="1443"/>
      <c r="AZ525" s="3"/>
      <c r="BA525" s="3"/>
      <c r="BB525" s="3"/>
      <c r="BC525" s="3"/>
      <c r="BD525" s="3"/>
      <c r="BE525" s="3"/>
      <c r="BF525" s="3"/>
      <c r="BG525" s="3"/>
      <c r="BH525" s="3"/>
      <c r="BI525" s="3"/>
      <c r="BJ525" s="3"/>
      <c r="BK525" s="3"/>
      <c r="BL525" s="3"/>
      <c r="BM525" s="3"/>
      <c r="BN525" s="3" t="s">
        <v>2436</v>
      </c>
      <c r="BO525" s="3"/>
      <c r="BP525" s="3"/>
      <c r="BQ525" s="3"/>
      <c r="BR525" s="3"/>
      <c r="BS525" s="3"/>
      <c r="BT525" s="3"/>
      <c r="BU525" s="3"/>
      <c r="BV525" s="378" t="s">
        <v>737</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670"/>
      <c r="C526" s="1671"/>
      <c r="D526" s="1671"/>
      <c r="E526" s="1671"/>
      <c r="F526" s="1671"/>
      <c r="G526" s="1671"/>
      <c r="H526" s="1672"/>
      <c r="I526" s="42" t="s">
        <v>424</v>
      </c>
      <c r="J526" s="42"/>
      <c r="K526" s="42"/>
      <c r="L526" s="42"/>
      <c r="M526" s="42"/>
      <c r="N526" s="42"/>
      <c r="O526" s="1765" t="s">
        <v>2687</v>
      </c>
      <c r="P526" s="1766"/>
      <c r="Q526" s="1766"/>
      <c r="R526" s="1766"/>
      <c r="S526" s="1766"/>
      <c r="T526" s="1766"/>
      <c r="U526" s="1766"/>
      <c r="V526" s="1766"/>
      <c r="W526" s="1766"/>
      <c r="X526" s="1766"/>
      <c r="Y526" s="1766"/>
      <c r="Z526" s="1766"/>
      <c r="AA526" s="1766"/>
      <c r="AC526" s="1764" t="s">
        <v>599</v>
      </c>
      <c r="AD526" s="1697"/>
      <c r="AE526" s="1697"/>
      <c r="AF526" s="1697"/>
      <c r="AG526" s="13" t="s">
        <v>404</v>
      </c>
      <c r="AH526" s="1442"/>
      <c r="AI526" s="1442"/>
      <c r="AJ526" s="1442"/>
      <c r="AK526" s="1443"/>
      <c r="AZ526" s="3"/>
      <c r="BA526" s="3"/>
      <c r="BB526" s="3"/>
      <c r="BC526" s="3"/>
      <c r="BD526" s="3"/>
      <c r="BE526" s="3"/>
      <c r="BF526" s="3"/>
      <c r="BG526" s="3"/>
      <c r="BH526" s="3"/>
      <c r="BI526" s="3"/>
      <c r="BJ526" s="3"/>
      <c r="BK526" s="3"/>
      <c r="BL526" s="3"/>
      <c r="BM526" s="3"/>
      <c r="BN526" s="3" t="s">
        <v>2437</v>
      </c>
      <c r="BO526" s="3"/>
      <c r="BP526" s="3"/>
      <c r="BQ526" s="3"/>
      <c r="BR526" s="3"/>
      <c r="BS526" s="3"/>
      <c r="BT526" s="3"/>
      <c r="BU526" s="3"/>
      <c r="BV526" s="378" t="s">
        <v>738</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670"/>
      <c r="C527" s="1671"/>
      <c r="D527" s="1671"/>
      <c r="E527" s="1671"/>
      <c r="F527" s="1671"/>
      <c r="G527" s="1671"/>
      <c r="H527" s="1672"/>
      <c r="I527" t="s">
        <v>422</v>
      </c>
      <c r="AC527" s="1764">
        <v>6</v>
      </c>
      <c r="AD527" s="1697"/>
      <c r="AE527" s="1697"/>
      <c r="AF527" s="1697"/>
      <c r="AG527" s="13" t="s">
        <v>404</v>
      </c>
      <c r="AH527" s="1442">
        <v>2022</v>
      </c>
      <c r="AI527" s="1442"/>
      <c r="AJ527" s="1442"/>
      <c r="AK527" s="1443"/>
      <c r="AZ527" s="3"/>
      <c r="BA527" s="3"/>
      <c r="BB527" s="3"/>
      <c r="BC527" s="3"/>
      <c r="BD527" s="3"/>
      <c r="BE527" s="3"/>
      <c r="BF527" s="3"/>
      <c r="BG527" s="3"/>
      <c r="BH527" s="3"/>
      <c r="BI527" s="3"/>
      <c r="BJ527" s="3"/>
      <c r="BK527" s="3"/>
      <c r="BL527" s="3"/>
      <c r="BM527" s="3"/>
      <c r="BN527" s="3" t="s">
        <v>2438</v>
      </c>
      <c r="BO527" s="3"/>
      <c r="BP527" s="3"/>
      <c r="BQ527" s="3"/>
      <c r="BR527" s="3"/>
      <c r="BS527" s="3"/>
      <c r="BT527" s="3"/>
      <c r="BU527" s="3"/>
      <c r="BV527" s="378" t="s">
        <v>739</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670"/>
      <c r="C528" s="1671"/>
      <c r="D528" s="1671"/>
      <c r="E528" s="1671"/>
      <c r="F528" s="1671"/>
      <c r="G528" s="1671"/>
      <c r="H528" s="1672"/>
      <c r="I528" s="48" t="s">
        <v>423</v>
      </c>
      <c r="J528" s="48"/>
      <c r="K528" s="48"/>
      <c r="L528" s="48"/>
      <c r="M528" s="48"/>
      <c r="N528" s="48"/>
      <c r="O528" s="48"/>
      <c r="P528" s="48"/>
      <c r="Q528" s="48"/>
      <c r="R528" s="48"/>
      <c r="S528" s="48"/>
      <c r="T528" s="48"/>
      <c r="U528" s="48"/>
      <c r="V528" s="48"/>
      <c r="W528" s="48"/>
      <c r="X528" s="48"/>
      <c r="Y528" s="48"/>
      <c r="Z528" s="48"/>
      <c r="AA528" s="48"/>
      <c r="AB528" s="48"/>
      <c r="AC528" s="1764">
        <v>2</v>
      </c>
      <c r="AD528" s="1697"/>
      <c r="AE528" s="1697"/>
      <c r="AF528" s="1697"/>
      <c r="AG528" s="38" t="s">
        <v>404</v>
      </c>
      <c r="AH528" s="1442">
        <v>2023</v>
      </c>
      <c r="AI528" s="1442"/>
      <c r="AJ528" s="1442"/>
      <c r="AK528" s="1443"/>
      <c r="AZ528" s="3"/>
      <c r="BA528" s="3"/>
      <c r="BB528" s="3"/>
      <c r="BC528" s="3"/>
      <c r="BD528" s="3"/>
      <c r="BE528" s="3"/>
      <c r="BF528" s="3"/>
      <c r="BG528" s="3"/>
      <c r="BH528" s="3"/>
      <c r="BI528" s="3"/>
      <c r="BJ528" s="3"/>
      <c r="BK528" s="3"/>
      <c r="BL528" s="3"/>
      <c r="BM528" s="3"/>
      <c r="BN528" s="3" t="s">
        <v>2439</v>
      </c>
      <c r="BO528" s="3"/>
      <c r="BP528" s="3"/>
      <c r="BQ528" s="3"/>
      <c r="BR528" s="3"/>
      <c r="BS528" s="3"/>
      <c r="BT528" s="3"/>
      <c r="BU528" s="3"/>
      <c r="BV528" s="378" t="s">
        <v>740</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670"/>
      <c r="C529" s="1671"/>
      <c r="D529" s="1671"/>
      <c r="E529" s="1671"/>
      <c r="F529" s="1671"/>
      <c r="G529" s="1671"/>
      <c r="H529" s="1672"/>
      <c r="I529" s="42" t="s">
        <v>424</v>
      </c>
      <c r="J529" s="42"/>
      <c r="K529" s="42"/>
      <c r="L529" s="42"/>
      <c r="M529" s="42"/>
      <c r="N529" s="42"/>
      <c r="O529" s="1765" t="s">
        <v>335</v>
      </c>
      <c r="P529" s="1766"/>
      <c r="Q529" s="1766"/>
      <c r="R529" s="1766"/>
      <c r="S529" s="1766"/>
      <c r="T529" s="1766"/>
      <c r="U529" s="1766"/>
      <c r="V529" s="1766"/>
      <c r="W529" s="1766"/>
      <c r="X529" s="1766"/>
      <c r="Y529" s="1766"/>
      <c r="Z529" s="1766"/>
      <c r="AA529" s="1766"/>
      <c r="AC529" s="1764" t="s">
        <v>599</v>
      </c>
      <c r="AD529" s="1697"/>
      <c r="AE529" s="1697"/>
      <c r="AF529" s="1697"/>
      <c r="AG529" s="13" t="s">
        <v>404</v>
      </c>
      <c r="AH529" s="1442"/>
      <c r="AI529" s="1442"/>
      <c r="AJ529" s="1442"/>
      <c r="AK529" s="1443"/>
      <c r="AZ529" s="3"/>
      <c r="BA529" s="3"/>
      <c r="BB529" s="3"/>
      <c r="BC529" s="3"/>
      <c r="BD529" s="3"/>
      <c r="BE529" s="3"/>
      <c r="BF529" s="3"/>
      <c r="BG529" s="3"/>
      <c r="BH529" s="3"/>
      <c r="BI529" s="3"/>
      <c r="BJ529" s="3"/>
      <c r="BK529" s="3"/>
      <c r="BL529" s="3"/>
      <c r="BM529" s="3"/>
      <c r="BN529" s="3" t="s">
        <v>2440</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670"/>
      <c r="C530" s="1671"/>
      <c r="D530" s="1671"/>
      <c r="E530" s="1671"/>
      <c r="F530" s="1671"/>
      <c r="G530" s="1671"/>
      <c r="H530" s="1672"/>
      <c r="I530" t="s">
        <v>422</v>
      </c>
      <c r="AC530" s="1764" t="s">
        <v>599</v>
      </c>
      <c r="AD530" s="1697"/>
      <c r="AE530" s="1697"/>
      <c r="AF530" s="1697"/>
      <c r="AG530" s="13" t="s">
        <v>404</v>
      </c>
      <c r="AH530" s="1442"/>
      <c r="AI530" s="1442"/>
      <c r="AJ530" s="1442"/>
      <c r="AK530" s="1443"/>
      <c r="AZ530" s="3"/>
      <c r="BA530" s="3"/>
      <c r="BB530" s="3"/>
      <c r="BC530" s="3"/>
      <c r="BD530" s="3"/>
      <c r="BE530" s="3"/>
      <c r="BF530" s="3"/>
      <c r="BG530" s="3"/>
      <c r="BH530" s="3"/>
      <c r="BI530" s="3"/>
      <c r="BJ530" s="3"/>
      <c r="BK530" s="3"/>
      <c r="BL530" s="3"/>
      <c r="BM530" s="3"/>
      <c r="BN530" s="3" t="s">
        <v>2441</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670"/>
      <c r="C531" s="1671"/>
      <c r="D531" s="1671"/>
      <c r="E531" s="1671"/>
      <c r="F531" s="1671"/>
      <c r="G531" s="1671"/>
      <c r="H531" s="1672"/>
      <c r="I531" s="48" t="s">
        <v>423</v>
      </c>
      <c r="J531" s="48"/>
      <c r="K531" s="48"/>
      <c r="L531" s="48"/>
      <c r="M531" s="48"/>
      <c r="N531" s="48"/>
      <c r="O531" s="48"/>
      <c r="P531" s="48"/>
      <c r="Q531" s="48"/>
      <c r="R531" s="48"/>
      <c r="S531" s="48"/>
      <c r="T531" s="48"/>
      <c r="U531" s="48"/>
      <c r="V531" s="48"/>
      <c r="W531" s="48"/>
      <c r="X531" s="48"/>
      <c r="Y531" s="48"/>
      <c r="Z531" s="48"/>
      <c r="AA531" s="48"/>
      <c r="AB531" s="48"/>
      <c r="AC531" s="1764" t="s">
        <v>599</v>
      </c>
      <c r="AD531" s="1697"/>
      <c r="AE531" s="1697"/>
      <c r="AF531" s="1697"/>
      <c r="AG531" s="38" t="s">
        <v>404</v>
      </c>
      <c r="AH531" s="1442"/>
      <c r="AI531" s="1442"/>
      <c r="AJ531" s="1442"/>
      <c r="AK531" s="1443"/>
      <c r="AZ531" s="3"/>
      <c r="BA531" s="3"/>
      <c r="BB531" s="3"/>
      <c r="BC531" s="3"/>
      <c r="BD531" s="3"/>
      <c r="BE531" s="3"/>
      <c r="BF531" s="3"/>
      <c r="BG531" s="3"/>
      <c r="BH531" s="3"/>
      <c r="BI531" s="3"/>
      <c r="BJ531" s="3"/>
      <c r="BK531" s="3"/>
      <c r="BL531" s="3"/>
      <c r="BM531" s="3"/>
      <c r="BN531" s="3" t="s">
        <v>2442</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670"/>
      <c r="C532" s="1671"/>
      <c r="D532" s="1671"/>
      <c r="E532" s="1671"/>
      <c r="F532" s="1671"/>
      <c r="G532" s="1671"/>
      <c r="H532" s="1672"/>
      <c r="I532" s="42" t="s">
        <v>424</v>
      </c>
      <c r="J532" s="42"/>
      <c r="K532" s="42"/>
      <c r="L532" s="42"/>
      <c r="M532" s="42"/>
      <c r="N532" s="42"/>
      <c r="O532" s="1765" t="s">
        <v>335</v>
      </c>
      <c r="P532" s="1766"/>
      <c r="Q532" s="1766"/>
      <c r="R532" s="1766"/>
      <c r="S532" s="1766"/>
      <c r="T532" s="1766"/>
      <c r="U532" s="1766"/>
      <c r="V532" s="1766"/>
      <c r="W532" s="1766"/>
      <c r="X532" s="1766"/>
      <c r="Y532" s="1766"/>
      <c r="Z532" s="1766"/>
      <c r="AA532" s="1766"/>
      <c r="AC532" s="1764" t="s">
        <v>599</v>
      </c>
      <c r="AD532" s="1697"/>
      <c r="AE532" s="1697"/>
      <c r="AF532" s="1697"/>
      <c r="AG532" s="13" t="s">
        <v>404</v>
      </c>
      <c r="AH532" s="1442"/>
      <c r="AI532" s="1442"/>
      <c r="AJ532" s="1442"/>
      <c r="AK532" s="1443"/>
      <c r="AZ532" s="3"/>
      <c r="BA532" s="3"/>
      <c r="BB532" s="3"/>
      <c r="BC532" s="3"/>
      <c r="BD532" s="3"/>
      <c r="BE532" s="3"/>
      <c r="BF532" s="3"/>
      <c r="BG532" s="3"/>
      <c r="BH532" s="3"/>
      <c r="BI532" s="3"/>
      <c r="BJ532" s="3"/>
      <c r="BK532" s="3"/>
      <c r="BL532" s="3"/>
      <c r="BM532" s="3"/>
      <c r="BN532" s="3" t="s">
        <v>2443</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670"/>
      <c r="C533" s="1671"/>
      <c r="D533" s="1671"/>
      <c r="E533" s="1671"/>
      <c r="F533" s="1671"/>
      <c r="G533" s="1671"/>
      <c r="H533" s="1672"/>
      <c r="I533" t="s">
        <v>422</v>
      </c>
      <c r="AC533" s="1764" t="s">
        <v>599</v>
      </c>
      <c r="AD533" s="1697"/>
      <c r="AE533" s="1697"/>
      <c r="AF533" s="1697"/>
      <c r="AG533" s="38" t="s">
        <v>404</v>
      </c>
      <c r="AH533" s="1442"/>
      <c r="AI533" s="1442"/>
      <c r="AJ533" s="1442"/>
      <c r="AK533" s="1443"/>
      <c r="AZ533" s="3"/>
      <c r="BA533" s="3"/>
      <c r="BB533" s="3"/>
      <c r="BC533" s="3"/>
      <c r="BD533" s="3"/>
      <c r="BE533" s="3"/>
      <c r="BF533" s="3"/>
      <c r="BG533" s="3"/>
      <c r="BH533" s="3"/>
      <c r="BI533" s="3"/>
      <c r="BJ533" s="3"/>
      <c r="BK533" s="3"/>
      <c r="BL533" s="3"/>
      <c r="BM533" s="3"/>
      <c r="BN533" s="3" t="s">
        <v>2444</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670"/>
      <c r="C534" s="1671"/>
      <c r="D534" s="1671"/>
      <c r="E534" s="1671"/>
      <c r="F534" s="1671"/>
      <c r="G534" s="1671"/>
      <c r="H534" s="1672"/>
      <c r="I534" s="48" t="s">
        <v>423</v>
      </c>
      <c r="J534" s="48"/>
      <c r="K534" s="48"/>
      <c r="L534" s="48"/>
      <c r="M534" s="48"/>
      <c r="N534" s="48"/>
      <c r="O534" s="48"/>
      <c r="P534" s="48"/>
      <c r="Q534" s="48"/>
      <c r="R534" s="48"/>
      <c r="S534" s="48"/>
      <c r="T534" s="48"/>
      <c r="U534" s="48"/>
      <c r="V534" s="48"/>
      <c r="W534" s="48"/>
      <c r="X534" s="48"/>
      <c r="Y534" s="48"/>
      <c r="Z534" s="48"/>
      <c r="AA534" s="48"/>
      <c r="AB534" s="48"/>
      <c r="AC534" s="1764" t="s">
        <v>599</v>
      </c>
      <c r="AD534" s="1697"/>
      <c r="AE534" s="1697"/>
      <c r="AF534" s="1697"/>
      <c r="AG534" s="13" t="s">
        <v>404</v>
      </c>
      <c r="AH534" s="1442"/>
      <c r="AI534" s="1442"/>
      <c r="AJ534" s="1442"/>
      <c r="AK534" s="1443"/>
      <c r="AZ534" s="3"/>
      <c r="BA534" s="3"/>
      <c r="BB534" s="3"/>
      <c r="BC534" s="3"/>
      <c r="BD534" s="3"/>
      <c r="BE534" s="3"/>
      <c r="BF534" s="3"/>
      <c r="BG534" s="3"/>
      <c r="BH534" s="3"/>
      <c r="BI534" s="3"/>
      <c r="BJ534" s="3"/>
      <c r="BK534" s="3"/>
      <c r="BL534" s="3"/>
      <c r="BM534" s="3"/>
      <c r="BN534" s="3" t="s">
        <v>2445</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670"/>
      <c r="C535" s="1671"/>
      <c r="D535" s="1671"/>
      <c r="E535" s="1671"/>
      <c r="F535" s="1671"/>
      <c r="G535" s="1671"/>
      <c r="H535" s="1672"/>
      <c r="I535" s="42" t="s">
        <v>424</v>
      </c>
      <c r="J535" s="42"/>
      <c r="K535" s="42"/>
      <c r="L535" s="42"/>
      <c r="M535" s="42"/>
      <c r="N535" s="42"/>
      <c r="O535" s="1765" t="s">
        <v>335</v>
      </c>
      <c r="P535" s="1766"/>
      <c r="Q535" s="1766"/>
      <c r="R535" s="1766"/>
      <c r="S535" s="1766"/>
      <c r="T535" s="1766"/>
      <c r="U535" s="1766"/>
      <c r="V535" s="1766"/>
      <c r="W535" s="1766"/>
      <c r="X535" s="1766"/>
      <c r="Y535" s="1766"/>
      <c r="Z535" s="1766"/>
      <c r="AA535" s="1766"/>
      <c r="AC535" s="1764" t="s">
        <v>599</v>
      </c>
      <c r="AD535" s="1697"/>
      <c r="AE535" s="1697"/>
      <c r="AF535" s="1697"/>
      <c r="AG535" s="38" t="s">
        <v>404</v>
      </c>
      <c r="AH535" s="1442"/>
      <c r="AI535" s="1442"/>
      <c r="AJ535" s="1442"/>
      <c r="AK535" s="1443"/>
      <c r="AZ535" s="3"/>
      <c r="BA535" s="3"/>
      <c r="BB535" s="3"/>
      <c r="BC535" s="3"/>
      <c r="BD535" s="3"/>
      <c r="BE535" s="3"/>
      <c r="BF535" s="3"/>
      <c r="BG535" s="3"/>
      <c r="BH535" s="3"/>
      <c r="BI535" s="3"/>
      <c r="BJ535" s="3"/>
      <c r="BK535" s="3"/>
      <c r="BL535" s="3"/>
      <c r="BM535" s="3"/>
      <c r="BN535" s="3" t="s">
        <v>2446</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670"/>
      <c r="C536" s="1671"/>
      <c r="D536" s="1671"/>
      <c r="E536" s="1671"/>
      <c r="F536" s="1671"/>
      <c r="G536" s="1671"/>
      <c r="H536" s="1672"/>
      <c r="I536" t="s">
        <v>422</v>
      </c>
      <c r="AC536" s="1764" t="s">
        <v>599</v>
      </c>
      <c r="AD536" s="1697"/>
      <c r="AE536" s="1697"/>
      <c r="AF536" s="1697"/>
      <c r="AG536" s="13" t="s">
        <v>404</v>
      </c>
      <c r="AH536" s="1442"/>
      <c r="AI536" s="1442"/>
      <c r="AJ536" s="1442"/>
      <c r="AK536" s="1443"/>
      <c r="AZ536" s="3"/>
      <c r="BA536" s="3"/>
      <c r="BB536" s="3"/>
      <c r="BC536" s="3"/>
      <c r="BD536" s="3"/>
      <c r="BE536" s="3"/>
      <c r="BF536" s="3"/>
      <c r="BG536" s="3"/>
      <c r="BH536" s="3"/>
      <c r="BI536" s="3"/>
      <c r="BJ536" s="3"/>
      <c r="BK536" s="3"/>
      <c r="BL536" s="3"/>
      <c r="BM536" s="3"/>
      <c r="BN536" s="3" t="s">
        <v>2447</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670"/>
      <c r="C537" s="1671"/>
      <c r="D537" s="1671"/>
      <c r="E537" s="1671"/>
      <c r="F537" s="1671"/>
      <c r="G537" s="1671"/>
      <c r="H537" s="1672"/>
      <c r="I537" s="48" t="s">
        <v>423</v>
      </c>
      <c r="J537" s="48"/>
      <c r="K537" s="48"/>
      <c r="L537" s="48"/>
      <c r="M537" s="48"/>
      <c r="N537" s="48"/>
      <c r="O537" s="48"/>
      <c r="P537" s="48"/>
      <c r="Q537" s="48"/>
      <c r="R537" s="48"/>
      <c r="S537" s="48"/>
      <c r="T537" s="48"/>
      <c r="U537" s="48"/>
      <c r="V537" s="48"/>
      <c r="W537" s="48"/>
      <c r="X537" s="48"/>
      <c r="Y537" s="48"/>
      <c r="Z537" s="48"/>
      <c r="AA537" s="48"/>
      <c r="AB537" s="48"/>
      <c r="AC537" s="1764" t="s">
        <v>599</v>
      </c>
      <c r="AD537" s="1697"/>
      <c r="AE537" s="1697"/>
      <c r="AF537" s="1697"/>
      <c r="AG537" s="38" t="s">
        <v>404</v>
      </c>
      <c r="AH537" s="1442"/>
      <c r="AI537" s="1442"/>
      <c r="AJ537" s="1442"/>
      <c r="AK537" s="1443"/>
      <c r="AZ537" s="3"/>
      <c r="BA537" s="3"/>
      <c r="BB537" s="3"/>
      <c r="BC537" s="3"/>
      <c r="BD537" s="3"/>
      <c r="BE537" s="3"/>
      <c r="BF537" s="3"/>
      <c r="BG537" s="3"/>
      <c r="BH537" s="3"/>
      <c r="BI537" s="3"/>
      <c r="BJ537" s="3"/>
      <c r="BK537" s="3"/>
      <c r="BL537" s="3"/>
      <c r="BM537" s="3"/>
      <c r="BN537" s="3" t="s">
        <v>2448</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670"/>
      <c r="C538" s="1671"/>
      <c r="D538" s="1671"/>
      <c r="E538" s="1671"/>
      <c r="F538" s="1671"/>
      <c r="G538" s="1671"/>
      <c r="H538" s="1672"/>
      <c r="I538" s="42" t="s">
        <v>570</v>
      </c>
      <c r="J538" s="42"/>
      <c r="K538" s="42"/>
      <c r="L538" s="42"/>
      <c r="M538" s="42"/>
      <c r="N538" s="42"/>
      <c r="O538" s="42"/>
      <c r="P538" s="42"/>
      <c r="Q538" s="42"/>
      <c r="R538" s="42"/>
      <c r="S538" s="42"/>
      <c r="T538" s="42"/>
      <c r="U538" s="42"/>
      <c r="V538" s="42"/>
      <c r="W538" s="42"/>
      <c r="AC538" s="1764">
        <v>1</v>
      </c>
      <c r="AD538" s="1697"/>
      <c r="AE538" s="1697"/>
      <c r="AF538" s="1697"/>
      <c r="AG538" s="38" t="s">
        <v>404</v>
      </c>
      <c r="AH538" s="1442">
        <v>2025</v>
      </c>
      <c r="AI538" s="1442"/>
      <c r="AJ538" s="1442"/>
      <c r="AK538" s="1443"/>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670"/>
      <c r="C539" s="1671"/>
      <c r="D539" s="1671"/>
      <c r="E539" s="1671"/>
      <c r="F539" s="1671"/>
      <c r="G539" s="1671"/>
      <c r="H539" s="1672"/>
      <c r="I539" t="s">
        <v>571</v>
      </c>
      <c r="AC539" s="1764">
        <v>1</v>
      </c>
      <c r="AD539" s="1697"/>
      <c r="AE539" s="1697"/>
      <c r="AF539" s="1697"/>
      <c r="AG539" s="13" t="s">
        <v>404</v>
      </c>
      <c r="AH539" s="1442">
        <v>2025</v>
      </c>
      <c r="AI539" s="1442"/>
      <c r="AJ539" s="1442"/>
      <c r="AK539" s="1443"/>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670"/>
      <c r="C540" s="1671"/>
      <c r="D540" s="1671"/>
      <c r="E540" s="1671"/>
      <c r="F540" s="1671"/>
      <c r="G540" s="1671"/>
      <c r="H540" s="1672"/>
      <c r="I540" t="s">
        <v>572</v>
      </c>
      <c r="AC540" s="1764">
        <v>11</v>
      </c>
      <c r="AD540" s="1697"/>
      <c r="AE540" s="1697"/>
      <c r="AF540" s="1697"/>
      <c r="AG540" s="38" t="s">
        <v>404</v>
      </c>
      <c r="AH540" s="1442">
        <v>2026</v>
      </c>
      <c r="AI540" s="1442"/>
      <c r="AJ540" s="1442"/>
      <c r="AK540" s="1443"/>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670"/>
      <c r="C541" s="1671"/>
      <c r="D541" s="1671"/>
      <c r="E541" s="1671"/>
      <c r="F541" s="1671"/>
      <c r="G541" s="1671"/>
      <c r="H541" s="1672"/>
      <c r="I541" t="s">
        <v>573</v>
      </c>
      <c r="AC541" s="1764">
        <v>11</v>
      </c>
      <c r="AD541" s="1697"/>
      <c r="AE541" s="1697"/>
      <c r="AF541" s="1697"/>
      <c r="AG541" s="38" t="s">
        <v>404</v>
      </c>
      <c r="AH541" s="1442">
        <v>2026</v>
      </c>
      <c r="AI541" s="1442"/>
      <c r="AJ541" s="1442"/>
      <c r="AK541" s="1443"/>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673"/>
      <c r="C542" s="1674"/>
      <c r="D542" s="1674"/>
      <c r="E542" s="1674"/>
      <c r="F542" s="1674"/>
      <c r="G542" s="1674"/>
      <c r="H542" s="1675"/>
      <c r="I542" s="48" t="s">
        <v>459</v>
      </c>
      <c r="J542" s="48"/>
      <c r="K542" s="48"/>
      <c r="L542" s="48"/>
      <c r="M542" s="48"/>
      <c r="N542" s="48"/>
      <c r="O542" s="48"/>
      <c r="P542" s="48"/>
      <c r="Q542" s="48"/>
      <c r="R542" s="48"/>
      <c r="S542" s="48"/>
      <c r="T542" s="48"/>
      <c r="U542" s="48"/>
      <c r="V542" s="48"/>
      <c r="W542" s="48"/>
      <c r="X542" s="48"/>
      <c r="Y542" s="48"/>
      <c r="Z542" s="48"/>
      <c r="AA542" s="48"/>
      <c r="AB542" s="48"/>
      <c r="AC542" s="1764">
        <v>2</v>
      </c>
      <c r="AD542" s="1697"/>
      <c r="AE542" s="1697"/>
      <c r="AF542" s="1697"/>
      <c r="AG542" s="38" t="s">
        <v>404</v>
      </c>
      <c r="AH542" s="1442">
        <v>2027</v>
      </c>
      <c r="AI542" s="1442"/>
      <c r="AJ542" s="1442"/>
      <c r="AK542" s="1443"/>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8" t="s">
        <v>551</v>
      </c>
      <c r="B544" s="1268"/>
      <c r="C544" s="1268"/>
      <c r="D544" s="1268"/>
      <c r="E544" s="1268"/>
      <c r="F544" s="1268"/>
      <c r="G544" s="1268"/>
      <c r="H544" s="1268"/>
      <c r="I544" s="1268"/>
      <c r="J544" s="1268"/>
      <c r="K544" s="1268"/>
      <c r="L544" s="1268"/>
      <c r="M544" s="1268"/>
      <c r="N544" s="1268"/>
      <c r="O544" s="1268"/>
      <c r="P544" s="1268"/>
      <c r="Q544" s="1268"/>
      <c r="R544" s="1268"/>
      <c r="S544" s="1268"/>
      <c r="T544" s="1268"/>
      <c r="U544" s="1268"/>
      <c r="V544" s="1268"/>
      <c r="W544" s="1268"/>
      <c r="X544" s="1268"/>
      <c r="Y544" s="1268"/>
      <c r="Z544" s="1268"/>
      <c r="AA544" s="1268"/>
      <c r="AB544" s="1268"/>
      <c r="AC544" s="1268"/>
      <c r="AD544" s="1268"/>
      <c r="AE544" s="1268"/>
      <c r="AF544" s="1268"/>
      <c r="AG544" s="1268"/>
      <c r="AH544" s="1268"/>
      <c r="AI544" s="1268"/>
      <c r="AJ544" s="1268"/>
      <c r="AK544" s="1268"/>
      <c r="AL544" s="1268"/>
      <c r="AM544" s="1268"/>
      <c r="AN544" s="1268"/>
      <c r="AO544" s="1268"/>
      <c r="AP544" s="1268"/>
      <c r="AQ544" s="1268"/>
      <c r="AR544" s="1268"/>
      <c r="AS544" s="1268"/>
      <c r="AT544" s="1268"/>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8"/>
      <c r="B545" s="1268"/>
      <c r="C545" s="1268"/>
      <c r="D545" s="1268"/>
      <c r="E545" s="1268"/>
      <c r="F545" s="1268"/>
      <c r="G545" s="1268"/>
      <c r="H545" s="1268"/>
      <c r="I545" s="1268"/>
      <c r="J545" s="1268"/>
      <c r="K545" s="1268"/>
      <c r="L545" s="1268"/>
      <c r="M545" s="1268"/>
      <c r="N545" s="1268"/>
      <c r="O545" s="1268"/>
      <c r="P545" s="1268"/>
      <c r="Q545" s="1268"/>
      <c r="R545" s="1268"/>
      <c r="S545" s="1268"/>
      <c r="T545" s="1268"/>
      <c r="U545" s="1268"/>
      <c r="V545" s="1268"/>
      <c r="W545" s="1268"/>
      <c r="X545" s="1268"/>
      <c r="Y545" s="1268"/>
      <c r="Z545" s="1268"/>
      <c r="AA545" s="1268"/>
      <c r="AB545" s="1268"/>
      <c r="AC545" s="1268"/>
      <c r="AD545" s="1268"/>
      <c r="AE545" s="1268"/>
      <c r="AF545" s="1268"/>
      <c r="AG545" s="1268"/>
      <c r="AH545" s="1268"/>
      <c r="AI545" s="1268"/>
      <c r="AJ545" s="1268"/>
      <c r="AK545" s="1268"/>
      <c r="AL545" s="1268"/>
      <c r="AM545" s="1268"/>
      <c r="AN545" s="1268"/>
      <c r="AO545" s="1268"/>
      <c r="AP545" s="1268"/>
      <c r="AQ545" s="1268"/>
      <c r="AR545" s="1268"/>
      <c r="AS545" s="1268"/>
      <c r="AT545" s="1268"/>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2420</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667" t="s">
        <v>2422</v>
      </c>
      <c r="C551" s="1668"/>
      <c r="D551" s="1668"/>
      <c r="E551" s="1668"/>
      <c r="F551" s="1668"/>
      <c r="G551" s="1668"/>
      <c r="H551" s="1668"/>
      <c r="I551" s="1668"/>
      <c r="J551" s="1668"/>
      <c r="K551" s="1668"/>
      <c r="L551" s="1669"/>
      <c r="M551" s="1667" t="s">
        <v>2423</v>
      </c>
      <c r="N551" s="1668"/>
      <c r="O551" s="1668"/>
      <c r="P551" s="1669"/>
      <c r="Q551" s="1667" t="s">
        <v>2449</v>
      </c>
      <c r="R551" s="1668"/>
      <c r="S551" s="1669"/>
      <c r="T551" s="1667" t="s">
        <v>2450</v>
      </c>
      <c r="U551" s="1668"/>
      <c r="V551" s="1669"/>
      <c r="W551" s="1667" t="s">
        <v>461</v>
      </c>
      <c r="X551" s="1668"/>
      <c r="Y551" s="1669"/>
      <c r="Z551" s="1667" t="s">
        <v>2043</v>
      </c>
      <c r="AA551" s="1668"/>
      <c r="AB551" s="1668"/>
      <c r="AC551" s="1668"/>
      <c r="AD551" s="1669"/>
      <c r="AE551" s="1667" t="s">
        <v>1865</v>
      </c>
      <c r="AF551" s="1668"/>
      <c r="AG551" s="1668"/>
      <c r="AH551" s="1669"/>
      <c r="AI551" s="1667" t="s">
        <v>1866</v>
      </c>
      <c r="AJ551" s="1668"/>
      <c r="AK551" s="1668"/>
      <c r="AL551" s="1669"/>
      <c r="AM551" s="1667" t="s">
        <v>462</v>
      </c>
      <c r="AN551" s="1668"/>
      <c r="AO551" s="1668"/>
      <c r="AP551" s="1668"/>
      <c r="AQ551" s="1668"/>
      <c r="AR551" s="1668"/>
      <c r="AS551" s="1669"/>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670"/>
      <c r="C552" s="1671"/>
      <c r="D552" s="1671"/>
      <c r="E552" s="1671"/>
      <c r="F552" s="1671"/>
      <c r="G552" s="1671"/>
      <c r="H552" s="1671"/>
      <c r="I552" s="1671"/>
      <c r="J552" s="1671"/>
      <c r="K552" s="1671"/>
      <c r="L552" s="1672"/>
      <c r="M552" s="1670"/>
      <c r="N552" s="1671"/>
      <c r="O552" s="1671"/>
      <c r="P552" s="1672"/>
      <c r="Q552" s="1670"/>
      <c r="R552" s="1671"/>
      <c r="S552" s="1672"/>
      <c r="T552" s="1670"/>
      <c r="U552" s="1671"/>
      <c r="V552" s="1672"/>
      <c r="W552" s="1670"/>
      <c r="X552" s="1671"/>
      <c r="Y552" s="1672"/>
      <c r="Z552" s="1670"/>
      <c r="AA552" s="1671"/>
      <c r="AB552" s="1671"/>
      <c r="AC552" s="1671"/>
      <c r="AD552" s="1672"/>
      <c r="AE552" s="1670"/>
      <c r="AF552" s="1671"/>
      <c r="AG552" s="1671"/>
      <c r="AH552" s="1672"/>
      <c r="AI552" s="1670"/>
      <c r="AJ552" s="1671"/>
      <c r="AK552" s="1671"/>
      <c r="AL552" s="1672"/>
      <c r="AM552" s="1670"/>
      <c r="AN552" s="1671"/>
      <c r="AO552" s="1671"/>
      <c r="AP552" s="1671"/>
      <c r="AQ552" s="1671"/>
      <c r="AR552" s="1671"/>
      <c r="AS552" s="1672"/>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673"/>
      <c r="C553" s="1674"/>
      <c r="D553" s="1674"/>
      <c r="E553" s="1674"/>
      <c r="F553" s="1674"/>
      <c r="G553" s="1674"/>
      <c r="H553" s="1674"/>
      <c r="I553" s="1674"/>
      <c r="J553" s="1674"/>
      <c r="K553" s="1674"/>
      <c r="L553" s="1675"/>
      <c r="M553" s="1673"/>
      <c r="N553" s="1674"/>
      <c r="O553" s="1674"/>
      <c r="P553" s="1675"/>
      <c r="Q553" s="1673"/>
      <c r="R553" s="1674"/>
      <c r="S553" s="1675"/>
      <c r="T553" s="1673"/>
      <c r="U553" s="1674"/>
      <c r="V553" s="1675"/>
      <c r="W553" s="1673"/>
      <c r="X553" s="1674"/>
      <c r="Y553" s="1675"/>
      <c r="Z553" s="1673"/>
      <c r="AA553" s="1674"/>
      <c r="AB553" s="1674"/>
      <c r="AC553" s="1674"/>
      <c r="AD553" s="1675"/>
      <c r="AE553" s="1673"/>
      <c r="AF553" s="1674"/>
      <c r="AG553" s="1674"/>
      <c r="AH553" s="1675"/>
      <c r="AI553" s="1673"/>
      <c r="AJ553" s="1674"/>
      <c r="AK553" s="1674"/>
      <c r="AL553" s="1675"/>
      <c r="AM553" s="1673"/>
      <c r="AN553" s="1674"/>
      <c r="AO553" s="1674"/>
      <c r="AP553" s="1674"/>
      <c r="AQ553" s="1674"/>
      <c r="AR553" s="1674"/>
      <c r="AS553" s="1675"/>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691" t="s">
        <v>2756</v>
      </c>
      <c r="D554" s="1691"/>
      <c r="E554" s="1691"/>
      <c r="F554" s="1691"/>
      <c r="G554" s="1691"/>
      <c r="H554" s="1691"/>
      <c r="I554" s="1691"/>
      <c r="J554" s="1691"/>
      <c r="K554" s="1691"/>
      <c r="L554" s="1691"/>
      <c r="M554" s="1691" t="s">
        <v>2439</v>
      </c>
      <c r="N554" s="1691"/>
      <c r="O554" s="1691"/>
      <c r="P554" s="1691"/>
      <c r="Q554" s="1678">
        <v>36</v>
      </c>
      <c r="R554" s="1678"/>
      <c r="S554" s="1679"/>
      <c r="T554" s="1677"/>
      <c r="U554" s="1678"/>
      <c r="V554" s="1679"/>
      <c r="W554" s="1680">
        <v>7.4500000000000011E-2</v>
      </c>
      <c r="X554" s="1681"/>
      <c r="Y554" s="1682"/>
      <c r="Z554" s="1696" t="s">
        <v>2810</v>
      </c>
      <c r="AA554" s="1696"/>
      <c r="AB554" s="1696"/>
      <c r="AC554" s="1696"/>
      <c r="AD554" s="1696"/>
      <c r="AE554" s="1683">
        <v>1</v>
      </c>
      <c r="AF554" s="1684"/>
      <c r="AG554" s="1684"/>
      <c r="AH554" s="1685"/>
      <c r="AI554" s="1460"/>
      <c r="AJ554" s="1461"/>
      <c r="AK554" s="1461"/>
      <c r="AL554" s="1462"/>
      <c r="AM554" s="1692">
        <v>63600000</v>
      </c>
      <c r="AN554" s="1693"/>
      <c r="AO554" s="1693"/>
      <c r="AP554" s="1693"/>
      <c r="AQ554" s="1693"/>
      <c r="AR554" s="1693"/>
      <c r="AS554" s="1694"/>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695" t="s">
        <v>2757</v>
      </c>
      <c r="D555" s="1695"/>
      <c r="E555" s="1695"/>
      <c r="F555" s="1695"/>
      <c r="G555" s="1695"/>
      <c r="H555" s="1695"/>
      <c r="I555" s="1695"/>
      <c r="J555" s="1695"/>
      <c r="K555" s="1695"/>
      <c r="L555" s="1695"/>
      <c r="M555" s="1691" t="s">
        <v>2438</v>
      </c>
      <c r="N555" s="1691"/>
      <c r="O555" s="1691"/>
      <c r="P555" s="1691"/>
      <c r="Q555" s="1677">
        <v>36</v>
      </c>
      <c r="R555" s="1678"/>
      <c r="S555" s="1679"/>
      <c r="T555" s="1677"/>
      <c r="U555" s="1678"/>
      <c r="V555" s="1679"/>
      <c r="W555" s="1680">
        <v>7.9500000000000015E-2</v>
      </c>
      <c r="X555" s="1681"/>
      <c r="Y555" s="1682"/>
      <c r="Z555" s="1696" t="s">
        <v>2810</v>
      </c>
      <c r="AA555" s="1696"/>
      <c r="AB555" s="1696"/>
      <c r="AC555" s="1696"/>
      <c r="AD555" s="1696"/>
      <c r="AE555" s="1683">
        <v>2</v>
      </c>
      <c r="AF555" s="1684"/>
      <c r="AG555" s="1684"/>
      <c r="AH555" s="1685"/>
      <c r="AI555" s="1460"/>
      <c r="AJ555" s="1461"/>
      <c r="AK555" s="1461"/>
      <c r="AL555" s="1462"/>
      <c r="AM555" s="1692">
        <v>10977731.933579072</v>
      </c>
      <c r="AN555" s="1693"/>
      <c r="AO555" s="1693"/>
      <c r="AP555" s="1693"/>
      <c r="AQ555" s="1693"/>
      <c r="AR555" s="1693"/>
      <c r="AS555" s="1694"/>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695" t="s">
        <v>2793</v>
      </c>
      <c r="D556" s="1695"/>
      <c r="E556" s="1695"/>
      <c r="F556" s="1695"/>
      <c r="G556" s="1695"/>
      <c r="H556" s="1695"/>
      <c r="I556" s="1695"/>
      <c r="J556" s="1695"/>
      <c r="K556" s="1695"/>
      <c r="L556" s="1695"/>
      <c r="M556" s="1691" t="s">
        <v>2430</v>
      </c>
      <c r="N556" s="1691"/>
      <c r="O556" s="1691"/>
      <c r="P556" s="1691"/>
      <c r="Q556" s="1677"/>
      <c r="R556" s="1678"/>
      <c r="S556" s="1679"/>
      <c r="T556" s="1677"/>
      <c r="U556" s="1678"/>
      <c r="V556" s="1679"/>
      <c r="W556" s="1680"/>
      <c r="X556" s="1681"/>
      <c r="Y556" s="1682"/>
      <c r="Z556" s="1696" t="s">
        <v>599</v>
      </c>
      <c r="AA556" s="1696"/>
      <c r="AB556" s="1696"/>
      <c r="AC556" s="1696"/>
      <c r="AD556" s="1696"/>
      <c r="AE556" s="1683"/>
      <c r="AF556" s="1684"/>
      <c r="AG556" s="1684"/>
      <c r="AH556" s="1685"/>
      <c r="AI556" s="1460"/>
      <c r="AJ556" s="1461"/>
      <c r="AK556" s="1461"/>
      <c r="AL556" s="1462"/>
      <c r="AM556" s="1692">
        <v>4115855.8</v>
      </c>
      <c r="AN556" s="1693"/>
      <c r="AO556" s="1693"/>
      <c r="AP556" s="1693"/>
      <c r="AQ556" s="1693"/>
      <c r="AR556" s="1693"/>
      <c r="AS556" s="1694"/>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695" t="s">
        <v>2794</v>
      </c>
      <c r="D557" s="1695"/>
      <c r="E557" s="1695"/>
      <c r="F557" s="1695"/>
      <c r="G557" s="1695"/>
      <c r="H557" s="1695"/>
      <c r="I557" s="1695"/>
      <c r="J557" s="1695"/>
      <c r="K557" s="1695"/>
      <c r="L557" s="1695"/>
      <c r="M557" s="1691" t="s">
        <v>2430</v>
      </c>
      <c r="N557" s="1691"/>
      <c r="O557" s="1691"/>
      <c r="P557" s="1691"/>
      <c r="Q557" s="1677"/>
      <c r="R557" s="1678"/>
      <c r="S557" s="1679"/>
      <c r="T557" s="1677"/>
      <c r="U557" s="1678"/>
      <c r="V557" s="1679"/>
      <c r="W557" s="1680"/>
      <c r="X557" s="1681"/>
      <c r="Y557" s="1682"/>
      <c r="Z557" s="1696" t="s">
        <v>599</v>
      </c>
      <c r="AA557" s="1696"/>
      <c r="AB557" s="1696"/>
      <c r="AC557" s="1696"/>
      <c r="AD557" s="1696"/>
      <c r="AE557" s="1683"/>
      <c r="AF557" s="1684"/>
      <c r="AG557" s="1684"/>
      <c r="AH557" s="1685"/>
      <c r="AI557" s="1460"/>
      <c r="AJ557" s="1461"/>
      <c r="AK557" s="1461"/>
      <c r="AL557" s="1462"/>
      <c r="AM557" s="1692">
        <v>470483.20000000001</v>
      </c>
      <c r="AN557" s="1693"/>
      <c r="AO557" s="1693"/>
      <c r="AP557" s="1693"/>
      <c r="AQ557" s="1693"/>
      <c r="AR557" s="1693"/>
      <c r="AS557" s="1694"/>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695" t="s">
        <v>2639</v>
      </c>
      <c r="D558" s="1695"/>
      <c r="E558" s="1695"/>
      <c r="F558" s="1695"/>
      <c r="G558" s="1695"/>
      <c r="H558" s="1695"/>
      <c r="I558" s="1695"/>
      <c r="J558" s="1695"/>
      <c r="K558" s="1695"/>
      <c r="L558" s="1695"/>
      <c r="M558" s="1691" t="s">
        <v>2435</v>
      </c>
      <c r="N558" s="1691"/>
      <c r="O558" s="1691"/>
      <c r="P558" s="1691"/>
      <c r="Q558" s="1677">
        <v>660</v>
      </c>
      <c r="R558" s="1678"/>
      <c r="S558" s="1679"/>
      <c r="T558" s="1677"/>
      <c r="U558" s="1678"/>
      <c r="V558" s="1679"/>
      <c r="W558" s="1680">
        <v>0.04</v>
      </c>
      <c r="X558" s="1681"/>
      <c r="Y558" s="1682"/>
      <c r="Z558" s="1696" t="s">
        <v>2811</v>
      </c>
      <c r="AA558" s="1696"/>
      <c r="AB558" s="1696"/>
      <c r="AC558" s="1696"/>
      <c r="AD558" s="1696"/>
      <c r="AE558" s="1683">
        <v>3</v>
      </c>
      <c r="AF558" s="1684"/>
      <c r="AG558" s="1684"/>
      <c r="AH558" s="1685"/>
      <c r="AI558" s="1460"/>
      <c r="AJ558" s="1461"/>
      <c r="AK558" s="1461"/>
      <c r="AL558" s="1462"/>
      <c r="AM558" s="1692">
        <v>20000000</v>
      </c>
      <c r="AN558" s="1693"/>
      <c r="AO558" s="1693"/>
      <c r="AP558" s="1693"/>
      <c r="AQ558" s="1693"/>
      <c r="AR558" s="1693"/>
      <c r="AS558" s="1694"/>
      <c r="AT558" s="1192" t="str">
        <f t="shared" ref="AT558:AT565" si="0">IF(AND(NOT(C557=""),C558="",NOT(C559="")),"!","")</f>
        <v/>
      </c>
      <c r="AU558" s="1191"/>
      <c r="BB558" s="3"/>
      <c r="BC558" s="3"/>
      <c r="BD558" s="3"/>
      <c r="BE558" s="3"/>
      <c r="BF558" s="3"/>
      <c r="BG558" s="3"/>
      <c r="BH558" s="3" t="s">
        <v>772</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695" t="s">
        <v>2639</v>
      </c>
      <c r="D559" s="1695"/>
      <c r="E559" s="1695"/>
      <c r="F559" s="1695"/>
      <c r="G559" s="1695"/>
      <c r="H559" s="1695"/>
      <c r="I559" s="1695"/>
      <c r="J559" s="1695"/>
      <c r="K559" s="1695"/>
      <c r="L559" s="1695"/>
      <c r="M559" s="1691" t="s">
        <v>2447</v>
      </c>
      <c r="N559" s="1691"/>
      <c r="O559" s="1691"/>
      <c r="P559" s="1691"/>
      <c r="Q559" s="1677">
        <v>660</v>
      </c>
      <c r="R559" s="1678"/>
      <c r="S559" s="1679"/>
      <c r="T559" s="1677"/>
      <c r="U559" s="1678"/>
      <c r="V559" s="1679"/>
      <c r="W559" s="1680"/>
      <c r="X559" s="1681"/>
      <c r="Y559" s="1682"/>
      <c r="Z559" s="1696" t="s">
        <v>599</v>
      </c>
      <c r="AA559" s="1696"/>
      <c r="AB559" s="1696"/>
      <c r="AC559" s="1696"/>
      <c r="AD559" s="1696"/>
      <c r="AE559" s="1683">
        <v>5</v>
      </c>
      <c r="AF559" s="1684"/>
      <c r="AG559" s="1684"/>
      <c r="AH559" s="1685"/>
      <c r="AI559" s="1460"/>
      <c r="AJ559" s="1461"/>
      <c r="AK559" s="1461"/>
      <c r="AL559" s="1462"/>
      <c r="AM559" s="1692">
        <v>6500000</v>
      </c>
      <c r="AN559" s="1693"/>
      <c r="AO559" s="1693"/>
      <c r="AP559" s="1693"/>
      <c r="AQ559" s="1693"/>
      <c r="AR559" s="1693"/>
      <c r="AS559" s="1694"/>
      <c r="AT559" s="1192" t="str">
        <f t="shared" si="0"/>
        <v/>
      </c>
      <c r="AU559" s="1191"/>
      <c r="BB559" s="3"/>
      <c r="BC559" s="3"/>
      <c r="BD559" s="3"/>
      <c r="BE559" s="3"/>
      <c r="BF559" s="3"/>
      <c r="BG559" s="3"/>
      <c r="BH559" s="3" t="s">
        <v>592</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695" t="s">
        <v>2758</v>
      </c>
      <c r="D560" s="1695"/>
      <c r="E560" s="1695"/>
      <c r="F560" s="1695"/>
      <c r="G560" s="1695"/>
      <c r="H560" s="1695"/>
      <c r="I560" s="1695"/>
      <c r="J560" s="1695"/>
      <c r="K560" s="1695"/>
      <c r="L560" s="1695"/>
      <c r="M560" s="1691" t="s">
        <v>2435</v>
      </c>
      <c r="N560" s="1691"/>
      <c r="O560" s="1691"/>
      <c r="P560" s="1691"/>
      <c r="Q560" s="1677">
        <v>660</v>
      </c>
      <c r="R560" s="1678"/>
      <c r="S560" s="1679"/>
      <c r="T560" s="1677"/>
      <c r="U560" s="1678"/>
      <c r="V560" s="1679"/>
      <c r="W560" s="1680">
        <v>0.03</v>
      </c>
      <c r="X560" s="1681"/>
      <c r="Y560" s="1682"/>
      <c r="Z560" s="1696" t="s">
        <v>2811</v>
      </c>
      <c r="AA560" s="1696"/>
      <c r="AB560" s="1696"/>
      <c r="AC560" s="1696"/>
      <c r="AD560" s="1696"/>
      <c r="AE560" s="1683">
        <v>4</v>
      </c>
      <c r="AF560" s="1684"/>
      <c r="AG560" s="1684"/>
      <c r="AH560" s="1685"/>
      <c r="AI560" s="1460"/>
      <c r="AJ560" s="1461"/>
      <c r="AK560" s="1461"/>
      <c r="AL560" s="1462"/>
      <c r="AM560" s="1692">
        <v>8000000</v>
      </c>
      <c r="AN560" s="1693"/>
      <c r="AO560" s="1693"/>
      <c r="AP560" s="1693"/>
      <c r="AQ560" s="1693"/>
      <c r="AR560" s="1693"/>
      <c r="AS560" s="1694"/>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695" t="s">
        <v>2687</v>
      </c>
      <c r="D561" s="1695"/>
      <c r="E561" s="1695"/>
      <c r="F561" s="1695"/>
      <c r="G561" s="1695"/>
      <c r="H561" s="1695"/>
      <c r="I561" s="1695"/>
      <c r="J561" s="1695"/>
      <c r="K561" s="1695"/>
      <c r="L561" s="1695"/>
      <c r="M561" s="1691" t="s">
        <v>2432</v>
      </c>
      <c r="N561" s="1691"/>
      <c r="O561" s="1691"/>
      <c r="P561" s="1691"/>
      <c r="Q561" s="1677"/>
      <c r="R561" s="1678"/>
      <c r="S561" s="1679"/>
      <c r="T561" s="1677"/>
      <c r="U561" s="1678"/>
      <c r="V561" s="1679"/>
      <c r="W561" s="1680"/>
      <c r="X561" s="1681"/>
      <c r="Y561" s="1682"/>
      <c r="Z561" s="1696" t="s">
        <v>599</v>
      </c>
      <c r="AA561" s="1696"/>
      <c r="AB561" s="1696"/>
      <c r="AC561" s="1696"/>
      <c r="AD561" s="1696"/>
      <c r="AE561" s="1683"/>
      <c r="AF561" s="1684"/>
      <c r="AG561" s="1684"/>
      <c r="AH561" s="1685"/>
      <c r="AI561" s="1460"/>
      <c r="AJ561" s="1461"/>
      <c r="AK561" s="1461"/>
      <c r="AL561" s="1462"/>
      <c r="AM561" s="1692">
        <v>4000000</v>
      </c>
      <c r="AN561" s="1693"/>
      <c r="AO561" s="1693"/>
      <c r="AP561" s="1693"/>
      <c r="AQ561" s="1693"/>
      <c r="AR561" s="1693"/>
      <c r="AS561" s="1694"/>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695" t="s">
        <v>2759</v>
      </c>
      <c r="D562" s="1695"/>
      <c r="E562" s="1695"/>
      <c r="F562" s="1695"/>
      <c r="G562" s="1695"/>
      <c r="H562" s="1695"/>
      <c r="I562" s="1695"/>
      <c r="J562" s="1695"/>
      <c r="K562" s="1695"/>
      <c r="L562" s="1695"/>
      <c r="M562" s="1691" t="s">
        <v>2425</v>
      </c>
      <c r="N562" s="1691"/>
      <c r="O562" s="1691"/>
      <c r="P562" s="1691"/>
      <c r="Q562" s="1677"/>
      <c r="R562" s="1678"/>
      <c r="S562" s="1679"/>
      <c r="T562" s="1677"/>
      <c r="U562" s="1678"/>
      <c r="V562" s="1679"/>
      <c r="W562" s="1680"/>
      <c r="X562" s="1681"/>
      <c r="Y562" s="1682"/>
      <c r="Z562" s="1696" t="s">
        <v>599</v>
      </c>
      <c r="AA562" s="1696"/>
      <c r="AB562" s="1696"/>
      <c r="AC562" s="1696"/>
      <c r="AD562" s="1696"/>
      <c r="AE562" s="1683"/>
      <c r="AF562" s="1684"/>
      <c r="AG562" s="1684"/>
      <c r="AH562" s="1685"/>
      <c r="AI562" s="1460"/>
      <c r="AJ562" s="1461"/>
      <c r="AK562" s="1461"/>
      <c r="AL562" s="1462"/>
      <c r="AM562" s="1692">
        <v>4333783.6688163131</v>
      </c>
      <c r="AN562" s="1693"/>
      <c r="AO562" s="1693"/>
      <c r="AP562" s="1693"/>
      <c r="AQ562" s="1693"/>
      <c r="AR562" s="1693"/>
      <c r="AS562" s="1694"/>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695"/>
      <c r="D563" s="1695"/>
      <c r="E563" s="1695"/>
      <c r="F563" s="1695"/>
      <c r="G563" s="1695"/>
      <c r="H563" s="1695"/>
      <c r="I563" s="1695"/>
      <c r="J563" s="1695"/>
      <c r="K563" s="1695"/>
      <c r="L563" s="1695"/>
      <c r="M563" s="1691"/>
      <c r="N563" s="1691"/>
      <c r="O563" s="1691"/>
      <c r="P563" s="1691"/>
      <c r="Q563" s="1677"/>
      <c r="R563" s="1678"/>
      <c r="S563" s="1679"/>
      <c r="T563" s="1677"/>
      <c r="U563" s="1678"/>
      <c r="V563" s="1679"/>
      <c r="W563" s="1680"/>
      <c r="X563" s="1681"/>
      <c r="Y563" s="1682"/>
      <c r="Z563" s="1696"/>
      <c r="AA563" s="1696"/>
      <c r="AB563" s="1696"/>
      <c r="AC563" s="1696"/>
      <c r="AD563" s="1696"/>
      <c r="AE563" s="1683"/>
      <c r="AF563" s="1684"/>
      <c r="AG563" s="1684"/>
      <c r="AH563" s="1685"/>
      <c r="AI563" s="1460"/>
      <c r="AJ563" s="1461"/>
      <c r="AK563" s="1461"/>
      <c r="AL563" s="1462"/>
      <c r="AM563" s="1692"/>
      <c r="AN563" s="1693"/>
      <c r="AO563" s="1693"/>
      <c r="AP563" s="1693"/>
      <c r="AQ563" s="1693"/>
      <c r="AR563" s="1693"/>
      <c r="AS563" s="1694"/>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695"/>
      <c r="D564" s="1695"/>
      <c r="E564" s="1695"/>
      <c r="F564" s="1695"/>
      <c r="G564" s="1695"/>
      <c r="H564" s="1695"/>
      <c r="I564" s="1695"/>
      <c r="J564" s="1695"/>
      <c r="K564" s="1695"/>
      <c r="L564" s="1695"/>
      <c r="M564" s="1691"/>
      <c r="N564" s="1691"/>
      <c r="O564" s="1691"/>
      <c r="P564" s="1691"/>
      <c r="Q564" s="1677"/>
      <c r="R564" s="1678"/>
      <c r="S564" s="1679"/>
      <c r="T564" s="1677"/>
      <c r="U564" s="1678"/>
      <c r="V564" s="1679"/>
      <c r="W564" s="1680"/>
      <c r="X564" s="1681"/>
      <c r="Y564" s="1682"/>
      <c r="Z564" s="1696"/>
      <c r="AA564" s="1696"/>
      <c r="AB564" s="1696"/>
      <c r="AC564" s="1696"/>
      <c r="AD564" s="1696"/>
      <c r="AE564" s="1683"/>
      <c r="AF564" s="1684"/>
      <c r="AG564" s="1684"/>
      <c r="AH564" s="1685"/>
      <c r="AI564" s="1460"/>
      <c r="AJ564" s="1461"/>
      <c r="AK564" s="1461"/>
      <c r="AL564" s="1462"/>
      <c r="AM564" s="1692"/>
      <c r="AN564" s="1693"/>
      <c r="AO564" s="1693"/>
      <c r="AP564" s="1693"/>
      <c r="AQ564" s="1693"/>
      <c r="AR564" s="1693"/>
      <c r="AS564" s="1694"/>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695"/>
      <c r="D565" s="1695"/>
      <c r="E565" s="1695"/>
      <c r="F565" s="1695"/>
      <c r="G565" s="1695"/>
      <c r="H565" s="1695"/>
      <c r="I565" s="1695"/>
      <c r="J565" s="1695"/>
      <c r="K565" s="1695"/>
      <c r="L565" s="1695"/>
      <c r="M565" s="1691"/>
      <c r="N565" s="1691"/>
      <c r="O565" s="1691"/>
      <c r="P565" s="1691"/>
      <c r="Q565" s="1677"/>
      <c r="R565" s="1678"/>
      <c r="S565" s="1679"/>
      <c r="T565" s="1677"/>
      <c r="U565" s="1678"/>
      <c r="V565" s="1679"/>
      <c r="W565" s="1680"/>
      <c r="X565" s="1681"/>
      <c r="Y565" s="1682"/>
      <c r="Z565" s="1696"/>
      <c r="AA565" s="1696"/>
      <c r="AB565" s="1696"/>
      <c r="AC565" s="1696"/>
      <c r="AD565" s="1696"/>
      <c r="AE565" s="1683"/>
      <c r="AF565" s="1684"/>
      <c r="AG565" s="1684"/>
      <c r="AH565" s="1685"/>
      <c r="AI565" s="1460"/>
      <c r="AJ565" s="1461"/>
      <c r="AK565" s="1461"/>
      <c r="AL565" s="1462"/>
      <c r="AM565" s="1692"/>
      <c r="AN565" s="1693"/>
      <c r="AO565" s="1693"/>
      <c r="AP565" s="1693"/>
      <c r="AQ565" s="1693"/>
      <c r="AR565" s="1693"/>
      <c r="AS565" s="1694"/>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418" t="s">
        <v>127</v>
      </c>
      <c r="C566" s="1419"/>
      <c r="D566" s="1419"/>
      <c r="E566" s="1419"/>
      <c r="F566" s="1419"/>
      <c r="G566" s="1419"/>
      <c r="H566" s="1419"/>
      <c r="I566" s="1419"/>
      <c r="J566" s="1419"/>
      <c r="K566" s="1419"/>
      <c r="L566" s="1419"/>
      <c r="M566" s="1419"/>
      <c r="N566" s="1419"/>
      <c r="O566" s="1419"/>
      <c r="P566" s="1419"/>
      <c r="Q566" s="1419"/>
      <c r="R566" s="1419"/>
      <c r="S566" s="1419"/>
      <c r="T566" s="1419"/>
      <c r="U566" s="1660"/>
      <c r="V566" s="1419"/>
      <c r="W566" s="1419"/>
      <c r="X566" s="1419"/>
      <c r="Y566" s="1419"/>
      <c r="Z566" s="1419"/>
      <c r="AA566" s="1419"/>
      <c r="AB566" s="1419"/>
      <c r="AC566" s="1419"/>
      <c r="AD566" s="1419"/>
      <c r="AE566" s="1419"/>
      <c r="AF566" s="1419"/>
      <c r="AG566" s="1419"/>
      <c r="AH566" s="1419"/>
      <c r="AI566" s="1419"/>
      <c r="AJ566" s="1419"/>
      <c r="AK566" s="1419"/>
      <c r="AL566" s="1420"/>
      <c r="AM566" s="1411">
        <f>SUM(AM554:AS565)</f>
        <v>121997854.60239539</v>
      </c>
      <c r="AN566" s="1412"/>
      <c r="AO566" s="1412"/>
      <c r="AP566" s="1412"/>
      <c r="AQ566" s="1412"/>
      <c r="AR566" s="1412"/>
      <c r="AS566" s="1413"/>
      <c r="BB566" s="3"/>
      <c r="BC566" s="3"/>
      <c r="BD566" s="3"/>
      <c r="BE566" s="3"/>
      <c r="BF566" s="3"/>
      <c r="BG566" s="3"/>
      <c r="BH566" s="3" t="s">
        <v>463</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Yes</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457" t="str">
        <f>C554</f>
        <v>Citibank - Tax Exempt</v>
      </c>
      <c r="H568" s="1457"/>
      <c r="I568" s="1457"/>
      <c r="J568" s="1457"/>
      <c r="K568" s="1457"/>
      <c r="L568" s="1457"/>
      <c r="M568" s="1457"/>
      <c r="N568" s="1457"/>
      <c r="O568" s="1457"/>
      <c r="P568" s="1457"/>
      <c r="Q568" s="1457"/>
      <c r="R568" s="1457"/>
      <c r="S568" s="8"/>
      <c r="T568" s="55" t="s">
        <v>113</v>
      </c>
      <c r="U568" t="s">
        <v>471</v>
      </c>
      <c r="Z568" s="1457" t="str">
        <f>C555</f>
        <v>Citibank - Taxable</v>
      </c>
      <c r="AA568" s="1457"/>
      <c r="AB568" s="1457"/>
      <c r="AC568" s="1457"/>
      <c r="AD568" s="1457"/>
      <c r="AE568" s="1457"/>
      <c r="AF568" s="1457"/>
      <c r="AG568" s="1457"/>
      <c r="AH568" s="1457"/>
      <c r="AI568" s="1457"/>
      <c r="AJ568" s="1457"/>
      <c r="AK568" s="1457"/>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78" t="s">
        <v>2760</v>
      </c>
      <c r="H569" s="1378"/>
      <c r="I569" s="1378"/>
      <c r="J569" s="1378"/>
      <c r="K569" s="1378"/>
      <c r="L569" s="1378"/>
      <c r="M569" s="1378"/>
      <c r="N569" s="1378"/>
      <c r="O569" s="1378"/>
      <c r="P569" s="1378"/>
      <c r="Q569" s="1378"/>
      <c r="R569" s="1378"/>
      <c r="S569" s="8"/>
      <c r="T569" s="22"/>
      <c r="U569" t="s">
        <v>85</v>
      </c>
      <c r="Z569" s="1378" t="s">
        <v>2760</v>
      </c>
      <c r="AA569" s="1378"/>
      <c r="AB569" s="1378"/>
      <c r="AC569" s="1378"/>
      <c r="AD569" s="1378"/>
      <c r="AE569" s="1378"/>
      <c r="AF569" s="1378"/>
      <c r="AG569" s="1378"/>
      <c r="AH569" s="1378"/>
      <c r="AI569" s="1378"/>
      <c r="AJ569" s="1378"/>
      <c r="AK569" s="1378"/>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378" t="s">
        <v>2761</v>
      </c>
      <c r="H570" s="1378"/>
      <c r="I570" s="1378"/>
      <c r="J570" s="1378"/>
      <c r="K570" s="1378"/>
      <c r="L570" s="1378"/>
      <c r="M570" s="1378"/>
      <c r="N570" s="1378"/>
      <c r="O570" s="1378"/>
      <c r="P570" s="1378"/>
      <c r="Q570" s="1378"/>
      <c r="R570" s="1378"/>
      <c r="T570" s="22"/>
      <c r="U570" t="s">
        <v>588</v>
      </c>
      <c r="Z570" s="1434" t="s">
        <v>2761</v>
      </c>
      <c r="AA570" s="1434"/>
      <c r="AB570" s="1434"/>
      <c r="AC570" s="1434"/>
      <c r="AD570" s="1434"/>
      <c r="AE570" s="1434"/>
      <c r="AF570" s="1434"/>
      <c r="AG570" s="1434"/>
      <c r="AH570" s="1434"/>
      <c r="AI570" s="1434"/>
      <c r="AJ570" s="1434"/>
      <c r="AK570" s="143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78" t="s">
        <v>2762</v>
      </c>
      <c r="H571" s="1378"/>
      <c r="I571" s="1378"/>
      <c r="J571" s="1378"/>
      <c r="K571" s="1378"/>
      <c r="L571" s="1378"/>
      <c r="M571" s="1378"/>
      <c r="N571" s="1378"/>
      <c r="O571" s="1378"/>
      <c r="P571" s="1378"/>
      <c r="Q571" s="1378"/>
      <c r="R571" s="1378"/>
      <c r="S571" s="8"/>
      <c r="T571" s="22"/>
      <c r="U571" t="s">
        <v>17</v>
      </c>
      <c r="Z571" s="1434" t="s">
        <v>2762</v>
      </c>
      <c r="AA571" s="1434"/>
      <c r="AB571" s="1434"/>
      <c r="AC571" s="1434"/>
      <c r="AD571" s="1434"/>
      <c r="AE571" s="1434"/>
      <c r="AF571" s="1434"/>
      <c r="AG571" s="1434"/>
      <c r="AH571" s="1434"/>
      <c r="AI571" s="1434"/>
      <c r="AJ571" s="1434"/>
      <c r="AK571" s="143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379" t="s">
        <v>2763</v>
      </c>
      <c r="H572" s="1379"/>
      <c r="I572" s="1379"/>
      <c r="J572" s="1379"/>
      <c r="K572" s="1379"/>
      <c r="L572" s="1379"/>
      <c r="O572" s="33" t="s">
        <v>207</v>
      </c>
      <c r="P572" s="1455"/>
      <c r="Q572" s="1455"/>
      <c r="R572" s="1455"/>
      <c r="S572" s="10"/>
      <c r="T572" s="22"/>
      <c r="U572" t="s">
        <v>317</v>
      </c>
      <c r="Z572" s="1379" t="s">
        <v>2763</v>
      </c>
      <c r="AA572" s="1379"/>
      <c r="AB572" s="1379"/>
      <c r="AC572" s="1379"/>
      <c r="AD572" s="1379"/>
      <c r="AE572" s="1379"/>
      <c r="AH572" s="33" t="s">
        <v>207</v>
      </c>
      <c r="AI572" s="1455"/>
      <c r="AJ572" s="1455"/>
      <c r="AK572" s="1455"/>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78" t="s">
        <v>2764</v>
      </c>
      <c r="I573" s="1378"/>
      <c r="J573" s="1378"/>
      <c r="K573" s="1378"/>
      <c r="L573" s="1378"/>
      <c r="M573" s="1378"/>
      <c r="N573" s="1378"/>
      <c r="O573" s="1378"/>
      <c r="P573" s="1378"/>
      <c r="Q573" s="1378"/>
      <c r="R573" s="1378"/>
      <c r="S573" s="8"/>
      <c r="T573" s="22"/>
      <c r="U573" t="s">
        <v>18</v>
      </c>
      <c r="AA573" s="1378" t="s">
        <v>2766</v>
      </c>
      <c r="AB573" s="1378"/>
      <c r="AC573" s="1378"/>
      <c r="AD573" s="1378"/>
      <c r="AE573" s="1378"/>
      <c r="AF573" s="1378"/>
      <c r="AG573" s="1378"/>
      <c r="AH573" s="1378"/>
      <c r="AI573" s="1378"/>
      <c r="AJ573" s="1378"/>
      <c r="AK573" s="1378"/>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1291</v>
      </c>
      <c r="H574" s="8"/>
      <c r="I574" s="8"/>
      <c r="J574" s="8"/>
      <c r="K574" s="8"/>
      <c r="L574" s="8"/>
      <c r="M574" s="1638"/>
      <c r="N574" s="1638"/>
      <c r="O574" s="1638"/>
      <c r="P574" s="1638"/>
      <c r="Q574" s="1638"/>
      <c r="R574" s="1638"/>
      <c r="S574" s="8"/>
      <c r="T574" s="22"/>
      <c r="U574" s="348" t="s">
        <v>1291</v>
      </c>
      <c r="AA574" s="8"/>
      <c r="AB574" s="8"/>
      <c r="AC574" s="8"/>
      <c r="AD574" s="8"/>
      <c r="AE574" s="8"/>
      <c r="AF574" s="1638"/>
      <c r="AG574" s="1638"/>
      <c r="AH574" s="1638"/>
      <c r="AI574" s="1638"/>
      <c r="AJ574" s="1638"/>
      <c r="AK574" s="1638"/>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30" t="s">
        <v>553</v>
      </c>
      <c r="O575" s="1430"/>
      <c r="T575" s="22"/>
      <c r="U575" t="s">
        <v>20</v>
      </c>
      <c r="AG575" s="1430" t="s">
        <v>553</v>
      </c>
      <c r="AH575" s="143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457" t="str">
        <f>C556</f>
        <v>R4 Capital - Federal LIHTC</v>
      </c>
      <c r="H577" s="1457"/>
      <c r="I577" s="1457"/>
      <c r="J577" s="1457"/>
      <c r="K577" s="1457"/>
      <c r="L577" s="1457"/>
      <c r="M577" s="1457"/>
      <c r="N577" s="1457"/>
      <c r="O577" s="1457"/>
      <c r="P577" s="1457"/>
      <c r="Q577" s="1457"/>
      <c r="R577" s="1457"/>
      <c r="T577" s="55" t="s">
        <v>589</v>
      </c>
      <c r="U577" t="s">
        <v>471</v>
      </c>
      <c r="Z577" s="1457" t="str">
        <f>C557</f>
        <v>R4 Capital - State LIHTC</v>
      </c>
      <c r="AA577" s="1457"/>
      <c r="AB577" s="1457"/>
      <c r="AC577" s="1457"/>
      <c r="AD577" s="1457"/>
      <c r="AE577" s="1457"/>
      <c r="AF577" s="1457"/>
      <c r="AG577" s="1457"/>
      <c r="AH577" s="1457"/>
      <c r="AI577" s="1457"/>
      <c r="AJ577" s="1457"/>
      <c r="AK577" s="1457"/>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78" t="s">
        <v>2788</v>
      </c>
      <c r="H578" s="1378"/>
      <c r="I578" s="1378"/>
      <c r="J578" s="1378"/>
      <c r="K578" s="1378"/>
      <c r="L578" s="1378"/>
      <c r="M578" s="1378"/>
      <c r="N578" s="1378"/>
      <c r="O578" s="1378"/>
      <c r="P578" s="1378"/>
      <c r="Q578" s="1378"/>
      <c r="R578" s="1378"/>
      <c r="T578" s="22"/>
      <c r="U578" t="s">
        <v>85</v>
      </c>
      <c r="Z578" s="1378" t="s">
        <v>2788</v>
      </c>
      <c r="AA578" s="1378"/>
      <c r="AB578" s="1378"/>
      <c r="AC578" s="1378"/>
      <c r="AD578" s="1378"/>
      <c r="AE578" s="1378"/>
      <c r="AF578" s="1378"/>
      <c r="AG578" s="1378"/>
      <c r="AH578" s="1378"/>
      <c r="AI578" s="1378"/>
      <c r="AJ578" s="1378"/>
      <c r="AK578" s="1378"/>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378" t="s">
        <v>2646</v>
      </c>
      <c r="H579" s="1378"/>
      <c r="I579" s="1378"/>
      <c r="J579" s="1378"/>
      <c r="K579" s="1378"/>
      <c r="L579" s="1378"/>
      <c r="M579" s="1378"/>
      <c r="N579" s="1378"/>
      <c r="O579" s="1378"/>
      <c r="P579" s="1378"/>
      <c r="Q579" s="1378"/>
      <c r="R579" s="1378"/>
      <c r="T579" s="22"/>
      <c r="U579" t="s">
        <v>588</v>
      </c>
      <c r="Z579" s="1378" t="s">
        <v>2646</v>
      </c>
      <c r="AA579" s="1378"/>
      <c r="AB579" s="1378"/>
      <c r="AC579" s="1378"/>
      <c r="AD579" s="1378"/>
      <c r="AE579" s="1378"/>
      <c r="AF579" s="1378"/>
      <c r="AG579" s="1378"/>
      <c r="AH579" s="1378"/>
      <c r="AI579" s="1378"/>
      <c r="AJ579" s="1378"/>
      <c r="AK579" s="1378"/>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378" t="s">
        <v>2789</v>
      </c>
      <c r="H580" s="1378"/>
      <c r="I580" s="1378"/>
      <c r="J580" s="1378"/>
      <c r="K580" s="1378"/>
      <c r="L580" s="1378"/>
      <c r="M580" s="1378"/>
      <c r="N580" s="1378"/>
      <c r="O580" s="1378"/>
      <c r="P580" s="1378"/>
      <c r="Q580" s="1378"/>
      <c r="R580" s="1378"/>
      <c r="T580" s="22"/>
      <c r="U580" t="s">
        <v>17</v>
      </c>
      <c r="Z580" s="1378" t="s">
        <v>2789</v>
      </c>
      <c r="AA580" s="1378"/>
      <c r="AB580" s="1378"/>
      <c r="AC580" s="1378"/>
      <c r="AD580" s="1378"/>
      <c r="AE580" s="1378"/>
      <c r="AF580" s="1378"/>
      <c r="AG580" s="1378"/>
      <c r="AH580" s="1378"/>
      <c r="AI580" s="1378"/>
      <c r="AJ580" s="1378"/>
      <c r="AK580" s="1378"/>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676" t="s">
        <v>2790</v>
      </c>
      <c r="H581" s="1676"/>
      <c r="I581" s="1676"/>
      <c r="J581" s="1676"/>
      <c r="K581" s="1676"/>
      <c r="L581" s="1676"/>
      <c r="O581" s="33" t="s">
        <v>207</v>
      </c>
      <c r="P581" s="1455"/>
      <c r="Q581" s="1455"/>
      <c r="R581" s="1455"/>
      <c r="T581" s="22"/>
      <c r="U581" t="s">
        <v>317</v>
      </c>
      <c r="Z581" s="1676" t="s">
        <v>2790</v>
      </c>
      <c r="AA581" s="1676"/>
      <c r="AB581" s="1676"/>
      <c r="AC581" s="1676"/>
      <c r="AD581" s="1676"/>
      <c r="AE581" s="1676"/>
      <c r="AH581" s="33" t="s">
        <v>207</v>
      </c>
      <c r="AI581" s="1455"/>
      <c r="AJ581" s="1455"/>
      <c r="AK581" s="145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78" t="s">
        <v>2791</v>
      </c>
      <c r="I582" s="1378"/>
      <c r="J582" s="1378"/>
      <c r="K582" s="1378"/>
      <c r="L582" s="1378"/>
      <c r="M582" s="1378"/>
      <c r="N582" s="1378"/>
      <c r="O582" s="1378"/>
      <c r="P582" s="1378"/>
      <c r="Q582" s="1378"/>
      <c r="R582" s="1378"/>
      <c r="T582" s="22"/>
      <c r="U582" t="s">
        <v>18</v>
      </c>
      <c r="AA582" s="1378" t="s">
        <v>2791</v>
      </c>
      <c r="AB582" s="1378"/>
      <c r="AC582" s="1378"/>
      <c r="AD582" s="1378"/>
      <c r="AE582" s="1378"/>
      <c r="AF582" s="1378"/>
      <c r="AG582" s="1378"/>
      <c r="AH582" s="1378"/>
      <c r="AI582" s="1378"/>
      <c r="AJ582" s="1378"/>
      <c r="AK582" s="1378"/>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30" t="s">
        <v>553</v>
      </c>
      <c r="O583" s="1430"/>
      <c r="T583" s="22"/>
      <c r="U583" t="s">
        <v>20</v>
      </c>
      <c r="AG583" s="1430" t="s">
        <v>553</v>
      </c>
      <c r="AH583" s="143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457" t="str">
        <f>C558</f>
        <v>City of San Jose</v>
      </c>
      <c r="H585" s="1457"/>
      <c r="I585" s="1457"/>
      <c r="J585" s="1457"/>
      <c r="K585" s="1457"/>
      <c r="L585" s="1457"/>
      <c r="M585" s="1457"/>
      <c r="N585" s="1457"/>
      <c r="O585" s="1457"/>
      <c r="P585" s="1457"/>
      <c r="Q585" s="1457"/>
      <c r="R585" s="1457"/>
      <c r="T585" s="55" t="s">
        <v>592</v>
      </c>
      <c r="U585" t="s">
        <v>471</v>
      </c>
      <c r="Z585" s="1457" t="str">
        <f>C559</f>
        <v>City of San Jose</v>
      </c>
      <c r="AA585" s="1457"/>
      <c r="AB585" s="1457"/>
      <c r="AC585" s="1457"/>
      <c r="AD585" s="1457"/>
      <c r="AE585" s="1457"/>
      <c r="AF585" s="1457"/>
      <c r="AG585" s="1457"/>
      <c r="AH585" s="1457"/>
      <c r="AI585" s="1457"/>
      <c r="AJ585" s="1457"/>
      <c r="AK585" s="1457"/>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78" t="s">
        <v>2765</v>
      </c>
      <c r="H586" s="1378"/>
      <c r="I586" s="1378"/>
      <c r="J586" s="1378"/>
      <c r="K586" s="1378"/>
      <c r="L586" s="1378"/>
      <c r="M586" s="1378"/>
      <c r="N586" s="1378"/>
      <c r="O586" s="1378"/>
      <c r="P586" s="1378"/>
      <c r="Q586" s="1378"/>
      <c r="R586" s="1378"/>
      <c r="T586" s="22"/>
      <c r="U586" t="s">
        <v>85</v>
      </c>
      <c r="Z586" s="1378" t="s">
        <v>2765</v>
      </c>
      <c r="AA586" s="1378"/>
      <c r="AB586" s="1378"/>
      <c r="AC586" s="1378"/>
      <c r="AD586" s="1378"/>
      <c r="AE586" s="1378"/>
      <c r="AF586" s="1378"/>
      <c r="AG586" s="1378"/>
      <c r="AH586" s="1378"/>
      <c r="AI586" s="1378"/>
      <c r="AJ586" s="1378"/>
      <c r="AK586" s="1378"/>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378" t="s">
        <v>2640</v>
      </c>
      <c r="H587" s="1378"/>
      <c r="I587" s="1378"/>
      <c r="J587" s="1378"/>
      <c r="K587" s="1378"/>
      <c r="L587" s="1378"/>
      <c r="M587" s="1378"/>
      <c r="N587" s="1378"/>
      <c r="O587" s="1378"/>
      <c r="P587" s="1378"/>
      <c r="Q587" s="1378"/>
      <c r="R587" s="1378"/>
      <c r="T587" s="22"/>
      <c r="U587" t="s">
        <v>588</v>
      </c>
      <c r="Z587" s="1434" t="s">
        <v>2640</v>
      </c>
      <c r="AA587" s="1434"/>
      <c r="AB587" s="1434"/>
      <c r="AC587" s="1434"/>
      <c r="AD587" s="1434"/>
      <c r="AE587" s="1434"/>
      <c r="AF587" s="1434"/>
      <c r="AG587" s="1434"/>
      <c r="AH587" s="1434"/>
      <c r="AI587" s="1434"/>
      <c r="AJ587" s="1434"/>
      <c r="AK587" s="1434"/>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78" t="s">
        <v>2706</v>
      </c>
      <c r="H588" s="1378"/>
      <c r="I588" s="1378"/>
      <c r="J588" s="1378"/>
      <c r="K588" s="1378"/>
      <c r="L588" s="1378"/>
      <c r="M588" s="1378"/>
      <c r="N588" s="1378"/>
      <c r="O588" s="1378"/>
      <c r="P588" s="1378"/>
      <c r="Q588" s="1378"/>
      <c r="R588" s="1378"/>
      <c r="T588" s="22"/>
      <c r="U588" t="s">
        <v>17</v>
      </c>
      <c r="Z588" s="1434" t="s">
        <v>2706</v>
      </c>
      <c r="AA588" s="1434"/>
      <c r="AB588" s="1434"/>
      <c r="AC588" s="1434"/>
      <c r="AD588" s="1434"/>
      <c r="AE588" s="1434"/>
      <c r="AF588" s="1434"/>
      <c r="AG588" s="1434"/>
      <c r="AH588" s="1434"/>
      <c r="AI588" s="1434"/>
      <c r="AJ588" s="1434"/>
      <c r="AK588" s="1434"/>
    </row>
    <row r="589" spans="1:110" ht="12.95" customHeight="1">
      <c r="A589" s="22"/>
      <c r="B589" t="s">
        <v>317</v>
      </c>
      <c r="G589" s="1676" t="s">
        <v>2707</v>
      </c>
      <c r="H589" s="1379"/>
      <c r="I589" s="1379"/>
      <c r="J589" s="1379"/>
      <c r="K589" s="1379"/>
      <c r="L589" s="1379"/>
      <c r="O589" s="33" t="s">
        <v>207</v>
      </c>
      <c r="P589" s="1455"/>
      <c r="Q589" s="1455"/>
      <c r="R589" s="1455"/>
      <c r="T589" s="22"/>
      <c r="U589" t="s">
        <v>317</v>
      </c>
      <c r="Z589" s="1676" t="s">
        <v>2707</v>
      </c>
      <c r="AA589" s="1379"/>
      <c r="AB589" s="1379"/>
      <c r="AC589" s="1379"/>
      <c r="AD589" s="1379"/>
      <c r="AE589" s="1379"/>
      <c r="AH589" s="33" t="s">
        <v>207</v>
      </c>
      <c r="AI589" s="1455"/>
      <c r="AJ589" s="1455"/>
      <c r="AK589" s="145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78" t="s">
        <v>2767</v>
      </c>
      <c r="I590" s="1378"/>
      <c r="J590" s="1378"/>
      <c r="K590" s="1378"/>
      <c r="L590" s="1378"/>
      <c r="M590" s="1378"/>
      <c r="N590" s="1378"/>
      <c r="O590" s="1378"/>
      <c r="P590" s="1378"/>
      <c r="Q590" s="1378"/>
      <c r="R590" s="1378"/>
      <c r="T590" s="22"/>
      <c r="U590" t="s">
        <v>18</v>
      </c>
      <c r="AA590" s="1378" t="s">
        <v>2768</v>
      </c>
      <c r="AB590" s="1378"/>
      <c r="AC590" s="1378"/>
      <c r="AD590" s="1378"/>
      <c r="AE590" s="1378"/>
      <c r="AF590" s="1378"/>
      <c r="AG590" s="1378"/>
      <c r="AH590" s="1378"/>
      <c r="AI590" s="1378"/>
      <c r="AJ590" s="1378"/>
      <c r="AK590" s="1378"/>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30" t="s">
        <v>553</v>
      </c>
      <c r="O591" s="1430"/>
      <c r="T591" s="22"/>
      <c r="U591" t="s">
        <v>20</v>
      </c>
      <c r="AG591" s="1430" t="s">
        <v>553</v>
      </c>
      <c r="AH591" s="1430"/>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457" t="str">
        <f>C560</f>
        <v>Santa Clara County - Measure A</v>
      </c>
      <c r="H593" s="1457"/>
      <c r="I593" s="1457"/>
      <c r="J593" s="1457"/>
      <c r="K593" s="1457"/>
      <c r="L593" s="1457"/>
      <c r="M593" s="1457"/>
      <c r="N593" s="1457"/>
      <c r="O593" s="1457"/>
      <c r="P593" s="1457"/>
      <c r="Q593" s="1457"/>
      <c r="R593" s="1457"/>
      <c r="T593" s="55" t="s">
        <v>464</v>
      </c>
      <c r="U593" t="s">
        <v>471</v>
      </c>
      <c r="Z593" s="1457" t="str">
        <f>C561</f>
        <v>HCD IIG</v>
      </c>
      <c r="AA593" s="1457"/>
      <c r="AB593" s="1457"/>
      <c r="AC593" s="1457"/>
      <c r="AD593" s="1457"/>
      <c r="AE593" s="1457"/>
      <c r="AF593" s="1457"/>
      <c r="AG593" s="1457"/>
      <c r="AH593" s="1457"/>
      <c r="AI593" s="1457"/>
      <c r="AJ593" s="1457"/>
      <c r="AK593" s="1457"/>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78" t="s">
        <v>2769</v>
      </c>
      <c r="H594" s="1378"/>
      <c r="I594" s="1378"/>
      <c r="J594" s="1378"/>
      <c r="K594" s="1378"/>
      <c r="L594" s="1378"/>
      <c r="M594" s="1378"/>
      <c r="N594" s="1378"/>
      <c r="O594" s="1378"/>
      <c r="P594" s="1378"/>
      <c r="Q594" s="1378"/>
      <c r="R594" s="1378"/>
      <c r="S594"/>
      <c r="T594" s="22"/>
      <c r="U594" t="s">
        <v>85</v>
      </c>
      <c r="V594"/>
      <c r="W594"/>
      <c r="X594"/>
      <c r="Y594"/>
      <c r="Z594" s="1378" t="s">
        <v>2773</v>
      </c>
      <c r="AA594" s="1378"/>
      <c r="AB594" s="1378"/>
      <c r="AC594" s="1378"/>
      <c r="AD594" s="1378"/>
      <c r="AE594" s="1378"/>
      <c r="AF594" s="1378"/>
      <c r="AG594" s="1378"/>
      <c r="AH594" s="1378"/>
      <c r="AI594" s="1378"/>
      <c r="AJ594" s="1378"/>
      <c r="AK594" s="1378"/>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378" t="s">
        <v>2770</v>
      </c>
      <c r="H595" s="1378"/>
      <c r="I595" s="1378"/>
      <c r="J595" s="1378"/>
      <c r="K595" s="1378"/>
      <c r="L595" s="1378"/>
      <c r="M595" s="1378"/>
      <c r="N595" s="1378"/>
      <c r="O595" s="1378"/>
      <c r="P595" s="1378"/>
      <c r="Q595" s="1378"/>
      <c r="R595" s="1378"/>
      <c r="S595"/>
      <c r="T595" s="22"/>
      <c r="U595" t="s">
        <v>588</v>
      </c>
      <c r="V595"/>
      <c r="W595"/>
      <c r="X595"/>
      <c r="Y595"/>
      <c r="Z595" s="1434" t="s">
        <v>2774</v>
      </c>
      <c r="AA595" s="1434"/>
      <c r="AB595" s="1434"/>
      <c r="AC595" s="1434"/>
      <c r="AD595" s="1434"/>
      <c r="AE595" s="1434"/>
      <c r="AF595" s="1434"/>
      <c r="AG595" s="1434"/>
      <c r="AH595" s="1434"/>
      <c r="AI595" s="1434"/>
      <c r="AJ595" s="1434"/>
      <c r="AK595" s="1434"/>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2034</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78" t="s">
        <v>2771</v>
      </c>
      <c r="H596" s="1378"/>
      <c r="I596" s="1378"/>
      <c r="J596" s="1378"/>
      <c r="K596" s="1378"/>
      <c r="L596" s="1378"/>
      <c r="M596" s="1378"/>
      <c r="N596" s="1378"/>
      <c r="O596" s="1378"/>
      <c r="P596" s="1378"/>
      <c r="Q596" s="1378"/>
      <c r="R596" s="1378"/>
      <c r="S596"/>
      <c r="T596" s="22"/>
      <c r="U596" t="s">
        <v>17</v>
      </c>
      <c r="V596"/>
      <c r="W596"/>
      <c r="X596"/>
      <c r="Y596"/>
      <c r="Z596" s="1434" t="s">
        <v>2775</v>
      </c>
      <c r="AA596" s="1434"/>
      <c r="AB596" s="1434"/>
      <c r="AC596" s="1434"/>
      <c r="AD596" s="1434"/>
      <c r="AE596" s="1434"/>
      <c r="AF596" s="1434"/>
      <c r="AG596" s="1434"/>
      <c r="AH596" s="1434"/>
      <c r="AI596" s="1434"/>
      <c r="AJ596" s="1434"/>
      <c r="AK596" s="1434"/>
      <c r="AL596"/>
      <c r="AM596"/>
      <c r="AN596"/>
      <c r="AO596"/>
      <c r="AP596"/>
      <c r="AQ596"/>
      <c r="AR596"/>
      <c r="AS596"/>
      <c r="AT596"/>
      <c r="AU596"/>
      <c r="AV596"/>
      <c r="AW596"/>
      <c r="AX596"/>
      <c r="AY596"/>
      <c r="BA596" s="4" t="s">
        <v>325</v>
      </c>
      <c r="BB596" s="3"/>
      <c r="BC596" s="3"/>
      <c r="BD596" s="3"/>
      <c r="BE596" s="121" t="s">
        <v>482</v>
      </c>
      <c r="BF596" s="122"/>
      <c r="BG596" s="1487"/>
      <c r="BH596" s="1489"/>
      <c r="BI596" s="121" t="s">
        <v>483</v>
      </c>
      <c r="BJ596" s="122"/>
      <c r="BK596" s="1487"/>
      <c r="BL596" s="1489"/>
      <c r="BM596" s="3"/>
      <c r="BN596" s="1405" t="s">
        <v>641</v>
      </c>
      <c r="BO596" s="1406"/>
      <c r="BP596" s="1406"/>
      <c r="BQ596" s="1406"/>
      <c r="BR596" s="1407"/>
      <c r="BS596" s="1502" t="s">
        <v>326</v>
      </c>
      <c r="BT596" s="1502"/>
      <c r="BU596" s="1502"/>
      <c r="BV596" s="1502"/>
      <c r="BW596" s="1502"/>
      <c r="BX596" s="1502" t="s">
        <v>163</v>
      </c>
      <c r="BY596" s="1502"/>
      <c r="BZ596" s="1502"/>
      <c r="CA596" s="1502"/>
      <c r="CB596" s="1502"/>
      <c r="CC596" s="1502" t="s">
        <v>164</v>
      </c>
      <c r="CD596" s="1502"/>
      <c r="CE596" s="1502"/>
      <c r="CF596" s="1502"/>
      <c r="CG596" s="1502"/>
      <c r="CH596" s="1502" t="s">
        <v>468</v>
      </c>
      <c r="CI596" s="1502"/>
      <c r="CJ596" s="1502"/>
      <c r="CK596" s="1502"/>
      <c r="CL596" s="1502"/>
      <c r="CM596" s="1502" t="s">
        <v>30</v>
      </c>
      <c r="CN596" s="1502"/>
      <c r="CO596" s="1502"/>
      <c r="CP596" s="1502"/>
      <c r="CQ596" s="1502"/>
      <c r="CR596" s="89"/>
      <c r="CS596" s="1502" t="s">
        <v>641</v>
      </c>
      <c r="CT596" s="1502"/>
      <c r="CU596" s="1502"/>
      <c r="CV596" s="1502"/>
      <c r="CW596" s="1502"/>
      <c r="CX596" s="1502" t="s">
        <v>326</v>
      </c>
      <c r="CY596" s="1502"/>
      <c r="CZ596" s="1502"/>
      <c r="DA596" s="1502"/>
      <c r="DB596" s="1502"/>
      <c r="DC596" s="1502" t="s">
        <v>163</v>
      </c>
      <c r="DD596" s="1502"/>
      <c r="DE596" s="1502"/>
      <c r="DF596" s="1502"/>
      <c r="DG596" s="1502"/>
      <c r="DH596" s="1502" t="s">
        <v>164</v>
      </c>
      <c r="DI596" s="1502"/>
      <c r="DJ596" s="1502"/>
      <c r="DK596" s="1502"/>
      <c r="DL596" s="1502"/>
      <c r="DM596" s="1502" t="s">
        <v>468</v>
      </c>
      <c r="DN596" s="1502"/>
      <c r="DO596" s="1502"/>
      <c r="DP596" s="1502"/>
      <c r="DQ596" s="1502"/>
      <c r="DR596" s="1502" t="s">
        <v>30</v>
      </c>
      <c r="DS596" s="1502"/>
      <c r="DT596" s="1502"/>
      <c r="DU596" s="1502"/>
      <c r="DV596" s="1502"/>
      <c r="DX596" s="1502" t="s">
        <v>641</v>
      </c>
      <c r="DY596" s="1502"/>
      <c r="DZ596" s="1502"/>
      <c r="EA596" s="1502"/>
      <c r="EB596" s="1502"/>
      <c r="EC596" s="1502" t="s">
        <v>326</v>
      </c>
      <c r="ED596" s="1502"/>
      <c r="EE596" s="1502"/>
      <c r="EF596" s="1502"/>
      <c r="EG596" s="1502"/>
      <c r="EH596" s="1502" t="s">
        <v>163</v>
      </c>
      <c r="EI596" s="1502"/>
      <c r="EJ596" s="1502"/>
      <c r="EK596" s="1502"/>
      <c r="EL596" s="1502"/>
      <c r="EM596" s="1502" t="s">
        <v>164</v>
      </c>
      <c r="EN596" s="1502"/>
      <c r="EO596" s="1502"/>
      <c r="EP596" s="1502"/>
      <c r="EQ596" s="1502"/>
      <c r="ER596" s="1502" t="s">
        <v>468</v>
      </c>
      <c r="ES596" s="1502"/>
      <c r="ET596" s="1502"/>
      <c r="EU596" s="1502"/>
      <c r="EV596" s="1502"/>
      <c r="EW596" s="1502" t="s">
        <v>30</v>
      </c>
      <c r="EX596" s="1502"/>
      <c r="EY596" s="1502"/>
      <c r="EZ596" s="1502"/>
      <c r="FA596" s="1502"/>
    </row>
    <row r="597" spans="1:157" s="4" customFormat="1" ht="12.95" customHeight="1">
      <c r="A597" s="22"/>
      <c r="B597" t="s">
        <v>317</v>
      </c>
      <c r="C597"/>
      <c r="D597"/>
      <c r="E597"/>
      <c r="F597"/>
      <c r="G597" s="1379" t="s">
        <v>2772</v>
      </c>
      <c r="H597" s="1379"/>
      <c r="I597" s="1379"/>
      <c r="J597" s="1379"/>
      <c r="K597" s="1379"/>
      <c r="L597" s="1379"/>
      <c r="M597"/>
      <c r="N597"/>
      <c r="O597" s="33" t="s">
        <v>207</v>
      </c>
      <c r="P597" s="1455"/>
      <c r="Q597" s="1455"/>
      <c r="R597" s="1455"/>
      <c r="S597"/>
      <c r="T597" s="22"/>
      <c r="U597" t="s">
        <v>317</v>
      </c>
      <c r="V597"/>
      <c r="W597"/>
      <c r="X597"/>
      <c r="Y597"/>
      <c r="Z597" s="1379" t="s">
        <v>2776</v>
      </c>
      <c r="AA597" s="1379"/>
      <c r="AB597" s="1379"/>
      <c r="AC597" s="1379"/>
      <c r="AD597" s="1379"/>
      <c r="AE597" s="1379"/>
      <c r="AF597"/>
      <c r="AG597"/>
      <c r="AH597" s="33" t="s">
        <v>207</v>
      </c>
      <c r="AI597" s="1455"/>
      <c r="AJ597" s="1455"/>
      <c r="AK597" s="1455"/>
      <c r="AL597"/>
      <c r="AM597"/>
      <c r="AN597"/>
      <c r="AO597"/>
      <c r="AP597"/>
      <c r="AQ597"/>
      <c r="AR597"/>
      <c r="AS597"/>
      <c r="AT597"/>
      <c r="AU597"/>
      <c r="AV597"/>
      <c r="AW597"/>
      <c r="AX597"/>
      <c r="AY597"/>
      <c r="BA597" s="4" t="s">
        <v>326</v>
      </c>
      <c r="BB597" s="3"/>
      <c r="BC597" s="3"/>
      <c r="BD597" s="3"/>
      <c r="BE597" s="1468">
        <f t="shared" ref="BE597:BE631" si="1">IF(AND(AC718&lt;=0.5,AC718&gt;=0.36),1,0)</f>
        <v>0</v>
      </c>
      <c r="BF597" s="1470"/>
      <c r="BG597" s="1487">
        <f t="shared" ref="BG597:BG631" si="2">IF(BE597=1,G718,0)</f>
        <v>0</v>
      </c>
      <c r="BH597" s="1489"/>
      <c r="BI597" s="1468">
        <f t="shared" ref="BI597:BI631" si="3">IF(AND(AC718&lt;=0.35,AC718&gt;0),1,0)</f>
        <v>0</v>
      </c>
      <c r="BJ597" s="1470"/>
      <c r="BK597" s="1487">
        <f t="shared" ref="BK597:BK631" si="4">IF(BI597=1,G718,0)</f>
        <v>0</v>
      </c>
      <c r="BL597" s="1489"/>
      <c r="BM597" s="3"/>
      <c r="BN597" s="1471">
        <f t="shared" ref="BN597:BN631" si="5">IF(B718="SRO/Studio",G718,0)</f>
        <v>29</v>
      </c>
      <c r="BO597" s="1472"/>
      <c r="BP597" s="1472"/>
      <c r="BQ597" s="1472"/>
      <c r="BR597" s="1473"/>
      <c r="BS597" s="1484">
        <f t="shared" ref="BS597:BS631" si="6">IF(B718="1 Bedroom",G718,0)</f>
        <v>0</v>
      </c>
      <c r="BT597" s="1484"/>
      <c r="BU597" s="1484"/>
      <c r="BV597" s="1484"/>
      <c r="BW597" s="1484"/>
      <c r="BX597" s="1484">
        <f t="shared" ref="BX597:BX631" si="7">IF(B718="2 Bedrooms",G718,0)</f>
        <v>0</v>
      </c>
      <c r="BY597" s="1484"/>
      <c r="BZ597" s="1484"/>
      <c r="CA597" s="1484"/>
      <c r="CB597" s="1484"/>
      <c r="CC597" s="1484">
        <f t="shared" ref="CC597:CC631" si="8">IF(B718="3 Bedrooms",G718,0)</f>
        <v>0</v>
      </c>
      <c r="CD597" s="1484"/>
      <c r="CE597" s="1484"/>
      <c r="CF597" s="1484"/>
      <c r="CG597" s="1484"/>
      <c r="CH597" s="1484">
        <f t="shared" ref="CH597:CH631" si="9">IF(B718="4 Bedrooms",G718,0)</f>
        <v>0</v>
      </c>
      <c r="CI597" s="1484"/>
      <c r="CJ597" s="1484"/>
      <c r="CK597" s="1484"/>
      <c r="CL597" s="1484"/>
      <c r="CM597" s="1484">
        <f t="shared" ref="CM597:CM631" si="10">IF(B718="5 Bedrooms",G718,0)</f>
        <v>0</v>
      </c>
      <c r="CN597" s="1484"/>
      <c r="CO597" s="1484"/>
      <c r="CP597" s="1484"/>
      <c r="CQ597" s="1484"/>
      <c r="CR597" s="6"/>
      <c r="CS597" s="1491">
        <f t="shared" ref="CS597:CS631" si="11">IF(AND(B718="SRO/Studio",AC718&lt;=0.3),G718,0)</f>
        <v>0</v>
      </c>
      <c r="CT597" s="1491"/>
      <c r="CU597" s="1491"/>
      <c r="CV597" s="1491"/>
      <c r="CW597" s="1491"/>
      <c r="CX597" s="1491">
        <f t="shared" ref="CX597:CX631" si="12">IF(AND(B718="1 Bedroom",AC718&lt;=0.3),G718,0)</f>
        <v>0</v>
      </c>
      <c r="CY597" s="1491"/>
      <c r="CZ597" s="1491"/>
      <c r="DA597" s="1491"/>
      <c r="DB597" s="1491"/>
      <c r="DC597" s="1491">
        <f t="shared" ref="DC597:DC631" si="13">IF(AND(B718="2 Bedrooms",AC718&lt;=0.3),G718,0)</f>
        <v>0</v>
      </c>
      <c r="DD597" s="1491"/>
      <c r="DE597" s="1491"/>
      <c r="DF597" s="1491"/>
      <c r="DG597" s="1491"/>
      <c r="DH597" s="1491">
        <f t="shared" ref="DH597:DH631" si="14">IF(AND(B718="3 Bedrooms",AC718&lt;=0.3),G718,0)</f>
        <v>0</v>
      </c>
      <c r="DI597" s="1491"/>
      <c r="DJ597" s="1491"/>
      <c r="DK597" s="1491"/>
      <c r="DL597" s="1491"/>
      <c r="DM597" s="1491">
        <f t="shared" ref="DM597:DM631" si="15">IF(AND(B718="4 Bedrooms",AC718&lt;=0.3),G718,0)</f>
        <v>0</v>
      </c>
      <c r="DN597" s="1491"/>
      <c r="DO597" s="1491"/>
      <c r="DP597" s="1491"/>
      <c r="DQ597" s="1491"/>
      <c r="DR597" s="1491">
        <f t="shared" ref="DR597:DR631" si="16">IF(AND(B718="5 Bedrooms",AC718&lt;=0.3),G718,0)</f>
        <v>0</v>
      </c>
      <c r="DS597" s="1491"/>
      <c r="DT597" s="1491"/>
      <c r="DU597" s="1491"/>
      <c r="DV597" s="1491"/>
      <c r="DX597" s="1468">
        <f t="shared" ref="DX597:DX631" si="17">IF(BN597&gt;0,O718,"")</f>
        <v>1827</v>
      </c>
      <c r="DY597" s="1469"/>
      <c r="DZ597" s="1469"/>
      <c r="EA597" s="1469"/>
      <c r="EB597" s="1470"/>
      <c r="EC597" s="1468" t="str">
        <f t="shared" ref="EC597:EC631" si="18">IF(BS597&gt;0,O718,"")</f>
        <v/>
      </c>
      <c r="ED597" s="1469"/>
      <c r="EE597" s="1469"/>
      <c r="EF597" s="1469"/>
      <c r="EG597" s="1470"/>
      <c r="EH597" s="1468" t="str">
        <f t="shared" ref="EH597:EH631" si="19">IF(BX597&gt;0,O718,"")</f>
        <v/>
      </c>
      <c r="EI597" s="1469"/>
      <c r="EJ597" s="1469"/>
      <c r="EK597" s="1469"/>
      <c r="EL597" s="1470"/>
      <c r="EM597" s="1468" t="str">
        <f t="shared" ref="EM597:EM631" si="20">IF(CC597&gt;0,O718,"")</f>
        <v/>
      </c>
      <c r="EN597" s="1469"/>
      <c r="EO597" s="1469"/>
      <c r="EP597" s="1469"/>
      <c r="EQ597" s="1470"/>
      <c r="ER597" s="1468" t="str">
        <f t="shared" ref="ER597:ER631" si="21">IF(CH597&gt;0,O718,"")</f>
        <v/>
      </c>
      <c r="ES597" s="1469"/>
      <c r="ET597" s="1469"/>
      <c r="EU597" s="1469"/>
      <c r="EV597" s="1470"/>
      <c r="EW597" s="1468" t="str">
        <f t="shared" ref="EW597:EW631" si="22">IF(CM597&gt;0,O718,"")</f>
        <v/>
      </c>
      <c r="EX597" s="1469"/>
      <c r="EY597" s="1469"/>
      <c r="EZ597" s="1469"/>
      <c r="FA597" s="1470"/>
    </row>
    <row r="598" spans="1:157" s="4" customFormat="1" ht="12.95" customHeight="1">
      <c r="A598" s="22"/>
      <c r="B598" t="s">
        <v>18</v>
      </c>
      <c r="C598"/>
      <c r="D598"/>
      <c r="E598"/>
      <c r="F598"/>
      <c r="G598"/>
      <c r="H598" s="1378" t="s">
        <v>2767</v>
      </c>
      <c r="I598" s="1378"/>
      <c r="J598" s="1378"/>
      <c r="K598" s="1378"/>
      <c r="L598" s="1378"/>
      <c r="M598" s="1378"/>
      <c r="N598" s="1378"/>
      <c r="O598" s="1378"/>
      <c r="P598" s="1378"/>
      <c r="Q598" s="1378"/>
      <c r="R598" s="1378"/>
      <c r="S598"/>
      <c r="T598" s="22"/>
      <c r="U598" t="s">
        <v>18</v>
      </c>
      <c r="V598"/>
      <c r="W598"/>
      <c r="X598"/>
      <c r="Y598"/>
      <c r="Z598"/>
      <c r="AA598" s="1378" t="s">
        <v>2432</v>
      </c>
      <c r="AB598" s="1378"/>
      <c r="AC598" s="1378"/>
      <c r="AD598" s="1378"/>
      <c r="AE598" s="1378"/>
      <c r="AF598" s="1378"/>
      <c r="AG598" s="1378"/>
      <c r="AH598" s="1378"/>
      <c r="AI598" s="1378"/>
      <c r="AJ598" s="1378"/>
      <c r="AK598" s="1378"/>
      <c r="AL598"/>
      <c r="AM598"/>
      <c r="AN598"/>
      <c r="AO598"/>
      <c r="AP598"/>
      <c r="AQ598"/>
      <c r="AR598"/>
      <c r="AS598"/>
      <c r="AT598"/>
      <c r="AU598"/>
      <c r="AV598"/>
      <c r="AW598"/>
      <c r="AX598"/>
      <c r="AY598"/>
      <c r="BA598" s="4" t="s">
        <v>163</v>
      </c>
      <c r="BB598" s="3"/>
      <c r="BC598" s="3"/>
      <c r="BD598" s="3"/>
      <c r="BE598" s="1468">
        <f t="shared" si="1"/>
        <v>0</v>
      </c>
      <c r="BF598" s="1470"/>
      <c r="BG598" s="1487">
        <f t="shared" si="2"/>
        <v>0</v>
      </c>
      <c r="BH598" s="1489"/>
      <c r="BI598" s="1468">
        <f t="shared" si="3"/>
        <v>1</v>
      </c>
      <c r="BJ598" s="1470"/>
      <c r="BK598" s="1487">
        <f t="shared" si="4"/>
        <v>31</v>
      </c>
      <c r="BL598" s="1489"/>
      <c r="BM598" s="3"/>
      <c r="BN598" s="1471">
        <f t="shared" si="5"/>
        <v>31</v>
      </c>
      <c r="BO598" s="1472"/>
      <c r="BP598" s="1472"/>
      <c r="BQ598" s="1472"/>
      <c r="BR598" s="1473"/>
      <c r="BS598" s="1484">
        <f t="shared" si="6"/>
        <v>0</v>
      </c>
      <c r="BT598" s="1484"/>
      <c r="BU598" s="1484"/>
      <c r="BV598" s="1484"/>
      <c r="BW598" s="1484"/>
      <c r="BX598" s="1484">
        <f t="shared" si="7"/>
        <v>0</v>
      </c>
      <c r="BY598" s="1484"/>
      <c r="BZ598" s="1484"/>
      <c r="CA598" s="1484"/>
      <c r="CB598" s="1484"/>
      <c r="CC598" s="1484">
        <f t="shared" si="8"/>
        <v>0</v>
      </c>
      <c r="CD598" s="1484"/>
      <c r="CE598" s="1484"/>
      <c r="CF598" s="1484"/>
      <c r="CG598" s="1484"/>
      <c r="CH598" s="1484">
        <f t="shared" si="9"/>
        <v>0</v>
      </c>
      <c r="CI598" s="1484"/>
      <c r="CJ598" s="1484"/>
      <c r="CK598" s="1484"/>
      <c r="CL598" s="1484"/>
      <c r="CM598" s="1484">
        <f t="shared" si="10"/>
        <v>0</v>
      </c>
      <c r="CN598" s="1484"/>
      <c r="CO598" s="1484"/>
      <c r="CP598" s="1484"/>
      <c r="CQ598" s="1484"/>
      <c r="CR598" s="6"/>
      <c r="CS598" s="1491">
        <f t="shared" si="11"/>
        <v>31</v>
      </c>
      <c r="CT598" s="1491"/>
      <c r="CU598" s="1491"/>
      <c r="CV598" s="1491"/>
      <c r="CW598" s="1491"/>
      <c r="CX598" s="1491">
        <f t="shared" si="12"/>
        <v>0</v>
      </c>
      <c r="CY598" s="1491"/>
      <c r="CZ598" s="1491"/>
      <c r="DA598" s="1491"/>
      <c r="DB598" s="1491"/>
      <c r="DC598" s="1491">
        <f t="shared" si="13"/>
        <v>0</v>
      </c>
      <c r="DD598" s="1491"/>
      <c r="DE598" s="1491"/>
      <c r="DF598" s="1491"/>
      <c r="DG598" s="1491"/>
      <c r="DH598" s="1491">
        <f t="shared" si="14"/>
        <v>0</v>
      </c>
      <c r="DI598" s="1491"/>
      <c r="DJ598" s="1491"/>
      <c r="DK598" s="1491"/>
      <c r="DL598" s="1491"/>
      <c r="DM598" s="1491">
        <f t="shared" si="15"/>
        <v>0</v>
      </c>
      <c r="DN598" s="1491"/>
      <c r="DO598" s="1491"/>
      <c r="DP598" s="1491"/>
      <c r="DQ598" s="1491"/>
      <c r="DR598" s="1491">
        <f t="shared" si="16"/>
        <v>0</v>
      </c>
      <c r="DS598" s="1491"/>
      <c r="DT598" s="1491"/>
      <c r="DU598" s="1491"/>
      <c r="DV598" s="1491"/>
      <c r="DX598" s="1468">
        <f t="shared" si="17"/>
        <v>890</v>
      </c>
      <c r="DY598" s="1469"/>
      <c r="DZ598" s="1469"/>
      <c r="EA598" s="1469"/>
      <c r="EB598" s="1470"/>
      <c r="EC598" s="1468" t="str">
        <f t="shared" si="18"/>
        <v/>
      </c>
      <c r="ED598" s="1469"/>
      <c r="EE598" s="1469"/>
      <c r="EF598" s="1469"/>
      <c r="EG598" s="1470"/>
      <c r="EH598" s="1468" t="str">
        <f t="shared" si="19"/>
        <v/>
      </c>
      <c r="EI598" s="1469"/>
      <c r="EJ598" s="1469"/>
      <c r="EK598" s="1469"/>
      <c r="EL598" s="1470"/>
      <c r="EM598" s="1468" t="str">
        <f t="shared" si="20"/>
        <v/>
      </c>
      <c r="EN598" s="1469"/>
      <c r="EO598" s="1469"/>
      <c r="EP598" s="1469"/>
      <c r="EQ598" s="1470"/>
      <c r="ER598" s="1468" t="str">
        <f t="shared" si="21"/>
        <v/>
      </c>
      <c r="ES598" s="1469"/>
      <c r="ET598" s="1469"/>
      <c r="EU598" s="1469"/>
      <c r="EV598" s="1470"/>
      <c r="EW598" s="1468" t="str">
        <f t="shared" si="22"/>
        <v/>
      </c>
      <c r="EX598" s="1469"/>
      <c r="EY598" s="1469"/>
      <c r="EZ598" s="1469"/>
      <c r="FA598" s="1470"/>
    </row>
    <row r="599" spans="1:157" ht="12.95" customHeight="1">
      <c r="A599" s="22"/>
      <c r="B599" t="s">
        <v>20</v>
      </c>
      <c r="N599" s="1430" t="s">
        <v>553</v>
      </c>
      <c r="O599" s="1430"/>
      <c r="T599" s="22"/>
      <c r="U599" t="s">
        <v>20</v>
      </c>
      <c r="AG599" s="1430" t="s">
        <v>553</v>
      </c>
      <c r="AH599" s="1430"/>
      <c r="BA599" s="4" t="s">
        <v>164</v>
      </c>
      <c r="BB599" s="3"/>
      <c r="BC599" s="3"/>
      <c r="BD599" s="3"/>
      <c r="BE599" s="1468">
        <f t="shared" si="1"/>
        <v>0</v>
      </c>
      <c r="BF599" s="1470"/>
      <c r="BG599" s="1487">
        <f t="shared" si="2"/>
        <v>0</v>
      </c>
      <c r="BH599" s="1489"/>
      <c r="BI599" s="1468">
        <f t="shared" si="3"/>
        <v>0</v>
      </c>
      <c r="BJ599" s="1470"/>
      <c r="BK599" s="1487">
        <f t="shared" si="4"/>
        <v>0</v>
      </c>
      <c r="BL599" s="1489"/>
      <c r="BM599" s="3"/>
      <c r="BN599" s="1471">
        <f t="shared" si="5"/>
        <v>0</v>
      </c>
      <c r="BO599" s="1472"/>
      <c r="BP599" s="1472"/>
      <c r="BQ599" s="1472"/>
      <c r="BR599" s="1473"/>
      <c r="BS599" s="1484">
        <f t="shared" si="6"/>
        <v>0</v>
      </c>
      <c r="BT599" s="1484"/>
      <c r="BU599" s="1484"/>
      <c r="BV599" s="1484"/>
      <c r="BW599" s="1484"/>
      <c r="BX599" s="1484">
        <f t="shared" si="7"/>
        <v>0</v>
      </c>
      <c r="BY599" s="1484"/>
      <c r="BZ599" s="1484"/>
      <c r="CA599" s="1484"/>
      <c r="CB599" s="1484"/>
      <c r="CC599" s="1484">
        <f t="shared" si="8"/>
        <v>0</v>
      </c>
      <c r="CD599" s="1484"/>
      <c r="CE599" s="1484"/>
      <c r="CF599" s="1484"/>
      <c r="CG599" s="1484"/>
      <c r="CH599" s="1484">
        <f t="shared" si="9"/>
        <v>0</v>
      </c>
      <c r="CI599" s="1484"/>
      <c r="CJ599" s="1484"/>
      <c r="CK599" s="1484"/>
      <c r="CL599" s="1484"/>
      <c r="CM599" s="1484">
        <f t="shared" si="10"/>
        <v>0</v>
      </c>
      <c r="CN599" s="1484"/>
      <c r="CO599" s="1484"/>
      <c r="CP599" s="1484"/>
      <c r="CQ599" s="1484"/>
      <c r="CR599" s="6"/>
      <c r="CS599" s="1491">
        <f t="shared" si="11"/>
        <v>0</v>
      </c>
      <c r="CT599" s="1491"/>
      <c r="CU599" s="1491"/>
      <c r="CV599" s="1491"/>
      <c r="CW599" s="1491"/>
      <c r="CX599" s="1491">
        <f t="shared" si="12"/>
        <v>0</v>
      </c>
      <c r="CY599" s="1491"/>
      <c r="CZ599" s="1491"/>
      <c r="DA599" s="1491"/>
      <c r="DB599" s="1491"/>
      <c r="DC599" s="1491">
        <f t="shared" si="13"/>
        <v>0</v>
      </c>
      <c r="DD599" s="1491"/>
      <c r="DE599" s="1491"/>
      <c r="DF599" s="1491"/>
      <c r="DG599" s="1491"/>
      <c r="DH599" s="1491">
        <f t="shared" si="14"/>
        <v>0</v>
      </c>
      <c r="DI599" s="1491"/>
      <c r="DJ599" s="1491"/>
      <c r="DK599" s="1491"/>
      <c r="DL599" s="1491"/>
      <c r="DM599" s="1491">
        <f t="shared" si="15"/>
        <v>0</v>
      </c>
      <c r="DN599" s="1491"/>
      <c r="DO599" s="1491"/>
      <c r="DP599" s="1491"/>
      <c r="DQ599" s="1491"/>
      <c r="DR599" s="1491">
        <f t="shared" si="16"/>
        <v>0</v>
      </c>
      <c r="DS599" s="1491"/>
      <c r="DT599" s="1491"/>
      <c r="DU599" s="1491"/>
      <c r="DV599" s="1491"/>
      <c r="DX599" s="1468" t="str">
        <f t="shared" si="17"/>
        <v/>
      </c>
      <c r="DY599" s="1469"/>
      <c r="DZ599" s="1469"/>
      <c r="EA599" s="1469"/>
      <c r="EB599" s="1470"/>
      <c r="EC599" s="1468" t="str">
        <f t="shared" si="18"/>
        <v/>
      </c>
      <c r="ED599" s="1469"/>
      <c r="EE599" s="1469"/>
      <c r="EF599" s="1469"/>
      <c r="EG599" s="1470"/>
      <c r="EH599" s="1468" t="str">
        <f t="shared" si="19"/>
        <v/>
      </c>
      <c r="EI599" s="1469"/>
      <c r="EJ599" s="1469"/>
      <c r="EK599" s="1469"/>
      <c r="EL599" s="1470"/>
      <c r="EM599" s="1468" t="str">
        <f t="shared" si="20"/>
        <v/>
      </c>
      <c r="EN599" s="1469"/>
      <c r="EO599" s="1469"/>
      <c r="EP599" s="1469"/>
      <c r="EQ599" s="1470"/>
      <c r="ER599" s="1468" t="str">
        <f t="shared" si="21"/>
        <v/>
      </c>
      <c r="ES599" s="1469"/>
      <c r="ET599" s="1469"/>
      <c r="EU599" s="1469"/>
      <c r="EV599" s="1470"/>
      <c r="EW599" s="1468" t="str">
        <f t="shared" si="22"/>
        <v/>
      </c>
      <c r="EX599" s="1469"/>
      <c r="EY599" s="1469"/>
      <c r="EZ599" s="1469"/>
      <c r="FA599" s="1470"/>
    </row>
    <row r="600" spans="1:157" ht="12.95" customHeight="1">
      <c r="A600" s="22"/>
      <c r="T600" s="22"/>
      <c r="BA600" s="4" t="s">
        <v>165</v>
      </c>
      <c r="BB600" s="3"/>
      <c r="BC600" s="3"/>
      <c r="BD600" s="3"/>
      <c r="BE600" s="1468">
        <f t="shared" si="1"/>
        <v>0</v>
      </c>
      <c r="BF600" s="1470"/>
      <c r="BG600" s="1487">
        <f t="shared" si="2"/>
        <v>0</v>
      </c>
      <c r="BH600" s="1489"/>
      <c r="BI600" s="1468">
        <f t="shared" si="3"/>
        <v>0</v>
      </c>
      <c r="BJ600" s="1470"/>
      <c r="BK600" s="1487">
        <f t="shared" si="4"/>
        <v>0</v>
      </c>
      <c r="BL600" s="1489"/>
      <c r="BM600" s="3"/>
      <c r="BN600" s="1471">
        <f t="shared" si="5"/>
        <v>0</v>
      </c>
      <c r="BO600" s="1472"/>
      <c r="BP600" s="1472"/>
      <c r="BQ600" s="1472"/>
      <c r="BR600" s="1473"/>
      <c r="BS600" s="1484">
        <f t="shared" si="6"/>
        <v>28</v>
      </c>
      <c r="BT600" s="1484"/>
      <c r="BU600" s="1484"/>
      <c r="BV600" s="1484"/>
      <c r="BW600" s="1484"/>
      <c r="BX600" s="1484">
        <f t="shared" si="7"/>
        <v>0</v>
      </c>
      <c r="BY600" s="1484"/>
      <c r="BZ600" s="1484"/>
      <c r="CA600" s="1484"/>
      <c r="CB600" s="1484"/>
      <c r="CC600" s="1484">
        <f t="shared" si="8"/>
        <v>0</v>
      </c>
      <c r="CD600" s="1484"/>
      <c r="CE600" s="1484"/>
      <c r="CF600" s="1484"/>
      <c r="CG600" s="1484"/>
      <c r="CH600" s="1484">
        <f t="shared" si="9"/>
        <v>0</v>
      </c>
      <c r="CI600" s="1484"/>
      <c r="CJ600" s="1484"/>
      <c r="CK600" s="1484"/>
      <c r="CL600" s="1484"/>
      <c r="CM600" s="1484">
        <f t="shared" si="10"/>
        <v>0</v>
      </c>
      <c r="CN600" s="1484"/>
      <c r="CO600" s="1484"/>
      <c r="CP600" s="1484"/>
      <c r="CQ600" s="1484"/>
      <c r="CR600" s="6"/>
      <c r="CS600" s="1491">
        <f t="shared" si="11"/>
        <v>0</v>
      </c>
      <c r="CT600" s="1491"/>
      <c r="CU600" s="1491"/>
      <c r="CV600" s="1491"/>
      <c r="CW600" s="1491"/>
      <c r="CX600" s="1491">
        <f t="shared" si="12"/>
        <v>0</v>
      </c>
      <c r="CY600" s="1491"/>
      <c r="CZ600" s="1491"/>
      <c r="DA600" s="1491"/>
      <c r="DB600" s="1491"/>
      <c r="DC600" s="1491">
        <f t="shared" si="13"/>
        <v>0</v>
      </c>
      <c r="DD600" s="1491"/>
      <c r="DE600" s="1491"/>
      <c r="DF600" s="1491"/>
      <c r="DG600" s="1491"/>
      <c r="DH600" s="1491">
        <f t="shared" si="14"/>
        <v>0</v>
      </c>
      <c r="DI600" s="1491"/>
      <c r="DJ600" s="1491"/>
      <c r="DK600" s="1491"/>
      <c r="DL600" s="1491"/>
      <c r="DM600" s="1491">
        <f t="shared" si="15"/>
        <v>0</v>
      </c>
      <c r="DN600" s="1491"/>
      <c r="DO600" s="1491"/>
      <c r="DP600" s="1491"/>
      <c r="DQ600" s="1491"/>
      <c r="DR600" s="1491">
        <f t="shared" si="16"/>
        <v>0</v>
      </c>
      <c r="DS600" s="1491"/>
      <c r="DT600" s="1491"/>
      <c r="DU600" s="1491"/>
      <c r="DV600" s="1491"/>
      <c r="DX600" s="1468" t="str">
        <f t="shared" si="17"/>
        <v/>
      </c>
      <c r="DY600" s="1469"/>
      <c r="DZ600" s="1469"/>
      <c r="EA600" s="1469"/>
      <c r="EB600" s="1470"/>
      <c r="EC600" s="1468">
        <f t="shared" si="18"/>
        <v>1955</v>
      </c>
      <c r="ED600" s="1469"/>
      <c r="EE600" s="1469"/>
      <c r="EF600" s="1469"/>
      <c r="EG600" s="1470"/>
      <c r="EH600" s="1468" t="str">
        <f t="shared" si="19"/>
        <v/>
      </c>
      <c r="EI600" s="1469"/>
      <c r="EJ600" s="1469"/>
      <c r="EK600" s="1469"/>
      <c r="EL600" s="1470"/>
      <c r="EM600" s="1468" t="str">
        <f t="shared" si="20"/>
        <v/>
      </c>
      <c r="EN600" s="1469"/>
      <c r="EO600" s="1469"/>
      <c r="EP600" s="1469"/>
      <c r="EQ600" s="1470"/>
      <c r="ER600" s="1468" t="str">
        <f t="shared" si="21"/>
        <v/>
      </c>
      <c r="ES600" s="1469"/>
      <c r="ET600" s="1469"/>
      <c r="EU600" s="1469"/>
      <c r="EV600" s="1470"/>
      <c r="EW600" s="1468" t="str">
        <f t="shared" si="22"/>
        <v/>
      </c>
      <c r="EX600" s="1469"/>
      <c r="EY600" s="1469"/>
      <c r="EZ600" s="1469"/>
      <c r="FA600" s="1470"/>
    </row>
    <row r="601" spans="1:157" ht="12.95" customHeight="1">
      <c r="A601" s="55" t="s">
        <v>469</v>
      </c>
      <c r="B601" t="s">
        <v>471</v>
      </c>
      <c r="G601" s="1457" t="str">
        <f>C562</f>
        <v>Deferred Costs &amp; Fees</v>
      </c>
      <c r="H601" s="1457"/>
      <c r="I601" s="1457"/>
      <c r="J601" s="1457"/>
      <c r="K601" s="1457"/>
      <c r="L601" s="1457"/>
      <c r="M601" s="1457"/>
      <c r="N601" s="1457"/>
      <c r="O601" s="1457"/>
      <c r="P601" s="1457"/>
      <c r="Q601" s="1457"/>
      <c r="R601" s="1457"/>
      <c r="T601" s="55" t="s">
        <v>654</v>
      </c>
      <c r="U601" t="s">
        <v>471</v>
      </c>
      <c r="Z601" s="1457">
        <f>C563</f>
        <v>0</v>
      </c>
      <c r="AA601" s="1457"/>
      <c r="AB601" s="1457"/>
      <c r="AC601" s="1457"/>
      <c r="AD601" s="1457"/>
      <c r="AE601" s="1457"/>
      <c r="AF601" s="1457"/>
      <c r="AG601" s="1457"/>
      <c r="AH601" s="1457"/>
      <c r="AI601" s="1457"/>
      <c r="AJ601" s="1457"/>
      <c r="AK601" s="1457"/>
      <c r="BA601" s="4" t="s">
        <v>30</v>
      </c>
      <c r="BB601" s="3"/>
      <c r="BC601" s="3"/>
      <c r="BD601" s="3"/>
      <c r="BE601" s="1468">
        <f t="shared" si="1"/>
        <v>1</v>
      </c>
      <c r="BF601" s="1470"/>
      <c r="BG601" s="1487">
        <f t="shared" si="2"/>
        <v>25</v>
      </c>
      <c r="BH601" s="1489"/>
      <c r="BI601" s="1468">
        <f t="shared" si="3"/>
        <v>0</v>
      </c>
      <c r="BJ601" s="1470"/>
      <c r="BK601" s="1487">
        <f t="shared" si="4"/>
        <v>0</v>
      </c>
      <c r="BL601" s="1489"/>
      <c r="BM601" s="3"/>
      <c r="BN601" s="1471">
        <f t="shared" si="5"/>
        <v>0</v>
      </c>
      <c r="BO601" s="1472"/>
      <c r="BP601" s="1472"/>
      <c r="BQ601" s="1472"/>
      <c r="BR601" s="1473"/>
      <c r="BS601" s="1484">
        <f t="shared" si="6"/>
        <v>25</v>
      </c>
      <c r="BT601" s="1484"/>
      <c r="BU601" s="1484"/>
      <c r="BV601" s="1484"/>
      <c r="BW601" s="1484"/>
      <c r="BX601" s="1484">
        <f t="shared" si="7"/>
        <v>0</v>
      </c>
      <c r="BY601" s="1484"/>
      <c r="BZ601" s="1484"/>
      <c r="CA601" s="1484"/>
      <c r="CB601" s="1484"/>
      <c r="CC601" s="1484">
        <f t="shared" si="8"/>
        <v>0</v>
      </c>
      <c r="CD601" s="1484"/>
      <c r="CE601" s="1484"/>
      <c r="CF601" s="1484"/>
      <c r="CG601" s="1484"/>
      <c r="CH601" s="1484">
        <f t="shared" si="9"/>
        <v>0</v>
      </c>
      <c r="CI601" s="1484"/>
      <c r="CJ601" s="1484"/>
      <c r="CK601" s="1484"/>
      <c r="CL601" s="1484"/>
      <c r="CM601" s="1484">
        <f t="shared" si="10"/>
        <v>0</v>
      </c>
      <c r="CN601" s="1484"/>
      <c r="CO601" s="1484"/>
      <c r="CP601" s="1484"/>
      <c r="CQ601" s="1484"/>
      <c r="CR601" s="6"/>
      <c r="CS601" s="1491">
        <f t="shared" si="11"/>
        <v>0</v>
      </c>
      <c r="CT601" s="1491"/>
      <c r="CU601" s="1491"/>
      <c r="CV601" s="1491"/>
      <c r="CW601" s="1491"/>
      <c r="CX601" s="1491">
        <f t="shared" si="12"/>
        <v>0</v>
      </c>
      <c r="CY601" s="1491"/>
      <c r="CZ601" s="1491"/>
      <c r="DA601" s="1491"/>
      <c r="DB601" s="1491"/>
      <c r="DC601" s="1491">
        <f t="shared" si="13"/>
        <v>0</v>
      </c>
      <c r="DD601" s="1491"/>
      <c r="DE601" s="1491"/>
      <c r="DF601" s="1491"/>
      <c r="DG601" s="1491"/>
      <c r="DH601" s="1491">
        <f t="shared" si="14"/>
        <v>0</v>
      </c>
      <c r="DI601" s="1491"/>
      <c r="DJ601" s="1491"/>
      <c r="DK601" s="1491"/>
      <c r="DL601" s="1491"/>
      <c r="DM601" s="1491">
        <f t="shared" si="15"/>
        <v>0</v>
      </c>
      <c r="DN601" s="1491"/>
      <c r="DO601" s="1491"/>
      <c r="DP601" s="1491"/>
      <c r="DQ601" s="1491"/>
      <c r="DR601" s="1491">
        <f t="shared" si="16"/>
        <v>0</v>
      </c>
      <c r="DS601" s="1491"/>
      <c r="DT601" s="1491"/>
      <c r="DU601" s="1491"/>
      <c r="DV601" s="1491"/>
      <c r="DX601" s="1468" t="str">
        <f t="shared" si="17"/>
        <v/>
      </c>
      <c r="DY601" s="1469"/>
      <c r="DZ601" s="1469"/>
      <c r="EA601" s="1469"/>
      <c r="EB601" s="1470"/>
      <c r="EC601" s="1468">
        <f t="shared" si="18"/>
        <v>1620</v>
      </c>
      <c r="ED601" s="1469"/>
      <c r="EE601" s="1469"/>
      <c r="EF601" s="1469"/>
      <c r="EG601" s="1470"/>
      <c r="EH601" s="1468" t="str">
        <f t="shared" si="19"/>
        <v/>
      </c>
      <c r="EI601" s="1469"/>
      <c r="EJ601" s="1469"/>
      <c r="EK601" s="1469"/>
      <c r="EL601" s="1470"/>
      <c r="EM601" s="1468" t="str">
        <f t="shared" si="20"/>
        <v/>
      </c>
      <c r="EN601" s="1469"/>
      <c r="EO601" s="1469"/>
      <c r="EP601" s="1469"/>
      <c r="EQ601" s="1470"/>
      <c r="ER601" s="1468" t="str">
        <f t="shared" si="21"/>
        <v/>
      </c>
      <c r="ES601" s="1469"/>
      <c r="ET601" s="1469"/>
      <c r="EU601" s="1469"/>
      <c r="EV601" s="1470"/>
      <c r="EW601" s="1468" t="str">
        <f t="shared" si="22"/>
        <v/>
      </c>
      <c r="EX601" s="1469"/>
      <c r="EY601" s="1469"/>
      <c r="EZ601" s="1469"/>
      <c r="FA601" s="1470"/>
    </row>
    <row r="602" spans="1:157" ht="12.95" customHeight="1">
      <c r="A602" s="22"/>
      <c r="B602" t="s">
        <v>85</v>
      </c>
      <c r="G602" s="1378" t="s">
        <v>2777</v>
      </c>
      <c r="H602" s="1378"/>
      <c r="I602" s="1378"/>
      <c r="J602" s="1378"/>
      <c r="K602" s="1378"/>
      <c r="L602" s="1378"/>
      <c r="M602" s="1378"/>
      <c r="N602" s="1378"/>
      <c r="O602" s="1378"/>
      <c r="P602" s="1378"/>
      <c r="Q602" s="1378"/>
      <c r="R602" s="1378"/>
      <c r="T602" s="22"/>
      <c r="U602" t="s">
        <v>85</v>
      </c>
      <c r="Z602" s="1378"/>
      <c r="AA602" s="1378"/>
      <c r="AB602" s="1378"/>
      <c r="AC602" s="1378"/>
      <c r="AD602" s="1378"/>
      <c r="AE602" s="1378"/>
      <c r="AF602" s="1378"/>
      <c r="AG602" s="1378"/>
      <c r="AH602" s="1378"/>
      <c r="AI602" s="1378"/>
      <c r="AJ602" s="1378"/>
      <c r="AK602" s="1378"/>
      <c r="AZ602" s="3"/>
      <c r="BA602" s="3"/>
      <c r="BB602" s="3"/>
      <c r="BC602" s="3"/>
      <c r="BD602" s="3"/>
      <c r="BE602" s="1468">
        <f t="shared" si="1"/>
        <v>0</v>
      </c>
      <c r="BF602" s="1470"/>
      <c r="BG602" s="1487">
        <f t="shared" si="2"/>
        <v>0</v>
      </c>
      <c r="BH602" s="1489"/>
      <c r="BI602" s="1468">
        <f t="shared" si="3"/>
        <v>1</v>
      </c>
      <c r="BJ602" s="1470"/>
      <c r="BK602" s="1487">
        <f t="shared" si="4"/>
        <v>11</v>
      </c>
      <c r="BL602" s="1489"/>
      <c r="BM602" s="3"/>
      <c r="BN602" s="1471">
        <f t="shared" si="5"/>
        <v>0</v>
      </c>
      <c r="BO602" s="1472"/>
      <c r="BP602" s="1472"/>
      <c r="BQ602" s="1472"/>
      <c r="BR602" s="1473"/>
      <c r="BS602" s="1484">
        <f t="shared" si="6"/>
        <v>11</v>
      </c>
      <c r="BT602" s="1484"/>
      <c r="BU602" s="1484"/>
      <c r="BV602" s="1484"/>
      <c r="BW602" s="1484"/>
      <c r="BX602" s="1484">
        <f t="shared" si="7"/>
        <v>0</v>
      </c>
      <c r="BY602" s="1484"/>
      <c r="BZ602" s="1484"/>
      <c r="CA602" s="1484"/>
      <c r="CB602" s="1484"/>
      <c r="CC602" s="1484">
        <f t="shared" si="8"/>
        <v>0</v>
      </c>
      <c r="CD602" s="1484"/>
      <c r="CE602" s="1484"/>
      <c r="CF602" s="1484"/>
      <c r="CG602" s="1484"/>
      <c r="CH602" s="1484">
        <f t="shared" si="9"/>
        <v>0</v>
      </c>
      <c r="CI602" s="1484"/>
      <c r="CJ602" s="1484"/>
      <c r="CK602" s="1484"/>
      <c r="CL602" s="1484"/>
      <c r="CM602" s="1484">
        <f t="shared" si="10"/>
        <v>0</v>
      </c>
      <c r="CN602" s="1484"/>
      <c r="CO602" s="1484"/>
      <c r="CP602" s="1484"/>
      <c r="CQ602" s="1484"/>
      <c r="CR602" s="6"/>
      <c r="CS602" s="1491">
        <f t="shared" si="11"/>
        <v>0</v>
      </c>
      <c r="CT602" s="1491"/>
      <c r="CU602" s="1491"/>
      <c r="CV602" s="1491"/>
      <c r="CW602" s="1491"/>
      <c r="CX602" s="1491">
        <f t="shared" si="12"/>
        <v>11</v>
      </c>
      <c r="CY602" s="1491"/>
      <c r="CZ602" s="1491"/>
      <c r="DA602" s="1491"/>
      <c r="DB602" s="1491"/>
      <c r="DC602" s="1491">
        <f t="shared" si="13"/>
        <v>0</v>
      </c>
      <c r="DD602" s="1491"/>
      <c r="DE602" s="1491"/>
      <c r="DF602" s="1491"/>
      <c r="DG602" s="1491"/>
      <c r="DH602" s="1491">
        <f t="shared" si="14"/>
        <v>0</v>
      </c>
      <c r="DI602" s="1491"/>
      <c r="DJ602" s="1491"/>
      <c r="DK602" s="1491"/>
      <c r="DL602" s="1491"/>
      <c r="DM602" s="1491">
        <f t="shared" si="15"/>
        <v>0</v>
      </c>
      <c r="DN602" s="1491"/>
      <c r="DO602" s="1491"/>
      <c r="DP602" s="1491"/>
      <c r="DQ602" s="1491"/>
      <c r="DR602" s="1491">
        <f t="shared" si="16"/>
        <v>0</v>
      </c>
      <c r="DS602" s="1491"/>
      <c r="DT602" s="1491"/>
      <c r="DU602" s="1491"/>
      <c r="DV602" s="1491"/>
      <c r="DX602" s="1468" t="str">
        <f t="shared" si="17"/>
        <v/>
      </c>
      <c r="DY602" s="1469"/>
      <c r="DZ602" s="1469"/>
      <c r="EA602" s="1469"/>
      <c r="EB602" s="1470"/>
      <c r="EC602" s="1468">
        <f t="shared" si="18"/>
        <v>1003</v>
      </c>
      <c r="ED602" s="1469"/>
      <c r="EE602" s="1469"/>
      <c r="EF602" s="1469"/>
      <c r="EG602" s="1470"/>
      <c r="EH602" s="1468" t="str">
        <f t="shared" si="19"/>
        <v/>
      </c>
      <c r="EI602" s="1469"/>
      <c r="EJ602" s="1469"/>
      <c r="EK602" s="1469"/>
      <c r="EL602" s="1470"/>
      <c r="EM602" s="1468" t="str">
        <f t="shared" si="20"/>
        <v/>
      </c>
      <c r="EN602" s="1469"/>
      <c r="EO602" s="1469"/>
      <c r="EP602" s="1469"/>
      <c r="EQ602" s="1470"/>
      <c r="ER602" s="1468" t="str">
        <f t="shared" si="21"/>
        <v/>
      </c>
      <c r="ES602" s="1469"/>
      <c r="ET602" s="1469"/>
      <c r="EU602" s="1469"/>
      <c r="EV602" s="1470"/>
      <c r="EW602" s="1468" t="str">
        <f t="shared" si="22"/>
        <v/>
      </c>
      <c r="EX602" s="1469"/>
      <c r="EY602" s="1469"/>
      <c r="EZ602" s="1469"/>
      <c r="FA602" s="1470"/>
    </row>
    <row r="603" spans="1:157" ht="12.95" customHeight="1">
      <c r="A603" s="22"/>
      <c r="B603" t="s">
        <v>588</v>
      </c>
      <c r="G603" s="1378" t="s">
        <v>2665</v>
      </c>
      <c r="H603" s="1378"/>
      <c r="I603" s="1378"/>
      <c r="J603" s="1378"/>
      <c r="K603" s="1378"/>
      <c r="L603" s="1378"/>
      <c r="M603" s="1378"/>
      <c r="N603" s="1378"/>
      <c r="O603" s="1378"/>
      <c r="P603" s="1378"/>
      <c r="Q603" s="1378"/>
      <c r="R603" s="1378"/>
      <c r="T603" s="22"/>
      <c r="U603" t="s">
        <v>588</v>
      </c>
      <c r="Z603" s="1434"/>
      <c r="AA603" s="1434"/>
      <c r="AB603" s="1434"/>
      <c r="AC603" s="1434"/>
      <c r="AD603" s="1434"/>
      <c r="AE603" s="1434"/>
      <c r="AF603" s="1434"/>
      <c r="AG603" s="1434"/>
      <c r="AH603" s="1434"/>
      <c r="AI603" s="1434"/>
      <c r="AJ603" s="1434"/>
      <c r="AK603" s="1434"/>
      <c r="AZ603" s="3"/>
      <c r="BA603" s="3"/>
      <c r="BB603" s="3"/>
      <c r="BC603" s="3"/>
      <c r="BD603" s="3"/>
      <c r="BE603" s="1468">
        <f t="shared" si="1"/>
        <v>0</v>
      </c>
      <c r="BF603" s="1470"/>
      <c r="BG603" s="1487">
        <f t="shared" si="2"/>
        <v>0</v>
      </c>
      <c r="BH603" s="1489"/>
      <c r="BI603" s="1468">
        <f t="shared" si="3"/>
        <v>0</v>
      </c>
      <c r="BJ603" s="1470"/>
      <c r="BK603" s="1487">
        <f t="shared" si="4"/>
        <v>0</v>
      </c>
      <c r="BL603" s="1489"/>
      <c r="BM603" s="3"/>
      <c r="BN603" s="1471">
        <f t="shared" si="5"/>
        <v>0</v>
      </c>
      <c r="BO603" s="1472"/>
      <c r="BP603" s="1472"/>
      <c r="BQ603" s="1472"/>
      <c r="BR603" s="1473"/>
      <c r="BS603" s="1484">
        <f t="shared" si="6"/>
        <v>0</v>
      </c>
      <c r="BT603" s="1484"/>
      <c r="BU603" s="1484"/>
      <c r="BV603" s="1484"/>
      <c r="BW603" s="1484"/>
      <c r="BX603" s="1484">
        <f t="shared" si="7"/>
        <v>0</v>
      </c>
      <c r="BY603" s="1484"/>
      <c r="BZ603" s="1484"/>
      <c r="CA603" s="1484"/>
      <c r="CB603" s="1484"/>
      <c r="CC603" s="1484">
        <f t="shared" si="8"/>
        <v>0</v>
      </c>
      <c r="CD603" s="1484"/>
      <c r="CE603" s="1484"/>
      <c r="CF603" s="1484"/>
      <c r="CG603" s="1484"/>
      <c r="CH603" s="1484">
        <f t="shared" si="9"/>
        <v>0</v>
      </c>
      <c r="CI603" s="1484"/>
      <c r="CJ603" s="1484"/>
      <c r="CK603" s="1484"/>
      <c r="CL603" s="1484"/>
      <c r="CM603" s="1484">
        <f t="shared" si="10"/>
        <v>0</v>
      </c>
      <c r="CN603" s="1484"/>
      <c r="CO603" s="1484"/>
      <c r="CP603" s="1484"/>
      <c r="CQ603" s="1484"/>
      <c r="CR603" s="6"/>
      <c r="CS603" s="1491">
        <f t="shared" si="11"/>
        <v>0</v>
      </c>
      <c r="CT603" s="1491"/>
      <c r="CU603" s="1491"/>
      <c r="CV603" s="1491"/>
      <c r="CW603" s="1491"/>
      <c r="CX603" s="1491">
        <f t="shared" si="12"/>
        <v>0</v>
      </c>
      <c r="CY603" s="1491"/>
      <c r="CZ603" s="1491"/>
      <c r="DA603" s="1491"/>
      <c r="DB603" s="1491"/>
      <c r="DC603" s="1491">
        <f t="shared" si="13"/>
        <v>0</v>
      </c>
      <c r="DD603" s="1491"/>
      <c r="DE603" s="1491"/>
      <c r="DF603" s="1491"/>
      <c r="DG603" s="1491"/>
      <c r="DH603" s="1491">
        <f t="shared" si="14"/>
        <v>0</v>
      </c>
      <c r="DI603" s="1491"/>
      <c r="DJ603" s="1491"/>
      <c r="DK603" s="1491"/>
      <c r="DL603" s="1491"/>
      <c r="DM603" s="1491">
        <f t="shared" si="15"/>
        <v>0</v>
      </c>
      <c r="DN603" s="1491"/>
      <c r="DO603" s="1491"/>
      <c r="DP603" s="1491"/>
      <c r="DQ603" s="1491"/>
      <c r="DR603" s="1491">
        <f t="shared" si="16"/>
        <v>0</v>
      </c>
      <c r="DS603" s="1491"/>
      <c r="DT603" s="1491"/>
      <c r="DU603" s="1491"/>
      <c r="DV603" s="1491"/>
      <c r="DX603" s="1468" t="str">
        <f t="shared" si="17"/>
        <v/>
      </c>
      <c r="DY603" s="1469"/>
      <c r="DZ603" s="1469"/>
      <c r="EA603" s="1469"/>
      <c r="EB603" s="1470"/>
      <c r="EC603" s="1468" t="str">
        <f t="shared" si="18"/>
        <v/>
      </c>
      <c r="ED603" s="1469"/>
      <c r="EE603" s="1469"/>
      <c r="EF603" s="1469"/>
      <c r="EG603" s="1470"/>
      <c r="EH603" s="1468" t="str">
        <f t="shared" si="19"/>
        <v/>
      </c>
      <c r="EI603" s="1469"/>
      <c r="EJ603" s="1469"/>
      <c r="EK603" s="1469"/>
      <c r="EL603" s="1470"/>
      <c r="EM603" s="1468" t="str">
        <f t="shared" si="20"/>
        <v/>
      </c>
      <c r="EN603" s="1469"/>
      <c r="EO603" s="1469"/>
      <c r="EP603" s="1469"/>
      <c r="EQ603" s="1470"/>
      <c r="ER603" s="1468" t="str">
        <f t="shared" si="21"/>
        <v/>
      </c>
      <c r="ES603" s="1469"/>
      <c r="ET603" s="1469"/>
      <c r="EU603" s="1469"/>
      <c r="EV603" s="1470"/>
      <c r="EW603" s="1468" t="str">
        <f t="shared" si="22"/>
        <v/>
      </c>
      <c r="EX603" s="1469"/>
      <c r="EY603" s="1469"/>
      <c r="EZ603" s="1469"/>
      <c r="FA603" s="1470"/>
    </row>
    <row r="604" spans="1:157" ht="12.95" customHeight="1">
      <c r="A604" s="22"/>
      <c r="B604" t="s">
        <v>17</v>
      </c>
      <c r="G604" s="1378" t="s">
        <v>2648</v>
      </c>
      <c r="H604" s="1378"/>
      <c r="I604" s="1378"/>
      <c r="J604" s="1378"/>
      <c r="K604" s="1378"/>
      <c r="L604" s="1378"/>
      <c r="M604" s="1378"/>
      <c r="N604" s="1378"/>
      <c r="O604" s="1378"/>
      <c r="P604" s="1378"/>
      <c r="Q604" s="1378"/>
      <c r="R604" s="1378"/>
      <c r="T604" s="22"/>
      <c r="U604" t="s">
        <v>17</v>
      </c>
      <c r="Z604" s="1434"/>
      <c r="AA604" s="1434"/>
      <c r="AB604" s="1434"/>
      <c r="AC604" s="1434"/>
      <c r="AD604" s="1434"/>
      <c r="AE604" s="1434"/>
      <c r="AF604" s="1434"/>
      <c r="AG604" s="1434"/>
      <c r="AH604" s="1434"/>
      <c r="AI604" s="1434"/>
      <c r="AJ604" s="1434"/>
      <c r="AK604" s="1434"/>
      <c r="AZ604" s="3"/>
      <c r="BA604" s="3"/>
      <c r="BB604" s="3"/>
      <c r="BC604" s="3"/>
      <c r="BD604" s="3"/>
      <c r="BE604" s="1468">
        <f t="shared" si="1"/>
        <v>0</v>
      </c>
      <c r="BF604" s="1470"/>
      <c r="BG604" s="1487">
        <f>IF(BE604=1,G725,0)</f>
        <v>0</v>
      </c>
      <c r="BH604" s="1489"/>
      <c r="BI604" s="1468">
        <f t="shared" si="3"/>
        <v>0</v>
      </c>
      <c r="BJ604" s="1470"/>
      <c r="BK604" s="1487">
        <f>IF(BI604=1,G725,0)</f>
        <v>0</v>
      </c>
      <c r="BL604" s="1489"/>
      <c r="BM604" s="3"/>
      <c r="BN604" s="1471">
        <f>IF(B725="SRO/Studio",G725,0)</f>
        <v>0</v>
      </c>
      <c r="BO604" s="1472"/>
      <c r="BP604" s="1472"/>
      <c r="BQ604" s="1472"/>
      <c r="BR604" s="1473"/>
      <c r="BS604" s="1484">
        <f>IF(B725="1 Bedroom",G725,0)</f>
        <v>0</v>
      </c>
      <c r="BT604" s="1484"/>
      <c r="BU604" s="1484"/>
      <c r="BV604" s="1484"/>
      <c r="BW604" s="1484"/>
      <c r="BX604" s="1484">
        <f>IF(B725="2 Bedrooms",G725,0)</f>
        <v>5</v>
      </c>
      <c r="BY604" s="1484"/>
      <c r="BZ604" s="1484"/>
      <c r="CA604" s="1484"/>
      <c r="CB604" s="1484"/>
      <c r="CC604" s="1484">
        <f>IF(B725="3 Bedrooms",G725,0)</f>
        <v>0</v>
      </c>
      <c r="CD604" s="1484"/>
      <c r="CE604" s="1484"/>
      <c r="CF604" s="1484"/>
      <c r="CG604" s="1484"/>
      <c r="CH604" s="1484">
        <f>IF(B725="4 Bedrooms",G725,0)</f>
        <v>0</v>
      </c>
      <c r="CI604" s="1484"/>
      <c r="CJ604" s="1484"/>
      <c r="CK604" s="1484"/>
      <c r="CL604" s="1484"/>
      <c r="CM604" s="1484">
        <f>IF(B725="5 Bedrooms",G725,0)</f>
        <v>0</v>
      </c>
      <c r="CN604" s="1484"/>
      <c r="CO604" s="1484"/>
      <c r="CP604" s="1484"/>
      <c r="CQ604" s="1484"/>
      <c r="CR604" s="6"/>
      <c r="CS604" s="1491">
        <f>IF(AND(B725="SRO/Studio",AC725&lt;=0.3),G725,0)</f>
        <v>0</v>
      </c>
      <c r="CT604" s="1491"/>
      <c r="CU604" s="1491"/>
      <c r="CV604" s="1491"/>
      <c r="CW604" s="1491"/>
      <c r="CX604" s="1491">
        <f>IF(AND(B725="1 Bedroom",AC725&lt;=0.3),G725,0)</f>
        <v>0</v>
      </c>
      <c r="CY604" s="1491"/>
      <c r="CZ604" s="1491"/>
      <c r="DA604" s="1491"/>
      <c r="DB604" s="1491"/>
      <c r="DC604" s="1491">
        <f>IF(AND(B725="2 Bedrooms",AC725&lt;=0.3),G725,0)</f>
        <v>0</v>
      </c>
      <c r="DD604" s="1491"/>
      <c r="DE604" s="1491"/>
      <c r="DF604" s="1491"/>
      <c r="DG604" s="1491"/>
      <c r="DH604" s="1491">
        <f>IF(AND(B725="3 Bedrooms",AC725&lt;=0.3),G725,0)</f>
        <v>0</v>
      </c>
      <c r="DI604" s="1491"/>
      <c r="DJ604" s="1491"/>
      <c r="DK604" s="1491"/>
      <c r="DL604" s="1491"/>
      <c r="DM604" s="1491">
        <f>IF(AND(B725="4 Bedrooms",AC725&lt;=0.3),G725,0)</f>
        <v>0</v>
      </c>
      <c r="DN604" s="1491"/>
      <c r="DO604" s="1491"/>
      <c r="DP604" s="1491"/>
      <c r="DQ604" s="1491"/>
      <c r="DR604" s="1491">
        <f>IF(AND(B725="5 Bedrooms",AC725&lt;=0.3),G725,0)</f>
        <v>0</v>
      </c>
      <c r="DS604" s="1491"/>
      <c r="DT604" s="1491"/>
      <c r="DU604" s="1491"/>
      <c r="DV604" s="1491"/>
      <c r="DX604" s="1468" t="str">
        <f>IF(BN604&gt;0,O725,"")</f>
        <v/>
      </c>
      <c r="DY604" s="1469"/>
      <c r="DZ604" s="1469"/>
      <c r="EA604" s="1469"/>
      <c r="EB604" s="1470"/>
      <c r="EC604" s="1468" t="str">
        <f>IF(BS604&gt;0,O725,"")</f>
        <v/>
      </c>
      <c r="ED604" s="1469"/>
      <c r="EE604" s="1469"/>
      <c r="EF604" s="1469"/>
      <c r="EG604" s="1470"/>
      <c r="EH604" s="1468">
        <f>IF(BX604&gt;0,O725,"")</f>
        <v>2335</v>
      </c>
      <c r="EI604" s="1469"/>
      <c r="EJ604" s="1469"/>
      <c r="EK604" s="1469"/>
      <c r="EL604" s="1470"/>
      <c r="EM604" s="1468" t="str">
        <f>IF(CC604&gt;0,O725,"")</f>
        <v/>
      </c>
      <c r="EN604" s="1469"/>
      <c r="EO604" s="1469"/>
      <c r="EP604" s="1469"/>
      <c r="EQ604" s="1470"/>
      <c r="ER604" s="1468" t="str">
        <f>IF(CH604&gt;0,O725,"")</f>
        <v/>
      </c>
      <c r="ES604" s="1469"/>
      <c r="ET604" s="1469"/>
      <c r="EU604" s="1469"/>
      <c r="EV604" s="1470"/>
      <c r="EW604" s="1468" t="str">
        <f>IF(CM604&gt;0,O725,"")</f>
        <v/>
      </c>
      <c r="EX604" s="1469"/>
      <c r="EY604" s="1469"/>
      <c r="EZ604" s="1469"/>
      <c r="FA604" s="1470"/>
    </row>
    <row r="605" spans="1:157" s="4" customFormat="1" ht="12.95" customHeight="1">
      <c r="A605" s="22"/>
      <c r="B605" t="s">
        <v>317</v>
      </c>
      <c r="C605"/>
      <c r="D605"/>
      <c r="E605"/>
      <c r="F605"/>
      <c r="G605" s="1676" t="s">
        <v>2745</v>
      </c>
      <c r="H605" s="1379"/>
      <c r="I605" s="1379"/>
      <c r="J605" s="1379"/>
      <c r="K605" s="1379"/>
      <c r="L605" s="1379"/>
      <c r="M605"/>
      <c r="N605"/>
      <c r="O605" s="33" t="s">
        <v>207</v>
      </c>
      <c r="P605" s="1455"/>
      <c r="Q605" s="1455"/>
      <c r="R605" s="1455"/>
      <c r="S605"/>
      <c r="T605" s="22"/>
      <c r="U605" t="s">
        <v>317</v>
      </c>
      <c r="V605"/>
      <c r="W605"/>
      <c r="X605"/>
      <c r="Y605"/>
      <c r="Z605" s="1379"/>
      <c r="AA605" s="1379"/>
      <c r="AB605" s="1379"/>
      <c r="AC605" s="1379"/>
      <c r="AD605" s="1379"/>
      <c r="AE605" s="1379"/>
      <c r="AF605"/>
      <c r="AG605"/>
      <c r="AH605" s="33" t="s">
        <v>207</v>
      </c>
      <c r="AI605" s="1455"/>
      <c r="AJ605" s="1455"/>
      <c r="AK605" s="1455"/>
      <c r="AL605"/>
      <c r="AM605"/>
      <c r="AN605"/>
      <c r="AO605"/>
      <c r="AP605"/>
      <c r="AQ605"/>
      <c r="AR605"/>
      <c r="AS605"/>
      <c r="AT605"/>
      <c r="AU605"/>
      <c r="AV605"/>
      <c r="AW605"/>
      <c r="AX605"/>
      <c r="AY605"/>
      <c r="AZ605" s="3"/>
      <c r="BA605" s="3"/>
      <c r="BB605" s="3"/>
      <c r="BC605" s="3"/>
      <c r="BD605" s="3"/>
      <c r="BE605" s="1468">
        <f t="shared" si="1"/>
        <v>0</v>
      </c>
      <c r="BF605" s="1470"/>
      <c r="BG605" s="1487">
        <f t="shared" si="2"/>
        <v>0</v>
      </c>
      <c r="BH605" s="1489"/>
      <c r="BI605" s="1468">
        <f t="shared" si="3"/>
        <v>1</v>
      </c>
      <c r="BJ605" s="1470"/>
      <c r="BK605" s="1487">
        <f t="shared" si="4"/>
        <v>4</v>
      </c>
      <c r="BL605" s="1489"/>
      <c r="BM605" s="3"/>
      <c r="BN605" s="1471">
        <f t="shared" si="5"/>
        <v>0</v>
      </c>
      <c r="BO605" s="1472"/>
      <c r="BP605" s="1472"/>
      <c r="BQ605" s="1472"/>
      <c r="BR605" s="1473"/>
      <c r="BS605" s="1484">
        <f t="shared" si="6"/>
        <v>0</v>
      </c>
      <c r="BT605" s="1484"/>
      <c r="BU605" s="1484"/>
      <c r="BV605" s="1484"/>
      <c r="BW605" s="1484"/>
      <c r="BX605" s="1484">
        <f t="shared" si="7"/>
        <v>4</v>
      </c>
      <c r="BY605" s="1484"/>
      <c r="BZ605" s="1484"/>
      <c r="CA605" s="1484"/>
      <c r="CB605" s="1484"/>
      <c r="CC605" s="1484">
        <f t="shared" si="8"/>
        <v>0</v>
      </c>
      <c r="CD605" s="1484"/>
      <c r="CE605" s="1484"/>
      <c r="CF605" s="1484"/>
      <c r="CG605" s="1484"/>
      <c r="CH605" s="1484">
        <f t="shared" si="9"/>
        <v>0</v>
      </c>
      <c r="CI605" s="1484"/>
      <c r="CJ605" s="1484"/>
      <c r="CK605" s="1484"/>
      <c r="CL605" s="1484"/>
      <c r="CM605" s="1484">
        <f t="shared" si="10"/>
        <v>0</v>
      </c>
      <c r="CN605" s="1484"/>
      <c r="CO605" s="1484"/>
      <c r="CP605" s="1484"/>
      <c r="CQ605" s="1484"/>
      <c r="CR605" s="6"/>
      <c r="CS605" s="1491">
        <f t="shared" si="11"/>
        <v>0</v>
      </c>
      <c r="CT605" s="1491"/>
      <c r="CU605" s="1491"/>
      <c r="CV605" s="1491"/>
      <c r="CW605" s="1491"/>
      <c r="CX605" s="1491">
        <f t="shared" si="12"/>
        <v>0</v>
      </c>
      <c r="CY605" s="1491"/>
      <c r="CZ605" s="1491"/>
      <c r="DA605" s="1491"/>
      <c r="DB605" s="1491"/>
      <c r="DC605" s="1491">
        <f t="shared" si="13"/>
        <v>4</v>
      </c>
      <c r="DD605" s="1491"/>
      <c r="DE605" s="1491"/>
      <c r="DF605" s="1491"/>
      <c r="DG605" s="1491"/>
      <c r="DH605" s="1491">
        <f t="shared" si="14"/>
        <v>0</v>
      </c>
      <c r="DI605" s="1491"/>
      <c r="DJ605" s="1491"/>
      <c r="DK605" s="1491"/>
      <c r="DL605" s="1491"/>
      <c r="DM605" s="1491">
        <f t="shared" si="15"/>
        <v>0</v>
      </c>
      <c r="DN605" s="1491"/>
      <c r="DO605" s="1491"/>
      <c r="DP605" s="1491"/>
      <c r="DQ605" s="1491"/>
      <c r="DR605" s="1491">
        <f t="shared" si="16"/>
        <v>0</v>
      </c>
      <c r="DS605" s="1491"/>
      <c r="DT605" s="1491"/>
      <c r="DU605" s="1491"/>
      <c r="DV605" s="1491"/>
      <c r="DX605" s="1468" t="str">
        <f t="shared" si="17"/>
        <v/>
      </c>
      <c r="DY605" s="1469"/>
      <c r="DZ605" s="1469"/>
      <c r="EA605" s="1469"/>
      <c r="EB605" s="1470"/>
      <c r="EC605" s="1468" t="str">
        <f t="shared" si="18"/>
        <v/>
      </c>
      <c r="ED605" s="1469"/>
      <c r="EE605" s="1469"/>
      <c r="EF605" s="1469"/>
      <c r="EG605" s="1470"/>
      <c r="EH605" s="1468">
        <f t="shared" si="19"/>
        <v>1203</v>
      </c>
      <c r="EI605" s="1469"/>
      <c r="EJ605" s="1469"/>
      <c r="EK605" s="1469"/>
      <c r="EL605" s="1470"/>
      <c r="EM605" s="1468" t="str">
        <f t="shared" si="20"/>
        <v/>
      </c>
      <c r="EN605" s="1469"/>
      <c r="EO605" s="1469"/>
      <c r="EP605" s="1469"/>
      <c r="EQ605" s="1470"/>
      <c r="ER605" s="1468" t="str">
        <f t="shared" si="21"/>
        <v/>
      </c>
      <c r="ES605" s="1469"/>
      <c r="ET605" s="1469"/>
      <c r="EU605" s="1469"/>
      <c r="EV605" s="1470"/>
      <c r="EW605" s="1468" t="str">
        <f t="shared" si="22"/>
        <v/>
      </c>
      <c r="EX605" s="1469"/>
      <c r="EY605" s="1469"/>
      <c r="EZ605" s="1469"/>
      <c r="FA605" s="1470"/>
    </row>
    <row r="606" spans="1:157" s="4" customFormat="1" ht="12.95" customHeight="1">
      <c r="A606" s="22"/>
      <c r="B606" t="s">
        <v>18</v>
      </c>
      <c r="C606"/>
      <c r="D606"/>
      <c r="E606"/>
      <c r="F606"/>
      <c r="G606"/>
      <c r="H606" s="1378" t="s">
        <v>2778</v>
      </c>
      <c r="I606" s="1378"/>
      <c r="J606" s="1378"/>
      <c r="K606" s="1378"/>
      <c r="L606" s="1378"/>
      <c r="M606" s="1378"/>
      <c r="N606" s="1378"/>
      <c r="O606" s="1378"/>
      <c r="P606" s="1378"/>
      <c r="Q606" s="1378"/>
      <c r="R606" s="1378"/>
      <c r="S606"/>
      <c r="T606" s="22"/>
      <c r="U606" t="s">
        <v>18</v>
      </c>
      <c r="V606"/>
      <c r="W606"/>
      <c r="X606"/>
      <c r="Y606"/>
      <c r="Z606"/>
      <c r="AA606" s="1378"/>
      <c r="AB606" s="1378"/>
      <c r="AC606" s="1378"/>
      <c r="AD606" s="1378"/>
      <c r="AE606" s="1378"/>
      <c r="AF606" s="1378"/>
      <c r="AG606" s="1378"/>
      <c r="AH606" s="1378"/>
      <c r="AI606" s="1378"/>
      <c r="AJ606" s="1378"/>
      <c r="AK606" s="1378"/>
      <c r="AL606"/>
      <c r="AM606"/>
      <c r="AN606"/>
      <c r="AO606"/>
      <c r="AP606"/>
      <c r="AQ606"/>
      <c r="AR606"/>
      <c r="AS606"/>
      <c r="AT606"/>
      <c r="AU606"/>
      <c r="AV606"/>
      <c r="AW606"/>
      <c r="AX606"/>
      <c r="AY606"/>
      <c r="AZ606" s="3"/>
      <c r="BA606" s="3"/>
      <c r="BB606" s="3"/>
      <c r="BC606" s="3"/>
      <c r="BD606" s="3"/>
      <c r="BE606" s="1468">
        <f t="shared" si="1"/>
        <v>0</v>
      </c>
      <c r="BF606" s="1470"/>
      <c r="BG606" s="1487">
        <f t="shared" si="2"/>
        <v>0</v>
      </c>
      <c r="BH606" s="1489"/>
      <c r="BI606" s="1468">
        <f t="shared" si="3"/>
        <v>1</v>
      </c>
      <c r="BJ606" s="1470"/>
      <c r="BK606" s="1487">
        <f t="shared" si="4"/>
        <v>7</v>
      </c>
      <c r="BL606" s="1489"/>
      <c r="BM606" s="3"/>
      <c r="BN606" s="1471">
        <f t="shared" si="5"/>
        <v>0</v>
      </c>
      <c r="BO606" s="1472"/>
      <c r="BP606" s="1472"/>
      <c r="BQ606" s="1472"/>
      <c r="BR606" s="1473"/>
      <c r="BS606" s="1484">
        <f t="shared" si="6"/>
        <v>0</v>
      </c>
      <c r="BT606" s="1484"/>
      <c r="BU606" s="1484"/>
      <c r="BV606" s="1484"/>
      <c r="BW606" s="1484"/>
      <c r="BX606" s="1484">
        <f t="shared" si="7"/>
        <v>7</v>
      </c>
      <c r="BY606" s="1484"/>
      <c r="BZ606" s="1484"/>
      <c r="CA606" s="1484"/>
      <c r="CB606" s="1484"/>
      <c r="CC606" s="1484">
        <f t="shared" si="8"/>
        <v>0</v>
      </c>
      <c r="CD606" s="1484"/>
      <c r="CE606" s="1484"/>
      <c r="CF606" s="1484"/>
      <c r="CG606" s="1484"/>
      <c r="CH606" s="1484">
        <f t="shared" si="9"/>
        <v>0</v>
      </c>
      <c r="CI606" s="1484"/>
      <c r="CJ606" s="1484"/>
      <c r="CK606" s="1484"/>
      <c r="CL606" s="1484"/>
      <c r="CM606" s="1484">
        <f t="shared" si="10"/>
        <v>0</v>
      </c>
      <c r="CN606" s="1484"/>
      <c r="CO606" s="1484"/>
      <c r="CP606" s="1484"/>
      <c r="CQ606" s="1484"/>
      <c r="CR606" s="6"/>
      <c r="CS606" s="1491">
        <f t="shared" si="11"/>
        <v>0</v>
      </c>
      <c r="CT606" s="1491"/>
      <c r="CU606" s="1491"/>
      <c r="CV606" s="1491"/>
      <c r="CW606" s="1491"/>
      <c r="CX606" s="1491">
        <f t="shared" si="12"/>
        <v>0</v>
      </c>
      <c r="CY606" s="1491"/>
      <c r="CZ606" s="1491"/>
      <c r="DA606" s="1491"/>
      <c r="DB606" s="1491"/>
      <c r="DC606" s="1491">
        <f t="shared" si="13"/>
        <v>7</v>
      </c>
      <c r="DD606" s="1491"/>
      <c r="DE606" s="1491"/>
      <c r="DF606" s="1491"/>
      <c r="DG606" s="1491"/>
      <c r="DH606" s="1491">
        <f t="shared" si="14"/>
        <v>0</v>
      </c>
      <c r="DI606" s="1491"/>
      <c r="DJ606" s="1491"/>
      <c r="DK606" s="1491"/>
      <c r="DL606" s="1491"/>
      <c r="DM606" s="1491">
        <f t="shared" si="15"/>
        <v>0</v>
      </c>
      <c r="DN606" s="1491"/>
      <c r="DO606" s="1491"/>
      <c r="DP606" s="1491"/>
      <c r="DQ606" s="1491"/>
      <c r="DR606" s="1491">
        <f t="shared" si="16"/>
        <v>0</v>
      </c>
      <c r="DS606" s="1491"/>
      <c r="DT606" s="1491"/>
      <c r="DU606" s="1491"/>
      <c r="DV606" s="1491"/>
      <c r="DX606" s="1468" t="str">
        <f t="shared" si="17"/>
        <v/>
      </c>
      <c r="DY606" s="1469"/>
      <c r="DZ606" s="1469"/>
      <c r="EA606" s="1469"/>
      <c r="EB606" s="1470"/>
      <c r="EC606" s="1468" t="str">
        <f t="shared" si="18"/>
        <v/>
      </c>
      <c r="ED606" s="1469"/>
      <c r="EE606" s="1469"/>
      <c r="EF606" s="1469"/>
      <c r="EG606" s="1470"/>
      <c r="EH606" s="1468">
        <f t="shared" si="19"/>
        <v>1203</v>
      </c>
      <c r="EI606" s="1469"/>
      <c r="EJ606" s="1469"/>
      <c r="EK606" s="1469"/>
      <c r="EL606" s="1470"/>
      <c r="EM606" s="1468" t="str">
        <f t="shared" si="20"/>
        <v/>
      </c>
      <c r="EN606" s="1469"/>
      <c r="EO606" s="1469"/>
      <c r="EP606" s="1469"/>
      <c r="EQ606" s="1470"/>
      <c r="ER606" s="1468" t="str">
        <f t="shared" si="21"/>
        <v/>
      </c>
      <c r="ES606" s="1469"/>
      <c r="ET606" s="1469"/>
      <c r="EU606" s="1469"/>
      <c r="EV606" s="1470"/>
      <c r="EW606" s="1468" t="str">
        <f t="shared" si="22"/>
        <v/>
      </c>
      <c r="EX606" s="1469"/>
      <c r="EY606" s="1469"/>
      <c r="EZ606" s="1469"/>
      <c r="FA606" s="1470"/>
    </row>
    <row r="607" spans="1:157" s="4" customFormat="1" ht="12.95" customHeight="1">
      <c r="A607" s="22"/>
      <c r="B607" t="s">
        <v>20</v>
      </c>
      <c r="C607"/>
      <c r="D607"/>
      <c r="E607"/>
      <c r="F607"/>
      <c r="G607"/>
      <c r="H607"/>
      <c r="I607"/>
      <c r="J607"/>
      <c r="K607"/>
      <c r="L607"/>
      <c r="M607"/>
      <c r="N607" s="1430" t="s">
        <v>553</v>
      </c>
      <c r="O607" s="1430"/>
      <c r="P607"/>
      <c r="Q607"/>
      <c r="R607"/>
      <c r="S607"/>
      <c r="T607" s="22"/>
      <c r="U607" t="s">
        <v>20</v>
      </c>
      <c r="V607"/>
      <c r="W607"/>
      <c r="X607"/>
      <c r="Y607"/>
      <c r="Z607"/>
      <c r="AA607"/>
      <c r="AB607"/>
      <c r="AC607"/>
      <c r="AD607"/>
      <c r="AE607"/>
      <c r="AF607"/>
      <c r="AG607" s="1430" t="s">
        <v>677</v>
      </c>
      <c r="AH607" s="1430"/>
      <c r="AI607"/>
      <c r="AJ607"/>
      <c r="AK607"/>
      <c r="AL607"/>
      <c r="AM607"/>
      <c r="AN607"/>
      <c r="AO607"/>
      <c r="AP607"/>
      <c r="AQ607"/>
      <c r="AR607"/>
      <c r="AS607"/>
      <c r="AT607"/>
      <c r="AU607"/>
      <c r="AV607"/>
      <c r="AW607"/>
      <c r="AX607"/>
      <c r="AY607"/>
      <c r="AZ607" s="3"/>
      <c r="BA607" s="3"/>
      <c r="BB607" s="3"/>
      <c r="BC607" s="3"/>
      <c r="BD607" s="3"/>
      <c r="BE607" s="1468">
        <f t="shared" si="1"/>
        <v>0</v>
      </c>
      <c r="BF607" s="1470"/>
      <c r="BG607" s="1487">
        <f t="shared" si="2"/>
        <v>0</v>
      </c>
      <c r="BH607" s="1489"/>
      <c r="BI607" s="1468">
        <f t="shared" si="3"/>
        <v>1</v>
      </c>
      <c r="BJ607" s="1470"/>
      <c r="BK607" s="1487">
        <f t="shared" si="4"/>
        <v>10</v>
      </c>
      <c r="BL607" s="1489"/>
      <c r="BM607" s="3"/>
      <c r="BN607" s="1471">
        <f t="shared" si="5"/>
        <v>0</v>
      </c>
      <c r="BO607" s="1472"/>
      <c r="BP607" s="1472"/>
      <c r="BQ607" s="1472"/>
      <c r="BR607" s="1473"/>
      <c r="BS607" s="1484">
        <f t="shared" si="6"/>
        <v>0</v>
      </c>
      <c r="BT607" s="1484"/>
      <c r="BU607" s="1484"/>
      <c r="BV607" s="1484"/>
      <c r="BW607" s="1484"/>
      <c r="BX607" s="1484">
        <f t="shared" si="7"/>
        <v>10</v>
      </c>
      <c r="BY607" s="1484"/>
      <c r="BZ607" s="1484"/>
      <c r="CA607" s="1484"/>
      <c r="CB607" s="1484"/>
      <c r="CC607" s="1484">
        <f t="shared" si="8"/>
        <v>0</v>
      </c>
      <c r="CD607" s="1484"/>
      <c r="CE607" s="1484"/>
      <c r="CF607" s="1484"/>
      <c r="CG607" s="1484"/>
      <c r="CH607" s="1484">
        <f t="shared" si="9"/>
        <v>0</v>
      </c>
      <c r="CI607" s="1484"/>
      <c r="CJ607" s="1484"/>
      <c r="CK607" s="1484"/>
      <c r="CL607" s="1484"/>
      <c r="CM607" s="1484">
        <f t="shared" si="10"/>
        <v>0</v>
      </c>
      <c r="CN607" s="1484"/>
      <c r="CO607" s="1484"/>
      <c r="CP607" s="1484"/>
      <c r="CQ607" s="1484"/>
      <c r="CR607" s="6"/>
      <c r="CS607" s="1491">
        <f t="shared" si="11"/>
        <v>0</v>
      </c>
      <c r="CT607" s="1491"/>
      <c r="CU607" s="1491"/>
      <c r="CV607" s="1491"/>
      <c r="CW607" s="1491"/>
      <c r="CX607" s="1491">
        <f t="shared" si="12"/>
        <v>0</v>
      </c>
      <c r="CY607" s="1491"/>
      <c r="CZ607" s="1491"/>
      <c r="DA607" s="1491"/>
      <c r="DB607" s="1491"/>
      <c r="DC607" s="1491">
        <f t="shared" si="13"/>
        <v>10</v>
      </c>
      <c r="DD607" s="1491"/>
      <c r="DE607" s="1491"/>
      <c r="DF607" s="1491"/>
      <c r="DG607" s="1491"/>
      <c r="DH607" s="1491">
        <f t="shared" si="14"/>
        <v>0</v>
      </c>
      <c r="DI607" s="1491"/>
      <c r="DJ607" s="1491"/>
      <c r="DK607" s="1491"/>
      <c r="DL607" s="1491"/>
      <c r="DM607" s="1491">
        <f t="shared" si="15"/>
        <v>0</v>
      </c>
      <c r="DN607" s="1491"/>
      <c r="DO607" s="1491"/>
      <c r="DP607" s="1491"/>
      <c r="DQ607" s="1491"/>
      <c r="DR607" s="1491">
        <f t="shared" si="16"/>
        <v>0</v>
      </c>
      <c r="DS607" s="1491"/>
      <c r="DT607" s="1491"/>
      <c r="DU607" s="1491"/>
      <c r="DV607" s="1491"/>
      <c r="DX607" s="1468" t="str">
        <f t="shared" si="17"/>
        <v/>
      </c>
      <c r="DY607" s="1469"/>
      <c r="DZ607" s="1469"/>
      <c r="EA607" s="1469"/>
      <c r="EB607" s="1470"/>
      <c r="EC607" s="1468" t="str">
        <f t="shared" si="18"/>
        <v/>
      </c>
      <c r="ED607" s="1469"/>
      <c r="EE607" s="1469"/>
      <c r="EF607" s="1469"/>
      <c r="EG607" s="1470"/>
      <c r="EH607" s="1468">
        <f t="shared" si="19"/>
        <v>1203</v>
      </c>
      <c r="EI607" s="1469"/>
      <c r="EJ607" s="1469"/>
      <c r="EK607" s="1469"/>
      <c r="EL607" s="1470"/>
      <c r="EM607" s="1468" t="str">
        <f t="shared" si="20"/>
        <v/>
      </c>
      <c r="EN607" s="1469"/>
      <c r="EO607" s="1469"/>
      <c r="EP607" s="1469"/>
      <c r="EQ607" s="1470"/>
      <c r="ER607" s="1468" t="str">
        <f t="shared" si="21"/>
        <v/>
      </c>
      <c r="ES607" s="1469"/>
      <c r="ET607" s="1469"/>
      <c r="EU607" s="1469"/>
      <c r="EV607" s="1470"/>
      <c r="EW607" s="1468" t="str">
        <f t="shared" si="22"/>
        <v/>
      </c>
      <c r="EX607" s="1469"/>
      <c r="EY607" s="1469"/>
      <c r="EZ607" s="1469"/>
      <c r="FA607" s="1470"/>
    </row>
    <row r="608" spans="1:157" ht="12.95" customHeight="1">
      <c r="A608" s="22"/>
      <c r="T608" s="22"/>
      <c r="AZ608" s="3"/>
      <c r="BA608" s="3"/>
      <c r="BB608" s="3"/>
      <c r="BC608" s="3"/>
      <c r="BD608" s="3"/>
      <c r="BE608" s="1468">
        <f t="shared" si="1"/>
        <v>0</v>
      </c>
      <c r="BF608" s="1470"/>
      <c r="BG608" s="1487">
        <f t="shared" si="2"/>
        <v>0</v>
      </c>
      <c r="BH608" s="1489"/>
      <c r="BI608" s="1468">
        <f t="shared" si="3"/>
        <v>0</v>
      </c>
      <c r="BJ608" s="1470"/>
      <c r="BK608" s="1487">
        <f t="shared" si="4"/>
        <v>0</v>
      </c>
      <c r="BL608" s="1489"/>
      <c r="BM608" s="3"/>
      <c r="BN608" s="1471">
        <f t="shared" si="5"/>
        <v>0</v>
      </c>
      <c r="BO608" s="1472"/>
      <c r="BP608" s="1472"/>
      <c r="BQ608" s="1472"/>
      <c r="BR608" s="1473"/>
      <c r="BS608" s="1484">
        <f t="shared" si="6"/>
        <v>0</v>
      </c>
      <c r="BT608" s="1484"/>
      <c r="BU608" s="1484"/>
      <c r="BV608" s="1484"/>
      <c r="BW608" s="1484"/>
      <c r="BX608" s="1484">
        <f t="shared" si="7"/>
        <v>0</v>
      </c>
      <c r="BY608" s="1484"/>
      <c r="BZ608" s="1484"/>
      <c r="CA608" s="1484"/>
      <c r="CB608" s="1484"/>
      <c r="CC608" s="1484">
        <f t="shared" si="8"/>
        <v>0</v>
      </c>
      <c r="CD608" s="1484"/>
      <c r="CE608" s="1484"/>
      <c r="CF608" s="1484"/>
      <c r="CG608" s="1484"/>
      <c r="CH608" s="1484">
        <f t="shared" si="9"/>
        <v>0</v>
      </c>
      <c r="CI608" s="1484"/>
      <c r="CJ608" s="1484"/>
      <c r="CK608" s="1484"/>
      <c r="CL608" s="1484"/>
      <c r="CM608" s="1484">
        <f t="shared" si="10"/>
        <v>0</v>
      </c>
      <c r="CN608" s="1484"/>
      <c r="CO608" s="1484"/>
      <c r="CP608" s="1484"/>
      <c r="CQ608" s="1484"/>
      <c r="CR608" s="6"/>
      <c r="CS608" s="1491">
        <f t="shared" si="11"/>
        <v>0</v>
      </c>
      <c r="CT608" s="1491"/>
      <c r="CU608" s="1491"/>
      <c r="CV608" s="1491"/>
      <c r="CW608" s="1491"/>
      <c r="CX608" s="1491">
        <f t="shared" si="12"/>
        <v>0</v>
      </c>
      <c r="CY608" s="1491"/>
      <c r="CZ608" s="1491"/>
      <c r="DA608" s="1491"/>
      <c r="DB608" s="1491"/>
      <c r="DC608" s="1491">
        <f t="shared" si="13"/>
        <v>0</v>
      </c>
      <c r="DD608" s="1491"/>
      <c r="DE608" s="1491"/>
      <c r="DF608" s="1491"/>
      <c r="DG608" s="1491"/>
      <c r="DH608" s="1491">
        <f t="shared" si="14"/>
        <v>0</v>
      </c>
      <c r="DI608" s="1491"/>
      <c r="DJ608" s="1491"/>
      <c r="DK608" s="1491"/>
      <c r="DL608" s="1491"/>
      <c r="DM608" s="1491">
        <f t="shared" si="15"/>
        <v>0</v>
      </c>
      <c r="DN608" s="1491"/>
      <c r="DO608" s="1491"/>
      <c r="DP608" s="1491"/>
      <c r="DQ608" s="1491"/>
      <c r="DR608" s="1491">
        <f t="shared" si="16"/>
        <v>0</v>
      </c>
      <c r="DS608" s="1491"/>
      <c r="DT608" s="1491"/>
      <c r="DU608" s="1491"/>
      <c r="DV608" s="1491"/>
      <c r="DX608" s="1468" t="str">
        <f t="shared" si="17"/>
        <v/>
      </c>
      <c r="DY608" s="1469"/>
      <c r="DZ608" s="1469"/>
      <c r="EA608" s="1469"/>
      <c r="EB608" s="1470"/>
      <c r="EC608" s="1468" t="str">
        <f t="shared" si="18"/>
        <v/>
      </c>
      <c r="ED608" s="1469"/>
      <c r="EE608" s="1469"/>
      <c r="EF608" s="1469"/>
      <c r="EG608" s="1470"/>
      <c r="EH608" s="1468" t="str">
        <f t="shared" si="19"/>
        <v/>
      </c>
      <c r="EI608" s="1469"/>
      <c r="EJ608" s="1469"/>
      <c r="EK608" s="1469"/>
      <c r="EL608" s="1470"/>
      <c r="EM608" s="1468" t="str">
        <f t="shared" si="20"/>
        <v/>
      </c>
      <c r="EN608" s="1469"/>
      <c r="EO608" s="1469"/>
      <c r="EP608" s="1469"/>
      <c r="EQ608" s="1470"/>
      <c r="ER608" s="1468" t="str">
        <f t="shared" si="21"/>
        <v/>
      </c>
      <c r="ES608" s="1469"/>
      <c r="ET608" s="1469"/>
      <c r="EU608" s="1469"/>
      <c r="EV608" s="1470"/>
      <c r="EW608" s="1468" t="str">
        <f t="shared" si="22"/>
        <v/>
      </c>
      <c r="EX608" s="1469"/>
      <c r="EY608" s="1469"/>
      <c r="EZ608" s="1469"/>
      <c r="FA608" s="1470"/>
    </row>
    <row r="609" spans="1:157" ht="12.95" customHeight="1">
      <c r="A609" s="55" t="s">
        <v>363</v>
      </c>
      <c r="B609" t="s">
        <v>471</v>
      </c>
      <c r="G609" s="1457">
        <f>C564</f>
        <v>0</v>
      </c>
      <c r="H609" s="1457"/>
      <c r="I609" s="1457"/>
      <c r="J609" s="1457"/>
      <c r="K609" s="1457"/>
      <c r="L609" s="1457"/>
      <c r="M609" s="1457"/>
      <c r="N609" s="1457"/>
      <c r="O609" s="1457"/>
      <c r="P609" s="1457"/>
      <c r="Q609" s="1457"/>
      <c r="R609" s="1457"/>
      <c r="T609" s="55" t="s">
        <v>364</v>
      </c>
      <c r="U609" t="s">
        <v>471</v>
      </c>
      <c r="Z609" s="1457">
        <f>C565</f>
        <v>0</v>
      </c>
      <c r="AA609" s="1457"/>
      <c r="AB609" s="1457"/>
      <c r="AC609" s="1457"/>
      <c r="AD609" s="1457"/>
      <c r="AE609" s="1457"/>
      <c r="AF609" s="1457"/>
      <c r="AG609" s="1457"/>
      <c r="AH609" s="1457"/>
      <c r="AI609" s="1457"/>
      <c r="AJ609" s="1457"/>
      <c r="AK609" s="1457"/>
      <c r="AZ609" s="3"/>
      <c r="BA609" s="3"/>
      <c r="BB609" s="3"/>
      <c r="BC609" s="3"/>
      <c r="BD609" s="3"/>
      <c r="BE609" s="1468">
        <f t="shared" si="1"/>
        <v>0</v>
      </c>
      <c r="BF609" s="1470"/>
      <c r="BG609" s="1487">
        <f t="shared" si="2"/>
        <v>0</v>
      </c>
      <c r="BH609" s="1489"/>
      <c r="BI609" s="1468">
        <f t="shared" si="3"/>
        <v>1</v>
      </c>
      <c r="BJ609" s="1470"/>
      <c r="BK609" s="1487">
        <f t="shared" si="4"/>
        <v>8</v>
      </c>
      <c r="BL609" s="1489"/>
      <c r="BM609" s="3"/>
      <c r="BN609" s="1471">
        <f t="shared" si="5"/>
        <v>0</v>
      </c>
      <c r="BO609" s="1472"/>
      <c r="BP609" s="1472"/>
      <c r="BQ609" s="1472"/>
      <c r="BR609" s="1473"/>
      <c r="BS609" s="1484">
        <f t="shared" si="6"/>
        <v>0</v>
      </c>
      <c r="BT609" s="1484"/>
      <c r="BU609" s="1484"/>
      <c r="BV609" s="1484"/>
      <c r="BW609" s="1484"/>
      <c r="BX609" s="1484">
        <f t="shared" si="7"/>
        <v>0</v>
      </c>
      <c r="BY609" s="1484"/>
      <c r="BZ609" s="1484"/>
      <c r="CA609" s="1484"/>
      <c r="CB609" s="1484"/>
      <c r="CC609" s="1484">
        <f t="shared" si="8"/>
        <v>8</v>
      </c>
      <c r="CD609" s="1484"/>
      <c r="CE609" s="1484"/>
      <c r="CF609" s="1484"/>
      <c r="CG609" s="1484"/>
      <c r="CH609" s="1484">
        <f t="shared" si="9"/>
        <v>0</v>
      </c>
      <c r="CI609" s="1484"/>
      <c r="CJ609" s="1484"/>
      <c r="CK609" s="1484"/>
      <c r="CL609" s="1484"/>
      <c r="CM609" s="1484">
        <f t="shared" si="10"/>
        <v>0</v>
      </c>
      <c r="CN609" s="1484"/>
      <c r="CO609" s="1484"/>
      <c r="CP609" s="1484"/>
      <c r="CQ609" s="1484"/>
      <c r="CR609" s="6"/>
      <c r="CS609" s="1491">
        <f t="shared" si="11"/>
        <v>0</v>
      </c>
      <c r="CT609" s="1491"/>
      <c r="CU609" s="1491"/>
      <c r="CV609" s="1491"/>
      <c r="CW609" s="1491"/>
      <c r="CX609" s="1491">
        <f t="shared" si="12"/>
        <v>0</v>
      </c>
      <c r="CY609" s="1491"/>
      <c r="CZ609" s="1491"/>
      <c r="DA609" s="1491"/>
      <c r="DB609" s="1491"/>
      <c r="DC609" s="1491">
        <f t="shared" si="13"/>
        <v>0</v>
      </c>
      <c r="DD609" s="1491"/>
      <c r="DE609" s="1491"/>
      <c r="DF609" s="1491"/>
      <c r="DG609" s="1491"/>
      <c r="DH609" s="1491">
        <f t="shared" si="14"/>
        <v>8</v>
      </c>
      <c r="DI609" s="1491"/>
      <c r="DJ609" s="1491"/>
      <c r="DK609" s="1491"/>
      <c r="DL609" s="1491"/>
      <c r="DM609" s="1491">
        <f t="shared" si="15"/>
        <v>0</v>
      </c>
      <c r="DN609" s="1491"/>
      <c r="DO609" s="1491"/>
      <c r="DP609" s="1491"/>
      <c r="DQ609" s="1491"/>
      <c r="DR609" s="1491">
        <f t="shared" si="16"/>
        <v>0</v>
      </c>
      <c r="DS609" s="1491"/>
      <c r="DT609" s="1491"/>
      <c r="DU609" s="1491"/>
      <c r="DV609" s="1491"/>
      <c r="DX609" s="1468" t="str">
        <f t="shared" si="17"/>
        <v/>
      </c>
      <c r="DY609" s="1469"/>
      <c r="DZ609" s="1469"/>
      <c r="EA609" s="1469"/>
      <c r="EB609" s="1470"/>
      <c r="EC609" s="1468" t="str">
        <f t="shared" si="18"/>
        <v/>
      </c>
      <c r="ED609" s="1469"/>
      <c r="EE609" s="1469"/>
      <c r="EF609" s="1469"/>
      <c r="EG609" s="1470"/>
      <c r="EH609" s="1468" t="str">
        <f t="shared" si="19"/>
        <v/>
      </c>
      <c r="EI609" s="1469"/>
      <c r="EJ609" s="1469"/>
      <c r="EK609" s="1469"/>
      <c r="EL609" s="1470"/>
      <c r="EM609" s="1468">
        <f t="shared" si="20"/>
        <v>1391</v>
      </c>
      <c r="EN609" s="1469"/>
      <c r="EO609" s="1469"/>
      <c r="EP609" s="1469"/>
      <c r="EQ609" s="1470"/>
      <c r="ER609" s="1468" t="str">
        <f t="shared" si="21"/>
        <v/>
      </c>
      <c r="ES609" s="1469"/>
      <c r="ET609" s="1469"/>
      <c r="EU609" s="1469"/>
      <c r="EV609" s="1470"/>
      <c r="EW609" s="1468" t="str">
        <f t="shared" si="22"/>
        <v/>
      </c>
      <c r="EX609" s="1469"/>
      <c r="EY609" s="1469"/>
      <c r="EZ609" s="1469"/>
      <c r="FA609" s="1470"/>
    </row>
    <row r="610" spans="1:157" ht="12.95" customHeight="1">
      <c r="B610" t="s">
        <v>85</v>
      </c>
      <c r="G610" s="1378"/>
      <c r="H610" s="1378"/>
      <c r="I610" s="1378"/>
      <c r="J610" s="1378"/>
      <c r="K610" s="1378"/>
      <c r="L610" s="1378"/>
      <c r="M610" s="1378"/>
      <c r="N610" s="1378"/>
      <c r="O610" s="1378"/>
      <c r="P610" s="1378"/>
      <c r="Q610" s="1378"/>
      <c r="R610" s="1378"/>
      <c r="U610" t="s">
        <v>85</v>
      </c>
      <c r="Z610" s="1378"/>
      <c r="AA610" s="1378"/>
      <c r="AB610" s="1378"/>
      <c r="AC610" s="1378"/>
      <c r="AD610" s="1378"/>
      <c r="AE610" s="1378"/>
      <c r="AF610" s="1378"/>
      <c r="AG610" s="1378"/>
      <c r="AH610" s="1378"/>
      <c r="AI610" s="1378"/>
      <c r="AJ610" s="1378"/>
      <c r="AK610" s="1378"/>
      <c r="AZ610" s="3"/>
      <c r="BA610" s="3"/>
      <c r="BB610" s="3"/>
      <c r="BC610" s="3"/>
      <c r="BD610" s="3"/>
      <c r="BE610" s="1468">
        <f t="shared" si="1"/>
        <v>0</v>
      </c>
      <c r="BF610" s="1470"/>
      <c r="BG610" s="1487">
        <f>IF(BE610=1,G731,0)</f>
        <v>0</v>
      </c>
      <c r="BH610" s="1489"/>
      <c r="BI610" s="1468">
        <f t="shared" si="3"/>
        <v>0</v>
      </c>
      <c r="BJ610" s="1470"/>
      <c r="BK610" s="1487">
        <f>IF(BI610=1,G731,0)</f>
        <v>0</v>
      </c>
      <c r="BL610" s="1489"/>
      <c r="BM610" s="3"/>
      <c r="BN610" s="1471">
        <f>IF(B731="SRO/Studio",G731,0)</f>
        <v>0</v>
      </c>
      <c r="BO610" s="1472"/>
      <c r="BP610" s="1472"/>
      <c r="BQ610" s="1472"/>
      <c r="BR610" s="1473"/>
      <c r="BS610" s="1484">
        <f>IF(B731="1 Bedroom",G731,0)</f>
        <v>0</v>
      </c>
      <c r="BT610" s="1484"/>
      <c r="BU610" s="1484"/>
      <c r="BV610" s="1484"/>
      <c r="BW610" s="1484"/>
      <c r="BX610" s="1484">
        <f>IF(B731="2 Bedrooms",G731,0)</f>
        <v>0</v>
      </c>
      <c r="BY610" s="1484"/>
      <c r="BZ610" s="1484"/>
      <c r="CA610" s="1484"/>
      <c r="CB610" s="1484"/>
      <c r="CC610" s="1484">
        <f>IF(B731="3 Bedrooms",G731,0)</f>
        <v>0</v>
      </c>
      <c r="CD610" s="1484"/>
      <c r="CE610" s="1484"/>
      <c r="CF610" s="1484"/>
      <c r="CG610" s="1484"/>
      <c r="CH610" s="1484">
        <f>IF(B731="4 Bedrooms",G731,0)</f>
        <v>0</v>
      </c>
      <c r="CI610" s="1484"/>
      <c r="CJ610" s="1484"/>
      <c r="CK610" s="1484"/>
      <c r="CL610" s="1484"/>
      <c r="CM610" s="1484">
        <f>IF(B731="5 Bedrooms",G731,0)</f>
        <v>0</v>
      </c>
      <c r="CN610" s="1484"/>
      <c r="CO610" s="1484"/>
      <c r="CP610" s="1484"/>
      <c r="CQ610" s="1484"/>
      <c r="CR610" s="6"/>
      <c r="CS610" s="1491">
        <f>IF(AND(B731="SRO/Studio",AC731&lt;=0.3),G731,0)</f>
        <v>0</v>
      </c>
      <c r="CT610" s="1491"/>
      <c r="CU610" s="1491"/>
      <c r="CV610" s="1491"/>
      <c r="CW610" s="1491"/>
      <c r="CX610" s="1491">
        <f>IF(AND(B731="1 Bedroom",AC731&lt;=0.3),G731,0)</f>
        <v>0</v>
      </c>
      <c r="CY610" s="1491"/>
      <c r="CZ610" s="1491"/>
      <c r="DA610" s="1491"/>
      <c r="DB610" s="1491"/>
      <c r="DC610" s="1491">
        <f>IF(AND(B731="2 Bedrooms",AC731&lt;=0.3),G731,0)</f>
        <v>0</v>
      </c>
      <c r="DD610" s="1491"/>
      <c r="DE610" s="1491"/>
      <c r="DF610" s="1491"/>
      <c r="DG610" s="1491"/>
      <c r="DH610" s="1491">
        <f>IF(AND(B731="3 Bedrooms",AC731&lt;=0.3),G731,0)</f>
        <v>0</v>
      </c>
      <c r="DI610" s="1491"/>
      <c r="DJ610" s="1491"/>
      <c r="DK610" s="1491"/>
      <c r="DL610" s="1491"/>
      <c r="DM610" s="1491">
        <f>IF(AND(B731="4 Bedrooms",AC731&lt;=0.3),G731,0)</f>
        <v>0</v>
      </c>
      <c r="DN610" s="1491"/>
      <c r="DO610" s="1491"/>
      <c r="DP610" s="1491"/>
      <c r="DQ610" s="1491"/>
      <c r="DR610" s="1491">
        <f>IF(AND(B731="5 Bedrooms",AC731&lt;=0.3),G731,0)</f>
        <v>0</v>
      </c>
      <c r="DS610" s="1491"/>
      <c r="DT610" s="1491"/>
      <c r="DU610" s="1491"/>
      <c r="DV610" s="1491"/>
      <c r="DX610" s="1468" t="str">
        <f>IF(BN610&gt;0,O731,"")</f>
        <v/>
      </c>
      <c r="DY610" s="1469"/>
      <c r="DZ610" s="1469"/>
      <c r="EA610" s="1469"/>
      <c r="EB610" s="1470"/>
      <c r="EC610" s="1468" t="str">
        <f>IF(BS610&gt;0,O731,"")</f>
        <v/>
      </c>
      <c r="ED610" s="1469"/>
      <c r="EE610" s="1469"/>
      <c r="EF610" s="1469"/>
      <c r="EG610" s="1470"/>
      <c r="EH610" s="1468" t="str">
        <f>IF(BX610&gt;0,O731,"")</f>
        <v/>
      </c>
      <c r="EI610" s="1469"/>
      <c r="EJ610" s="1469"/>
      <c r="EK610" s="1469"/>
      <c r="EL610" s="1470"/>
      <c r="EM610" s="1468" t="str">
        <f>IF(CC610&gt;0,O731,"")</f>
        <v/>
      </c>
      <c r="EN610" s="1469"/>
      <c r="EO610" s="1469"/>
      <c r="EP610" s="1469"/>
      <c r="EQ610" s="1470"/>
      <c r="ER610" s="1468" t="str">
        <f>IF(CH610&gt;0,O731,"")</f>
        <v/>
      </c>
      <c r="ES610" s="1469"/>
      <c r="ET610" s="1469"/>
      <c r="EU610" s="1469"/>
      <c r="EV610" s="1470"/>
      <c r="EW610" s="1468" t="str">
        <f>IF(CM610&gt;0,O731,"")</f>
        <v/>
      </c>
      <c r="EX610" s="1469"/>
      <c r="EY610" s="1469"/>
      <c r="EZ610" s="1469"/>
      <c r="FA610" s="1470"/>
    </row>
    <row r="611" spans="1:157" ht="12.95" customHeight="1">
      <c r="B611" t="s">
        <v>588</v>
      </c>
      <c r="G611" s="1378"/>
      <c r="H611" s="1378"/>
      <c r="I611" s="1378"/>
      <c r="J611" s="1378"/>
      <c r="K611" s="1378"/>
      <c r="L611" s="1378"/>
      <c r="M611" s="1378"/>
      <c r="N611" s="1378"/>
      <c r="O611" s="1378"/>
      <c r="P611" s="1378"/>
      <c r="Q611" s="1378"/>
      <c r="R611" s="1378"/>
      <c r="U611" t="s">
        <v>588</v>
      </c>
      <c r="Z611" s="1434"/>
      <c r="AA611" s="1434"/>
      <c r="AB611" s="1434"/>
      <c r="AC611" s="1434"/>
      <c r="AD611" s="1434"/>
      <c r="AE611" s="1434"/>
      <c r="AF611" s="1434"/>
      <c r="AG611" s="1434"/>
      <c r="AH611" s="1434"/>
      <c r="AI611" s="1434"/>
      <c r="AJ611" s="1434"/>
      <c r="AK611" s="1434"/>
      <c r="AZ611" s="3"/>
      <c r="BA611" s="3"/>
      <c r="BB611" s="3"/>
      <c r="BC611" s="3"/>
      <c r="BD611" s="3"/>
      <c r="BE611" s="1468">
        <f t="shared" si="1"/>
        <v>0</v>
      </c>
      <c r="BF611" s="1470"/>
      <c r="BG611" s="1487">
        <f t="shared" si="2"/>
        <v>0</v>
      </c>
      <c r="BH611" s="1489"/>
      <c r="BI611" s="1468">
        <f t="shared" si="3"/>
        <v>0</v>
      </c>
      <c r="BJ611" s="1470"/>
      <c r="BK611" s="1487">
        <f t="shared" si="4"/>
        <v>0</v>
      </c>
      <c r="BL611" s="1489"/>
      <c r="BM611" s="3"/>
      <c r="BN611" s="1471">
        <f t="shared" si="5"/>
        <v>0</v>
      </c>
      <c r="BO611" s="1472"/>
      <c r="BP611" s="1472"/>
      <c r="BQ611" s="1472"/>
      <c r="BR611" s="1473"/>
      <c r="BS611" s="1484">
        <f t="shared" si="6"/>
        <v>0</v>
      </c>
      <c r="BT611" s="1484"/>
      <c r="BU611" s="1484"/>
      <c r="BV611" s="1484"/>
      <c r="BW611" s="1484"/>
      <c r="BX611" s="1484">
        <f t="shared" si="7"/>
        <v>0</v>
      </c>
      <c r="BY611" s="1484"/>
      <c r="BZ611" s="1484"/>
      <c r="CA611" s="1484"/>
      <c r="CB611" s="1484"/>
      <c r="CC611" s="1484">
        <f t="shared" si="8"/>
        <v>0</v>
      </c>
      <c r="CD611" s="1484"/>
      <c r="CE611" s="1484"/>
      <c r="CF611" s="1484"/>
      <c r="CG611" s="1484"/>
      <c r="CH611" s="1484">
        <f t="shared" si="9"/>
        <v>0</v>
      </c>
      <c r="CI611" s="1484"/>
      <c r="CJ611" s="1484"/>
      <c r="CK611" s="1484"/>
      <c r="CL611" s="1484"/>
      <c r="CM611" s="1484">
        <f t="shared" si="10"/>
        <v>0</v>
      </c>
      <c r="CN611" s="1484"/>
      <c r="CO611" s="1484"/>
      <c r="CP611" s="1484"/>
      <c r="CQ611" s="1484"/>
      <c r="CR611" s="6"/>
      <c r="CS611" s="1491">
        <f t="shared" si="11"/>
        <v>0</v>
      </c>
      <c r="CT611" s="1491"/>
      <c r="CU611" s="1491"/>
      <c r="CV611" s="1491"/>
      <c r="CW611" s="1491"/>
      <c r="CX611" s="1491">
        <f t="shared" si="12"/>
        <v>0</v>
      </c>
      <c r="CY611" s="1491"/>
      <c r="CZ611" s="1491"/>
      <c r="DA611" s="1491"/>
      <c r="DB611" s="1491"/>
      <c r="DC611" s="1491">
        <f t="shared" si="13"/>
        <v>0</v>
      </c>
      <c r="DD611" s="1491"/>
      <c r="DE611" s="1491"/>
      <c r="DF611" s="1491"/>
      <c r="DG611" s="1491"/>
      <c r="DH611" s="1491">
        <f t="shared" si="14"/>
        <v>0</v>
      </c>
      <c r="DI611" s="1491"/>
      <c r="DJ611" s="1491"/>
      <c r="DK611" s="1491"/>
      <c r="DL611" s="1491"/>
      <c r="DM611" s="1491">
        <f t="shared" si="15"/>
        <v>0</v>
      </c>
      <c r="DN611" s="1491"/>
      <c r="DO611" s="1491"/>
      <c r="DP611" s="1491"/>
      <c r="DQ611" s="1491"/>
      <c r="DR611" s="1491">
        <f t="shared" si="16"/>
        <v>0</v>
      </c>
      <c r="DS611" s="1491"/>
      <c r="DT611" s="1491"/>
      <c r="DU611" s="1491"/>
      <c r="DV611" s="1491"/>
      <c r="DX611" s="1468" t="str">
        <f t="shared" si="17"/>
        <v/>
      </c>
      <c r="DY611" s="1469"/>
      <c r="DZ611" s="1469"/>
      <c r="EA611" s="1469"/>
      <c r="EB611" s="1470"/>
      <c r="EC611" s="1468" t="str">
        <f t="shared" si="18"/>
        <v/>
      </c>
      <c r="ED611" s="1469"/>
      <c r="EE611" s="1469"/>
      <c r="EF611" s="1469"/>
      <c r="EG611" s="1470"/>
      <c r="EH611" s="1468" t="str">
        <f t="shared" si="19"/>
        <v/>
      </c>
      <c r="EI611" s="1469"/>
      <c r="EJ611" s="1469"/>
      <c r="EK611" s="1469"/>
      <c r="EL611" s="1470"/>
      <c r="EM611" s="1468" t="str">
        <f t="shared" si="20"/>
        <v/>
      </c>
      <c r="EN611" s="1469"/>
      <c r="EO611" s="1469"/>
      <c r="EP611" s="1469"/>
      <c r="EQ611" s="1470"/>
      <c r="ER611" s="1468" t="str">
        <f t="shared" si="21"/>
        <v/>
      </c>
      <c r="ES611" s="1469"/>
      <c r="ET611" s="1469"/>
      <c r="EU611" s="1469"/>
      <c r="EV611" s="1470"/>
      <c r="EW611" s="1468" t="str">
        <f t="shared" si="22"/>
        <v/>
      </c>
      <c r="EX611" s="1469"/>
      <c r="EY611" s="1469"/>
      <c r="EZ611" s="1469"/>
      <c r="FA611" s="1470"/>
    </row>
    <row r="612" spans="1:157" ht="12.95" customHeight="1">
      <c r="B612" t="s">
        <v>17</v>
      </c>
      <c r="G612" s="1378"/>
      <c r="H612" s="1378"/>
      <c r="I612" s="1378"/>
      <c r="J612" s="1378"/>
      <c r="K612" s="1378"/>
      <c r="L612" s="1378"/>
      <c r="M612" s="1378"/>
      <c r="N612" s="1378"/>
      <c r="O612" s="1378"/>
      <c r="P612" s="1378"/>
      <c r="Q612" s="1378"/>
      <c r="R612" s="1378"/>
      <c r="U612" t="s">
        <v>17</v>
      </c>
      <c r="Z612" s="1434"/>
      <c r="AA612" s="1434"/>
      <c r="AB612" s="1434"/>
      <c r="AC612" s="1434"/>
      <c r="AD612" s="1434"/>
      <c r="AE612" s="1434"/>
      <c r="AF612" s="1434"/>
      <c r="AG612" s="1434"/>
      <c r="AH612" s="1434"/>
      <c r="AI612" s="1434"/>
      <c r="AJ612" s="1434"/>
      <c r="AK612" s="1434"/>
      <c r="AZ612" s="3"/>
      <c r="BA612" s="3"/>
      <c r="BB612" s="3"/>
      <c r="BC612" s="3"/>
      <c r="BD612" s="3"/>
      <c r="BE612" s="1468">
        <f t="shared" si="1"/>
        <v>0</v>
      </c>
      <c r="BF612" s="1470"/>
      <c r="BG612" s="1487">
        <f t="shared" si="2"/>
        <v>0</v>
      </c>
      <c r="BH612" s="1489"/>
      <c r="BI612" s="1468">
        <f t="shared" si="3"/>
        <v>0</v>
      </c>
      <c r="BJ612" s="1470"/>
      <c r="BK612" s="1487">
        <f t="shared" si="4"/>
        <v>0</v>
      </c>
      <c r="BL612" s="1489"/>
      <c r="BM612" s="3"/>
      <c r="BN612" s="1471">
        <f t="shared" si="5"/>
        <v>0</v>
      </c>
      <c r="BO612" s="1472"/>
      <c r="BP612" s="1472"/>
      <c r="BQ612" s="1472"/>
      <c r="BR612" s="1473"/>
      <c r="BS612" s="1484">
        <f t="shared" si="6"/>
        <v>0</v>
      </c>
      <c r="BT612" s="1484"/>
      <c r="BU612" s="1484"/>
      <c r="BV612" s="1484"/>
      <c r="BW612" s="1484"/>
      <c r="BX612" s="1484">
        <f t="shared" si="7"/>
        <v>0</v>
      </c>
      <c r="BY612" s="1484"/>
      <c r="BZ612" s="1484"/>
      <c r="CA612" s="1484"/>
      <c r="CB612" s="1484"/>
      <c r="CC612" s="1484">
        <f t="shared" si="8"/>
        <v>0</v>
      </c>
      <c r="CD612" s="1484"/>
      <c r="CE612" s="1484"/>
      <c r="CF612" s="1484"/>
      <c r="CG612" s="1484"/>
      <c r="CH612" s="1484">
        <f t="shared" si="9"/>
        <v>0</v>
      </c>
      <c r="CI612" s="1484"/>
      <c r="CJ612" s="1484"/>
      <c r="CK612" s="1484"/>
      <c r="CL612" s="1484"/>
      <c r="CM612" s="1484">
        <f t="shared" si="10"/>
        <v>0</v>
      </c>
      <c r="CN612" s="1484"/>
      <c r="CO612" s="1484"/>
      <c r="CP612" s="1484"/>
      <c r="CQ612" s="1484"/>
      <c r="CR612" s="6"/>
      <c r="CS612" s="1491">
        <f t="shared" si="11"/>
        <v>0</v>
      </c>
      <c r="CT612" s="1491"/>
      <c r="CU612" s="1491"/>
      <c r="CV612" s="1491"/>
      <c r="CW612" s="1491"/>
      <c r="CX612" s="1491">
        <f t="shared" si="12"/>
        <v>0</v>
      </c>
      <c r="CY612" s="1491"/>
      <c r="CZ612" s="1491"/>
      <c r="DA612" s="1491"/>
      <c r="DB612" s="1491"/>
      <c r="DC612" s="1491">
        <f t="shared" si="13"/>
        <v>0</v>
      </c>
      <c r="DD612" s="1491"/>
      <c r="DE612" s="1491"/>
      <c r="DF612" s="1491"/>
      <c r="DG612" s="1491"/>
      <c r="DH612" s="1491">
        <f t="shared" si="14"/>
        <v>0</v>
      </c>
      <c r="DI612" s="1491"/>
      <c r="DJ612" s="1491"/>
      <c r="DK612" s="1491"/>
      <c r="DL612" s="1491"/>
      <c r="DM612" s="1491">
        <f t="shared" si="15"/>
        <v>0</v>
      </c>
      <c r="DN612" s="1491"/>
      <c r="DO612" s="1491"/>
      <c r="DP612" s="1491"/>
      <c r="DQ612" s="1491"/>
      <c r="DR612" s="1491">
        <f t="shared" si="16"/>
        <v>0</v>
      </c>
      <c r="DS612" s="1491"/>
      <c r="DT612" s="1491"/>
      <c r="DU612" s="1491"/>
      <c r="DV612" s="1491"/>
      <c r="DX612" s="1468" t="str">
        <f t="shared" si="17"/>
        <v/>
      </c>
      <c r="DY612" s="1469"/>
      <c r="DZ612" s="1469"/>
      <c r="EA612" s="1469"/>
      <c r="EB612" s="1470"/>
      <c r="EC612" s="1468" t="str">
        <f t="shared" si="18"/>
        <v/>
      </c>
      <c r="ED612" s="1469"/>
      <c r="EE612" s="1469"/>
      <c r="EF612" s="1469"/>
      <c r="EG612" s="1470"/>
      <c r="EH612" s="1468" t="str">
        <f t="shared" si="19"/>
        <v/>
      </c>
      <c r="EI612" s="1469"/>
      <c r="EJ612" s="1469"/>
      <c r="EK612" s="1469"/>
      <c r="EL612" s="1470"/>
      <c r="EM612" s="1468" t="str">
        <f t="shared" si="20"/>
        <v/>
      </c>
      <c r="EN612" s="1469"/>
      <c r="EO612" s="1469"/>
      <c r="EP612" s="1469"/>
      <c r="EQ612" s="1470"/>
      <c r="ER612" s="1468" t="str">
        <f t="shared" si="21"/>
        <v/>
      </c>
      <c r="ES612" s="1469"/>
      <c r="ET612" s="1469"/>
      <c r="EU612" s="1469"/>
      <c r="EV612" s="1470"/>
      <c r="EW612" s="1468" t="str">
        <f t="shared" si="22"/>
        <v/>
      </c>
      <c r="EX612" s="1469"/>
      <c r="EY612" s="1469"/>
      <c r="EZ612" s="1469"/>
      <c r="FA612" s="1470"/>
    </row>
    <row r="613" spans="1:157" ht="12.95" customHeight="1">
      <c r="B613" t="s">
        <v>317</v>
      </c>
      <c r="G613" s="1379"/>
      <c r="H613" s="1379"/>
      <c r="I613" s="1379"/>
      <c r="J613" s="1379"/>
      <c r="K613" s="1379"/>
      <c r="L613" s="1379"/>
      <c r="O613" s="33" t="s">
        <v>207</v>
      </c>
      <c r="P613" s="1455"/>
      <c r="Q613" s="1455"/>
      <c r="R613" s="1455"/>
      <c r="U613" t="s">
        <v>317</v>
      </c>
      <c r="Z613" s="1379"/>
      <c r="AA613" s="1379"/>
      <c r="AB613" s="1379"/>
      <c r="AC613" s="1379"/>
      <c r="AD613" s="1379"/>
      <c r="AE613" s="1379"/>
      <c r="AH613" s="33" t="s">
        <v>207</v>
      </c>
      <c r="AI613" s="1455"/>
      <c r="AJ613" s="1455"/>
      <c r="AK613" s="1455"/>
      <c r="AZ613" s="3"/>
      <c r="BA613" s="3"/>
      <c r="BB613" s="3"/>
      <c r="BC613" s="3"/>
      <c r="BD613" s="3"/>
      <c r="BE613" s="1468">
        <f t="shared" si="1"/>
        <v>0</v>
      </c>
      <c r="BF613" s="1470"/>
      <c r="BG613" s="1487">
        <f t="shared" si="2"/>
        <v>0</v>
      </c>
      <c r="BH613" s="1489"/>
      <c r="BI613" s="1468">
        <f t="shared" si="3"/>
        <v>0</v>
      </c>
      <c r="BJ613" s="1470"/>
      <c r="BK613" s="1487">
        <f t="shared" si="4"/>
        <v>0</v>
      </c>
      <c r="BL613" s="1489"/>
      <c r="BM613" s="3"/>
      <c r="BN613" s="1471">
        <f t="shared" si="5"/>
        <v>0</v>
      </c>
      <c r="BO613" s="1472"/>
      <c r="BP613" s="1472"/>
      <c r="BQ613" s="1472"/>
      <c r="BR613" s="1473"/>
      <c r="BS613" s="1484">
        <f t="shared" si="6"/>
        <v>0</v>
      </c>
      <c r="BT613" s="1484"/>
      <c r="BU613" s="1484"/>
      <c r="BV613" s="1484"/>
      <c r="BW613" s="1484"/>
      <c r="BX613" s="1484">
        <f t="shared" si="7"/>
        <v>0</v>
      </c>
      <c r="BY613" s="1484"/>
      <c r="BZ613" s="1484"/>
      <c r="CA613" s="1484"/>
      <c r="CB613" s="1484"/>
      <c r="CC613" s="1484">
        <f t="shared" si="8"/>
        <v>0</v>
      </c>
      <c r="CD613" s="1484"/>
      <c r="CE613" s="1484"/>
      <c r="CF613" s="1484"/>
      <c r="CG613" s="1484"/>
      <c r="CH613" s="1484">
        <f t="shared" si="9"/>
        <v>0</v>
      </c>
      <c r="CI613" s="1484"/>
      <c r="CJ613" s="1484"/>
      <c r="CK613" s="1484"/>
      <c r="CL613" s="1484"/>
      <c r="CM613" s="1484">
        <f t="shared" si="10"/>
        <v>0</v>
      </c>
      <c r="CN613" s="1484"/>
      <c r="CO613" s="1484"/>
      <c r="CP613" s="1484"/>
      <c r="CQ613" s="1484"/>
      <c r="CR613" s="6"/>
      <c r="CS613" s="1491">
        <f t="shared" si="11"/>
        <v>0</v>
      </c>
      <c r="CT613" s="1491"/>
      <c r="CU613" s="1491"/>
      <c r="CV613" s="1491"/>
      <c r="CW613" s="1491"/>
      <c r="CX613" s="1491">
        <f t="shared" si="12"/>
        <v>0</v>
      </c>
      <c r="CY613" s="1491"/>
      <c r="CZ613" s="1491"/>
      <c r="DA613" s="1491"/>
      <c r="DB613" s="1491"/>
      <c r="DC613" s="1491">
        <f t="shared" si="13"/>
        <v>0</v>
      </c>
      <c r="DD613" s="1491"/>
      <c r="DE613" s="1491"/>
      <c r="DF613" s="1491"/>
      <c r="DG613" s="1491"/>
      <c r="DH613" s="1491">
        <f t="shared" si="14"/>
        <v>0</v>
      </c>
      <c r="DI613" s="1491"/>
      <c r="DJ613" s="1491"/>
      <c r="DK613" s="1491"/>
      <c r="DL613" s="1491"/>
      <c r="DM613" s="1491">
        <f t="shared" si="15"/>
        <v>0</v>
      </c>
      <c r="DN613" s="1491"/>
      <c r="DO613" s="1491"/>
      <c r="DP613" s="1491"/>
      <c r="DQ613" s="1491"/>
      <c r="DR613" s="1491">
        <f t="shared" si="16"/>
        <v>0</v>
      </c>
      <c r="DS613" s="1491"/>
      <c r="DT613" s="1491"/>
      <c r="DU613" s="1491"/>
      <c r="DV613" s="1491"/>
      <c r="DX613" s="1468" t="str">
        <f t="shared" si="17"/>
        <v/>
      </c>
      <c r="DY613" s="1469"/>
      <c r="DZ613" s="1469"/>
      <c r="EA613" s="1469"/>
      <c r="EB613" s="1470"/>
      <c r="EC613" s="1468" t="str">
        <f t="shared" si="18"/>
        <v/>
      </c>
      <c r="ED613" s="1469"/>
      <c r="EE613" s="1469"/>
      <c r="EF613" s="1469"/>
      <c r="EG613" s="1470"/>
      <c r="EH613" s="1468" t="str">
        <f t="shared" si="19"/>
        <v/>
      </c>
      <c r="EI613" s="1469"/>
      <c r="EJ613" s="1469"/>
      <c r="EK613" s="1469"/>
      <c r="EL613" s="1470"/>
      <c r="EM613" s="1468" t="str">
        <f t="shared" si="20"/>
        <v/>
      </c>
      <c r="EN613" s="1469"/>
      <c r="EO613" s="1469"/>
      <c r="EP613" s="1469"/>
      <c r="EQ613" s="1470"/>
      <c r="ER613" s="1468" t="str">
        <f t="shared" si="21"/>
        <v/>
      </c>
      <c r="ES613" s="1469"/>
      <c r="ET613" s="1469"/>
      <c r="EU613" s="1469"/>
      <c r="EV613" s="1470"/>
      <c r="EW613" s="1468" t="str">
        <f t="shared" si="22"/>
        <v/>
      </c>
      <c r="EX613" s="1469"/>
      <c r="EY613" s="1469"/>
      <c r="EZ613" s="1469"/>
      <c r="FA613" s="1470"/>
    </row>
    <row r="614" spans="1:157" ht="12.95" customHeight="1">
      <c r="B614" t="s">
        <v>18</v>
      </c>
      <c r="H614" s="1378"/>
      <c r="I614" s="1378"/>
      <c r="J614" s="1378"/>
      <c r="K614" s="1378"/>
      <c r="L614" s="1378"/>
      <c r="M614" s="1378"/>
      <c r="N614" s="1378"/>
      <c r="O614" s="1378"/>
      <c r="P614" s="1378"/>
      <c r="Q614" s="1378"/>
      <c r="R614" s="1378"/>
      <c r="U614" t="s">
        <v>18</v>
      </c>
      <c r="AA614" s="1378"/>
      <c r="AB614" s="1378"/>
      <c r="AC614" s="1378"/>
      <c r="AD614" s="1378"/>
      <c r="AE614" s="1378"/>
      <c r="AF614" s="1378"/>
      <c r="AG614" s="1378"/>
      <c r="AH614" s="1378"/>
      <c r="AI614" s="1378"/>
      <c r="AJ614" s="1378"/>
      <c r="AK614" s="1378"/>
      <c r="AU614" s="934"/>
      <c r="AV614" s="934"/>
      <c r="AW614" s="934"/>
      <c r="AX614" s="934"/>
      <c r="AY614" s="934"/>
      <c r="AZ614" s="3"/>
      <c r="BA614" s="3"/>
      <c r="BB614" s="3"/>
      <c r="BC614" s="3"/>
      <c r="BD614" s="3"/>
      <c r="BE614" s="1468">
        <f t="shared" si="1"/>
        <v>0</v>
      </c>
      <c r="BF614" s="1470"/>
      <c r="BG614" s="1487">
        <f t="shared" si="2"/>
        <v>0</v>
      </c>
      <c r="BH614" s="1489"/>
      <c r="BI614" s="1468">
        <f t="shared" si="3"/>
        <v>0</v>
      </c>
      <c r="BJ614" s="1470"/>
      <c r="BK614" s="1487">
        <f t="shared" si="4"/>
        <v>0</v>
      </c>
      <c r="BL614" s="1489"/>
      <c r="BM614" s="3"/>
      <c r="BN614" s="1471">
        <f t="shared" si="5"/>
        <v>0</v>
      </c>
      <c r="BO614" s="1472"/>
      <c r="BP614" s="1472"/>
      <c r="BQ614" s="1472"/>
      <c r="BR614" s="1473"/>
      <c r="BS614" s="1484">
        <f t="shared" si="6"/>
        <v>0</v>
      </c>
      <c r="BT614" s="1484"/>
      <c r="BU614" s="1484"/>
      <c r="BV614" s="1484"/>
      <c r="BW614" s="1484"/>
      <c r="BX614" s="1484">
        <f t="shared" si="7"/>
        <v>0</v>
      </c>
      <c r="BY614" s="1484"/>
      <c r="BZ614" s="1484"/>
      <c r="CA614" s="1484"/>
      <c r="CB614" s="1484"/>
      <c r="CC614" s="1484">
        <f t="shared" si="8"/>
        <v>0</v>
      </c>
      <c r="CD614" s="1484"/>
      <c r="CE614" s="1484"/>
      <c r="CF614" s="1484"/>
      <c r="CG614" s="1484"/>
      <c r="CH614" s="1484">
        <f t="shared" si="9"/>
        <v>0</v>
      </c>
      <c r="CI614" s="1484"/>
      <c r="CJ614" s="1484"/>
      <c r="CK614" s="1484"/>
      <c r="CL614" s="1484"/>
      <c r="CM614" s="1484">
        <f t="shared" si="10"/>
        <v>0</v>
      </c>
      <c r="CN614" s="1484"/>
      <c r="CO614" s="1484"/>
      <c r="CP614" s="1484"/>
      <c r="CQ614" s="1484"/>
      <c r="CR614" s="6"/>
      <c r="CS614" s="1491">
        <f t="shared" si="11"/>
        <v>0</v>
      </c>
      <c r="CT614" s="1491"/>
      <c r="CU614" s="1491"/>
      <c r="CV614" s="1491"/>
      <c r="CW614" s="1491"/>
      <c r="CX614" s="1491">
        <f t="shared" si="12"/>
        <v>0</v>
      </c>
      <c r="CY614" s="1491"/>
      <c r="CZ614" s="1491"/>
      <c r="DA614" s="1491"/>
      <c r="DB614" s="1491"/>
      <c r="DC614" s="1491">
        <f t="shared" si="13"/>
        <v>0</v>
      </c>
      <c r="DD614" s="1491"/>
      <c r="DE614" s="1491"/>
      <c r="DF614" s="1491"/>
      <c r="DG614" s="1491"/>
      <c r="DH614" s="1491">
        <f t="shared" si="14"/>
        <v>0</v>
      </c>
      <c r="DI614" s="1491"/>
      <c r="DJ614" s="1491"/>
      <c r="DK614" s="1491"/>
      <c r="DL614" s="1491"/>
      <c r="DM614" s="1491">
        <f t="shared" si="15"/>
        <v>0</v>
      </c>
      <c r="DN614" s="1491"/>
      <c r="DO614" s="1491"/>
      <c r="DP614" s="1491"/>
      <c r="DQ614" s="1491"/>
      <c r="DR614" s="1491">
        <f t="shared" si="16"/>
        <v>0</v>
      </c>
      <c r="DS614" s="1491"/>
      <c r="DT614" s="1491"/>
      <c r="DU614" s="1491"/>
      <c r="DV614" s="1491"/>
      <c r="DX614" s="1468" t="str">
        <f t="shared" si="17"/>
        <v/>
      </c>
      <c r="DY614" s="1469"/>
      <c r="DZ614" s="1469"/>
      <c r="EA614" s="1469"/>
      <c r="EB614" s="1470"/>
      <c r="EC614" s="1468" t="str">
        <f t="shared" si="18"/>
        <v/>
      </c>
      <c r="ED614" s="1469"/>
      <c r="EE614" s="1469"/>
      <c r="EF614" s="1469"/>
      <c r="EG614" s="1470"/>
      <c r="EH614" s="1468" t="str">
        <f t="shared" si="19"/>
        <v/>
      </c>
      <c r="EI614" s="1469"/>
      <c r="EJ614" s="1469"/>
      <c r="EK614" s="1469"/>
      <c r="EL614" s="1470"/>
      <c r="EM614" s="1468" t="str">
        <f t="shared" si="20"/>
        <v/>
      </c>
      <c r="EN614" s="1469"/>
      <c r="EO614" s="1469"/>
      <c r="EP614" s="1469"/>
      <c r="EQ614" s="1470"/>
      <c r="ER614" s="1468" t="str">
        <f t="shared" si="21"/>
        <v/>
      </c>
      <c r="ES614" s="1469"/>
      <c r="ET614" s="1469"/>
      <c r="EU614" s="1469"/>
      <c r="EV614" s="1470"/>
      <c r="EW614" s="1468" t="str">
        <f t="shared" si="22"/>
        <v/>
      </c>
      <c r="EX614" s="1469"/>
      <c r="EY614" s="1469"/>
      <c r="EZ614" s="1469"/>
      <c r="FA614" s="1470"/>
    </row>
    <row r="615" spans="1:157" ht="12.95" customHeight="1">
      <c r="B615" t="s">
        <v>20</v>
      </c>
      <c r="N615" s="1430" t="s">
        <v>677</v>
      </c>
      <c r="O615" s="1430"/>
      <c r="U615" t="s">
        <v>20</v>
      </c>
      <c r="AG615" s="1430" t="s">
        <v>677</v>
      </c>
      <c r="AH615" s="1430"/>
      <c r="AU615" s="934"/>
      <c r="AV615" s="934"/>
      <c r="AW615" s="934"/>
      <c r="AX615" s="934"/>
      <c r="AY615" s="934"/>
      <c r="AZ615" s="3"/>
      <c r="BA615" s="3"/>
      <c r="BB615" s="3"/>
      <c r="BC615" s="3"/>
      <c r="BD615" s="3"/>
      <c r="BE615" s="1468">
        <f t="shared" si="1"/>
        <v>0</v>
      </c>
      <c r="BF615" s="1470"/>
      <c r="BG615" s="1487">
        <f t="shared" si="2"/>
        <v>0</v>
      </c>
      <c r="BH615" s="1489"/>
      <c r="BI615" s="1468">
        <f t="shared" si="3"/>
        <v>0</v>
      </c>
      <c r="BJ615" s="1470"/>
      <c r="BK615" s="1487">
        <f t="shared" si="4"/>
        <v>0</v>
      </c>
      <c r="BL615" s="1489"/>
      <c r="BM615" s="3"/>
      <c r="BN615" s="1471">
        <f t="shared" si="5"/>
        <v>0</v>
      </c>
      <c r="BO615" s="1472"/>
      <c r="BP615" s="1472"/>
      <c r="BQ615" s="1472"/>
      <c r="BR615" s="1473"/>
      <c r="BS615" s="1484">
        <f t="shared" si="6"/>
        <v>0</v>
      </c>
      <c r="BT615" s="1484"/>
      <c r="BU615" s="1484"/>
      <c r="BV615" s="1484"/>
      <c r="BW615" s="1484"/>
      <c r="BX615" s="1484">
        <f t="shared" si="7"/>
        <v>0</v>
      </c>
      <c r="BY615" s="1484"/>
      <c r="BZ615" s="1484"/>
      <c r="CA615" s="1484"/>
      <c r="CB615" s="1484"/>
      <c r="CC615" s="1484">
        <f t="shared" si="8"/>
        <v>0</v>
      </c>
      <c r="CD615" s="1484"/>
      <c r="CE615" s="1484"/>
      <c r="CF615" s="1484"/>
      <c r="CG615" s="1484"/>
      <c r="CH615" s="1484">
        <f t="shared" si="9"/>
        <v>0</v>
      </c>
      <c r="CI615" s="1484"/>
      <c r="CJ615" s="1484"/>
      <c r="CK615" s="1484"/>
      <c r="CL615" s="1484"/>
      <c r="CM615" s="1484">
        <f t="shared" si="10"/>
        <v>0</v>
      </c>
      <c r="CN615" s="1484"/>
      <c r="CO615" s="1484"/>
      <c r="CP615" s="1484"/>
      <c r="CQ615" s="1484"/>
      <c r="CR615" s="6"/>
      <c r="CS615" s="1491">
        <f t="shared" si="11"/>
        <v>0</v>
      </c>
      <c r="CT615" s="1491"/>
      <c r="CU615" s="1491"/>
      <c r="CV615" s="1491"/>
      <c r="CW615" s="1491"/>
      <c r="CX615" s="1491">
        <f t="shared" si="12"/>
        <v>0</v>
      </c>
      <c r="CY615" s="1491"/>
      <c r="CZ615" s="1491"/>
      <c r="DA615" s="1491"/>
      <c r="DB615" s="1491"/>
      <c r="DC615" s="1491">
        <f t="shared" si="13"/>
        <v>0</v>
      </c>
      <c r="DD615" s="1491"/>
      <c r="DE615" s="1491"/>
      <c r="DF615" s="1491"/>
      <c r="DG615" s="1491"/>
      <c r="DH615" s="1491">
        <f t="shared" si="14"/>
        <v>0</v>
      </c>
      <c r="DI615" s="1491"/>
      <c r="DJ615" s="1491"/>
      <c r="DK615" s="1491"/>
      <c r="DL615" s="1491"/>
      <c r="DM615" s="1491">
        <f t="shared" si="15"/>
        <v>0</v>
      </c>
      <c r="DN615" s="1491"/>
      <c r="DO615" s="1491"/>
      <c r="DP615" s="1491"/>
      <c r="DQ615" s="1491"/>
      <c r="DR615" s="1491">
        <f t="shared" si="16"/>
        <v>0</v>
      </c>
      <c r="DS615" s="1491"/>
      <c r="DT615" s="1491"/>
      <c r="DU615" s="1491"/>
      <c r="DV615" s="1491"/>
      <c r="DX615" s="1468" t="str">
        <f t="shared" si="17"/>
        <v/>
      </c>
      <c r="DY615" s="1469"/>
      <c r="DZ615" s="1469"/>
      <c r="EA615" s="1469"/>
      <c r="EB615" s="1470"/>
      <c r="EC615" s="1468" t="str">
        <f t="shared" si="18"/>
        <v/>
      </c>
      <c r="ED615" s="1469"/>
      <c r="EE615" s="1469"/>
      <c r="EF615" s="1469"/>
      <c r="EG615" s="1470"/>
      <c r="EH615" s="1468" t="str">
        <f t="shared" si="19"/>
        <v/>
      </c>
      <c r="EI615" s="1469"/>
      <c r="EJ615" s="1469"/>
      <c r="EK615" s="1469"/>
      <c r="EL615" s="1470"/>
      <c r="EM615" s="1468" t="str">
        <f t="shared" si="20"/>
        <v/>
      </c>
      <c r="EN615" s="1469"/>
      <c r="EO615" s="1469"/>
      <c r="EP615" s="1469"/>
      <c r="EQ615" s="1470"/>
      <c r="ER615" s="1468" t="str">
        <f t="shared" si="21"/>
        <v/>
      </c>
      <c r="ES615" s="1469"/>
      <c r="ET615" s="1469"/>
      <c r="EU615" s="1469"/>
      <c r="EV615" s="1470"/>
      <c r="EW615" s="1468" t="str">
        <f t="shared" si="22"/>
        <v/>
      </c>
      <c r="EX615" s="1469"/>
      <c r="EY615" s="1469"/>
      <c r="EZ615" s="1469"/>
      <c r="FA615" s="1470"/>
    </row>
    <row r="616" spans="1:157" ht="12.95" customHeight="1">
      <c r="AZ616" s="3"/>
      <c r="BA616" s="3"/>
      <c r="BB616" s="3"/>
      <c r="BC616" s="3"/>
      <c r="BD616" s="3"/>
      <c r="BE616" s="1468">
        <f t="shared" si="1"/>
        <v>0</v>
      </c>
      <c r="BF616" s="1470"/>
      <c r="BG616" s="1487">
        <f t="shared" si="2"/>
        <v>0</v>
      </c>
      <c r="BH616" s="1489"/>
      <c r="BI616" s="1468">
        <f t="shared" si="3"/>
        <v>0</v>
      </c>
      <c r="BJ616" s="1470"/>
      <c r="BK616" s="1487">
        <f t="shared" si="4"/>
        <v>0</v>
      </c>
      <c r="BL616" s="1489"/>
      <c r="BM616" s="3"/>
      <c r="BN616" s="1471">
        <f t="shared" si="5"/>
        <v>0</v>
      </c>
      <c r="BO616" s="1472"/>
      <c r="BP616" s="1472"/>
      <c r="BQ616" s="1472"/>
      <c r="BR616" s="1473"/>
      <c r="BS616" s="1484">
        <f t="shared" si="6"/>
        <v>0</v>
      </c>
      <c r="BT616" s="1484"/>
      <c r="BU616" s="1484"/>
      <c r="BV616" s="1484"/>
      <c r="BW616" s="1484"/>
      <c r="BX616" s="1484">
        <f t="shared" si="7"/>
        <v>0</v>
      </c>
      <c r="BY616" s="1484"/>
      <c r="BZ616" s="1484"/>
      <c r="CA616" s="1484"/>
      <c r="CB616" s="1484"/>
      <c r="CC616" s="1484">
        <f t="shared" si="8"/>
        <v>0</v>
      </c>
      <c r="CD616" s="1484"/>
      <c r="CE616" s="1484"/>
      <c r="CF616" s="1484"/>
      <c r="CG616" s="1484"/>
      <c r="CH616" s="1484">
        <f t="shared" si="9"/>
        <v>0</v>
      </c>
      <c r="CI616" s="1484"/>
      <c r="CJ616" s="1484"/>
      <c r="CK616" s="1484"/>
      <c r="CL616" s="1484"/>
      <c r="CM616" s="1484">
        <f t="shared" si="10"/>
        <v>0</v>
      </c>
      <c r="CN616" s="1484"/>
      <c r="CO616" s="1484"/>
      <c r="CP616" s="1484"/>
      <c r="CQ616" s="1484"/>
      <c r="CR616" s="6"/>
      <c r="CS616" s="1491">
        <f t="shared" si="11"/>
        <v>0</v>
      </c>
      <c r="CT616" s="1491"/>
      <c r="CU616" s="1491"/>
      <c r="CV616" s="1491"/>
      <c r="CW616" s="1491"/>
      <c r="CX616" s="1491">
        <f t="shared" si="12"/>
        <v>0</v>
      </c>
      <c r="CY616" s="1491"/>
      <c r="CZ616" s="1491"/>
      <c r="DA616" s="1491"/>
      <c r="DB616" s="1491"/>
      <c r="DC616" s="1491">
        <f t="shared" si="13"/>
        <v>0</v>
      </c>
      <c r="DD616" s="1491"/>
      <c r="DE616" s="1491"/>
      <c r="DF616" s="1491"/>
      <c r="DG616" s="1491"/>
      <c r="DH616" s="1491">
        <f t="shared" si="14"/>
        <v>0</v>
      </c>
      <c r="DI616" s="1491"/>
      <c r="DJ616" s="1491"/>
      <c r="DK616" s="1491"/>
      <c r="DL616" s="1491"/>
      <c r="DM616" s="1491">
        <f t="shared" si="15"/>
        <v>0</v>
      </c>
      <c r="DN616" s="1491"/>
      <c r="DO616" s="1491"/>
      <c r="DP616" s="1491"/>
      <c r="DQ616" s="1491"/>
      <c r="DR616" s="1491">
        <f t="shared" si="16"/>
        <v>0</v>
      </c>
      <c r="DS616" s="1491"/>
      <c r="DT616" s="1491"/>
      <c r="DU616" s="1491"/>
      <c r="DV616" s="1491"/>
      <c r="DX616" s="1468" t="str">
        <f t="shared" si="17"/>
        <v/>
      </c>
      <c r="DY616" s="1469"/>
      <c r="DZ616" s="1469"/>
      <c r="EA616" s="1469"/>
      <c r="EB616" s="1470"/>
      <c r="EC616" s="1468" t="str">
        <f t="shared" si="18"/>
        <v/>
      </c>
      <c r="ED616" s="1469"/>
      <c r="EE616" s="1469"/>
      <c r="EF616" s="1469"/>
      <c r="EG616" s="1470"/>
      <c r="EH616" s="1468" t="str">
        <f t="shared" si="19"/>
        <v/>
      </c>
      <c r="EI616" s="1469"/>
      <c r="EJ616" s="1469"/>
      <c r="EK616" s="1469"/>
      <c r="EL616" s="1470"/>
      <c r="EM616" s="1468" t="str">
        <f t="shared" si="20"/>
        <v/>
      </c>
      <c r="EN616" s="1469"/>
      <c r="EO616" s="1469"/>
      <c r="EP616" s="1469"/>
      <c r="EQ616" s="1470"/>
      <c r="ER616" s="1468" t="str">
        <f t="shared" si="21"/>
        <v/>
      </c>
      <c r="ES616" s="1469"/>
      <c r="ET616" s="1469"/>
      <c r="EU616" s="1469"/>
      <c r="EV616" s="1470"/>
      <c r="EW616" s="1468" t="str">
        <f t="shared" si="22"/>
        <v/>
      </c>
      <c r="EX616" s="1469"/>
      <c r="EY616" s="1469"/>
      <c r="EZ616" s="1469"/>
      <c r="FA616" s="1470"/>
    </row>
    <row r="617" spans="1:157" ht="12.95" customHeight="1">
      <c r="A617" s="1268" t="s">
        <v>552</v>
      </c>
      <c r="B617" s="1268"/>
      <c r="C617" s="1268"/>
      <c r="D617" s="1268"/>
      <c r="E617" s="1268"/>
      <c r="F617" s="1268"/>
      <c r="G617" s="1268"/>
      <c r="H617" s="1268"/>
      <c r="I617" s="1268"/>
      <c r="J617" s="1268"/>
      <c r="K617" s="1268"/>
      <c r="L617" s="1268"/>
      <c r="M617" s="1268"/>
      <c r="N617" s="1268"/>
      <c r="O617" s="1268"/>
      <c r="P617" s="1268"/>
      <c r="Q617" s="1268"/>
      <c r="R617" s="1268"/>
      <c r="S617" s="1268"/>
      <c r="T617" s="1268"/>
      <c r="U617" s="1268"/>
      <c r="V617" s="1268"/>
      <c r="W617" s="1268"/>
      <c r="X617" s="1268"/>
      <c r="Y617" s="1268"/>
      <c r="Z617" s="1268"/>
      <c r="AA617" s="1268"/>
      <c r="AB617" s="1268"/>
      <c r="AC617" s="1268"/>
      <c r="AD617" s="1268"/>
      <c r="AE617" s="1268"/>
      <c r="AF617" s="1268"/>
      <c r="AG617" s="1268"/>
      <c r="AH617" s="1268"/>
      <c r="AI617" s="1268"/>
      <c r="AJ617" s="1268"/>
      <c r="AK617" s="1268"/>
      <c r="AL617" s="1268"/>
      <c r="AM617" s="1268"/>
      <c r="AN617" s="1268"/>
      <c r="AO617" s="1268"/>
      <c r="AP617" s="1268"/>
      <c r="AQ617" s="1268"/>
      <c r="AR617" s="1268"/>
      <c r="AS617" s="1268"/>
      <c r="AT617" s="1268"/>
      <c r="AZ617" s="3"/>
      <c r="BA617" s="3"/>
      <c r="BB617" s="3"/>
      <c r="BC617" s="3"/>
      <c r="BD617" s="3"/>
      <c r="BE617" s="1468">
        <f t="shared" si="1"/>
        <v>0</v>
      </c>
      <c r="BF617" s="1470"/>
      <c r="BG617" s="1487">
        <f t="shared" si="2"/>
        <v>0</v>
      </c>
      <c r="BH617" s="1489"/>
      <c r="BI617" s="1468">
        <f t="shared" si="3"/>
        <v>0</v>
      </c>
      <c r="BJ617" s="1470"/>
      <c r="BK617" s="1487">
        <f t="shared" si="4"/>
        <v>0</v>
      </c>
      <c r="BL617" s="1489"/>
      <c r="BM617" s="3"/>
      <c r="BN617" s="1471">
        <f t="shared" si="5"/>
        <v>0</v>
      </c>
      <c r="BO617" s="1472"/>
      <c r="BP617" s="1472"/>
      <c r="BQ617" s="1472"/>
      <c r="BR617" s="1473"/>
      <c r="BS617" s="1484">
        <f t="shared" si="6"/>
        <v>0</v>
      </c>
      <c r="BT617" s="1484"/>
      <c r="BU617" s="1484"/>
      <c r="BV617" s="1484"/>
      <c r="BW617" s="1484"/>
      <c r="BX617" s="1484">
        <f t="shared" si="7"/>
        <v>0</v>
      </c>
      <c r="BY617" s="1484"/>
      <c r="BZ617" s="1484"/>
      <c r="CA617" s="1484"/>
      <c r="CB617" s="1484"/>
      <c r="CC617" s="1484">
        <f t="shared" si="8"/>
        <v>0</v>
      </c>
      <c r="CD617" s="1484"/>
      <c r="CE617" s="1484"/>
      <c r="CF617" s="1484"/>
      <c r="CG617" s="1484"/>
      <c r="CH617" s="1484">
        <f t="shared" si="9"/>
        <v>0</v>
      </c>
      <c r="CI617" s="1484"/>
      <c r="CJ617" s="1484"/>
      <c r="CK617" s="1484"/>
      <c r="CL617" s="1484"/>
      <c r="CM617" s="1484">
        <f t="shared" si="10"/>
        <v>0</v>
      </c>
      <c r="CN617" s="1484"/>
      <c r="CO617" s="1484"/>
      <c r="CP617" s="1484"/>
      <c r="CQ617" s="1484"/>
      <c r="CR617" s="6"/>
      <c r="CS617" s="1491">
        <f t="shared" si="11"/>
        <v>0</v>
      </c>
      <c r="CT617" s="1491"/>
      <c r="CU617" s="1491"/>
      <c r="CV617" s="1491"/>
      <c r="CW617" s="1491"/>
      <c r="CX617" s="1491">
        <f t="shared" si="12"/>
        <v>0</v>
      </c>
      <c r="CY617" s="1491"/>
      <c r="CZ617" s="1491"/>
      <c r="DA617" s="1491"/>
      <c r="DB617" s="1491"/>
      <c r="DC617" s="1491">
        <f t="shared" si="13"/>
        <v>0</v>
      </c>
      <c r="DD617" s="1491"/>
      <c r="DE617" s="1491"/>
      <c r="DF617" s="1491"/>
      <c r="DG617" s="1491"/>
      <c r="DH617" s="1491">
        <f t="shared" si="14"/>
        <v>0</v>
      </c>
      <c r="DI617" s="1491"/>
      <c r="DJ617" s="1491"/>
      <c r="DK617" s="1491"/>
      <c r="DL617" s="1491"/>
      <c r="DM617" s="1491">
        <f t="shared" si="15"/>
        <v>0</v>
      </c>
      <c r="DN617" s="1491"/>
      <c r="DO617" s="1491"/>
      <c r="DP617" s="1491"/>
      <c r="DQ617" s="1491"/>
      <c r="DR617" s="1491">
        <f t="shared" si="16"/>
        <v>0</v>
      </c>
      <c r="DS617" s="1491"/>
      <c r="DT617" s="1491"/>
      <c r="DU617" s="1491"/>
      <c r="DV617" s="1491"/>
      <c r="DX617" s="1468" t="str">
        <f t="shared" si="17"/>
        <v/>
      </c>
      <c r="DY617" s="1469"/>
      <c r="DZ617" s="1469"/>
      <c r="EA617" s="1469"/>
      <c r="EB617" s="1470"/>
      <c r="EC617" s="1468" t="str">
        <f t="shared" si="18"/>
        <v/>
      </c>
      <c r="ED617" s="1469"/>
      <c r="EE617" s="1469"/>
      <c r="EF617" s="1469"/>
      <c r="EG617" s="1470"/>
      <c r="EH617" s="1468" t="str">
        <f t="shared" si="19"/>
        <v/>
      </c>
      <c r="EI617" s="1469"/>
      <c r="EJ617" s="1469"/>
      <c r="EK617" s="1469"/>
      <c r="EL617" s="1470"/>
      <c r="EM617" s="1468" t="str">
        <f t="shared" si="20"/>
        <v/>
      </c>
      <c r="EN617" s="1469"/>
      <c r="EO617" s="1469"/>
      <c r="EP617" s="1469"/>
      <c r="EQ617" s="1470"/>
      <c r="ER617" s="1468" t="str">
        <f t="shared" si="21"/>
        <v/>
      </c>
      <c r="ES617" s="1469"/>
      <c r="ET617" s="1469"/>
      <c r="EU617" s="1469"/>
      <c r="EV617" s="1470"/>
      <c r="EW617" s="1468" t="str">
        <f t="shared" si="22"/>
        <v/>
      </c>
      <c r="EX617" s="1469"/>
      <c r="EY617" s="1469"/>
      <c r="EZ617" s="1469"/>
      <c r="FA617" s="1470"/>
    </row>
    <row r="618" spans="1:157" ht="12.95" customHeight="1">
      <c r="A618" s="1268"/>
      <c r="B618" s="1268"/>
      <c r="C618" s="1268"/>
      <c r="D618" s="1268"/>
      <c r="E618" s="1268"/>
      <c r="F618" s="1268"/>
      <c r="G618" s="1268"/>
      <c r="H618" s="1268"/>
      <c r="I618" s="1268"/>
      <c r="J618" s="1268"/>
      <c r="K618" s="1268"/>
      <c r="L618" s="1268"/>
      <c r="M618" s="1268"/>
      <c r="N618" s="1268"/>
      <c r="O618" s="1268"/>
      <c r="P618" s="1268"/>
      <c r="Q618" s="1268"/>
      <c r="R618" s="1268"/>
      <c r="S618" s="1268"/>
      <c r="T618" s="1268"/>
      <c r="U618" s="1268"/>
      <c r="V618" s="1268"/>
      <c r="W618" s="1268"/>
      <c r="X618" s="1268"/>
      <c r="Y618" s="1268"/>
      <c r="Z618" s="1268"/>
      <c r="AA618" s="1268"/>
      <c r="AB618" s="1268"/>
      <c r="AC618" s="1268"/>
      <c r="AD618" s="1268"/>
      <c r="AE618" s="1268"/>
      <c r="AF618" s="1268"/>
      <c r="AG618" s="1268"/>
      <c r="AH618" s="1268"/>
      <c r="AI618" s="1268"/>
      <c r="AJ618" s="1268"/>
      <c r="AK618" s="1268"/>
      <c r="AL618" s="1268"/>
      <c r="AM618" s="1268"/>
      <c r="AN618" s="1268"/>
      <c r="AO618" s="1268"/>
      <c r="AP618" s="1268"/>
      <c r="AQ618" s="1268"/>
      <c r="AR618" s="1268"/>
      <c r="AS618" s="1268"/>
      <c r="AT618" s="1268"/>
      <c r="AZ618" s="3"/>
      <c r="BA618" s="3"/>
      <c r="BB618" s="3"/>
      <c r="BC618" s="3"/>
      <c r="BD618" s="3"/>
      <c r="BE618" s="1468">
        <f t="shared" si="1"/>
        <v>0</v>
      </c>
      <c r="BF618" s="1470"/>
      <c r="BG618" s="1487">
        <f t="shared" si="2"/>
        <v>0</v>
      </c>
      <c r="BH618" s="1489"/>
      <c r="BI618" s="1468">
        <f t="shared" si="3"/>
        <v>0</v>
      </c>
      <c r="BJ618" s="1470"/>
      <c r="BK618" s="1487">
        <f t="shared" si="4"/>
        <v>0</v>
      </c>
      <c r="BL618" s="1489"/>
      <c r="BM618" s="3"/>
      <c r="BN618" s="1471">
        <f t="shared" si="5"/>
        <v>0</v>
      </c>
      <c r="BO618" s="1472"/>
      <c r="BP618" s="1472"/>
      <c r="BQ618" s="1472"/>
      <c r="BR618" s="1473"/>
      <c r="BS618" s="1484">
        <f t="shared" si="6"/>
        <v>0</v>
      </c>
      <c r="BT618" s="1484"/>
      <c r="BU618" s="1484"/>
      <c r="BV618" s="1484"/>
      <c r="BW618" s="1484"/>
      <c r="BX618" s="1484">
        <f t="shared" si="7"/>
        <v>0</v>
      </c>
      <c r="BY618" s="1484"/>
      <c r="BZ618" s="1484"/>
      <c r="CA618" s="1484"/>
      <c r="CB618" s="1484"/>
      <c r="CC618" s="1484">
        <f t="shared" si="8"/>
        <v>0</v>
      </c>
      <c r="CD618" s="1484"/>
      <c r="CE618" s="1484"/>
      <c r="CF618" s="1484"/>
      <c r="CG618" s="1484"/>
      <c r="CH618" s="1484">
        <f t="shared" si="9"/>
        <v>0</v>
      </c>
      <c r="CI618" s="1484"/>
      <c r="CJ618" s="1484"/>
      <c r="CK618" s="1484"/>
      <c r="CL618" s="1484"/>
      <c r="CM618" s="1484">
        <f t="shared" si="10"/>
        <v>0</v>
      </c>
      <c r="CN618" s="1484"/>
      <c r="CO618" s="1484"/>
      <c r="CP618" s="1484"/>
      <c r="CQ618" s="1484"/>
      <c r="CR618" s="6"/>
      <c r="CS618" s="1491">
        <f t="shared" si="11"/>
        <v>0</v>
      </c>
      <c r="CT618" s="1491"/>
      <c r="CU618" s="1491"/>
      <c r="CV618" s="1491"/>
      <c r="CW618" s="1491"/>
      <c r="CX618" s="1491">
        <f t="shared" si="12"/>
        <v>0</v>
      </c>
      <c r="CY618" s="1491"/>
      <c r="CZ618" s="1491"/>
      <c r="DA618" s="1491"/>
      <c r="DB618" s="1491"/>
      <c r="DC618" s="1491">
        <f t="shared" si="13"/>
        <v>0</v>
      </c>
      <c r="DD618" s="1491"/>
      <c r="DE618" s="1491"/>
      <c r="DF618" s="1491"/>
      <c r="DG618" s="1491"/>
      <c r="DH618" s="1491">
        <f t="shared" si="14"/>
        <v>0</v>
      </c>
      <c r="DI618" s="1491"/>
      <c r="DJ618" s="1491"/>
      <c r="DK618" s="1491"/>
      <c r="DL618" s="1491"/>
      <c r="DM618" s="1491">
        <f t="shared" si="15"/>
        <v>0</v>
      </c>
      <c r="DN618" s="1491"/>
      <c r="DO618" s="1491"/>
      <c r="DP618" s="1491"/>
      <c r="DQ618" s="1491"/>
      <c r="DR618" s="1491">
        <f t="shared" si="16"/>
        <v>0</v>
      </c>
      <c r="DS618" s="1491"/>
      <c r="DT618" s="1491"/>
      <c r="DU618" s="1491"/>
      <c r="DV618" s="1491"/>
      <c r="DX618" s="1468" t="str">
        <f t="shared" si="17"/>
        <v/>
      </c>
      <c r="DY618" s="1469"/>
      <c r="DZ618" s="1469"/>
      <c r="EA618" s="1469"/>
      <c r="EB618" s="1470"/>
      <c r="EC618" s="1468" t="str">
        <f t="shared" si="18"/>
        <v/>
      </c>
      <c r="ED618" s="1469"/>
      <c r="EE618" s="1469"/>
      <c r="EF618" s="1469"/>
      <c r="EG618" s="1470"/>
      <c r="EH618" s="1468" t="str">
        <f t="shared" si="19"/>
        <v/>
      </c>
      <c r="EI618" s="1469"/>
      <c r="EJ618" s="1469"/>
      <c r="EK618" s="1469"/>
      <c r="EL618" s="1470"/>
      <c r="EM618" s="1468" t="str">
        <f t="shared" si="20"/>
        <v/>
      </c>
      <c r="EN618" s="1469"/>
      <c r="EO618" s="1469"/>
      <c r="EP618" s="1469"/>
      <c r="EQ618" s="1470"/>
      <c r="ER618" s="1468" t="str">
        <f t="shared" si="21"/>
        <v/>
      </c>
      <c r="ES618" s="1469"/>
      <c r="ET618" s="1469"/>
      <c r="EU618" s="1469"/>
      <c r="EV618" s="1470"/>
      <c r="EW618" s="1468" t="str">
        <f t="shared" si="22"/>
        <v/>
      </c>
      <c r="EX618" s="1469"/>
      <c r="EY618" s="1469"/>
      <c r="EZ618" s="1469"/>
      <c r="FA618" s="1470"/>
    </row>
    <row r="619" spans="1:157" ht="12.95" customHeight="1">
      <c r="AZ619" s="3"/>
      <c r="BA619" s="3"/>
      <c r="BB619" s="3"/>
      <c r="BC619" s="3"/>
      <c r="BD619" s="3"/>
      <c r="BE619" s="1468">
        <f t="shared" si="1"/>
        <v>0</v>
      </c>
      <c r="BF619" s="1470"/>
      <c r="BG619" s="1487">
        <f t="shared" si="2"/>
        <v>0</v>
      </c>
      <c r="BH619" s="1489"/>
      <c r="BI619" s="1468">
        <f t="shared" si="3"/>
        <v>0</v>
      </c>
      <c r="BJ619" s="1470"/>
      <c r="BK619" s="1487">
        <f t="shared" si="4"/>
        <v>0</v>
      </c>
      <c r="BL619" s="1489"/>
      <c r="BM619" s="3"/>
      <c r="BN619" s="1471">
        <f t="shared" si="5"/>
        <v>0</v>
      </c>
      <c r="BO619" s="1472"/>
      <c r="BP619" s="1472"/>
      <c r="BQ619" s="1472"/>
      <c r="BR619" s="1473"/>
      <c r="BS619" s="1484">
        <f t="shared" si="6"/>
        <v>0</v>
      </c>
      <c r="BT619" s="1484"/>
      <c r="BU619" s="1484"/>
      <c r="BV619" s="1484"/>
      <c r="BW619" s="1484"/>
      <c r="BX619" s="1484">
        <f t="shared" si="7"/>
        <v>0</v>
      </c>
      <c r="BY619" s="1484"/>
      <c r="BZ619" s="1484"/>
      <c r="CA619" s="1484"/>
      <c r="CB619" s="1484"/>
      <c r="CC619" s="1484">
        <f t="shared" si="8"/>
        <v>0</v>
      </c>
      <c r="CD619" s="1484"/>
      <c r="CE619" s="1484"/>
      <c r="CF619" s="1484"/>
      <c r="CG619" s="1484"/>
      <c r="CH619" s="1484">
        <f t="shared" si="9"/>
        <v>0</v>
      </c>
      <c r="CI619" s="1484"/>
      <c r="CJ619" s="1484"/>
      <c r="CK619" s="1484"/>
      <c r="CL619" s="1484"/>
      <c r="CM619" s="1484">
        <f t="shared" si="10"/>
        <v>0</v>
      </c>
      <c r="CN619" s="1484"/>
      <c r="CO619" s="1484"/>
      <c r="CP619" s="1484"/>
      <c r="CQ619" s="1484"/>
      <c r="CR619" s="6"/>
      <c r="CS619" s="1491">
        <f t="shared" si="11"/>
        <v>0</v>
      </c>
      <c r="CT619" s="1491"/>
      <c r="CU619" s="1491"/>
      <c r="CV619" s="1491"/>
      <c r="CW619" s="1491"/>
      <c r="CX619" s="1491">
        <f t="shared" si="12"/>
        <v>0</v>
      </c>
      <c r="CY619" s="1491"/>
      <c r="CZ619" s="1491"/>
      <c r="DA619" s="1491"/>
      <c r="DB619" s="1491"/>
      <c r="DC619" s="1491">
        <f t="shared" si="13"/>
        <v>0</v>
      </c>
      <c r="DD619" s="1491"/>
      <c r="DE619" s="1491"/>
      <c r="DF619" s="1491"/>
      <c r="DG619" s="1491"/>
      <c r="DH619" s="1491">
        <f t="shared" si="14"/>
        <v>0</v>
      </c>
      <c r="DI619" s="1491"/>
      <c r="DJ619" s="1491"/>
      <c r="DK619" s="1491"/>
      <c r="DL619" s="1491"/>
      <c r="DM619" s="1491">
        <f t="shared" si="15"/>
        <v>0</v>
      </c>
      <c r="DN619" s="1491"/>
      <c r="DO619" s="1491"/>
      <c r="DP619" s="1491"/>
      <c r="DQ619" s="1491"/>
      <c r="DR619" s="1491">
        <f t="shared" si="16"/>
        <v>0</v>
      </c>
      <c r="DS619" s="1491"/>
      <c r="DT619" s="1491"/>
      <c r="DU619" s="1491"/>
      <c r="DV619" s="1491"/>
      <c r="DX619" s="1468" t="str">
        <f t="shared" si="17"/>
        <v/>
      </c>
      <c r="DY619" s="1469"/>
      <c r="DZ619" s="1469"/>
      <c r="EA619" s="1469"/>
      <c r="EB619" s="1470"/>
      <c r="EC619" s="1468" t="str">
        <f t="shared" si="18"/>
        <v/>
      </c>
      <c r="ED619" s="1469"/>
      <c r="EE619" s="1469"/>
      <c r="EF619" s="1469"/>
      <c r="EG619" s="1470"/>
      <c r="EH619" s="1468" t="str">
        <f t="shared" si="19"/>
        <v/>
      </c>
      <c r="EI619" s="1469"/>
      <c r="EJ619" s="1469"/>
      <c r="EK619" s="1469"/>
      <c r="EL619" s="1470"/>
      <c r="EM619" s="1468" t="str">
        <f t="shared" si="20"/>
        <v/>
      </c>
      <c r="EN619" s="1469"/>
      <c r="EO619" s="1469"/>
      <c r="EP619" s="1469"/>
      <c r="EQ619" s="1470"/>
      <c r="ER619" s="1468" t="str">
        <f t="shared" si="21"/>
        <v/>
      </c>
      <c r="ES619" s="1469"/>
      <c r="ET619" s="1469"/>
      <c r="EU619" s="1469"/>
      <c r="EV619" s="1470"/>
      <c r="EW619" s="1468" t="str">
        <f t="shared" si="22"/>
        <v/>
      </c>
      <c r="EX619" s="1469"/>
      <c r="EY619" s="1469"/>
      <c r="EZ619" s="1469"/>
      <c r="FA619" s="1470"/>
    </row>
    <row r="620" spans="1:157" ht="12.95" customHeight="1">
      <c r="A620" s="2" t="s">
        <v>320</v>
      </c>
      <c r="B620" s="2"/>
      <c r="C620" s="2" t="s">
        <v>21</v>
      </c>
      <c r="AZ620" s="3"/>
      <c r="BA620" s="3"/>
      <c r="BB620" s="3"/>
      <c r="BC620" s="3"/>
      <c r="BD620" s="3"/>
      <c r="BE620" s="1468">
        <f t="shared" si="1"/>
        <v>0</v>
      </c>
      <c r="BF620" s="1470"/>
      <c r="BG620" s="1487">
        <f t="shared" si="2"/>
        <v>0</v>
      </c>
      <c r="BH620" s="1489"/>
      <c r="BI620" s="1468">
        <f t="shared" si="3"/>
        <v>0</v>
      </c>
      <c r="BJ620" s="1470"/>
      <c r="BK620" s="1487">
        <f t="shared" si="4"/>
        <v>0</v>
      </c>
      <c r="BL620" s="1489"/>
      <c r="BM620" s="3"/>
      <c r="BN620" s="1471">
        <f t="shared" si="5"/>
        <v>0</v>
      </c>
      <c r="BO620" s="1472"/>
      <c r="BP620" s="1472"/>
      <c r="BQ620" s="1472"/>
      <c r="BR620" s="1473"/>
      <c r="BS620" s="1484">
        <f t="shared" si="6"/>
        <v>0</v>
      </c>
      <c r="BT620" s="1484"/>
      <c r="BU620" s="1484"/>
      <c r="BV620" s="1484"/>
      <c r="BW620" s="1484"/>
      <c r="BX620" s="1484">
        <f t="shared" si="7"/>
        <v>0</v>
      </c>
      <c r="BY620" s="1484"/>
      <c r="BZ620" s="1484"/>
      <c r="CA620" s="1484"/>
      <c r="CB620" s="1484"/>
      <c r="CC620" s="1484">
        <f t="shared" si="8"/>
        <v>0</v>
      </c>
      <c r="CD620" s="1484"/>
      <c r="CE620" s="1484"/>
      <c r="CF620" s="1484"/>
      <c r="CG620" s="1484"/>
      <c r="CH620" s="1484">
        <f t="shared" si="9"/>
        <v>0</v>
      </c>
      <c r="CI620" s="1484"/>
      <c r="CJ620" s="1484"/>
      <c r="CK620" s="1484"/>
      <c r="CL620" s="1484"/>
      <c r="CM620" s="1484">
        <f t="shared" si="10"/>
        <v>0</v>
      </c>
      <c r="CN620" s="1484"/>
      <c r="CO620" s="1484"/>
      <c r="CP620" s="1484"/>
      <c r="CQ620" s="1484"/>
      <c r="CR620" s="6"/>
      <c r="CS620" s="1491">
        <f t="shared" si="11"/>
        <v>0</v>
      </c>
      <c r="CT620" s="1491"/>
      <c r="CU620" s="1491"/>
      <c r="CV620" s="1491"/>
      <c r="CW620" s="1491"/>
      <c r="CX620" s="1491">
        <f t="shared" si="12"/>
        <v>0</v>
      </c>
      <c r="CY620" s="1491"/>
      <c r="CZ620" s="1491"/>
      <c r="DA620" s="1491"/>
      <c r="DB620" s="1491"/>
      <c r="DC620" s="1491">
        <f t="shared" si="13"/>
        <v>0</v>
      </c>
      <c r="DD620" s="1491"/>
      <c r="DE620" s="1491"/>
      <c r="DF620" s="1491"/>
      <c r="DG620" s="1491"/>
      <c r="DH620" s="1491">
        <f t="shared" si="14"/>
        <v>0</v>
      </c>
      <c r="DI620" s="1491"/>
      <c r="DJ620" s="1491"/>
      <c r="DK620" s="1491"/>
      <c r="DL620" s="1491"/>
      <c r="DM620" s="1491">
        <f t="shared" si="15"/>
        <v>0</v>
      </c>
      <c r="DN620" s="1491"/>
      <c r="DO620" s="1491"/>
      <c r="DP620" s="1491"/>
      <c r="DQ620" s="1491"/>
      <c r="DR620" s="1491">
        <f t="shared" si="16"/>
        <v>0</v>
      </c>
      <c r="DS620" s="1491"/>
      <c r="DT620" s="1491"/>
      <c r="DU620" s="1491"/>
      <c r="DV620" s="1491"/>
      <c r="DX620" s="1468" t="str">
        <f t="shared" si="17"/>
        <v/>
      </c>
      <c r="DY620" s="1469"/>
      <c r="DZ620" s="1469"/>
      <c r="EA620" s="1469"/>
      <c r="EB620" s="1470"/>
      <c r="EC620" s="1468" t="str">
        <f t="shared" si="18"/>
        <v/>
      </c>
      <c r="ED620" s="1469"/>
      <c r="EE620" s="1469"/>
      <c r="EF620" s="1469"/>
      <c r="EG620" s="1470"/>
      <c r="EH620" s="1468" t="str">
        <f t="shared" si="19"/>
        <v/>
      </c>
      <c r="EI620" s="1469"/>
      <c r="EJ620" s="1469"/>
      <c r="EK620" s="1469"/>
      <c r="EL620" s="1470"/>
      <c r="EM620" s="1468" t="str">
        <f t="shared" si="20"/>
        <v/>
      </c>
      <c r="EN620" s="1469"/>
      <c r="EO620" s="1469"/>
      <c r="EP620" s="1469"/>
      <c r="EQ620" s="1470"/>
      <c r="ER620" s="1468" t="str">
        <f t="shared" si="21"/>
        <v/>
      </c>
      <c r="ES620" s="1469"/>
      <c r="ET620" s="1469"/>
      <c r="EU620" s="1469"/>
      <c r="EV620" s="1470"/>
      <c r="EW620" s="1468" t="str">
        <f t="shared" si="22"/>
        <v/>
      </c>
      <c r="EX620" s="1469"/>
      <c r="EY620" s="1469"/>
      <c r="EZ620" s="1469"/>
      <c r="FA620" s="1470"/>
    </row>
    <row r="621" spans="1:157" ht="12.95" customHeight="1">
      <c r="A621" s="2"/>
      <c r="B621" s="2"/>
      <c r="C621" s="2"/>
      <c r="AZ621" s="3"/>
      <c r="BA621" s="3"/>
      <c r="BB621" s="3"/>
      <c r="BC621" s="3"/>
      <c r="BD621" s="3"/>
      <c r="BE621" s="1468">
        <f t="shared" si="1"/>
        <v>0</v>
      </c>
      <c r="BF621" s="1470"/>
      <c r="BG621" s="1487">
        <f t="shared" si="2"/>
        <v>0</v>
      </c>
      <c r="BH621" s="1489"/>
      <c r="BI621" s="1468">
        <f t="shared" si="3"/>
        <v>0</v>
      </c>
      <c r="BJ621" s="1470"/>
      <c r="BK621" s="1487">
        <f t="shared" si="4"/>
        <v>0</v>
      </c>
      <c r="BL621" s="1489"/>
      <c r="BM621" s="3"/>
      <c r="BN621" s="1471">
        <f t="shared" si="5"/>
        <v>0</v>
      </c>
      <c r="BO621" s="1472"/>
      <c r="BP621" s="1472"/>
      <c r="BQ621" s="1472"/>
      <c r="BR621" s="1473"/>
      <c r="BS621" s="1484">
        <f t="shared" si="6"/>
        <v>0</v>
      </c>
      <c r="BT621" s="1484"/>
      <c r="BU621" s="1484"/>
      <c r="BV621" s="1484"/>
      <c r="BW621" s="1484"/>
      <c r="BX621" s="1484">
        <f t="shared" si="7"/>
        <v>0</v>
      </c>
      <c r="BY621" s="1484"/>
      <c r="BZ621" s="1484"/>
      <c r="CA621" s="1484"/>
      <c r="CB621" s="1484"/>
      <c r="CC621" s="1484">
        <f t="shared" si="8"/>
        <v>0</v>
      </c>
      <c r="CD621" s="1484"/>
      <c r="CE621" s="1484"/>
      <c r="CF621" s="1484"/>
      <c r="CG621" s="1484"/>
      <c r="CH621" s="1484">
        <f t="shared" si="9"/>
        <v>0</v>
      </c>
      <c r="CI621" s="1484"/>
      <c r="CJ621" s="1484"/>
      <c r="CK621" s="1484"/>
      <c r="CL621" s="1484"/>
      <c r="CM621" s="1484">
        <f t="shared" si="10"/>
        <v>0</v>
      </c>
      <c r="CN621" s="1484"/>
      <c r="CO621" s="1484"/>
      <c r="CP621" s="1484"/>
      <c r="CQ621" s="1484"/>
      <c r="CR621" s="6"/>
      <c r="CS621" s="1491">
        <f t="shared" si="11"/>
        <v>0</v>
      </c>
      <c r="CT621" s="1491"/>
      <c r="CU621" s="1491"/>
      <c r="CV621" s="1491"/>
      <c r="CW621" s="1491"/>
      <c r="CX621" s="1491">
        <f t="shared" si="12"/>
        <v>0</v>
      </c>
      <c r="CY621" s="1491"/>
      <c r="CZ621" s="1491"/>
      <c r="DA621" s="1491"/>
      <c r="DB621" s="1491"/>
      <c r="DC621" s="1491">
        <f t="shared" si="13"/>
        <v>0</v>
      </c>
      <c r="DD621" s="1491"/>
      <c r="DE621" s="1491"/>
      <c r="DF621" s="1491"/>
      <c r="DG621" s="1491"/>
      <c r="DH621" s="1491">
        <f t="shared" si="14"/>
        <v>0</v>
      </c>
      <c r="DI621" s="1491"/>
      <c r="DJ621" s="1491"/>
      <c r="DK621" s="1491"/>
      <c r="DL621" s="1491"/>
      <c r="DM621" s="1491">
        <f t="shared" si="15"/>
        <v>0</v>
      </c>
      <c r="DN621" s="1491"/>
      <c r="DO621" s="1491"/>
      <c r="DP621" s="1491"/>
      <c r="DQ621" s="1491"/>
      <c r="DR621" s="1491">
        <f t="shared" si="16"/>
        <v>0</v>
      </c>
      <c r="DS621" s="1491"/>
      <c r="DT621" s="1491"/>
      <c r="DU621" s="1491"/>
      <c r="DV621" s="1491"/>
      <c r="DX621" s="1468" t="str">
        <f t="shared" si="17"/>
        <v/>
      </c>
      <c r="DY621" s="1469"/>
      <c r="DZ621" s="1469"/>
      <c r="EA621" s="1469"/>
      <c r="EB621" s="1470"/>
      <c r="EC621" s="1468" t="str">
        <f t="shared" si="18"/>
        <v/>
      </c>
      <c r="ED621" s="1469"/>
      <c r="EE621" s="1469"/>
      <c r="EF621" s="1469"/>
      <c r="EG621" s="1470"/>
      <c r="EH621" s="1468" t="str">
        <f t="shared" si="19"/>
        <v/>
      </c>
      <c r="EI621" s="1469"/>
      <c r="EJ621" s="1469"/>
      <c r="EK621" s="1469"/>
      <c r="EL621" s="1470"/>
      <c r="EM621" s="1468" t="str">
        <f t="shared" si="20"/>
        <v/>
      </c>
      <c r="EN621" s="1469"/>
      <c r="EO621" s="1469"/>
      <c r="EP621" s="1469"/>
      <c r="EQ621" s="1470"/>
      <c r="ER621" s="1468" t="str">
        <f t="shared" si="21"/>
        <v/>
      </c>
      <c r="ES621" s="1469"/>
      <c r="ET621" s="1469"/>
      <c r="EU621" s="1469"/>
      <c r="EV621" s="1470"/>
      <c r="EW621" s="1468" t="str">
        <f t="shared" si="22"/>
        <v/>
      </c>
      <c r="EX621" s="1469"/>
      <c r="EY621" s="1469"/>
      <c r="EZ621" s="1469"/>
      <c r="FA621" s="1470"/>
    </row>
    <row r="622" spans="1:157" ht="12.95" customHeight="1">
      <c r="C622" s="2" t="s">
        <v>2420</v>
      </c>
      <c r="AZ622" s="3"/>
      <c r="BA622" s="3"/>
      <c r="BB622" s="3"/>
      <c r="BC622" s="3"/>
      <c r="BD622" s="3"/>
      <c r="BE622" s="1468">
        <f t="shared" si="1"/>
        <v>0</v>
      </c>
      <c r="BF622" s="1470"/>
      <c r="BG622" s="1487">
        <f t="shared" si="2"/>
        <v>0</v>
      </c>
      <c r="BH622" s="1489"/>
      <c r="BI622" s="1468">
        <f t="shared" si="3"/>
        <v>0</v>
      </c>
      <c r="BJ622" s="1470"/>
      <c r="BK622" s="1487">
        <f t="shared" si="4"/>
        <v>0</v>
      </c>
      <c r="BL622" s="1489"/>
      <c r="BM622" s="3"/>
      <c r="BN622" s="1471">
        <f t="shared" si="5"/>
        <v>0</v>
      </c>
      <c r="BO622" s="1472"/>
      <c r="BP622" s="1472"/>
      <c r="BQ622" s="1472"/>
      <c r="BR622" s="1473"/>
      <c r="BS622" s="1484">
        <f t="shared" si="6"/>
        <v>0</v>
      </c>
      <c r="BT622" s="1484"/>
      <c r="BU622" s="1484"/>
      <c r="BV622" s="1484"/>
      <c r="BW622" s="1484"/>
      <c r="BX622" s="1484">
        <f t="shared" si="7"/>
        <v>0</v>
      </c>
      <c r="BY622" s="1484"/>
      <c r="BZ622" s="1484"/>
      <c r="CA622" s="1484"/>
      <c r="CB622" s="1484"/>
      <c r="CC622" s="1484">
        <f t="shared" si="8"/>
        <v>0</v>
      </c>
      <c r="CD622" s="1484"/>
      <c r="CE622" s="1484"/>
      <c r="CF622" s="1484"/>
      <c r="CG622" s="1484"/>
      <c r="CH622" s="1484">
        <f t="shared" si="9"/>
        <v>0</v>
      </c>
      <c r="CI622" s="1484"/>
      <c r="CJ622" s="1484"/>
      <c r="CK622" s="1484"/>
      <c r="CL622" s="1484"/>
      <c r="CM622" s="1484">
        <f t="shared" si="10"/>
        <v>0</v>
      </c>
      <c r="CN622" s="1484"/>
      <c r="CO622" s="1484"/>
      <c r="CP622" s="1484"/>
      <c r="CQ622" s="1484"/>
      <c r="CR622" s="6"/>
      <c r="CS622" s="1491">
        <f t="shared" si="11"/>
        <v>0</v>
      </c>
      <c r="CT622" s="1491"/>
      <c r="CU622" s="1491"/>
      <c r="CV622" s="1491"/>
      <c r="CW622" s="1491"/>
      <c r="CX622" s="1491">
        <f t="shared" si="12"/>
        <v>0</v>
      </c>
      <c r="CY622" s="1491"/>
      <c r="CZ622" s="1491"/>
      <c r="DA622" s="1491"/>
      <c r="DB622" s="1491"/>
      <c r="DC622" s="1491">
        <f t="shared" si="13"/>
        <v>0</v>
      </c>
      <c r="DD622" s="1491"/>
      <c r="DE622" s="1491"/>
      <c r="DF622" s="1491"/>
      <c r="DG622" s="1491"/>
      <c r="DH622" s="1491">
        <f t="shared" si="14"/>
        <v>0</v>
      </c>
      <c r="DI622" s="1491"/>
      <c r="DJ622" s="1491"/>
      <c r="DK622" s="1491"/>
      <c r="DL622" s="1491"/>
      <c r="DM622" s="1491">
        <f t="shared" si="15"/>
        <v>0</v>
      </c>
      <c r="DN622" s="1491"/>
      <c r="DO622" s="1491"/>
      <c r="DP622" s="1491"/>
      <c r="DQ622" s="1491"/>
      <c r="DR622" s="1491">
        <f t="shared" si="16"/>
        <v>0</v>
      </c>
      <c r="DS622" s="1491"/>
      <c r="DT622" s="1491"/>
      <c r="DU622" s="1491"/>
      <c r="DV622" s="1491"/>
      <c r="DX622" s="1468" t="str">
        <f t="shared" si="17"/>
        <v/>
      </c>
      <c r="DY622" s="1469"/>
      <c r="DZ622" s="1469"/>
      <c r="EA622" s="1469"/>
      <c r="EB622" s="1470"/>
      <c r="EC622" s="1468" t="str">
        <f t="shared" si="18"/>
        <v/>
      </c>
      <c r="ED622" s="1469"/>
      <c r="EE622" s="1469"/>
      <c r="EF622" s="1469"/>
      <c r="EG622" s="1470"/>
      <c r="EH622" s="1468" t="str">
        <f t="shared" si="19"/>
        <v/>
      </c>
      <c r="EI622" s="1469"/>
      <c r="EJ622" s="1469"/>
      <c r="EK622" s="1469"/>
      <c r="EL622" s="1470"/>
      <c r="EM622" s="1468" t="str">
        <f t="shared" si="20"/>
        <v/>
      </c>
      <c r="EN622" s="1469"/>
      <c r="EO622" s="1469"/>
      <c r="EP622" s="1469"/>
      <c r="EQ622" s="1470"/>
      <c r="ER622" s="1468" t="str">
        <f t="shared" si="21"/>
        <v/>
      </c>
      <c r="ES622" s="1469"/>
      <c r="ET622" s="1469"/>
      <c r="EU622" s="1469"/>
      <c r="EV622" s="1470"/>
      <c r="EW622" s="1468" t="str">
        <f t="shared" si="22"/>
        <v/>
      </c>
      <c r="EX622" s="1469"/>
      <c r="EY622" s="1469"/>
      <c r="EZ622" s="1469"/>
      <c r="FA622" s="1470"/>
    </row>
    <row r="623" spans="1:157" ht="12.95" customHeight="1">
      <c r="B623" s="546"/>
      <c r="C623" s="2"/>
      <c r="AU623" s="3"/>
      <c r="AZ623" s="3"/>
      <c r="BA623" s="3"/>
      <c r="BB623" s="3"/>
      <c r="BC623" s="3"/>
      <c r="BD623" s="3"/>
      <c r="BE623" s="1468">
        <f t="shared" si="1"/>
        <v>0</v>
      </c>
      <c r="BF623" s="1470"/>
      <c r="BG623" s="1487">
        <f t="shared" si="2"/>
        <v>0</v>
      </c>
      <c r="BH623" s="1489"/>
      <c r="BI623" s="1468">
        <f t="shared" si="3"/>
        <v>0</v>
      </c>
      <c r="BJ623" s="1470"/>
      <c r="BK623" s="1487">
        <f t="shared" si="4"/>
        <v>0</v>
      </c>
      <c r="BL623" s="1489"/>
      <c r="BM623" s="3"/>
      <c r="BN623" s="1471">
        <f t="shared" si="5"/>
        <v>0</v>
      </c>
      <c r="BO623" s="1472"/>
      <c r="BP623" s="1472"/>
      <c r="BQ623" s="1472"/>
      <c r="BR623" s="1473"/>
      <c r="BS623" s="1484">
        <f t="shared" si="6"/>
        <v>0</v>
      </c>
      <c r="BT623" s="1484"/>
      <c r="BU623" s="1484"/>
      <c r="BV623" s="1484"/>
      <c r="BW623" s="1484"/>
      <c r="BX623" s="1484">
        <f t="shared" si="7"/>
        <v>0</v>
      </c>
      <c r="BY623" s="1484"/>
      <c r="BZ623" s="1484"/>
      <c r="CA623" s="1484"/>
      <c r="CB623" s="1484"/>
      <c r="CC623" s="1484">
        <f t="shared" si="8"/>
        <v>0</v>
      </c>
      <c r="CD623" s="1484"/>
      <c r="CE623" s="1484"/>
      <c r="CF623" s="1484"/>
      <c r="CG623" s="1484"/>
      <c r="CH623" s="1484">
        <f t="shared" si="9"/>
        <v>0</v>
      </c>
      <c r="CI623" s="1484"/>
      <c r="CJ623" s="1484"/>
      <c r="CK623" s="1484"/>
      <c r="CL623" s="1484"/>
      <c r="CM623" s="1484">
        <f t="shared" si="10"/>
        <v>0</v>
      </c>
      <c r="CN623" s="1484"/>
      <c r="CO623" s="1484"/>
      <c r="CP623" s="1484"/>
      <c r="CQ623" s="1484"/>
      <c r="CR623" s="6"/>
      <c r="CS623" s="1491">
        <f t="shared" si="11"/>
        <v>0</v>
      </c>
      <c r="CT623" s="1491"/>
      <c r="CU623" s="1491"/>
      <c r="CV623" s="1491"/>
      <c r="CW623" s="1491"/>
      <c r="CX623" s="1491">
        <f t="shared" si="12"/>
        <v>0</v>
      </c>
      <c r="CY623" s="1491"/>
      <c r="CZ623" s="1491"/>
      <c r="DA623" s="1491"/>
      <c r="DB623" s="1491"/>
      <c r="DC623" s="1491">
        <f t="shared" si="13"/>
        <v>0</v>
      </c>
      <c r="DD623" s="1491"/>
      <c r="DE623" s="1491"/>
      <c r="DF623" s="1491"/>
      <c r="DG623" s="1491"/>
      <c r="DH623" s="1491">
        <f t="shared" si="14"/>
        <v>0</v>
      </c>
      <c r="DI623" s="1491"/>
      <c r="DJ623" s="1491"/>
      <c r="DK623" s="1491"/>
      <c r="DL623" s="1491"/>
      <c r="DM623" s="1491">
        <f t="shared" si="15"/>
        <v>0</v>
      </c>
      <c r="DN623" s="1491"/>
      <c r="DO623" s="1491"/>
      <c r="DP623" s="1491"/>
      <c r="DQ623" s="1491"/>
      <c r="DR623" s="1491">
        <f t="shared" si="16"/>
        <v>0</v>
      </c>
      <c r="DS623" s="1491"/>
      <c r="DT623" s="1491"/>
      <c r="DU623" s="1491"/>
      <c r="DV623" s="1491"/>
      <c r="DX623" s="1468" t="str">
        <f t="shared" si="17"/>
        <v/>
      </c>
      <c r="DY623" s="1469"/>
      <c r="DZ623" s="1469"/>
      <c r="EA623" s="1469"/>
      <c r="EB623" s="1470"/>
      <c r="EC623" s="1468" t="str">
        <f t="shared" si="18"/>
        <v/>
      </c>
      <c r="ED623" s="1469"/>
      <c r="EE623" s="1469"/>
      <c r="EF623" s="1469"/>
      <c r="EG623" s="1470"/>
      <c r="EH623" s="1468" t="str">
        <f t="shared" si="19"/>
        <v/>
      </c>
      <c r="EI623" s="1469"/>
      <c r="EJ623" s="1469"/>
      <c r="EK623" s="1469"/>
      <c r="EL623" s="1470"/>
      <c r="EM623" s="1468" t="str">
        <f t="shared" si="20"/>
        <v/>
      </c>
      <c r="EN623" s="1469"/>
      <c r="EO623" s="1469"/>
      <c r="EP623" s="1469"/>
      <c r="EQ623" s="1470"/>
      <c r="ER623" s="1468" t="str">
        <f t="shared" si="21"/>
        <v/>
      </c>
      <c r="ES623" s="1469"/>
      <c r="ET623" s="1469"/>
      <c r="EU623" s="1469"/>
      <c r="EV623" s="1470"/>
      <c r="EW623" s="1468" t="str">
        <f t="shared" si="22"/>
        <v/>
      </c>
      <c r="EX623" s="1469"/>
      <c r="EY623" s="1469"/>
      <c r="EZ623" s="1469"/>
      <c r="FA623" s="1470"/>
    </row>
    <row r="624" spans="1:157" ht="12.95" customHeight="1">
      <c r="B624" s="1492" t="s">
        <v>2422</v>
      </c>
      <c r="C624" s="1492"/>
      <c r="D624" s="1492"/>
      <c r="E624" s="1492"/>
      <c r="F624" s="1492"/>
      <c r="G624" s="1492"/>
      <c r="H624" s="1492"/>
      <c r="I624" s="1492"/>
      <c r="J624" s="1492"/>
      <c r="K624" s="1492"/>
      <c r="L624" s="1492"/>
      <c r="M624" s="1657" t="s">
        <v>2423</v>
      </c>
      <c r="N624" s="1657"/>
      <c r="O624" s="1657"/>
      <c r="P624" s="1657"/>
      <c r="Q624" s="1657" t="s">
        <v>2044</v>
      </c>
      <c r="R624" s="1657"/>
      <c r="S624" s="1657"/>
      <c r="T624" s="1657" t="s">
        <v>2042</v>
      </c>
      <c r="U624" s="1657"/>
      <c r="V624" s="1657"/>
      <c r="W624" s="1658" t="s">
        <v>461</v>
      </c>
      <c r="X624" s="1658"/>
      <c r="Y624" s="1658"/>
      <c r="Z624" s="1668" t="s">
        <v>2452</v>
      </c>
      <c r="AA624" s="1668"/>
      <c r="AB624" s="1669"/>
      <c r="AC624" s="1711" t="s">
        <v>1865</v>
      </c>
      <c r="AD624" s="1712"/>
      <c r="AE624" s="1713"/>
      <c r="AF624" s="1667" t="s">
        <v>2231</v>
      </c>
      <c r="AG624" s="1668"/>
      <c r="AH624" s="1668"/>
      <c r="AI624" s="1668"/>
      <c r="AJ624" s="1669"/>
      <c r="AK624" s="1830" t="s">
        <v>2232</v>
      </c>
      <c r="AL624" s="1831"/>
      <c r="AM624" s="1831"/>
      <c r="AN624" s="1832"/>
      <c r="AO624" s="1657" t="s">
        <v>462</v>
      </c>
      <c r="AP624" s="1657"/>
      <c r="AQ624" s="1657"/>
      <c r="AR624" s="1657"/>
      <c r="AS624" s="1657"/>
      <c r="AU624" s="3"/>
      <c r="AZ624" s="3"/>
      <c r="BA624" s="3"/>
      <c r="BB624" s="3"/>
      <c r="BC624" s="3"/>
      <c r="BD624" s="3"/>
      <c r="BE624" s="1468">
        <f t="shared" si="1"/>
        <v>0</v>
      </c>
      <c r="BF624" s="1470"/>
      <c r="BG624" s="1487">
        <f t="shared" si="2"/>
        <v>0</v>
      </c>
      <c r="BH624" s="1489"/>
      <c r="BI624" s="1468">
        <f t="shared" si="3"/>
        <v>0</v>
      </c>
      <c r="BJ624" s="1470"/>
      <c r="BK624" s="1487">
        <f t="shared" si="4"/>
        <v>0</v>
      </c>
      <c r="BL624" s="1489"/>
      <c r="BM624" s="3"/>
      <c r="BN624" s="1471">
        <f t="shared" si="5"/>
        <v>0</v>
      </c>
      <c r="BO624" s="1472"/>
      <c r="BP624" s="1472"/>
      <c r="BQ624" s="1472"/>
      <c r="BR624" s="1473"/>
      <c r="BS624" s="1484">
        <f t="shared" si="6"/>
        <v>0</v>
      </c>
      <c r="BT624" s="1484"/>
      <c r="BU624" s="1484"/>
      <c r="BV624" s="1484"/>
      <c r="BW624" s="1484"/>
      <c r="BX624" s="1484">
        <f t="shared" si="7"/>
        <v>0</v>
      </c>
      <c r="BY624" s="1484"/>
      <c r="BZ624" s="1484"/>
      <c r="CA624" s="1484"/>
      <c r="CB624" s="1484"/>
      <c r="CC624" s="1484">
        <f t="shared" si="8"/>
        <v>0</v>
      </c>
      <c r="CD624" s="1484"/>
      <c r="CE624" s="1484"/>
      <c r="CF624" s="1484"/>
      <c r="CG624" s="1484"/>
      <c r="CH624" s="1484">
        <f t="shared" si="9"/>
        <v>0</v>
      </c>
      <c r="CI624" s="1484"/>
      <c r="CJ624" s="1484"/>
      <c r="CK624" s="1484"/>
      <c r="CL624" s="1484"/>
      <c r="CM624" s="1484">
        <f t="shared" si="10"/>
        <v>0</v>
      </c>
      <c r="CN624" s="1484"/>
      <c r="CO624" s="1484"/>
      <c r="CP624" s="1484"/>
      <c r="CQ624" s="1484"/>
      <c r="CR624" s="6"/>
      <c r="CS624" s="1491">
        <f t="shared" si="11"/>
        <v>0</v>
      </c>
      <c r="CT624" s="1491"/>
      <c r="CU624" s="1491"/>
      <c r="CV624" s="1491"/>
      <c r="CW624" s="1491"/>
      <c r="CX624" s="1491">
        <f t="shared" si="12"/>
        <v>0</v>
      </c>
      <c r="CY624" s="1491"/>
      <c r="CZ624" s="1491"/>
      <c r="DA624" s="1491"/>
      <c r="DB624" s="1491"/>
      <c r="DC624" s="1491">
        <f t="shared" si="13"/>
        <v>0</v>
      </c>
      <c r="DD624" s="1491"/>
      <c r="DE624" s="1491"/>
      <c r="DF624" s="1491"/>
      <c r="DG624" s="1491"/>
      <c r="DH624" s="1491">
        <f t="shared" si="14"/>
        <v>0</v>
      </c>
      <c r="DI624" s="1491"/>
      <c r="DJ624" s="1491"/>
      <c r="DK624" s="1491"/>
      <c r="DL624" s="1491"/>
      <c r="DM624" s="1491">
        <f t="shared" si="15"/>
        <v>0</v>
      </c>
      <c r="DN624" s="1491"/>
      <c r="DO624" s="1491"/>
      <c r="DP624" s="1491"/>
      <c r="DQ624" s="1491"/>
      <c r="DR624" s="1491">
        <f t="shared" si="16"/>
        <v>0</v>
      </c>
      <c r="DS624" s="1491"/>
      <c r="DT624" s="1491"/>
      <c r="DU624" s="1491"/>
      <c r="DV624" s="1491"/>
      <c r="DX624" s="1468" t="str">
        <f t="shared" si="17"/>
        <v/>
      </c>
      <c r="DY624" s="1469"/>
      <c r="DZ624" s="1469"/>
      <c r="EA624" s="1469"/>
      <c r="EB624" s="1470"/>
      <c r="EC624" s="1468" t="str">
        <f t="shared" si="18"/>
        <v/>
      </c>
      <c r="ED624" s="1469"/>
      <c r="EE624" s="1469"/>
      <c r="EF624" s="1469"/>
      <c r="EG624" s="1470"/>
      <c r="EH624" s="1468" t="str">
        <f t="shared" si="19"/>
        <v/>
      </c>
      <c r="EI624" s="1469"/>
      <c r="EJ624" s="1469"/>
      <c r="EK624" s="1469"/>
      <c r="EL624" s="1470"/>
      <c r="EM624" s="1468" t="str">
        <f t="shared" si="20"/>
        <v/>
      </c>
      <c r="EN624" s="1469"/>
      <c r="EO624" s="1469"/>
      <c r="EP624" s="1469"/>
      <c r="EQ624" s="1470"/>
      <c r="ER624" s="1468" t="str">
        <f t="shared" si="21"/>
        <v/>
      </c>
      <c r="ES624" s="1469"/>
      <c r="ET624" s="1469"/>
      <c r="EU624" s="1469"/>
      <c r="EV624" s="1470"/>
      <c r="EW624" s="1468" t="str">
        <f t="shared" si="22"/>
        <v/>
      </c>
      <c r="EX624" s="1469"/>
      <c r="EY624" s="1469"/>
      <c r="EZ624" s="1469"/>
      <c r="FA624" s="1470"/>
    </row>
    <row r="625" spans="2:157" ht="12.95" customHeight="1">
      <c r="B625" s="1492"/>
      <c r="C625" s="1492"/>
      <c r="D625" s="1492"/>
      <c r="E625" s="1492"/>
      <c r="F625" s="1492"/>
      <c r="G625" s="1492"/>
      <c r="H625" s="1492"/>
      <c r="I625" s="1492"/>
      <c r="J625" s="1492"/>
      <c r="K625" s="1492"/>
      <c r="L625" s="1492"/>
      <c r="M625" s="1657"/>
      <c r="N625" s="1657"/>
      <c r="O625" s="1657"/>
      <c r="P625" s="1657"/>
      <c r="Q625" s="1657"/>
      <c r="R625" s="1657"/>
      <c r="S625" s="1657"/>
      <c r="T625" s="1657"/>
      <c r="U625" s="1657"/>
      <c r="V625" s="1657"/>
      <c r="W625" s="1658"/>
      <c r="X625" s="1658"/>
      <c r="Y625" s="1658"/>
      <c r="Z625" s="1671"/>
      <c r="AA625" s="1671"/>
      <c r="AB625" s="1672"/>
      <c r="AC625" s="1714"/>
      <c r="AD625" s="1715"/>
      <c r="AE625" s="1716"/>
      <c r="AF625" s="1670"/>
      <c r="AG625" s="1671"/>
      <c r="AH625" s="1671"/>
      <c r="AI625" s="1671"/>
      <c r="AJ625" s="1672"/>
      <c r="AK625" s="1833"/>
      <c r="AL625" s="1834"/>
      <c r="AM625" s="1834"/>
      <c r="AN625" s="1835"/>
      <c r="AO625" s="1657"/>
      <c r="AP625" s="1657"/>
      <c r="AQ625" s="1657"/>
      <c r="AR625" s="1657"/>
      <c r="AS625" s="1657"/>
      <c r="AU625" s="3"/>
      <c r="AZ625" s="3"/>
      <c r="BA625" s="3"/>
      <c r="BB625" s="3"/>
      <c r="BC625" s="3"/>
      <c r="BD625" s="3"/>
      <c r="BE625" s="1468">
        <f t="shared" si="1"/>
        <v>0</v>
      </c>
      <c r="BF625" s="1470"/>
      <c r="BG625" s="1487">
        <f t="shared" si="2"/>
        <v>0</v>
      </c>
      <c r="BH625" s="1489"/>
      <c r="BI625" s="1468">
        <f t="shared" si="3"/>
        <v>0</v>
      </c>
      <c r="BJ625" s="1470"/>
      <c r="BK625" s="1487">
        <f t="shared" si="4"/>
        <v>0</v>
      </c>
      <c r="BL625" s="1489"/>
      <c r="BM625" s="3"/>
      <c r="BN625" s="1471">
        <f t="shared" si="5"/>
        <v>0</v>
      </c>
      <c r="BO625" s="1472"/>
      <c r="BP625" s="1472"/>
      <c r="BQ625" s="1472"/>
      <c r="BR625" s="1473"/>
      <c r="BS625" s="1484">
        <f t="shared" si="6"/>
        <v>0</v>
      </c>
      <c r="BT625" s="1484"/>
      <c r="BU625" s="1484"/>
      <c r="BV625" s="1484"/>
      <c r="BW625" s="1484"/>
      <c r="BX625" s="1484">
        <f t="shared" si="7"/>
        <v>0</v>
      </c>
      <c r="BY625" s="1484"/>
      <c r="BZ625" s="1484"/>
      <c r="CA625" s="1484"/>
      <c r="CB625" s="1484"/>
      <c r="CC625" s="1484">
        <f t="shared" si="8"/>
        <v>0</v>
      </c>
      <c r="CD625" s="1484"/>
      <c r="CE625" s="1484"/>
      <c r="CF625" s="1484"/>
      <c r="CG625" s="1484"/>
      <c r="CH625" s="1484">
        <f t="shared" si="9"/>
        <v>0</v>
      </c>
      <c r="CI625" s="1484"/>
      <c r="CJ625" s="1484"/>
      <c r="CK625" s="1484"/>
      <c r="CL625" s="1484"/>
      <c r="CM625" s="1484">
        <f t="shared" si="10"/>
        <v>0</v>
      </c>
      <c r="CN625" s="1484"/>
      <c r="CO625" s="1484"/>
      <c r="CP625" s="1484"/>
      <c r="CQ625" s="1484"/>
      <c r="CR625" s="6"/>
      <c r="CS625" s="1491">
        <f t="shared" si="11"/>
        <v>0</v>
      </c>
      <c r="CT625" s="1491"/>
      <c r="CU625" s="1491"/>
      <c r="CV625" s="1491"/>
      <c r="CW625" s="1491"/>
      <c r="CX625" s="1491">
        <f t="shared" si="12"/>
        <v>0</v>
      </c>
      <c r="CY625" s="1491"/>
      <c r="CZ625" s="1491"/>
      <c r="DA625" s="1491"/>
      <c r="DB625" s="1491"/>
      <c r="DC625" s="1491">
        <f t="shared" si="13"/>
        <v>0</v>
      </c>
      <c r="DD625" s="1491"/>
      <c r="DE625" s="1491"/>
      <c r="DF625" s="1491"/>
      <c r="DG625" s="1491"/>
      <c r="DH625" s="1491">
        <f t="shared" si="14"/>
        <v>0</v>
      </c>
      <c r="DI625" s="1491"/>
      <c r="DJ625" s="1491"/>
      <c r="DK625" s="1491"/>
      <c r="DL625" s="1491"/>
      <c r="DM625" s="1491">
        <f t="shared" si="15"/>
        <v>0</v>
      </c>
      <c r="DN625" s="1491"/>
      <c r="DO625" s="1491"/>
      <c r="DP625" s="1491"/>
      <c r="DQ625" s="1491"/>
      <c r="DR625" s="1491">
        <f t="shared" si="16"/>
        <v>0</v>
      </c>
      <c r="DS625" s="1491"/>
      <c r="DT625" s="1491"/>
      <c r="DU625" s="1491"/>
      <c r="DV625" s="1491"/>
      <c r="DX625" s="1468" t="str">
        <f t="shared" si="17"/>
        <v/>
      </c>
      <c r="DY625" s="1469"/>
      <c r="DZ625" s="1469"/>
      <c r="EA625" s="1469"/>
      <c r="EB625" s="1470"/>
      <c r="EC625" s="1468" t="str">
        <f t="shared" si="18"/>
        <v/>
      </c>
      <c r="ED625" s="1469"/>
      <c r="EE625" s="1469"/>
      <c r="EF625" s="1469"/>
      <c r="EG625" s="1470"/>
      <c r="EH625" s="1468" t="str">
        <f t="shared" si="19"/>
        <v/>
      </c>
      <c r="EI625" s="1469"/>
      <c r="EJ625" s="1469"/>
      <c r="EK625" s="1469"/>
      <c r="EL625" s="1470"/>
      <c r="EM625" s="1468" t="str">
        <f t="shared" si="20"/>
        <v/>
      </c>
      <c r="EN625" s="1469"/>
      <c r="EO625" s="1469"/>
      <c r="EP625" s="1469"/>
      <c r="EQ625" s="1470"/>
      <c r="ER625" s="1468" t="str">
        <f t="shared" si="21"/>
        <v/>
      </c>
      <c r="ES625" s="1469"/>
      <c r="ET625" s="1469"/>
      <c r="EU625" s="1469"/>
      <c r="EV625" s="1470"/>
      <c r="EW625" s="1468" t="str">
        <f t="shared" si="22"/>
        <v/>
      </c>
      <c r="EX625" s="1469"/>
      <c r="EY625" s="1469"/>
      <c r="EZ625" s="1469"/>
      <c r="FA625" s="1470"/>
    </row>
    <row r="626" spans="2:157" ht="12.95" customHeight="1">
      <c r="B626" s="1492"/>
      <c r="C626" s="1492"/>
      <c r="D626" s="1492"/>
      <c r="E626" s="1492"/>
      <c r="F626" s="1492"/>
      <c r="G626" s="1492"/>
      <c r="H626" s="1492"/>
      <c r="I626" s="1492"/>
      <c r="J626" s="1492"/>
      <c r="K626" s="1492"/>
      <c r="L626" s="1492"/>
      <c r="M626" s="1657"/>
      <c r="N626" s="1657"/>
      <c r="O626" s="1657"/>
      <c r="P626" s="1657"/>
      <c r="Q626" s="1657"/>
      <c r="R626" s="1657"/>
      <c r="S626" s="1657"/>
      <c r="T626" s="1657"/>
      <c r="U626" s="1657"/>
      <c r="V626" s="1657"/>
      <c r="W626" s="1658"/>
      <c r="X626" s="1658"/>
      <c r="Y626" s="1658"/>
      <c r="Z626" s="1674"/>
      <c r="AA626" s="1674"/>
      <c r="AB626" s="1675"/>
      <c r="AC626" s="1717"/>
      <c r="AD626" s="1718"/>
      <c r="AE626" s="1719"/>
      <c r="AF626" s="1673"/>
      <c r="AG626" s="1674"/>
      <c r="AH626" s="1674"/>
      <c r="AI626" s="1674"/>
      <c r="AJ626" s="1675"/>
      <c r="AK626" s="1836"/>
      <c r="AL626" s="1837"/>
      <c r="AM626" s="1837"/>
      <c r="AN626" s="1838"/>
      <c r="AO626" s="1657"/>
      <c r="AP626" s="1657"/>
      <c r="AQ626" s="1657"/>
      <c r="AR626" s="1657"/>
      <c r="AS626" s="1657"/>
      <c r="AT626" s="3"/>
      <c r="AU626" s="3"/>
      <c r="AZ626" s="3"/>
      <c r="BA626" s="3"/>
      <c r="BB626" s="3"/>
      <c r="BC626" s="3"/>
      <c r="BD626" s="3"/>
      <c r="BE626" s="1468">
        <f t="shared" si="1"/>
        <v>0</v>
      </c>
      <c r="BF626" s="1470"/>
      <c r="BG626" s="1487">
        <f t="shared" si="2"/>
        <v>0</v>
      </c>
      <c r="BH626" s="1489"/>
      <c r="BI626" s="1468">
        <f t="shared" si="3"/>
        <v>0</v>
      </c>
      <c r="BJ626" s="1470"/>
      <c r="BK626" s="1487">
        <f t="shared" si="4"/>
        <v>0</v>
      </c>
      <c r="BL626" s="1489"/>
      <c r="BM626" s="3"/>
      <c r="BN626" s="1471">
        <f t="shared" si="5"/>
        <v>0</v>
      </c>
      <c r="BO626" s="1472"/>
      <c r="BP626" s="1472"/>
      <c r="BQ626" s="1472"/>
      <c r="BR626" s="1473"/>
      <c r="BS626" s="1484">
        <f t="shared" si="6"/>
        <v>0</v>
      </c>
      <c r="BT626" s="1484"/>
      <c r="BU626" s="1484"/>
      <c r="BV626" s="1484"/>
      <c r="BW626" s="1484"/>
      <c r="BX626" s="1484">
        <f t="shared" si="7"/>
        <v>0</v>
      </c>
      <c r="BY626" s="1484"/>
      <c r="BZ626" s="1484"/>
      <c r="CA626" s="1484"/>
      <c r="CB626" s="1484"/>
      <c r="CC626" s="1484">
        <f t="shared" si="8"/>
        <v>0</v>
      </c>
      <c r="CD626" s="1484"/>
      <c r="CE626" s="1484"/>
      <c r="CF626" s="1484"/>
      <c r="CG626" s="1484"/>
      <c r="CH626" s="1484">
        <f t="shared" si="9"/>
        <v>0</v>
      </c>
      <c r="CI626" s="1484"/>
      <c r="CJ626" s="1484"/>
      <c r="CK626" s="1484"/>
      <c r="CL626" s="1484"/>
      <c r="CM626" s="1484">
        <f t="shared" si="10"/>
        <v>0</v>
      </c>
      <c r="CN626" s="1484"/>
      <c r="CO626" s="1484"/>
      <c r="CP626" s="1484"/>
      <c r="CQ626" s="1484"/>
      <c r="CR626" s="6"/>
      <c r="CS626" s="1491">
        <f t="shared" si="11"/>
        <v>0</v>
      </c>
      <c r="CT626" s="1491"/>
      <c r="CU626" s="1491"/>
      <c r="CV626" s="1491"/>
      <c r="CW626" s="1491"/>
      <c r="CX626" s="1491">
        <f t="shared" si="12"/>
        <v>0</v>
      </c>
      <c r="CY626" s="1491"/>
      <c r="CZ626" s="1491"/>
      <c r="DA626" s="1491"/>
      <c r="DB626" s="1491"/>
      <c r="DC626" s="1491">
        <f t="shared" si="13"/>
        <v>0</v>
      </c>
      <c r="DD626" s="1491"/>
      <c r="DE626" s="1491"/>
      <c r="DF626" s="1491"/>
      <c r="DG626" s="1491"/>
      <c r="DH626" s="1491">
        <f t="shared" si="14"/>
        <v>0</v>
      </c>
      <c r="DI626" s="1491"/>
      <c r="DJ626" s="1491"/>
      <c r="DK626" s="1491"/>
      <c r="DL626" s="1491"/>
      <c r="DM626" s="1491">
        <f t="shared" si="15"/>
        <v>0</v>
      </c>
      <c r="DN626" s="1491"/>
      <c r="DO626" s="1491"/>
      <c r="DP626" s="1491"/>
      <c r="DQ626" s="1491"/>
      <c r="DR626" s="1491">
        <f t="shared" si="16"/>
        <v>0</v>
      </c>
      <c r="DS626" s="1491"/>
      <c r="DT626" s="1491"/>
      <c r="DU626" s="1491"/>
      <c r="DV626" s="1491"/>
      <c r="DX626" s="1468" t="str">
        <f t="shared" si="17"/>
        <v/>
      </c>
      <c r="DY626" s="1469"/>
      <c r="DZ626" s="1469"/>
      <c r="EA626" s="1469"/>
      <c r="EB626" s="1470"/>
      <c r="EC626" s="1468" t="str">
        <f t="shared" si="18"/>
        <v/>
      </c>
      <c r="ED626" s="1469"/>
      <c r="EE626" s="1469"/>
      <c r="EF626" s="1469"/>
      <c r="EG626" s="1470"/>
      <c r="EH626" s="1468" t="str">
        <f t="shared" si="19"/>
        <v/>
      </c>
      <c r="EI626" s="1469"/>
      <c r="EJ626" s="1469"/>
      <c r="EK626" s="1469"/>
      <c r="EL626" s="1470"/>
      <c r="EM626" s="1468" t="str">
        <f t="shared" si="20"/>
        <v/>
      </c>
      <c r="EN626" s="1469"/>
      <c r="EO626" s="1469"/>
      <c r="EP626" s="1469"/>
      <c r="EQ626" s="1470"/>
      <c r="ER626" s="1468" t="str">
        <f t="shared" si="21"/>
        <v/>
      </c>
      <c r="ES626" s="1469"/>
      <c r="ET626" s="1469"/>
      <c r="EU626" s="1469"/>
      <c r="EV626" s="1470"/>
      <c r="EW626" s="1468" t="str">
        <f t="shared" si="22"/>
        <v/>
      </c>
      <c r="EX626" s="1469"/>
      <c r="EY626" s="1469"/>
      <c r="EZ626" s="1469"/>
      <c r="FA626" s="1470"/>
    </row>
    <row r="627" spans="2:157" ht="12.95" customHeight="1">
      <c r="B627" s="51" t="s">
        <v>112</v>
      </c>
      <c r="C627" s="1466" t="s">
        <v>2779</v>
      </c>
      <c r="D627" s="1466"/>
      <c r="E627" s="1466"/>
      <c r="F627" s="1466"/>
      <c r="G627" s="1466"/>
      <c r="H627" s="1466"/>
      <c r="I627" s="1466"/>
      <c r="J627" s="1466"/>
      <c r="K627" s="1466"/>
      <c r="L627" s="1466"/>
      <c r="M627" s="1438" t="s">
        <v>2439</v>
      </c>
      <c r="N627" s="1438"/>
      <c r="O627" s="1438"/>
      <c r="P627" s="1438"/>
      <c r="Q627" s="1449">
        <v>216</v>
      </c>
      <c r="R627" s="1449"/>
      <c r="S627" s="1450"/>
      <c r="T627" s="1448">
        <v>480</v>
      </c>
      <c r="U627" s="1449"/>
      <c r="V627" s="1450"/>
      <c r="W627" s="1435">
        <v>6.5500000000000003E-2</v>
      </c>
      <c r="X627" s="1436"/>
      <c r="Y627" s="1437"/>
      <c r="Z627" s="1463" t="s">
        <v>2451</v>
      </c>
      <c r="AA627" s="1464"/>
      <c r="AB627" s="1465"/>
      <c r="AC627" s="1599">
        <v>1</v>
      </c>
      <c r="AD627" s="1600"/>
      <c r="AE627" s="1601"/>
      <c r="AF627" s="1414">
        <v>1945774</v>
      </c>
      <c r="AG627" s="1415"/>
      <c r="AH627" s="1415"/>
      <c r="AI627" s="1415"/>
      <c r="AJ627" s="1416"/>
      <c r="AK627" s="1451"/>
      <c r="AL627" s="1452"/>
      <c r="AM627" s="1452"/>
      <c r="AN627" s="1453"/>
      <c r="AO627" s="1632">
        <v>27580000</v>
      </c>
      <c r="AP627" s="1632"/>
      <c r="AQ627" s="1632"/>
      <c r="AR627" s="1632"/>
      <c r="AS627" s="1632"/>
      <c r="AT627" s="3"/>
      <c r="AU627" s="3"/>
      <c r="AZ627" s="3"/>
      <c r="BA627" s="3"/>
      <c r="BB627" s="3"/>
      <c r="BC627" s="3"/>
      <c r="BD627" s="3"/>
      <c r="BE627" s="1468">
        <f t="shared" si="1"/>
        <v>0</v>
      </c>
      <c r="BF627" s="1470"/>
      <c r="BG627" s="1487">
        <f t="shared" si="2"/>
        <v>0</v>
      </c>
      <c r="BH627" s="1489"/>
      <c r="BI627" s="1468">
        <f t="shared" si="3"/>
        <v>0</v>
      </c>
      <c r="BJ627" s="1470"/>
      <c r="BK627" s="1487">
        <f t="shared" si="4"/>
        <v>0</v>
      </c>
      <c r="BL627" s="1489"/>
      <c r="BM627" s="3"/>
      <c r="BN627" s="1471">
        <f t="shared" si="5"/>
        <v>0</v>
      </c>
      <c r="BO627" s="1472"/>
      <c r="BP627" s="1472"/>
      <c r="BQ627" s="1472"/>
      <c r="BR627" s="1473"/>
      <c r="BS627" s="1484">
        <f t="shared" si="6"/>
        <v>0</v>
      </c>
      <c r="BT627" s="1484"/>
      <c r="BU627" s="1484"/>
      <c r="BV627" s="1484"/>
      <c r="BW627" s="1484"/>
      <c r="BX627" s="1484">
        <f t="shared" si="7"/>
        <v>0</v>
      </c>
      <c r="BY627" s="1484"/>
      <c r="BZ627" s="1484"/>
      <c r="CA627" s="1484"/>
      <c r="CB627" s="1484"/>
      <c r="CC627" s="1484">
        <f t="shared" si="8"/>
        <v>0</v>
      </c>
      <c r="CD627" s="1484"/>
      <c r="CE627" s="1484"/>
      <c r="CF627" s="1484"/>
      <c r="CG627" s="1484"/>
      <c r="CH627" s="1484">
        <f t="shared" si="9"/>
        <v>0</v>
      </c>
      <c r="CI627" s="1484"/>
      <c r="CJ627" s="1484"/>
      <c r="CK627" s="1484"/>
      <c r="CL627" s="1484"/>
      <c r="CM627" s="1484">
        <f t="shared" si="10"/>
        <v>0</v>
      </c>
      <c r="CN627" s="1484"/>
      <c r="CO627" s="1484"/>
      <c r="CP627" s="1484"/>
      <c r="CQ627" s="1484"/>
      <c r="CR627" s="6"/>
      <c r="CS627" s="1491">
        <f t="shared" si="11"/>
        <v>0</v>
      </c>
      <c r="CT627" s="1491"/>
      <c r="CU627" s="1491"/>
      <c r="CV627" s="1491"/>
      <c r="CW627" s="1491"/>
      <c r="CX627" s="1491">
        <f t="shared" si="12"/>
        <v>0</v>
      </c>
      <c r="CY627" s="1491"/>
      <c r="CZ627" s="1491"/>
      <c r="DA627" s="1491"/>
      <c r="DB627" s="1491"/>
      <c r="DC627" s="1491">
        <f t="shared" si="13"/>
        <v>0</v>
      </c>
      <c r="DD627" s="1491"/>
      <c r="DE627" s="1491"/>
      <c r="DF627" s="1491"/>
      <c r="DG627" s="1491"/>
      <c r="DH627" s="1491">
        <f t="shared" si="14"/>
        <v>0</v>
      </c>
      <c r="DI627" s="1491"/>
      <c r="DJ627" s="1491"/>
      <c r="DK627" s="1491"/>
      <c r="DL627" s="1491"/>
      <c r="DM627" s="1491">
        <f t="shared" si="15"/>
        <v>0</v>
      </c>
      <c r="DN627" s="1491"/>
      <c r="DO627" s="1491"/>
      <c r="DP627" s="1491"/>
      <c r="DQ627" s="1491"/>
      <c r="DR627" s="1491">
        <f t="shared" si="16"/>
        <v>0</v>
      </c>
      <c r="DS627" s="1491"/>
      <c r="DT627" s="1491"/>
      <c r="DU627" s="1491"/>
      <c r="DV627" s="1491"/>
      <c r="DX627" s="1468" t="str">
        <f t="shared" si="17"/>
        <v/>
      </c>
      <c r="DY627" s="1469"/>
      <c r="DZ627" s="1469"/>
      <c r="EA627" s="1469"/>
      <c r="EB627" s="1470"/>
      <c r="EC627" s="1468" t="str">
        <f t="shared" si="18"/>
        <v/>
      </c>
      <c r="ED627" s="1469"/>
      <c r="EE627" s="1469"/>
      <c r="EF627" s="1469"/>
      <c r="EG627" s="1470"/>
      <c r="EH627" s="1468" t="str">
        <f t="shared" si="19"/>
        <v/>
      </c>
      <c r="EI627" s="1469"/>
      <c r="EJ627" s="1469"/>
      <c r="EK627" s="1469"/>
      <c r="EL627" s="1470"/>
      <c r="EM627" s="1468" t="str">
        <f t="shared" si="20"/>
        <v/>
      </c>
      <c r="EN627" s="1469"/>
      <c r="EO627" s="1469"/>
      <c r="EP627" s="1469"/>
      <c r="EQ627" s="1470"/>
      <c r="ER627" s="1468" t="str">
        <f t="shared" si="21"/>
        <v/>
      </c>
      <c r="ES627" s="1469"/>
      <c r="ET627" s="1469"/>
      <c r="EU627" s="1469"/>
      <c r="EV627" s="1470"/>
      <c r="EW627" s="1468" t="str">
        <f t="shared" si="22"/>
        <v/>
      </c>
      <c r="EX627" s="1469"/>
      <c r="EY627" s="1469"/>
      <c r="EZ627" s="1469"/>
      <c r="FA627" s="1470"/>
    </row>
    <row r="628" spans="2:157" ht="12.95" customHeight="1">
      <c r="B628" s="52" t="s">
        <v>113</v>
      </c>
      <c r="C628" s="1466" t="s">
        <v>2780</v>
      </c>
      <c r="D628" s="1466"/>
      <c r="E628" s="1466"/>
      <c r="F628" s="1466"/>
      <c r="G628" s="1466"/>
      <c r="H628" s="1466"/>
      <c r="I628" s="1466"/>
      <c r="J628" s="1466"/>
      <c r="K628" s="1466"/>
      <c r="L628" s="1466"/>
      <c r="M628" s="1438" t="s">
        <v>2430</v>
      </c>
      <c r="N628" s="1438"/>
      <c r="O628" s="1438"/>
      <c r="P628" s="1438"/>
      <c r="Q628" s="1448"/>
      <c r="R628" s="1449"/>
      <c r="S628" s="1450"/>
      <c r="T628" s="1448"/>
      <c r="U628" s="1449"/>
      <c r="V628" s="1450"/>
      <c r="W628" s="1435"/>
      <c r="X628" s="1436"/>
      <c r="Y628" s="1437"/>
      <c r="Z628" s="1463" t="s">
        <v>301</v>
      </c>
      <c r="AA628" s="1464"/>
      <c r="AB628" s="1465"/>
      <c r="AC628" s="1599"/>
      <c r="AD628" s="1600"/>
      <c r="AE628" s="1601"/>
      <c r="AF628" s="1414"/>
      <c r="AG628" s="1415"/>
      <c r="AH628" s="1415"/>
      <c r="AI628" s="1415"/>
      <c r="AJ628" s="1416"/>
      <c r="AK628" s="1451"/>
      <c r="AL628" s="1452"/>
      <c r="AM628" s="1452"/>
      <c r="AN628" s="1453"/>
      <c r="AO628" s="1499">
        <v>254422.5552</v>
      </c>
      <c r="AP628" s="1500"/>
      <c r="AQ628" s="1500"/>
      <c r="AR628" s="1500"/>
      <c r="AS628" s="1501"/>
      <c r="AT628" s="1192" t="str">
        <f>IF(AND(NOT(C627=""),C628="",NOT(C629="")),"!","")</f>
        <v/>
      </c>
      <c r="AU628" s="3"/>
      <c r="AZ628" s="3"/>
      <c r="BA628" s="3"/>
      <c r="BB628" s="3"/>
      <c r="BC628" s="3"/>
      <c r="BD628" s="3"/>
      <c r="BE628" s="1468">
        <f t="shared" si="1"/>
        <v>0</v>
      </c>
      <c r="BF628" s="1470"/>
      <c r="BG628" s="1487">
        <f t="shared" si="2"/>
        <v>0</v>
      </c>
      <c r="BH628" s="1489"/>
      <c r="BI628" s="1468">
        <f t="shared" si="3"/>
        <v>0</v>
      </c>
      <c r="BJ628" s="1470"/>
      <c r="BK628" s="1487">
        <f t="shared" si="4"/>
        <v>0</v>
      </c>
      <c r="BL628" s="1489"/>
      <c r="BM628" s="3"/>
      <c r="BN628" s="1471">
        <f t="shared" si="5"/>
        <v>0</v>
      </c>
      <c r="BO628" s="1472"/>
      <c r="BP628" s="1472"/>
      <c r="BQ628" s="1472"/>
      <c r="BR628" s="1473"/>
      <c r="BS628" s="1484">
        <f t="shared" si="6"/>
        <v>0</v>
      </c>
      <c r="BT628" s="1484"/>
      <c r="BU628" s="1484"/>
      <c r="BV628" s="1484"/>
      <c r="BW628" s="1484"/>
      <c r="BX628" s="1484">
        <f t="shared" si="7"/>
        <v>0</v>
      </c>
      <c r="BY628" s="1484"/>
      <c r="BZ628" s="1484"/>
      <c r="CA628" s="1484"/>
      <c r="CB628" s="1484"/>
      <c r="CC628" s="1484">
        <f t="shared" si="8"/>
        <v>0</v>
      </c>
      <c r="CD628" s="1484"/>
      <c r="CE628" s="1484"/>
      <c r="CF628" s="1484"/>
      <c r="CG628" s="1484"/>
      <c r="CH628" s="1484">
        <f t="shared" si="9"/>
        <v>0</v>
      </c>
      <c r="CI628" s="1484"/>
      <c r="CJ628" s="1484"/>
      <c r="CK628" s="1484"/>
      <c r="CL628" s="1484"/>
      <c r="CM628" s="1484">
        <f t="shared" si="10"/>
        <v>0</v>
      </c>
      <c r="CN628" s="1484"/>
      <c r="CO628" s="1484"/>
      <c r="CP628" s="1484"/>
      <c r="CQ628" s="1484"/>
      <c r="CR628" s="6"/>
      <c r="CS628" s="1491">
        <f t="shared" si="11"/>
        <v>0</v>
      </c>
      <c r="CT628" s="1491"/>
      <c r="CU628" s="1491"/>
      <c r="CV628" s="1491"/>
      <c r="CW628" s="1491"/>
      <c r="CX628" s="1491">
        <f t="shared" si="12"/>
        <v>0</v>
      </c>
      <c r="CY628" s="1491"/>
      <c r="CZ628" s="1491"/>
      <c r="DA628" s="1491"/>
      <c r="DB628" s="1491"/>
      <c r="DC628" s="1491">
        <f t="shared" si="13"/>
        <v>0</v>
      </c>
      <c r="DD628" s="1491"/>
      <c r="DE628" s="1491"/>
      <c r="DF628" s="1491"/>
      <c r="DG628" s="1491"/>
      <c r="DH628" s="1491">
        <f t="shared" si="14"/>
        <v>0</v>
      </c>
      <c r="DI628" s="1491"/>
      <c r="DJ628" s="1491"/>
      <c r="DK628" s="1491"/>
      <c r="DL628" s="1491"/>
      <c r="DM628" s="1491">
        <f t="shared" si="15"/>
        <v>0</v>
      </c>
      <c r="DN628" s="1491"/>
      <c r="DO628" s="1491"/>
      <c r="DP628" s="1491"/>
      <c r="DQ628" s="1491"/>
      <c r="DR628" s="1491">
        <f t="shared" si="16"/>
        <v>0</v>
      </c>
      <c r="DS628" s="1491"/>
      <c r="DT628" s="1491"/>
      <c r="DU628" s="1491"/>
      <c r="DV628" s="1491"/>
      <c r="DX628" s="1468" t="str">
        <f t="shared" si="17"/>
        <v/>
      </c>
      <c r="DY628" s="1469"/>
      <c r="DZ628" s="1469"/>
      <c r="EA628" s="1469"/>
      <c r="EB628" s="1470"/>
      <c r="EC628" s="1468" t="str">
        <f t="shared" si="18"/>
        <v/>
      </c>
      <c r="ED628" s="1469"/>
      <c r="EE628" s="1469"/>
      <c r="EF628" s="1469"/>
      <c r="EG628" s="1470"/>
      <c r="EH628" s="1468" t="str">
        <f t="shared" si="19"/>
        <v/>
      </c>
      <c r="EI628" s="1469"/>
      <c r="EJ628" s="1469"/>
      <c r="EK628" s="1469"/>
      <c r="EL628" s="1470"/>
      <c r="EM628" s="1468" t="str">
        <f t="shared" si="20"/>
        <v/>
      </c>
      <c r="EN628" s="1469"/>
      <c r="EO628" s="1469"/>
      <c r="EP628" s="1469"/>
      <c r="EQ628" s="1470"/>
      <c r="ER628" s="1468" t="str">
        <f t="shared" si="21"/>
        <v/>
      </c>
      <c r="ES628" s="1469"/>
      <c r="ET628" s="1469"/>
      <c r="EU628" s="1469"/>
      <c r="EV628" s="1470"/>
      <c r="EW628" s="1468" t="str">
        <f t="shared" si="22"/>
        <v/>
      </c>
      <c r="EX628" s="1469"/>
      <c r="EY628" s="1469"/>
      <c r="EZ628" s="1469"/>
      <c r="FA628" s="1470"/>
    </row>
    <row r="629" spans="2:157" ht="12.95" customHeight="1">
      <c r="B629" s="52" t="s">
        <v>119</v>
      </c>
      <c r="C629" s="1466" t="s">
        <v>2639</v>
      </c>
      <c r="D629" s="1466"/>
      <c r="E629" s="1466"/>
      <c r="F629" s="1466"/>
      <c r="G629" s="1466"/>
      <c r="H629" s="1466"/>
      <c r="I629" s="1466"/>
      <c r="J629" s="1466"/>
      <c r="K629" s="1466"/>
      <c r="L629" s="1466"/>
      <c r="M629" s="1438" t="s">
        <v>2435</v>
      </c>
      <c r="N629" s="1438"/>
      <c r="O629" s="1438"/>
      <c r="P629" s="1438"/>
      <c r="Q629" s="1448">
        <v>660</v>
      </c>
      <c r="R629" s="1449"/>
      <c r="S629" s="1450"/>
      <c r="T629" s="1448"/>
      <c r="U629" s="1449"/>
      <c r="V629" s="1450"/>
      <c r="W629" s="1435">
        <v>0.04</v>
      </c>
      <c r="X629" s="1436"/>
      <c r="Y629" s="1437"/>
      <c r="Z629" s="1463" t="s">
        <v>465</v>
      </c>
      <c r="AA629" s="1464"/>
      <c r="AB629" s="1465"/>
      <c r="AC629" s="1599">
        <v>2</v>
      </c>
      <c r="AD629" s="1600"/>
      <c r="AE629" s="1601"/>
      <c r="AF629" s="1414"/>
      <c r="AG629" s="1415"/>
      <c r="AH629" s="1415"/>
      <c r="AI629" s="1415"/>
      <c r="AJ629" s="1416"/>
      <c r="AK629" s="1451"/>
      <c r="AL629" s="1452"/>
      <c r="AM629" s="1452"/>
      <c r="AN629" s="1453"/>
      <c r="AO629" s="1499">
        <v>20000000</v>
      </c>
      <c r="AP629" s="1500"/>
      <c r="AQ629" s="1500"/>
      <c r="AR629" s="1500"/>
      <c r="AS629" s="1501"/>
      <c r="AT629" s="1192" t="str">
        <f t="shared" ref="AT629:AT638" si="23">IF(AND(NOT(C628=""),C629="",NOT(C630="")),"!","")</f>
        <v/>
      </c>
      <c r="AU629" s="3"/>
      <c r="AZ629" s="3"/>
      <c r="BA629" s="3"/>
      <c r="BB629" s="3"/>
      <c r="BC629" s="3"/>
      <c r="BD629" s="3"/>
      <c r="BE629" s="1468">
        <f t="shared" si="1"/>
        <v>0</v>
      </c>
      <c r="BF629" s="1470"/>
      <c r="BG629" s="1487">
        <f t="shared" si="2"/>
        <v>0</v>
      </c>
      <c r="BH629" s="1489"/>
      <c r="BI629" s="1468">
        <f t="shared" si="3"/>
        <v>0</v>
      </c>
      <c r="BJ629" s="1470"/>
      <c r="BK629" s="1487">
        <f t="shared" si="4"/>
        <v>0</v>
      </c>
      <c r="BL629" s="1489"/>
      <c r="BM629" s="3"/>
      <c r="BN629" s="1471">
        <f t="shared" si="5"/>
        <v>0</v>
      </c>
      <c r="BO629" s="1472"/>
      <c r="BP629" s="1472"/>
      <c r="BQ629" s="1472"/>
      <c r="BR629" s="1473"/>
      <c r="BS629" s="1484">
        <f t="shared" si="6"/>
        <v>0</v>
      </c>
      <c r="BT629" s="1484"/>
      <c r="BU629" s="1484"/>
      <c r="BV629" s="1484"/>
      <c r="BW629" s="1484"/>
      <c r="BX629" s="1484">
        <f t="shared" si="7"/>
        <v>0</v>
      </c>
      <c r="BY629" s="1484"/>
      <c r="BZ629" s="1484"/>
      <c r="CA629" s="1484"/>
      <c r="CB629" s="1484"/>
      <c r="CC629" s="1484">
        <f t="shared" si="8"/>
        <v>0</v>
      </c>
      <c r="CD629" s="1484"/>
      <c r="CE629" s="1484"/>
      <c r="CF629" s="1484"/>
      <c r="CG629" s="1484"/>
      <c r="CH629" s="1484">
        <f t="shared" si="9"/>
        <v>0</v>
      </c>
      <c r="CI629" s="1484"/>
      <c r="CJ629" s="1484"/>
      <c r="CK629" s="1484"/>
      <c r="CL629" s="1484"/>
      <c r="CM629" s="1484">
        <f t="shared" si="10"/>
        <v>0</v>
      </c>
      <c r="CN629" s="1484"/>
      <c r="CO629" s="1484"/>
      <c r="CP629" s="1484"/>
      <c r="CQ629" s="1484"/>
      <c r="CR629" s="6"/>
      <c r="CS629" s="1491">
        <f t="shared" si="11"/>
        <v>0</v>
      </c>
      <c r="CT629" s="1491"/>
      <c r="CU629" s="1491"/>
      <c r="CV629" s="1491"/>
      <c r="CW629" s="1491"/>
      <c r="CX629" s="1491">
        <f t="shared" si="12"/>
        <v>0</v>
      </c>
      <c r="CY629" s="1491"/>
      <c r="CZ629" s="1491"/>
      <c r="DA629" s="1491"/>
      <c r="DB629" s="1491"/>
      <c r="DC629" s="1491">
        <f t="shared" si="13"/>
        <v>0</v>
      </c>
      <c r="DD629" s="1491"/>
      <c r="DE629" s="1491"/>
      <c r="DF629" s="1491"/>
      <c r="DG629" s="1491"/>
      <c r="DH629" s="1491">
        <f t="shared" si="14"/>
        <v>0</v>
      </c>
      <c r="DI629" s="1491"/>
      <c r="DJ629" s="1491"/>
      <c r="DK629" s="1491"/>
      <c r="DL629" s="1491"/>
      <c r="DM629" s="1491">
        <f t="shared" si="15"/>
        <v>0</v>
      </c>
      <c r="DN629" s="1491"/>
      <c r="DO629" s="1491"/>
      <c r="DP629" s="1491"/>
      <c r="DQ629" s="1491"/>
      <c r="DR629" s="1491">
        <f t="shared" si="16"/>
        <v>0</v>
      </c>
      <c r="DS629" s="1491"/>
      <c r="DT629" s="1491"/>
      <c r="DU629" s="1491"/>
      <c r="DV629" s="1491"/>
      <c r="DX629" s="1468" t="str">
        <f t="shared" si="17"/>
        <v/>
      </c>
      <c r="DY629" s="1469"/>
      <c r="DZ629" s="1469"/>
      <c r="EA629" s="1469"/>
      <c r="EB629" s="1470"/>
      <c r="EC629" s="1468" t="str">
        <f t="shared" si="18"/>
        <v/>
      </c>
      <c r="ED629" s="1469"/>
      <c r="EE629" s="1469"/>
      <c r="EF629" s="1469"/>
      <c r="EG629" s="1470"/>
      <c r="EH629" s="1468" t="str">
        <f t="shared" si="19"/>
        <v/>
      </c>
      <c r="EI629" s="1469"/>
      <c r="EJ629" s="1469"/>
      <c r="EK629" s="1469"/>
      <c r="EL629" s="1470"/>
      <c r="EM629" s="1468" t="str">
        <f t="shared" si="20"/>
        <v/>
      </c>
      <c r="EN629" s="1469"/>
      <c r="EO629" s="1469"/>
      <c r="EP629" s="1469"/>
      <c r="EQ629" s="1470"/>
      <c r="ER629" s="1468" t="str">
        <f t="shared" si="21"/>
        <v/>
      </c>
      <c r="ES629" s="1469"/>
      <c r="ET629" s="1469"/>
      <c r="EU629" s="1469"/>
      <c r="EV629" s="1470"/>
      <c r="EW629" s="1468" t="str">
        <f t="shared" si="22"/>
        <v/>
      </c>
      <c r="EX629" s="1469"/>
      <c r="EY629" s="1469"/>
      <c r="EZ629" s="1469"/>
      <c r="FA629" s="1470"/>
    </row>
    <row r="630" spans="2:157" ht="12.95" customHeight="1">
      <c r="B630" s="52" t="s">
        <v>589</v>
      </c>
      <c r="C630" s="1466" t="s">
        <v>2639</v>
      </c>
      <c r="D630" s="1467"/>
      <c r="E630" s="1467"/>
      <c r="F630" s="1467"/>
      <c r="G630" s="1467"/>
      <c r="H630" s="1467"/>
      <c r="I630" s="1467"/>
      <c r="J630" s="1467"/>
      <c r="K630" s="1467"/>
      <c r="L630" s="1467"/>
      <c r="M630" s="1438" t="s">
        <v>2447</v>
      </c>
      <c r="N630" s="1438"/>
      <c r="O630" s="1438"/>
      <c r="P630" s="1438"/>
      <c r="Q630" s="1448">
        <v>696</v>
      </c>
      <c r="R630" s="1449"/>
      <c r="S630" s="1450"/>
      <c r="T630" s="1448"/>
      <c r="U630" s="1449"/>
      <c r="V630" s="1450"/>
      <c r="W630" s="1435"/>
      <c r="X630" s="1436"/>
      <c r="Y630" s="1437"/>
      <c r="Z630" s="1463" t="s">
        <v>301</v>
      </c>
      <c r="AA630" s="1464"/>
      <c r="AB630" s="1465"/>
      <c r="AC630" s="1599">
        <v>4</v>
      </c>
      <c r="AD630" s="1600"/>
      <c r="AE630" s="1601"/>
      <c r="AF630" s="1414"/>
      <c r="AG630" s="1415"/>
      <c r="AH630" s="1415"/>
      <c r="AI630" s="1415"/>
      <c r="AJ630" s="1416"/>
      <c r="AK630" s="1451"/>
      <c r="AL630" s="1452"/>
      <c r="AM630" s="1452"/>
      <c r="AN630" s="1453"/>
      <c r="AO630" s="1499">
        <v>6500000</v>
      </c>
      <c r="AP630" s="1500"/>
      <c r="AQ630" s="1500"/>
      <c r="AR630" s="1500"/>
      <c r="AS630" s="1501"/>
      <c r="AT630" s="1192" t="str">
        <f t="shared" si="23"/>
        <v/>
      </c>
      <c r="AU630" s="3"/>
      <c r="AZ630" s="3"/>
      <c r="BA630" s="3"/>
      <c r="BB630" s="3"/>
      <c r="BC630" s="3"/>
      <c r="BD630" s="3"/>
      <c r="BE630" s="1468">
        <f t="shared" si="1"/>
        <v>0</v>
      </c>
      <c r="BF630" s="1470"/>
      <c r="BG630" s="1487">
        <f t="shared" si="2"/>
        <v>0</v>
      </c>
      <c r="BH630" s="1489"/>
      <c r="BI630" s="1468">
        <f t="shared" si="3"/>
        <v>0</v>
      </c>
      <c r="BJ630" s="1470"/>
      <c r="BK630" s="1487">
        <f t="shared" si="4"/>
        <v>0</v>
      </c>
      <c r="BL630" s="1489"/>
      <c r="BM630" s="3"/>
      <c r="BN630" s="1471">
        <f t="shared" si="5"/>
        <v>0</v>
      </c>
      <c r="BO630" s="1472"/>
      <c r="BP630" s="1472"/>
      <c r="BQ630" s="1472"/>
      <c r="BR630" s="1473"/>
      <c r="BS630" s="1484">
        <f t="shared" si="6"/>
        <v>0</v>
      </c>
      <c r="BT630" s="1484"/>
      <c r="BU630" s="1484"/>
      <c r="BV630" s="1484"/>
      <c r="BW630" s="1484"/>
      <c r="BX630" s="1484">
        <f t="shared" si="7"/>
        <v>0</v>
      </c>
      <c r="BY630" s="1484"/>
      <c r="BZ630" s="1484"/>
      <c r="CA630" s="1484"/>
      <c r="CB630" s="1484"/>
      <c r="CC630" s="1484">
        <f t="shared" si="8"/>
        <v>0</v>
      </c>
      <c r="CD630" s="1484"/>
      <c r="CE630" s="1484"/>
      <c r="CF630" s="1484"/>
      <c r="CG630" s="1484"/>
      <c r="CH630" s="1484">
        <f t="shared" si="9"/>
        <v>0</v>
      </c>
      <c r="CI630" s="1484"/>
      <c r="CJ630" s="1484"/>
      <c r="CK630" s="1484"/>
      <c r="CL630" s="1484"/>
      <c r="CM630" s="1484">
        <f t="shared" si="10"/>
        <v>0</v>
      </c>
      <c r="CN630" s="1484"/>
      <c r="CO630" s="1484"/>
      <c r="CP630" s="1484"/>
      <c r="CQ630" s="1484"/>
      <c r="CR630" s="6"/>
      <c r="CS630" s="1491">
        <f t="shared" si="11"/>
        <v>0</v>
      </c>
      <c r="CT630" s="1491"/>
      <c r="CU630" s="1491"/>
      <c r="CV630" s="1491"/>
      <c r="CW630" s="1491"/>
      <c r="CX630" s="1491">
        <f t="shared" si="12"/>
        <v>0</v>
      </c>
      <c r="CY630" s="1491"/>
      <c r="CZ630" s="1491"/>
      <c r="DA630" s="1491"/>
      <c r="DB630" s="1491"/>
      <c r="DC630" s="1491">
        <f t="shared" si="13"/>
        <v>0</v>
      </c>
      <c r="DD630" s="1491"/>
      <c r="DE630" s="1491"/>
      <c r="DF630" s="1491"/>
      <c r="DG630" s="1491"/>
      <c r="DH630" s="1491">
        <f t="shared" si="14"/>
        <v>0</v>
      </c>
      <c r="DI630" s="1491"/>
      <c r="DJ630" s="1491"/>
      <c r="DK630" s="1491"/>
      <c r="DL630" s="1491"/>
      <c r="DM630" s="1491">
        <f t="shared" si="15"/>
        <v>0</v>
      </c>
      <c r="DN630" s="1491"/>
      <c r="DO630" s="1491"/>
      <c r="DP630" s="1491"/>
      <c r="DQ630" s="1491"/>
      <c r="DR630" s="1491">
        <f t="shared" si="16"/>
        <v>0</v>
      </c>
      <c r="DS630" s="1491"/>
      <c r="DT630" s="1491"/>
      <c r="DU630" s="1491"/>
      <c r="DV630" s="1491"/>
      <c r="DX630" s="1468" t="str">
        <f t="shared" si="17"/>
        <v/>
      </c>
      <c r="DY630" s="1469"/>
      <c r="DZ630" s="1469"/>
      <c r="EA630" s="1469"/>
      <c r="EB630" s="1470"/>
      <c r="EC630" s="1468" t="str">
        <f t="shared" si="18"/>
        <v/>
      </c>
      <c r="ED630" s="1469"/>
      <c r="EE630" s="1469"/>
      <c r="EF630" s="1469"/>
      <c r="EG630" s="1470"/>
      <c r="EH630" s="1468" t="str">
        <f t="shared" si="19"/>
        <v/>
      </c>
      <c r="EI630" s="1469"/>
      <c r="EJ630" s="1469"/>
      <c r="EK630" s="1469"/>
      <c r="EL630" s="1470"/>
      <c r="EM630" s="1468" t="str">
        <f t="shared" si="20"/>
        <v/>
      </c>
      <c r="EN630" s="1469"/>
      <c r="EO630" s="1469"/>
      <c r="EP630" s="1469"/>
      <c r="EQ630" s="1470"/>
      <c r="ER630" s="1468" t="str">
        <f t="shared" si="21"/>
        <v/>
      </c>
      <c r="ES630" s="1469"/>
      <c r="ET630" s="1469"/>
      <c r="EU630" s="1469"/>
      <c r="EV630" s="1470"/>
      <c r="EW630" s="1468" t="str">
        <f t="shared" si="22"/>
        <v/>
      </c>
      <c r="EX630" s="1469"/>
      <c r="EY630" s="1469"/>
      <c r="EZ630" s="1469"/>
      <c r="FA630" s="1470"/>
    </row>
    <row r="631" spans="2:157" ht="12.95" customHeight="1">
      <c r="B631" s="52" t="s">
        <v>772</v>
      </c>
      <c r="C631" s="1466" t="s">
        <v>2758</v>
      </c>
      <c r="D631" s="1467"/>
      <c r="E631" s="1467"/>
      <c r="F631" s="1467"/>
      <c r="G631" s="1467"/>
      <c r="H631" s="1467"/>
      <c r="I631" s="1467"/>
      <c r="J631" s="1467"/>
      <c r="K631" s="1467"/>
      <c r="L631" s="1467"/>
      <c r="M631" s="1438" t="s">
        <v>2435</v>
      </c>
      <c r="N631" s="1438"/>
      <c r="O631" s="1438"/>
      <c r="P631" s="1438"/>
      <c r="Q631" s="1448">
        <v>660</v>
      </c>
      <c r="R631" s="1449"/>
      <c r="S631" s="1450"/>
      <c r="T631" s="1448"/>
      <c r="U631" s="1449"/>
      <c r="V631" s="1450"/>
      <c r="W631" s="1435">
        <v>0.03</v>
      </c>
      <c r="X631" s="1436"/>
      <c r="Y631" s="1437"/>
      <c r="Z631" s="1463" t="s">
        <v>465</v>
      </c>
      <c r="AA631" s="1464"/>
      <c r="AB631" s="1465"/>
      <c r="AC631" s="1599">
        <v>3</v>
      </c>
      <c r="AD631" s="1600"/>
      <c r="AE631" s="1601"/>
      <c r="AF631" s="1414"/>
      <c r="AG631" s="1415"/>
      <c r="AH631" s="1415"/>
      <c r="AI631" s="1415"/>
      <c r="AJ631" s="1416"/>
      <c r="AK631" s="1451"/>
      <c r="AL631" s="1452"/>
      <c r="AM631" s="1452"/>
      <c r="AN631" s="1453"/>
      <c r="AO631" s="1499">
        <v>8000000</v>
      </c>
      <c r="AP631" s="1500"/>
      <c r="AQ631" s="1500"/>
      <c r="AR631" s="1500"/>
      <c r="AS631" s="1501"/>
      <c r="AT631" s="1192" t="str">
        <f t="shared" si="23"/>
        <v/>
      </c>
      <c r="AU631" s="3"/>
      <c r="AZ631" s="3"/>
      <c r="BA631" s="3"/>
      <c r="BB631" s="3"/>
      <c r="BC631" s="3"/>
      <c r="BD631" s="3"/>
      <c r="BE631" s="1468">
        <f t="shared" si="1"/>
        <v>0</v>
      </c>
      <c r="BF631" s="1470"/>
      <c r="BG631" s="1487">
        <f t="shared" si="2"/>
        <v>0</v>
      </c>
      <c r="BH631" s="1489"/>
      <c r="BI631" s="1468">
        <f t="shared" si="3"/>
        <v>0</v>
      </c>
      <c r="BJ631" s="1470"/>
      <c r="BK631" s="1487">
        <f t="shared" si="4"/>
        <v>0</v>
      </c>
      <c r="BL631" s="1489"/>
      <c r="BM631" s="3"/>
      <c r="BN631" s="1471">
        <f t="shared" si="5"/>
        <v>0</v>
      </c>
      <c r="BO631" s="1472"/>
      <c r="BP631" s="1472"/>
      <c r="BQ631" s="1472"/>
      <c r="BR631" s="1473"/>
      <c r="BS631" s="1484">
        <f t="shared" si="6"/>
        <v>0</v>
      </c>
      <c r="BT631" s="1484"/>
      <c r="BU631" s="1484"/>
      <c r="BV631" s="1484"/>
      <c r="BW631" s="1484"/>
      <c r="BX631" s="1484">
        <f t="shared" si="7"/>
        <v>0</v>
      </c>
      <c r="BY631" s="1484"/>
      <c r="BZ631" s="1484"/>
      <c r="CA631" s="1484"/>
      <c r="CB631" s="1484"/>
      <c r="CC631" s="1484">
        <f t="shared" si="8"/>
        <v>0</v>
      </c>
      <c r="CD631" s="1484"/>
      <c r="CE631" s="1484"/>
      <c r="CF631" s="1484"/>
      <c r="CG631" s="1484"/>
      <c r="CH631" s="1484">
        <f t="shared" si="9"/>
        <v>0</v>
      </c>
      <c r="CI631" s="1484"/>
      <c r="CJ631" s="1484"/>
      <c r="CK631" s="1484"/>
      <c r="CL631" s="1484"/>
      <c r="CM631" s="1484">
        <f t="shared" si="10"/>
        <v>0</v>
      </c>
      <c r="CN631" s="1484"/>
      <c r="CO631" s="1484"/>
      <c r="CP631" s="1484"/>
      <c r="CQ631" s="1484"/>
      <c r="CR631" s="6"/>
      <c r="CS631" s="1491">
        <f t="shared" si="11"/>
        <v>0</v>
      </c>
      <c r="CT631" s="1491"/>
      <c r="CU631" s="1491"/>
      <c r="CV631" s="1491"/>
      <c r="CW631" s="1491"/>
      <c r="CX631" s="1491">
        <f t="shared" si="12"/>
        <v>0</v>
      </c>
      <c r="CY631" s="1491"/>
      <c r="CZ631" s="1491"/>
      <c r="DA631" s="1491"/>
      <c r="DB631" s="1491"/>
      <c r="DC631" s="1491">
        <f t="shared" si="13"/>
        <v>0</v>
      </c>
      <c r="DD631" s="1491"/>
      <c r="DE631" s="1491"/>
      <c r="DF631" s="1491"/>
      <c r="DG631" s="1491"/>
      <c r="DH631" s="1491">
        <f t="shared" si="14"/>
        <v>0</v>
      </c>
      <c r="DI631" s="1491"/>
      <c r="DJ631" s="1491"/>
      <c r="DK631" s="1491"/>
      <c r="DL631" s="1491"/>
      <c r="DM631" s="1491">
        <f t="shared" si="15"/>
        <v>0</v>
      </c>
      <c r="DN631" s="1491"/>
      <c r="DO631" s="1491"/>
      <c r="DP631" s="1491"/>
      <c r="DQ631" s="1491"/>
      <c r="DR631" s="1491">
        <f t="shared" si="16"/>
        <v>0</v>
      </c>
      <c r="DS631" s="1491"/>
      <c r="DT631" s="1491"/>
      <c r="DU631" s="1491"/>
      <c r="DV631" s="1491"/>
      <c r="DX631" s="1468" t="str">
        <f t="shared" si="17"/>
        <v/>
      </c>
      <c r="DY631" s="1469"/>
      <c r="DZ631" s="1469"/>
      <c r="EA631" s="1469"/>
      <c r="EB631" s="1470"/>
      <c r="EC631" s="1468" t="str">
        <f t="shared" si="18"/>
        <v/>
      </c>
      <c r="ED631" s="1469"/>
      <c r="EE631" s="1469"/>
      <c r="EF631" s="1469"/>
      <c r="EG631" s="1470"/>
      <c r="EH631" s="1468" t="str">
        <f t="shared" si="19"/>
        <v/>
      </c>
      <c r="EI631" s="1469"/>
      <c r="EJ631" s="1469"/>
      <c r="EK631" s="1469"/>
      <c r="EL631" s="1470"/>
      <c r="EM631" s="1468" t="str">
        <f t="shared" si="20"/>
        <v/>
      </c>
      <c r="EN631" s="1469"/>
      <c r="EO631" s="1469"/>
      <c r="EP631" s="1469"/>
      <c r="EQ631" s="1470"/>
      <c r="ER631" s="1468" t="str">
        <f t="shared" si="21"/>
        <v/>
      </c>
      <c r="ES631" s="1469"/>
      <c r="ET631" s="1469"/>
      <c r="EU631" s="1469"/>
      <c r="EV631" s="1470"/>
      <c r="EW631" s="1468" t="str">
        <f t="shared" si="22"/>
        <v/>
      </c>
      <c r="EX631" s="1469"/>
      <c r="EY631" s="1469"/>
      <c r="EZ631" s="1469"/>
      <c r="FA631" s="1470"/>
    </row>
    <row r="632" spans="2:157" ht="12.95" customHeight="1">
      <c r="B632" s="52" t="s">
        <v>592</v>
      </c>
      <c r="C632" s="1466" t="s">
        <v>2687</v>
      </c>
      <c r="D632" s="1467"/>
      <c r="E632" s="1467"/>
      <c r="F632" s="1467"/>
      <c r="G632" s="1467"/>
      <c r="H632" s="1467"/>
      <c r="I632" s="1467"/>
      <c r="J632" s="1467"/>
      <c r="K632" s="1467"/>
      <c r="L632" s="1467"/>
      <c r="M632" s="1438" t="s">
        <v>2432</v>
      </c>
      <c r="N632" s="1438"/>
      <c r="O632" s="1438"/>
      <c r="P632" s="1438"/>
      <c r="Q632" s="1448"/>
      <c r="R632" s="1449"/>
      <c r="S632" s="1450"/>
      <c r="T632" s="1448"/>
      <c r="U632" s="1449"/>
      <c r="V632" s="1450"/>
      <c r="W632" s="1435"/>
      <c r="X632" s="1436"/>
      <c r="Y632" s="1437"/>
      <c r="Z632" s="1463" t="s">
        <v>301</v>
      </c>
      <c r="AA632" s="1464"/>
      <c r="AB632" s="1465"/>
      <c r="AC632" s="1599"/>
      <c r="AD632" s="1600"/>
      <c r="AE632" s="1601"/>
      <c r="AF632" s="1414"/>
      <c r="AG632" s="1415"/>
      <c r="AH632" s="1415"/>
      <c r="AI632" s="1415"/>
      <c r="AJ632" s="1416"/>
      <c r="AK632" s="1451"/>
      <c r="AL632" s="1452"/>
      <c r="AM632" s="1452"/>
      <c r="AN632" s="1453"/>
      <c r="AO632" s="1499">
        <v>4000000</v>
      </c>
      <c r="AP632" s="1500"/>
      <c r="AQ632" s="1500"/>
      <c r="AR632" s="1500"/>
      <c r="AS632" s="1501"/>
      <c r="AT632" s="1192" t="str">
        <f t="shared" si="23"/>
        <v/>
      </c>
      <c r="AU632" s="3"/>
      <c r="AZ632" s="3"/>
      <c r="BA632" s="3"/>
      <c r="BB632" s="3"/>
      <c r="BC632" s="3"/>
      <c r="BD632" s="3"/>
      <c r="BE632" s="3"/>
      <c r="BF632" s="3"/>
      <c r="BG632" s="1468">
        <f>SUM(BG597:BH631)</f>
        <v>25</v>
      </c>
      <c r="BH632" s="1470"/>
      <c r="BI632" s="3"/>
      <c r="BJ632" s="3"/>
      <c r="BK632" s="1468">
        <f>SUM(BK597:BL631)</f>
        <v>71</v>
      </c>
      <c r="BL632" s="1470"/>
      <c r="BM632" s="3"/>
      <c r="BN632" s="1468">
        <f>SUM(BN597:BR631)</f>
        <v>60</v>
      </c>
      <c r="BO632" s="1469"/>
      <c r="BP632" s="1469"/>
      <c r="BQ632" s="1469"/>
      <c r="BR632" s="1470"/>
      <c r="BS632" s="1490">
        <f>SUM(BS597:BW631)</f>
        <v>64</v>
      </c>
      <c r="BT632" s="1490"/>
      <c r="BU632" s="1490"/>
      <c r="BV632" s="1490"/>
      <c r="BW632" s="1490"/>
      <c r="BX632" s="1490">
        <f>SUM(BX597:CB631)</f>
        <v>26</v>
      </c>
      <c r="BY632" s="1490"/>
      <c r="BZ632" s="1490"/>
      <c r="CA632" s="1490"/>
      <c r="CB632" s="1490"/>
      <c r="CC632" s="1490">
        <f>SUM(CC597:CG631)</f>
        <v>8</v>
      </c>
      <c r="CD632" s="1490"/>
      <c r="CE632" s="1490"/>
      <c r="CF632" s="1490"/>
      <c r="CG632" s="1490"/>
      <c r="CH632" s="1490">
        <f>SUM(CH597:CL631)</f>
        <v>0</v>
      </c>
      <c r="CI632" s="1490"/>
      <c r="CJ632" s="1490"/>
      <c r="CK632" s="1490"/>
      <c r="CL632" s="1490"/>
      <c r="CM632" s="1490">
        <f>SUM(CM597:CQ631)</f>
        <v>0</v>
      </c>
      <c r="CN632" s="1490"/>
      <c r="CO632" s="1490"/>
      <c r="CP632" s="1490"/>
      <c r="CQ632" s="1490"/>
      <c r="CR632" s="385"/>
      <c r="CS632" s="1490">
        <f>SUM(CS597:CW631)</f>
        <v>31</v>
      </c>
      <c r="CT632" s="1490"/>
      <c r="CU632" s="1490"/>
      <c r="CV632" s="1490"/>
      <c r="CW632" s="1490"/>
      <c r="CX632" s="1490">
        <f>SUM(CX597:DB631)</f>
        <v>11</v>
      </c>
      <c r="CY632" s="1490"/>
      <c r="CZ632" s="1490"/>
      <c r="DA632" s="1490"/>
      <c r="DB632" s="1490"/>
      <c r="DC632" s="1490">
        <f>SUM(DC597:DG631)</f>
        <v>21</v>
      </c>
      <c r="DD632" s="1490"/>
      <c r="DE632" s="1490"/>
      <c r="DF632" s="1490"/>
      <c r="DG632" s="1490"/>
      <c r="DH632" s="1490">
        <f>SUM(DH597:DL631)</f>
        <v>8</v>
      </c>
      <c r="DI632" s="1490"/>
      <c r="DJ632" s="1490"/>
      <c r="DK632" s="1490"/>
      <c r="DL632" s="1490"/>
      <c r="DM632" s="1490">
        <f>SUM(DM597:DQ631)</f>
        <v>0</v>
      </c>
      <c r="DN632" s="1490"/>
      <c r="DO632" s="1490"/>
      <c r="DP632" s="1490"/>
      <c r="DQ632" s="1490"/>
      <c r="DR632" s="1490">
        <f>SUM(DR597:DV631)</f>
        <v>0</v>
      </c>
      <c r="DS632" s="1490"/>
      <c r="DT632" s="1490"/>
      <c r="DU632" s="1490"/>
      <c r="DV632" s="1490"/>
      <c r="DX632" s="1490">
        <f>SUM(DX597:EB631)</f>
        <v>2717</v>
      </c>
      <c r="DY632" s="1490"/>
      <c r="DZ632" s="1490"/>
      <c r="EA632" s="1490"/>
      <c r="EB632" s="1490"/>
      <c r="EC632" s="1490">
        <f>SUM(EC597:EG631)</f>
        <v>4578</v>
      </c>
      <c r="ED632" s="1490"/>
      <c r="EE632" s="1490"/>
      <c r="EF632" s="1490"/>
      <c r="EG632" s="1490"/>
      <c r="EH632" s="1490">
        <f>SUM(EH597:EL631)</f>
        <v>5944</v>
      </c>
      <c r="EI632" s="1490"/>
      <c r="EJ632" s="1490"/>
      <c r="EK632" s="1490"/>
      <c r="EL632" s="1490"/>
      <c r="EM632" s="1490">
        <f>SUM(EM597:EQ631)</f>
        <v>1391</v>
      </c>
      <c r="EN632" s="1490"/>
      <c r="EO632" s="1490"/>
      <c r="EP632" s="1490"/>
      <c r="EQ632" s="1490"/>
      <c r="ER632" s="1490">
        <f>SUM(ER597:EV631)</f>
        <v>0</v>
      </c>
      <c r="ES632" s="1490"/>
      <c r="ET632" s="1490"/>
      <c r="EU632" s="1490"/>
      <c r="EV632" s="1490"/>
      <c r="EW632" s="1490">
        <f>SUM(EW597:FA631)</f>
        <v>0</v>
      </c>
      <c r="EX632" s="1490"/>
      <c r="EY632" s="1490"/>
      <c r="EZ632" s="1490"/>
      <c r="FA632" s="1490"/>
    </row>
    <row r="633" spans="2:157" ht="12.95" customHeight="1">
      <c r="B633" s="52" t="s">
        <v>463</v>
      </c>
      <c r="C633" s="1466" t="s">
        <v>1851</v>
      </c>
      <c r="D633" s="1467"/>
      <c r="E633" s="1467"/>
      <c r="F633" s="1467"/>
      <c r="G633" s="1467"/>
      <c r="H633" s="1467"/>
      <c r="I633" s="1467"/>
      <c r="J633" s="1467"/>
      <c r="K633" s="1467"/>
      <c r="L633" s="1467"/>
      <c r="M633" s="1438" t="s">
        <v>2426</v>
      </c>
      <c r="N633" s="1438"/>
      <c r="O633" s="1438"/>
      <c r="P633" s="1438"/>
      <c r="Q633" s="1448"/>
      <c r="R633" s="1449"/>
      <c r="S633" s="1450"/>
      <c r="T633" s="1448"/>
      <c r="U633" s="1449"/>
      <c r="V633" s="1450"/>
      <c r="W633" s="1435"/>
      <c r="X633" s="1436"/>
      <c r="Y633" s="1437"/>
      <c r="Z633" s="1463" t="s">
        <v>466</v>
      </c>
      <c r="AA633" s="1464"/>
      <c r="AB633" s="1465"/>
      <c r="AC633" s="1599"/>
      <c r="AD633" s="1600"/>
      <c r="AE633" s="1601"/>
      <c r="AF633" s="1414"/>
      <c r="AG633" s="1415"/>
      <c r="AH633" s="1415"/>
      <c r="AI633" s="1415"/>
      <c r="AJ633" s="1416"/>
      <c r="AK633" s="1451"/>
      <c r="AL633" s="1452"/>
      <c r="AM633" s="1452"/>
      <c r="AN633" s="1453"/>
      <c r="AO633" s="1499">
        <v>5415150.4405583739</v>
      </c>
      <c r="AP633" s="1500"/>
      <c r="AQ633" s="1500"/>
      <c r="AR633" s="1500"/>
      <c r="AS633" s="1501"/>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2052</v>
      </c>
      <c r="CM633" s="1468">
        <f>BN632+BS632+BX632+CC632+CH632+CM632</f>
        <v>158</v>
      </c>
      <c r="CN633" s="1469"/>
      <c r="CO633" s="1469"/>
      <c r="CP633" s="1469"/>
      <c r="CQ633" s="1470"/>
      <c r="CR633" s="385"/>
      <c r="CS633" s="3"/>
      <c r="CT633" s="3"/>
      <c r="CU633" s="3"/>
      <c r="CV633" s="3"/>
      <c r="CW633" s="3"/>
      <c r="CX633" s="3"/>
      <c r="CY633" s="3"/>
      <c r="CZ633" s="3"/>
      <c r="DA633" s="3"/>
      <c r="DB633" s="3"/>
      <c r="DC633" s="3"/>
      <c r="DD633" s="3"/>
      <c r="DE633" s="3"/>
      <c r="DF633" s="3"/>
    </row>
    <row r="634" spans="2:157" ht="12.95" customHeight="1">
      <c r="B634" s="52" t="s">
        <v>464</v>
      </c>
      <c r="C634" s="1466" t="s">
        <v>2781</v>
      </c>
      <c r="D634" s="1467"/>
      <c r="E634" s="1467"/>
      <c r="F634" s="1467"/>
      <c r="G634" s="1467"/>
      <c r="H634" s="1467"/>
      <c r="I634" s="1467"/>
      <c r="J634" s="1467"/>
      <c r="K634" s="1467"/>
      <c r="L634" s="1467"/>
      <c r="M634" s="1438" t="s">
        <v>2427</v>
      </c>
      <c r="N634" s="1438"/>
      <c r="O634" s="1438"/>
      <c r="P634" s="1438"/>
      <c r="Q634" s="1448"/>
      <c r="R634" s="1449"/>
      <c r="S634" s="1450"/>
      <c r="T634" s="1448"/>
      <c r="U634" s="1449"/>
      <c r="V634" s="1450"/>
      <c r="W634" s="1435"/>
      <c r="X634" s="1436"/>
      <c r="Y634" s="1437"/>
      <c r="Z634" s="1463" t="s">
        <v>466</v>
      </c>
      <c r="AA634" s="1464"/>
      <c r="AB634" s="1465"/>
      <c r="AC634" s="1599"/>
      <c r="AD634" s="1600"/>
      <c r="AE634" s="1601"/>
      <c r="AF634" s="1414"/>
      <c r="AG634" s="1415"/>
      <c r="AH634" s="1415"/>
      <c r="AI634" s="1415"/>
      <c r="AJ634" s="1416"/>
      <c r="AK634" s="1451"/>
      <c r="AL634" s="1452"/>
      <c r="AM634" s="1452"/>
      <c r="AN634" s="1453"/>
      <c r="AO634" s="1499">
        <v>4384889</v>
      </c>
      <c r="AP634" s="1500"/>
      <c r="AQ634" s="1500"/>
      <c r="AR634" s="1500"/>
      <c r="AS634" s="1501"/>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60</v>
      </c>
      <c r="BS634" s="3"/>
      <c r="BT634" s="3"/>
      <c r="BU634" s="3"/>
      <c r="BV634" s="3"/>
      <c r="BW634" s="895">
        <f>BS632*1</f>
        <v>64</v>
      </c>
      <c r="BX634" s="3"/>
      <c r="BY634" s="3"/>
      <c r="BZ634" s="3"/>
      <c r="CA634" s="3"/>
      <c r="CB634" s="895">
        <f>BX632*2</f>
        <v>52</v>
      </c>
      <c r="CC634" s="3"/>
      <c r="CD634" s="3"/>
      <c r="CE634" s="3"/>
      <c r="CF634" s="3"/>
      <c r="CG634" s="895">
        <f>CC632*3</f>
        <v>24</v>
      </c>
      <c r="CH634" s="3"/>
      <c r="CI634" s="3"/>
      <c r="CJ634" s="3"/>
      <c r="CK634" s="3"/>
      <c r="CL634" s="895">
        <f>CH632*4</f>
        <v>0</v>
      </c>
      <c r="CM634" s="3"/>
      <c r="CN634" s="3"/>
      <c r="CO634" s="3"/>
      <c r="CP634" s="3"/>
      <c r="CQ634" s="895">
        <f>CM632*5</f>
        <v>0</v>
      </c>
      <c r="CS634" s="895">
        <f>BR634+BW634+CB634+CG634+CL634+CQ634</f>
        <v>200</v>
      </c>
      <c r="CT634" s="57" t="s">
        <v>2054</v>
      </c>
      <c r="CU634" s="3"/>
      <c r="CV634" s="3"/>
      <c r="CW634" s="3"/>
      <c r="CX634" s="3"/>
      <c r="CY634" s="3"/>
      <c r="CZ634" s="3"/>
      <c r="DA634" s="3"/>
      <c r="DB634" s="3"/>
      <c r="DC634" s="3"/>
      <c r="DD634" s="3"/>
      <c r="DE634" s="3"/>
      <c r="DF634" s="3"/>
    </row>
    <row r="635" spans="2:157" ht="12.95" customHeight="1">
      <c r="B635" s="52" t="s">
        <v>469</v>
      </c>
      <c r="C635" s="1467"/>
      <c r="D635" s="1467"/>
      <c r="E635" s="1467"/>
      <c r="F635" s="1467"/>
      <c r="G635" s="1467"/>
      <c r="H635" s="1467"/>
      <c r="I635" s="1467"/>
      <c r="J635" s="1467"/>
      <c r="K635" s="1467"/>
      <c r="L635" s="1467"/>
      <c r="M635" s="1438"/>
      <c r="N635" s="1438"/>
      <c r="O635" s="1438"/>
      <c r="P635" s="1438"/>
      <c r="Q635" s="1448"/>
      <c r="R635" s="1449"/>
      <c r="S635" s="1450"/>
      <c r="T635" s="1448"/>
      <c r="U635" s="1449"/>
      <c r="V635" s="1450"/>
      <c r="W635" s="1435"/>
      <c r="X635" s="1436"/>
      <c r="Y635" s="1437"/>
      <c r="Z635" s="1463"/>
      <c r="AA635" s="1464"/>
      <c r="AB635" s="1465"/>
      <c r="AC635" s="1599"/>
      <c r="AD635" s="1600"/>
      <c r="AE635" s="1601"/>
      <c r="AF635" s="1414"/>
      <c r="AG635" s="1415"/>
      <c r="AH635" s="1415"/>
      <c r="AI635" s="1415"/>
      <c r="AJ635" s="1416"/>
      <c r="AK635" s="1451"/>
      <c r="AL635" s="1452"/>
      <c r="AM635" s="1452"/>
      <c r="AN635" s="1453"/>
      <c r="AO635" s="1499"/>
      <c r="AP635" s="1500"/>
      <c r="AQ635" s="1500"/>
      <c r="AR635" s="1500"/>
      <c r="AS635" s="1501"/>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7">
        <f>DX597*(BN597/$BN$632)</f>
        <v>883.05</v>
      </c>
      <c r="DY635" s="1447"/>
      <c r="DZ635" s="1447"/>
      <c r="EA635" s="1447"/>
      <c r="EB635" s="1447"/>
      <c r="EC635" s="1447" t="e">
        <f t="shared" ref="EC635:EC657" si="24">EC597*(BS597/$BS$632)</f>
        <v>#VALUE!</v>
      </c>
      <c r="ED635" s="1447"/>
      <c r="EE635" s="1447"/>
      <c r="EF635" s="1447"/>
      <c r="EG635" s="1447"/>
      <c r="EH635" s="1447" t="e">
        <f t="shared" ref="EH635:EH657" si="25">EH597*(BX597/$BX$632)</f>
        <v>#VALUE!</v>
      </c>
      <c r="EI635" s="1447"/>
      <c r="EJ635" s="1447"/>
      <c r="EK635" s="1447"/>
      <c r="EL635" s="1447"/>
      <c r="EM635" s="1447" t="e">
        <f t="shared" ref="EM635:EM657" si="26">EM597*(CC597/$CC$632)</f>
        <v>#VALUE!</v>
      </c>
      <c r="EN635" s="1447"/>
      <c r="EO635" s="1447"/>
      <c r="EP635" s="1447"/>
      <c r="EQ635" s="1447"/>
      <c r="ER635" s="1447" t="e">
        <f t="shared" ref="ER635:ER657" si="27">ER597*(CH597/$CH$632)</f>
        <v>#VALUE!</v>
      </c>
      <c r="ES635" s="1447"/>
      <c r="ET635" s="1447"/>
      <c r="EU635" s="1447"/>
      <c r="EV635" s="1447"/>
      <c r="EW635" s="1447" t="e">
        <f t="shared" ref="EW635:EW657" si="28">EW597*(CM597/$CM$632)</f>
        <v>#VALUE!</v>
      </c>
      <c r="EX635" s="1447"/>
      <c r="EY635" s="1447"/>
      <c r="EZ635" s="1447"/>
      <c r="FA635" s="1447"/>
    </row>
    <row r="636" spans="2:157" ht="12.95" customHeight="1">
      <c r="B636" s="52" t="s">
        <v>654</v>
      </c>
      <c r="C636" s="1467"/>
      <c r="D636" s="1467"/>
      <c r="E636" s="1467"/>
      <c r="F636" s="1467"/>
      <c r="G636" s="1467"/>
      <c r="H636" s="1467"/>
      <c r="I636" s="1467"/>
      <c r="J636" s="1467"/>
      <c r="K636" s="1467"/>
      <c r="L636" s="1467"/>
      <c r="M636" s="1438"/>
      <c r="N636" s="1438"/>
      <c r="O636" s="1438"/>
      <c r="P636" s="1438"/>
      <c r="Q636" s="1448"/>
      <c r="R636" s="1449"/>
      <c r="S636" s="1450"/>
      <c r="T636" s="1448"/>
      <c r="U636" s="1449"/>
      <c r="V636" s="1450"/>
      <c r="W636" s="1435"/>
      <c r="X636" s="1436"/>
      <c r="Y636" s="1437"/>
      <c r="Z636" s="1463"/>
      <c r="AA636" s="1464"/>
      <c r="AB636" s="1465"/>
      <c r="AC636" s="1599"/>
      <c r="AD636" s="1600"/>
      <c r="AE636" s="1601"/>
      <c r="AF636" s="1414"/>
      <c r="AG636" s="1415"/>
      <c r="AH636" s="1415"/>
      <c r="AI636" s="1415"/>
      <c r="AJ636" s="1416"/>
      <c r="AK636" s="1451"/>
      <c r="AL636" s="1452"/>
      <c r="AM636" s="1452"/>
      <c r="AN636" s="1453"/>
      <c r="AO636" s="1499"/>
      <c r="AP636" s="1500"/>
      <c r="AQ636" s="1500"/>
      <c r="AR636" s="1500"/>
      <c r="AS636" s="1501"/>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47">
        <f t="shared" ref="DX636:DX657" si="29">DX598*(BN598/$BN$632)</f>
        <v>459.83333333333337</v>
      </c>
      <c r="DY636" s="1447"/>
      <c r="DZ636" s="1447"/>
      <c r="EA636" s="1447"/>
      <c r="EB636" s="1447"/>
      <c r="EC636" s="1447" t="e">
        <f t="shared" si="24"/>
        <v>#VALUE!</v>
      </c>
      <c r="ED636" s="1447"/>
      <c r="EE636" s="1447"/>
      <c r="EF636" s="1447"/>
      <c r="EG636" s="1447"/>
      <c r="EH636" s="1447" t="e">
        <f t="shared" si="25"/>
        <v>#VALUE!</v>
      </c>
      <c r="EI636" s="1447"/>
      <c r="EJ636" s="1447"/>
      <c r="EK636" s="1447"/>
      <c r="EL636" s="1447"/>
      <c r="EM636" s="1447" t="e">
        <f t="shared" si="26"/>
        <v>#VALUE!</v>
      </c>
      <c r="EN636" s="1447"/>
      <c r="EO636" s="1447"/>
      <c r="EP636" s="1447"/>
      <c r="EQ636" s="1447"/>
      <c r="ER636" s="1447" t="e">
        <f t="shared" si="27"/>
        <v>#VALUE!</v>
      </c>
      <c r="ES636" s="1447"/>
      <c r="ET636" s="1447"/>
      <c r="EU636" s="1447"/>
      <c r="EV636" s="1447"/>
      <c r="EW636" s="1447" t="e">
        <f t="shared" si="28"/>
        <v>#VALUE!</v>
      </c>
      <c r="EX636" s="1447"/>
      <c r="EY636" s="1447"/>
      <c r="EZ636" s="1447"/>
      <c r="FA636" s="1447"/>
    </row>
    <row r="637" spans="2:157" ht="12.95" customHeight="1">
      <c r="B637" s="52" t="s">
        <v>363</v>
      </c>
      <c r="C637" s="1467"/>
      <c r="D637" s="1467"/>
      <c r="E637" s="1467"/>
      <c r="F637" s="1467"/>
      <c r="G637" s="1467"/>
      <c r="H637" s="1467"/>
      <c r="I637" s="1467"/>
      <c r="J637" s="1467"/>
      <c r="K637" s="1467"/>
      <c r="L637" s="1467"/>
      <c r="M637" s="1438"/>
      <c r="N637" s="1438"/>
      <c r="O637" s="1438"/>
      <c r="P637" s="1438"/>
      <c r="Q637" s="1448"/>
      <c r="R637" s="1449"/>
      <c r="S637" s="1450"/>
      <c r="T637" s="1448"/>
      <c r="U637" s="1449"/>
      <c r="V637" s="1450"/>
      <c r="W637" s="1435"/>
      <c r="X637" s="1436"/>
      <c r="Y637" s="1437"/>
      <c r="Z637" s="1463"/>
      <c r="AA637" s="1464"/>
      <c r="AB637" s="1465"/>
      <c r="AC637" s="1599"/>
      <c r="AD637" s="1600"/>
      <c r="AE637" s="1601"/>
      <c r="AF637" s="1414"/>
      <c r="AG637" s="1415"/>
      <c r="AH637" s="1415"/>
      <c r="AI637" s="1415"/>
      <c r="AJ637" s="1416"/>
      <c r="AK637" s="1451"/>
      <c r="AL637" s="1452"/>
      <c r="AM637" s="1452"/>
      <c r="AN637" s="1453"/>
      <c r="AO637" s="1499"/>
      <c r="AP637" s="1500"/>
      <c r="AQ637" s="1500"/>
      <c r="AR637" s="1500"/>
      <c r="AS637" s="1501"/>
      <c r="AT637" s="1192" t="str">
        <f t="shared" si="23"/>
        <v/>
      </c>
      <c r="AV637" s="3"/>
      <c r="AW637" s="3"/>
      <c r="AX637" s="3"/>
      <c r="AY637" s="3"/>
      <c r="AZ637" s="34"/>
      <c r="BA637" s="3" t="s">
        <v>2451</v>
      </c>
      <c r="BB637" s="34"/>
      <c r="BC637" s="34"/>
      <c r="BD637" s="34"/>
      <c r="BE637" s="34"/>
      <c r="BF637" s="34"/>
      <c r="BG637" s="34"/>
      <c r="BH637" s="34"/>
      <c r="BI637" s="34"/>
      <c r="BJ637" s="34"/>
      <c r="BK637" s="34"/>
      <c r="BL637" s="34"/>
      <c r="BM637" s="34"/>
      <c r="BN637" s="1471">
        <f>IF(J773="SRO/Studio",O773,0)</f>
        <v>0</v>
      </c>
      <c r="BO637" s="1472"/>
      <c r="BP637" s="1472"/>
      <c r="BQ637" s="1472"/>
      <c r="BR637" s="1473"/>
      <c r="BS637" s="1484">
        <f>IF(J773="1 Bedroom",O773,0)</f>
        <v>0</v>
      </c>
      <c r="BT637" s="1484"/>
      <c r="BU637" s="1484"/>
      <c r="BV637" s="1484"/>
      <c r="BW637" s="1484"/>
      <c r="BX637" s="1484">
        <f>IF(J773="2 Bedrooms",O773,0)</f>
        <v>2</v>
      </c>
      <c r="BY637" s="1484"/>
      <c r="BZ637" s="1484"/>
      <c r="CA637" s="1484"/>
      <c r="CB637" s="1484"/>
      <c r="CC637" s="1484">
        <f>IF(J773="3 Bedrooms",O773,0)</f>
        <v>0</v>
      </c>
      <c r="CD637" s="1484"/>
      <c r="CE637" s="1484"/>
      <c r="CF637" s="1484"/>
      <c r="CG637" s="1484"/>
      <c r="CH637" s="1484">
        <f>IF(J773="4 Bedrooms",O773,0)</f>
        <v>0</v>
      </c>
      <c r="CI637" s="1484"/>
      <c r="CJ637" s="1484"/>
      <c r="CK637" s="1484"/>
      <c r="CL637" s="1484"/>
      <c r="CM637" s="1484">
        <f>IF(J773="5 Bedrooms",O773,0)</f>
        <v>0</v>
      </c>
      <c r="CN637" s="1484"/>
      <c r="CO637" s="1484"/>
      <c r="CP637" s="1484"/>
      <c r="CQ637" s="1484"/>
      <c r="CR637" s="6"/>
      <c r="CS637" s="3"/>
      <c r="CT637" s="3"/>
      <c r="CU637" s="3"/>
      <c r="CV637" s="3"/>
      <c r="CW637" s="3"/>
      <c r="CX637" s="3"/>
      <c r="CY637" s="3"/>
      <c r="CZ637" s="3"/>
      <c r="DA637" s="3"/>
      <c r="DB637" s="3"/>
      <c r="DC637" s="3"/>
      <c r="DD637" s="3"/>
      <c r="DE637" s="3"/>
      <c r="DF637" s="3"/>
      <c r="DX637" s="1447" t="e">
        <f t="shared" si="29"/>
        <v>#VALUE!</v>
      </c>
      <c r="DY637" s="1447"/>
      <c r="DZ637" s="1447"/>
      <c r="EA637" s="1447"/>
      <c r="EB637" s="1447"/>
      <c r="EC637" s="1447" t="e">
        <f t="shared" si="24"/>
        <v>#VALUE!</v>
      </c>
      <c r="ED637" s="1447"/>
      <c r="EE637" s="1447"/>
      <c r="EF637" s="1447"/>
      <c r="EG637" s="1447"/>
      <c r="EH637" s="1447" t="e">
        <f t="shared" si="25"/>
        <v>#VALUE!</v>
      </c>
      <c r="EI637" s="1447"/>
      <c r="EJ637" s="1447"/>
      <c r="EK637" s="1447"/>
      <c r="EL637" s="1447"/>
      <c r="EM637" s="1447" t="e">
        <f t="shared" si="26"/>
        <v>#VALUE!</v>
      </c>
      <c r="EN637" s="1447"/>
      <c r="EO637" s="1447"/>
      <c r="EP637" s="1447"/>
      <c r="EQ637" s="1447"/>
      <c r="ER637" s="1447" t="e">
        <f t="shared" si="27"/>
        <v>#VALUE!</v>
      </c>
      <c r="ES637" s="1447"/>
      <c r="ET637" s="1447"/>
      <c r="EU637" s="1447"/>
      <c r="EV637" s="1447"/>
      <c r="EW637" s="1447" t="e">
        <f t="shared" si="28"/>
        <v>#VALUE!</v>
      </c>
      <c r="EX637" s="1447"/>
      <c r="EY637" s="1447"/>
      <c r="EZ637" s="1447"/>
      <c r="FA637" s="1447"/>
    </row>
    <row r="638" spans="2:157" ht="12.95" customHeight="1">
      <c r="B638" s="52" t="s">
        <v>364</v>
      </c>
      <c r="C638" s="1467"/>
      <c r="D638" s="1467"/>
      <c r="E638" s="1467"/>
      <c r="F638" s="1467"/>
      <c r="G638" s="1467"/>
      <c r="H638" s="1467"/>
      <c r="I638" s="1467"/>
      <c r="J638" s="1467"/>
      <c r="K638" s="1467"/>
      <c r="L638" s="1467"/>
      <c r="M638" s="1438"/>
      <c r="N638" s="1438"/>
      <c r="O638" s="1438"/>
      <c r="P638" s="1438"/>
      <c r="Q638" s="1448"/>
      <c r="R638" s="1449"/>
      <c r="S638" s="1450"/>
      <c r="T638" s="1448"/>
      <c r="U638" s="1449"/>
      <c r="V638" s="1450"/>
      <c r="W638" s="1435"/>
      <c r="X638" s="1436"/>
      <c r="Y638" s="1437"/>
      <c r="Z638" s="1463"/>
      <c r="AA638" s="1464"/>
      <c r="AB638" s="1465"/>
      <c r="AC638" s="1599"/>
      <c r="AD638" s="1600"/>
      <c r="AE638" s="1601"/>
      <c r="AF638" s="1414"/>
      <c r="AG638" s="1415"/>
      <c r="AH638" s="1415"/>
      <c r="AI638" s="1415"/>
      <c r="AJ638" s="1416"/>
      <c r="AK638" s="1451"/>
      <c r="AL638" s="1452"/>
      <c r="AM638" s="1452"/>
      <c r="AN638" s="1453"/>
      <c r="AO638" s="1499"/>
      <c r="AP638" s="1500"/>
      <c r="AQ638" s="1500"/>
      <c r="AR638" s="1500"/>
      <c r="AS638" s="1501"/>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71">
        <f>IF(J774="SRO/Studio",O774,0)</f>
        <v>0</v>
      </c>
      <c r="BO638" s="1472"/>
      <c r="BP638" s="1472"/>
      <c r="BQ638" s="1472"/>
      <c r="BR638" s="1473"/>
      <c r="BS638" s="1484">
        <f>IF(J774="1 Bedroom",O774,0)</f>
        <v>0</v>
      </c>
      <c r="BT638" s="1484"/>
      <c r="BU638" s="1484"/>
      <c r="BV638" s="1484"/>
      <c r="BW638" s="1484"/>
      <c r="BX638" s="1484">
        <f>IF(J774="2 Bedrooms",O774,0)</f>
        <v>0</v>
      </c>
      <c r="BY638" s="1484"/>
      <c r="BZ638" s="1484"/>
      <c r="CA638" s="1484"/>
      <c r="CB638" s="1484"/>
      <c r="CC638" s="1484">
        <f>IF(J774="3 Bedrooms",O774,0)</f>
        <v>0</v>
      </c>
      <c r="CD638" s="1484"/>
      <c r="CE638" s="1484"/>
      <c r="CF638" s="1484"/>
      <c r="CG638" s="1484"/>
      <c r="CH638" s="1484">
        <f>IF(J774="4 Bedrooms",O774,0)</f>
        <v>0</v>
      </c>
      <c r="CI638" s="1484"/>
      <c r="CJ638" s="1484"/>
      <c r="CK638" s="1484"/>
      <c r="CL638" s="1484"/>
      <c r="CM638" s="1484">
        <f>IF(J774="5 Bedrooms",O774,0)</f>
        <v>0</v>
      </c>
      <c r="CN638" s="1484"/>
      <c r="CO638" s="1484"/>
      <c r="CP638" s="1484"/>
      <c r="CQ638" s="1484"/>
      <c r="CR638" s="6"/>
      <c r="CS638" s="3"/>
      <c r="CT638" s="3"/>
      <c r="CU638" s="3"/>
      <c r="CV638" s="3"/>
      <c r="CW638" s="3"/>
      <c r="CX638" s="3"/>
      <c r="CY638" s="3"/>
      <c r="CZ638" s="3"/>
      <c r="DA638" s="3"/>
      <c r="DB638" s="3"/>
      <c r="DC638" s="3"/>
      <c r="DD638" s="3"/>
      <c r="DE638" s="3"/>
      <c r="DF638" s="3"/>
      <c r="DX638" s="1447" t="e">
        <f t="shared" si="29"/>
        <v>#VALUE!</v>
      </c>
      <c r="DY638" s="1447"/>
      <c r="DZ638" s="1447"/>
      <c r="EA638" s="1447"/>
      <c r="EB638" s="1447"/>
      <c r="EC638" s="1447">
        <f t="shared" si="24"/>
        <v>855.3125</v>
      </c>
      <c r="ED638" s="1447"/>
      <c r="EE638" s="1447"/>
      <c r="EF638" s="1447"/>
      <c r="EG638" s="1447"/>
      <c r="EH638" s="1447" t="e">
        <f t="shared" si="25"/>
        <v>#VALUE!</v>
      </c>
      <c r="EI638" s="1447"/>
      <c r="EJ638" s="1447"/>
      <c r="EK638" s="1447"/>
      <c r="EL638" s="1447"/>
      <c r="EM638" s="1447" t="e">
        <f t="shared" si="26"/>
        <v>#VALUE!</v>
      </c>
      <c r="EN638" s="1447"/>
      <c r="EO638" s="1447"/>
      <c r="EP638" s="1447"/>
      <c r="EQ638" s="1447"/>
      <c r="ER638" s="1447" t="e">
        <f t="shared" si="27"/>
        <v>#VALUE!</v>
      </c>
      <c r="ES638" s="1447"/>
      <c r="ET638" s="1447"/>
      <c r="EU638" s="1447"/>
      <c r="EV638" s="1447"/>
      <c r="EW638" s="1447" t="e">
        <f t="shared" si="28"/>
        <v>#VALUE!</v>
      </c>
      <c r="EX638" s="1447"/>
      <c r="EY638" s="1447"/>
      <c r="EZ638" s="1447"/>
      <c r="FA638" s="1447"/>
    </row>
    <row r="639" spans="2:157" ht="12.95" customHeight="1">
      <c r="B639" s="1418" t="s">
        <v>128</v>
      </c>
      <c r="C639" s="1419"/>
      <c r="D639" s="1419"/>
      <c r="E639" s="1419"/>
      <c r="F639" s="1419"/>
      <c r="G639" s="1419"/>
      <c r="H639" s="1419"/>
      <c r="I639" s="1419"/>
      <c r="J639" s="1419"/>
      <c r="K639" s="1419"/>
      <c r="L639" s="1419"/>
      <c r="M639" s="1419"/>
      <c r="N639" s="1419"/>
      <c r="O639" s="1419"/>
      <c r="P639" s="1419"/>
      <c r="Q639" s="1419"/>
      <c r="R639" s="1419"/>
      <c r="S639" s="1419"/>
      <c r="T639" s="1419"/>
      <c r="U639" s="1419"/>
      <c r="V639" s="1419"/>
      <c r="W639" s="1419"/>
      <c r="X639" s="1419"/>
      <c r="Y639" s="1419"/>
      <c r="Z639" s="1419"/>
      <c r="AA639" s="1419"/>
      <c r="AB639" s="1419"/>
      <c r="AC639" s="1419"/>
      <c r="AD639" s="1419"/>
      <c r="AE639" s="1419"/>
      <c r="AF639" s="1419"/>
      <c r="AG639" s="1419"/>
      <c r="AH639" s="1419"/>
      <c r="AI639" s="1419"/>
      <c r="AJ639" s="1419"/>
      <c r="AK639" s="1419"/>
      <c r="AL639" s="1419"/>
      <c r="AM639" s="1419"/>
      <c r="AN639" s="1420"/>
      <c r="AO639" s="1411">
        <f>SUM(AO627:AR638)</f>
        <v>76134461.99575837</v>
      </c>
      <c r="AP639" s="1412"/>
      <c r="AQ639" s="1412"/>
      <c r="AR639" s="1412"/>
      <c r="AS639" s="1413"/>
      <c r="AV639" s="3"/>
      <c r="AW639" s="3"/>
      <c r="AX639" s="3"/>
      <c r="AY639" s="3"/>
      <c r="AZ639" s="34"/>
      <c r="BA639" s="34"/>
      <c r="BB639" s="34"/>
      <c r="BC639" s="34"/>
      <c r="BD639" s="34"/>
      <c r="BE639" s="34"/>
      <c r="BF639" s="34"/>
      <c r="BG639" s="34"/>
      <c r="BH639" s="34"/>
      <c r="BI639" s="34"/>
      <c r="BJ639" s="34"/>
      <c r="BK639" s="34"/>
      <c r="BL639" s="34"/>
      <c r="BM639" s="34"/>
      <c r="BN639" s="1471">
        <f>IF(J775="SRO/Studio",O775,0)</f>
        <v>0</v>
      </c>
      <c r="BO639" s="1472"/>
      <c r="BP639" s="1472"/>
      <c r="BQ639" s="1472"/>
      <c r="BR639" s="1473"/>
      <c r="BS639" s="1484">
        <f>IF(J775="1 Bedroom",O775,0)</f>
        <v>0</v>
      </c>
      <c r="BT639" s="1484"/>
      <c r="BU639" s="1484"/>
      <c r="BV639" s="1484"/>
      <c r="BW639" s="1484"/>
      <c r="BX639" s="1484">
        <f>IF(J775="2 Bedrooms",O775,0)</f>
        <v>0</v>
      </c>
      <c r="BY639" s="1484"/>
      <c r="BZ639" s="1484"/>
      <c r="CA639" s="1484"/>
      <c r="CB639" s="1484"/>
      <c r="CC639" s="1484">
        <f>IF(J775="3 Bedrooms",O775,0)</f>
        <v>0</v>
      </c>
      <c r="CD639" s="1484"/>
      <c r="CE639" s="1484"/>
      <c r="CF639" s="1484"/>
      <c r="CG639" s="1484"/>
      <c r="CH639" s="1484">
        <f>IF(J775="4 Bedrooms",O775,0)</f>
        <v>0</v>
      </c>
      <c r="CI639" s="1484"/>
      <c r="CJ639" s="1484"/>
      <c r="CK639" s="1484"/>
      <c r="CL639" s="1484"/>
      <c r="CM639" s="1484">
        <f>IF(J775="5 Bedrooms",O775,0)</f>
        <v>0</v>
      </c>
      <c r="CN639" s="1484"/>
      <c r="CO639" s="1484"/>
      <c r="CP639" s="1484"/>
      <c r="CQ639" s="1484"/>
      <c r="CR639" s="1047"/>
      <c r="CV639" s="3"/>
      <c r="CW639" s="3"/>
      <c r="CX639" s="3"/>
      <c r="CY639" s="3"/>
      <c r="CZ639" s="3"/>
      <c r="DA639" s="3"/>
      <c r="DB639" s="3"/>
      <c r="DC639" s="3"/>
      <c r="DD639" s="3"/>
      <c r="DE639" s="3"/>
      <c r="DF639" s="3"/>
      <c r="DX639" s="1447" t="e">
        <f t="shared" si="29"/>
        <v>#VALUE!</v>
      </c>
      <c r="DY639" s="1447"/>
      <c r="DZ639" s="1447"/>
      <c r="EA639" s="1447"/>
      <c r="EB639" s="1447"/>
      <c r="EC639" s="1447">
        <f t="shared" si="24"/>
        <v>632.8125</v>
      </c>
      <c r="ED639" s="1447"/>
      <c r="EE639" s="1447"/>
      <c r="EF639" s="1447"/>
      <c r="EG639" s="1447"/>
      <c r="EH639" s="1447" t="e">
        <f t="shared" si="25"/>
        <v>#VALUE!</v>
      </c>
      <c r="EI639" s="1447"/>
      <c r="EJ639" s="1447"/>
      <c r="EK639" s="1447"/>
      <c r="EL639" s="1447"/>
      <c r="EM639" s="1447" t="e">
        <f t="shared" si="26"/>
        <v>#VALUE!</v>
      </c>
      <c r="EN639" s="1447"/>
      <c r="EO639" s="1447"/>
      <c r="EP639" s="1447"/>
      <c r="EQ639" s="1447"/>
      <c r="ER639" s="1447" t="e">
        <f t="shared" si="27"/>
        <v>#VALUE!</v>
      </c>
      <c r="ES639" s="1447"/>
      <c r="ET639" s="1447"/>
      <c r="EU639" s="1447"/>
      <c r="EV639" s="1447"/>
      <c r="EW639" s="1447" t="e">
        <f t="shared" si="28"/>
        <v>#VALUE!</v>
      </c>
      <c r="EX639" s="1447"/>
      <c r="EY639" s="1447"/>
      <c r="EZ639" s="1447"/>
      <c r="FA639" s="1447"/>
    </row>
    <row r="640" spans="2:157" ht="12.95" customHeight="1">
      <c r="B640" s="1418" t="s">
        <v>268</v>
      </c>
      <c r="C640" s="1419"/>
      <c r="D640" s="1419"/>
      <c r="E640" s="1419"/>
      <c r="F640" s="1419"/>
      <c r="G640" s="1419"/>
      <c r="H640" s="1419"/>
      <c r="I640" s="1419"/>
      <c r="J640" s="1419"/>
      <c r="K640" s="1419"/>
      <c r="L640" s="1419"/>
      <c r="M640" s="1419"/>
      <c r="N640" s="1419"/>
      <c r="O640" s="1419"/>
      <c r="P640" s="1419"/>
      <c r="Q640" s="1419"/>
      <c r="R640" s="1419"/>
      <c r="S640" s="1419"/>
      <c r="T640" s="1419"/>
      <c r="U640" s="1419"/>
      <c r="V640" s="1419"/>
      <c r="W640" s="1419"/>
      <c r="X640" s="1419"/>
      <c r="Y640" s="1419"/>
      <c r="Z640" s="1419"/>
      <c r="AA640" s="1419"/>
      <c r="AB640" s="1419"/>
      <c r="AC640" s="1419"/>
      <c r="AD640" s="1419"/>
      <c r="AE640" s="1419"/>
      <c r="AF640" s="1419"/>
      <c r="AG640" s="1419"/>
      <c r="AH640" s="1419"/>
      <c r="AI640" s="1419"/>
      <c r="AJ640" s="1419"/>
      <c r="AK640" s="1419"/>
      <c r="AL640" s="1419"/>
      <c r="AM640" s="1419"/>
      <c r="AN640" s="1420"/>
      <c r="AO640" s="1499">
        <v>45863392.606637016</v>
      </c>
      <c r="AP640" s="1500"/>
      <c r="AQ640" s="1500"/>
      <c r="AR640" s="1500"/>
      <c r="AS640" s="1501"/>
      <c r="AV640" s="3"/>
      <c r="AW640" s="3"/>
      <c r="AX640" s="3"/>
      <c r="AY640" s="3"/>
      <c r="AZ640" s="34"/>
      <c r="BA640" s="34"/>
      <c r="BB640" s="34"/>
      <c r="BC640" s="34"/>
      <c r="BD640" s="34"/>
      <c r="BE640" s="34"/>
      <c r="BF640" s="34"/>
      <c r="BG640" s="34"/>
      <c r="BH640" s="34"/>
      <c r="BI640" s="34"/>
      <c r="BJ640" s="34"/>
      <c r="BK640" s="34"/>
      <c r="BL640" s="34"/>
      <c r="BM640" s="34"/>
      <c r="BN640" s="1471">
        <f>IF(J776="SRO/Studio",O776,0)</f>
        <v>0</v>
      </c>
      <c r="BO640" s="1472"/>
      <c r="BP640" s="1472"/>
      <c r="BQ640" s="1472"/>
      <c r="BR640" s="1473"/>
      <c r="BS640" s="1484">
        <f>IF(J776="1 Bedroom",O776,0)</f>
        <v>0</v>
      </c>
      <c r="BT640" s="1484"/>
      <c r="BU640" s="1484"/>
      <c r="BV640" s="1484"/>
      <c r="BW640" s="1484"/>
      <c r="BX640" s="1484">
        <f>IF(J776="2 Bedrooms",O776,0)</f>
        <v>0</v>
      </c>
      <c r="BY640" s="1484"/>
      <c r="BZ640" s="1484"/>
      <c r="CA640" s="1484"/>
      <c r="CB640" s="1484"/>
      <c r="CC640" s="1484">
        <f>IF(J776="3 Bedrooms",O776,0)</f>
        <v>0</v>
      </c>
      <c r="CD640" s="1484"/>
      <c r="CE640" s="1484"/>
      <c r="CF640" s="1484"/>
      <c r="CG640" s="1484"/>
      <c r="CH640" s="1484">
        <f>IF(J776="4 Bedrooms",O776,0)</f>
        <v>0</v>
      </c>
      <c r="CI640" s="1484"/>
      <c r="CJ640" s="1484"/>
      <c r="CK640" s="1484"/>
      <c r="CL640" s="1484"/>
      <c r="CM640" s="1484">
        <f>IF(J776="5 Bedrooms",O776,0)</f>
        <v>0</v>
      </c>
      <c r="CN640" s="1484"/>
      <c r="CO640" s="1484"/>
      <c r="CP640" s="1484"/>
      <c r="CQ640" s="1484"/>
      <c r="CV640" s="3"/>
      <c r="CW640" s="3"/>
      <c r="CX640" s="3"/>
      <c r="CY640" s="3"/>
      <c r="CZ640" s="3"/>
      <c r="DA640" s="3"/>
      <c r="DB640" s="3"/>
      <c r="DC640" s="3"/>
      <c r="DD640" s="3"/>
      <c r="DE640" s="3"/>
      <c r="DF640" s="3"/>
      <c r="DX640" s="1447" t="e">
        <f t="shared" si="29"/>
        <v>#VALUE!</v>
      </c>
      <c r="DY640" s="1447"/>
      <c r="DZ640" s="1447"/>
      <c r="EA640" s="1447"/>
      <c r="EB640" s="1447"/>
      <c r="EC640" s="1447">
        <f t="shared" si="24"/>
        <v>172.390625</v>
      </c>
      <c r="ED640" s="1447"/>
      <c r="EE640" s="1447"/>
      <c r="EF640" s="1447"/>
      <c r="EG640" s="1447"/>
      <c r="EH640" s="1447" t="e">
        <f t="shared" si="25"/>
        <v>#VALUE!</v>
      </c>
      <c r="EI640" s="1447"/>
      <c r="EJ640" s="1447"/>
      <c r="EK640" s="1447"/>
      <c r="EL640" s="1447"/>
      <c r="EM640" s="1447" t="e">
        <f t="shared" si="26"/>
        <v>#VALUE!</v>
      </c>
      <c r="EN640" s="1447"/>
      <c r="EO640" s="1447"/>
      <c r="EP640" s="1447"/>
      <c r="EQ640" s="1447"/>
      <c r="ER640" s="1447" t="e">
        <f t="shared" si="27"/>
        <v>#VALUE!</v>
      </c>
      <c r="ES640" s="1447"/>
      <c r="ET640" s="1447"/>
      <c r="EU640" s="1447"/>
      <c r="EV640" s="1447"/>
      <c r="EW640" s="1447" t="e">
        <f t="shared" si="28"/>
        <v>#VALUE!</v>
      </c>
      <c r="EX640" s="1447"/>
      <c r="EY640" s="1447"/>
      <c r="EZ640" s="1447"/>
      <c r="FA640" s="1447"/>
    </row>
    <row r="641" spans="1:157" ht="12.95" customHeight="1">
      <c r="B641" s="1659" t="s">
        <v>269</v>
      </c>
      <c r="C641" s="1660"/>
      <c r="D641" s="1660"/>
      <c r="E641" s="1660"/>
      <c r="F641" s="1660"/>
      <c r="G641" s="1660"/>
      <c r="H641" s="1660"/>
      <c r="I641" s="1660"/>
      <c r="J641" s="1660"/>
      <c r="K641" s="1660"/>
      <c r="L641" s="1660"/>
      <c r="M641" s="1660"/>
      <c r="N641" s="1660"/>
      <c r="O641" s="1660"/>
      <c r="P641" s="1660"/>
      <c r="Q641" s="1660"/>
      <c r="R641" s="1660"/>
      <c r="S641" s="1660"/>
      <c r="T641" s="1660"/>
      <c r="U641" s="1660"/>
      <c r="V641" s="1660"/>
      <c r="W641" s="1660"/>
      <c r="X641" s="1660"/>
      <c r="Y641" s="1660"/>
      <c r="Z641" s="1660"/>
      <c r="AA641" s="1660"/>
      <c r="AB641" s="1660"/>
      <c r="AC641" s="1660"/>
      <c r="AD641" s="1660"/>
      <c r="AE641" s="1660"/>
      <c r="AF641" s="1660"/>
      <c r="AG641" s="1660"/>
      <c r="AH641" s="1660"/>
      <c r="AI641" s="1660"/>
      <c r="AJ641" s="1660"/>
      <c r="AK641" s="1660"/>
      <c r="AL641" s="1660"/>
      <c r="AM641" s="1660"/>
      <c r="AN641" s="1661"/>
      <c r="AO641" s="1411">
        <f>AO639+AO640</f>
        <v>121997854.60239539</v>
      </c>
      <c r="AP641" s="1412"/>
      <c r="AQ641" s="1412"/>
      <c r="AR641" s="1412"/>
      <c r="AS641" s="1413"/>
      <c r="AV641" s="3"/>
      <c r="AW641" s="3"/>
      <c r="AX641" s="3"/>
      <c r="AY641" s="3"/>
      <c r="AZ641" s="34"/>
      <c r="BA641" s="34"/>
      <c r="BB641" s="34"/>
      <c r="BC641" s="34"/>
      <c r="BD641" s="34"/>
      <c r="BE641" s="34"/>
      <c r="BF641" s="34"/>
      <c r="BG641" s="34"/>
      <c r="BH641" s="34"/>
      <c r="BI641" s="34"/>
      <c r="BJ641" s="34"/>
      <c r="BK641" s="34"/>
      <c r="BL641" s="34"/>
      <c r="BM641" s="34"/>
      <c r="BN641" s="1487">
        <f>SUM(BN637:BR640)</f>
        <v>0</v>
      </c>
      <c r="BO641" s="1488"/>
      <c r="BP641" s="1488"/>
      <c r="BQ641" s="1488"/>
      <c r="BR641" s="1489"/>
      <c r="BS641" s="1474">
        <f>SUM(BS637:BW640)</f>
        <v>0</v>
      </c>
      <c r="BT641" s="1475"/>
      <c r="BU641" s="1475"/>
      <c r="BV641" s="1475"/>
      <c r="BW641" s="1476"/>
      <c r="BX641" s="1474">
        <f>SUM(BX637:CB640)</f>
        <v>2</v>
      </c>
      <c r="BY641" s="1475"/>
      <c r="BZ641" s="1475"/>
      <c r="CA641" s="1475"/>
      <c r="CB641" s="1476"/>
      <c r="CC641" s="1474">
        <f>SUM(CC637:CG640)</f>
        <v>0</v>
      </c>
      <c r="CD641" s="1475"/>
      <c r="CE641" s="1475"/>
      <c r="CF641" s="1475"/>
      <c r="CG641" s="1476"/>
      <c r="CH641" s="1474">
        <f>SUM(CH637:CL640)</f>
        <v>0</v>
      </c>
      <c r="CI641" s="1475"/>
      <c r="CJ641" s="1475"/>
      <c r="CK641" s="1475"/>
      <c r="CL641" s="1476"/>
      <c r="CM641" s="1474">
        <f>SUM(CM637:CQ640)</f>
        <v>0</v>
      </c>
      <c r="CN641" s="1475"/>
      <c r="CO641" s="1475"/>
      <c r="CP641" s="1475"/>
      <c r="CQ641" s="1476"/>
      <c r="CS641" s="895">
        <f>BN641+BS641+BX641+CC641+CH641+CM641</f>
        <v>2</v>
      </c>
      <c r="CT641" s="57" t="s">
        <v>2051</v>
      </c>
      <c r="CU641" s="3"/>
      <c r="CV641" s="3"/>
      <c r="CW641" s="3"/>
      <c r="CX641" s="3"/>
      <c r="CY641" s="3"/>
      <c r="CZ641" s="3"/>
      <c r="DA641" s="3"/>
      <c r="DB641" s="3"/>
      <c r="DC641" s="3"/>
      <c r="DD641" s="3"/>
      <c r="DE641" s="3"/>
      <c r="DF641" s="3"/>
      <c r="DX641" s="1447" t="e">
        <f t="shared" si="29"/>
        <v>#VALUE!</v>
      </c>
      <c r="DY641" s="1447"/>
      <c r="DZ641" s="1447"/>
      <c r="EA641" s="1447"/>
      <c r="EB641" s="1447"/>
      <c r="EC641" s="1447" t="e">
        <f t="shared" si="24"/>
        <v>#VALUE!</v>
      </c>
      <c r="ED641" s="1447"/>
      <c r="EE641" s="1447"/>
      <c r="EF641" s="1447"/>
      <c r="EG641" s="1447"/>
      <c r="EH641" s="1447" t="e">
        <f t="shared" si="25"/>
        <v>#VALUE!</v>
      </c>
      <c r="EI641" s="1447"/>
      <c r="EJ641" s="1447"/>
      <c r="EK641" s="1447"/>
      <c r="EL641" s="1447"/>
      <c r="EM641" s="1447" t="e">
        <f t="shared" si="26"/>
        <v>#VALUE!</v>
      </c>
      <c r="EN641" s="1447"/>
      <c r="EO641" s="1447"/>
      <c r="EP641" s="1447"/>
      <c r="EQ641" s="1447"/>
      <c r="ER641" s="1447" t="e">
        <f t="shared" si="27"/>
        <v>#VALUE!</v>
      </c>
      <c r="ES641" s="1447"/>
      <c r="ET641" s="1447"/>
      <c r="EU641" s="1447"/>
      <c r="EV641" s="1447"/>
      <c r="EW641" s="1447" t="e">
        <f t="shared" si="28"/>
        <v>#VALUE!</v>
      </c>
      <c r="EX641" s="1447"/>
      <c r="EY641" s="1447"/>
      <c r="EZ641" s="1447"/>
      <c r="FA641" s="1447"/>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4</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4</v>
      </c>
      <c r="CT642" s="57" t="s">
        <v>2053</v>
      </c>
      <c r="CU642" s="3"/>
      <c r="CV642" s="3"/>
      <c r="CW642" s="3"/>
      <c r="CX642" s="3"/>
      <c r="CY642" s="3"/>
      <c r="CZ642" s="3"/>
      <c r="DA642" s="3"/>
      <c r="DB642" s="3"/>
      <c r="DC642" s="3"/>
      <c r="DD642" s="3"/>
      <c r="DE642" s="3"/>
      <c r="DF642" s="3"/>
      <c r="DX642" s="1447" t="e">
        <f t="shared" si="29"/>
        <v>#VALUE!</v>
      </c>
      <c r="DY642" s="1447"/>
      <c r="DZ642" s="1447"/>
      <c r="EA642" s="1447"/>
      <c r="EB642" s="1447"/>
      <c r="EC642" s="1447" t="e">
        <f t="shared" si="24"/>
        <v>#VALUE!</v>
      </c>
      <c r="ED642" s="1447"/>
      <c r="EE642" s="1447"/>
      <c r="EF642" s="1447"/>
      <c r="EG642" s="1447"/>
      <c r="EH642" s="1447">
        <f t="shared" si="25"/>
        <v>449.03846153846155</v>
      </c>
      <c r="EI642" s="1447"/>
      <c r="EJ642" s="1447"/>
      <c r="EK642" s="1447"/>
      <c r="EL642" s="1447"/>
      <c r="EM642" s="1447" t="e">
        <f t="shared" si="26"/>
        <v>#VALUE!</v>
      </c>
      <c r="EN642" s="1447"/>
      <c r="EO642" s="1447"/>
      <c r="EP642" s="1447"/>
      <c r="EQ642" s="1447"/>
      <c r="ER642" s="1447" t="e">
        <f t="shared" si="27"/>
        <v>#VALUE!</v>
      </c>
      <c r="ES642" s="1447"/>
      <c r="ET642" s="1447"/>
      <c r="EU642" s="1447"/>
      <c r="EV642" s="1447"/>
      <c r="EW642" s="1447" t="e">
        <f t="shared" si="28"/>
        <v>#VALUE!</v>
      </c>
      <c r="EX642" s="1447"/>
      <c r="EY642" s="1447"/>
      <c r="EZ642" s="1447"/>
      <c r="FA642" s="1447"/>
    </row>
    <row r="643" spans="1:157" ht="12.95" customHeight="1">
      <c r="A643" s="55" t="s">
        <v>112</v>
      </c>
      <c r="B643" t="s">
        <v>471</v>
      </c>
      <c r="G643" s="1457" t="str">
        <f>C627</f>
        <v>Citibank Tax- Exempt</v>
      </c>
      <c r="H643" s="1457"/>
      <c r="I643" s="1457"/>
      <c r="J643" s="1457"/>
      <c r="K643" s="1457"/>
      <c r="L643" s="1457"/>
      <c r="M643" s="1457"/>
      <c r="N643" s="1457"/>
      <c r="O643" s="1457"/>
      <c r="P643" s="1457"/>
      <c r="Q643" s="1457"/>
      <c r="R643" s="1457"/>
      <c r="S643" s="8"/>
      <c r="T643" s="55" t="s">
        <v>113</v>
      </c>
      <c r="U643" t="s">
        <v>471</v>
      </c>
      <c r="Z643" s="1457" t="str">
        <f>C628</f>
        <v>Solar Equity</v>
      </c>
      <c r="AA643" s="1457"/>
      <c r="AB643" s="1457"/>
      <c r="AC643" s="1457"/>
      <c r="AD643" s="1457"/>
      <c r="AE643" s="1457"/>
      <c r="AF643" s="1457"/>
      <c r="AG643" s="1457"/>
      <c r="AH643" s="1457"/>
      <c r="AI643" s="1457"/>
      <c r="AJ643" s="1457"/>
      <c r="AK643" s="1457"/>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7" t="e">
        <f t="shared" si="29"/>
        <v>#VALUE!</v>
      </c>
      <c r="DY643" s="1447"/>
      <c r="DZ643" s="1447"/>
      <c r="EA643" s="1447"/>
      <c r="EB643" s="1447"/>
      <c r="EC643" s="1447" t="e">
        <f t="shared" si="24"/>
        <v>#VALUE!</v>
      </c>
      <c r="ED643" s="1447"/>
      <c r="EE643" s="1447"/>
      <c r="EF643" s="1447"/>
      <c r="EG643" s="1447"/>
      <c r="EH643" s="1447">
        <f t="shared" si="25"/>
        <v>185.07692307692309</v>
      </c>
      <c r="EI643" s="1447"/>
      <c r="EJ643" s="1447"/>
      <c r="EK643" s="1447"/>
      <c r="EL643" s="1447"/>
      <c r="EM643" s="1447" t="e">
        <f t="shared" si="26"/>
        <v>#VALUE!</v>
      </c>
      <c r="EN643" s="1447"/>
      <c r="EO643" s="1447"/>
      <c r="EP643" s="1447"/>
      <c r="EQ643" s="1447"/>
      <c r="ER643" s="1447" t="e">
        <f t="shared" si="27"/>
        <v>#VALUE!</v>
      </c>
      <c r="ES643" s="1447"/>
      <c r="ET643" s="1447"/>
      <c r="EU643" s="1447"/>
      <c r="EV643" s="1447"/>
      <c r="EW643" s="1447" t="e">
        <f t="shared" si="28"/>
        <v>#VALUE!</v>
      </c>
      <c r="EX643" s="1447"/>
      <c r="EY643" s="1447"/>
      <c r="EZ643" s="1447"/>
      <c r="FA643" s="1447"/>
    </row>
    <row r="644" spans="1:157" ht="12.95" customHeight="1">
      <c r="A644" s="22"/>
      <c r="B644" t="s">
        <v>85</v>
      </c>
      <c r="G644" s="1378" t="s">
        <v>2760</v>
      </c>
      <c r="H644" s="1378"/>
      <c r="I644" s="1378"/>
      <c r="J644" s="1378"/>
      <c r="K644" s="1378"/>
      <c r="L644" s="1378"/>
      <c r="M644" s="1378"/>
      <c r="N644" s="1378"/>
      <c r="O644" s="1378"/>
      <c r="P644" s="1378"/>
      <c r="Q644" s="1378"/>
      <c r="R644" s="1378"/>
      <c r="S644" s="8"/>
      <c r="T644" s="22"/>
      <c r="U644" t="s">
        <v>85</v>
      </c>
      <c r="Z644" s="1378" t="s">
        <v>2788</v>
      </c>
      <c r="AA644" s="1378"/>
      <c r="AB644" s="1378"/>
      <c r="AC644" s="1378"/>
      <c r="AD644" s="1378"/>
      <c r="AE644" s="1378"/>
      <c r="AF644" s="1378"/>
      <c r="AG644" s="1378"/>
      <c r="AH644" s="1378"/>
      <c r="AI644" s="1378"/>
      <c r="AJ644" s="1378"/>
      <c r="AK644" s="1378"/>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2058</v>
      </c>
      <c r="CT644" s="3"/>
      <c r="CU644" s="3"/>
      <c r="CV644" s="3"/>
      <c r="CW644" s="3"/>
      <c r="CX644" s="3"/>
      <c r="CY644" s="3"/>
      <c r="CZ644" s="3"/>
      <c r="DA644" s="3"/>
      <c r="DB644" s="3"/>
      <c r="DC644" s="3"/>
      <c r="DD644" s="3"/>
      <c r="DE644" s="3"/>
      <c r="DF644" s="3"/>
      <c r="DX644" s="1447" t="e">
        <f t="shared" si="29"/>
        <v>#VALUE!</v>
      </c>
      <c r="DY644" s="1447"/>
      <c r="DZ644" s="1447"/>
      <c r="EA644" s="1447"/>
      <c r="EB644" s="1447"/>
      <c r="EC644" s="1447" t="e">
        <f t="shared" si="24"/>
        <v>#VALUE!</v>
      </c>
      <c r="ED644" s="1447"/>
      <c r="EE644" s="1447"/>
      <c r="EF644" s="1447"/>
      <c r="EG644" s="1447"/>
      <c r="EH644" s="1447">
        <f t="shared" si="25"/>
        <v>323.88461538461536</v>
      </c>
      <c r="EI644" s="1447"/>
      <c r="EJ644" s="1447"/>
      <c r="EK644" s="1447"/>
      <c r="EL644" s="1447"/>
      <c r="EM644" s="1447" t="e">
        <f t="shared" si="26"/>
        <v>#VALUE!</v>
      </c>
      <c r="EN644" s="1447"/>
      <c r="EO644" s="1447"/>
      <c r="EP644" s="1447"/>
      <c r="EQ644" s="1447"/>
      <c r="ER644" s="1447" t="e">
        <f t="shared" si="27"/>
        <v>#VALUE!</v>
      </c>
      <c r="ES644" s="1447"/>
      <c r="ET644" s="1447"/>
      <c r="EU644" s="1447"/>
      <c r="EV644" s="1447"/>
      <c r="EW644" s="1447" t="e">
        <f t="shared" si="28"/>
        <v>#VALUE!</v>
      </c>
      <c r="EX644" s="1447"/>
      <c r="EY644" s="1447"/>
      <c r="EZ644" s="1447"/>
      <c r="FA644" s="1447"/>
    </row>
    <row r="645" spans="1:157" ht="12.95" customHeight="1">
      <c r="A645" s="22"/>
      <c r="B645" t="s">
        <v>588</v>
      </c>
      <c r="G645" s="1378" t="s">
        <v>2761</v>
      </c>
      <c r="H645" s="1378"/>
      <c r="I645" s="1378"/>
      <c r="J645" s="1378"/>
      <c r="K645" s="1378"/>
      <c r="L645" s="1378"/>
      <c r="M645" s="1378"/>
      <c r="N645" s="1378"/>
      <c r="O645" s="1378"/>
      <c r="P645" s="1378"/>
      <c r="Q645" s="1378"/>
      <c r="R645" s="1378"/>
      <c r="T645" s="22"/>
      <c r="U645" t="s">
        <v>588</v>
      </c>
      <c r="Z645" s="1434" t="s">
        <v>2646</v>
      </c>
      <c r="AA645" s="1434"/>
      <c r="AB645" s="1434"/>
      <c r="AC645" s="1434"/>
      <c r="AD645" s="1434"/>
      <c r="AE645" s="1434"/>
      <c r="AF645" s="1434"/>
      <c r="AG645" s="1434"/>
      <c r="AH645" s="1434"/>
      <c r="AI645" s="1434"/>
      <c r="AJ645" s="1434"/>
      <c r="AK645" s="1434"/>
      <c r="AV645" s="3"/>
      <c r="AW645" s="3"/>
      <c r="AX645" s="3"/>
      <c r="AY645" s="3"/>
      <c r="AZ645" s="3"/>
      <c r="BA645" s="3"/>
      <c r="BB645" s="3"/>
      <c r="BC645" s="3"/>
      <c r="BD645" s="3"/>
      <c r="BE645" s="3"/>
      <c r="BF645" s="3"/>
      <c r="BG645" s="3"/>
      <c r="BH645" s="3"/>
      <c r="BI645" s="3"/>
      <c r="BJ645" s="3"/>
      <c r="BK645" s="3"/>
      <c r="BL645" s="3"/>
      <c r="BM645" s="3"/>
      <c r="BN645" s="1471">
        <f t="shared" ref="BN645:BN654" si="30">IF(J787="SRO/Studio",O787,0)</f>
        <v>0</v>
      </c>
      <c r="BO645" s="1472"/>
      <c r="BP645" s="1472"/>
      <c r="BQ645" s="1472"/>
      <c r="BR645" s="1473"/>
      <c r="BS645" s="1484">
        <f t="shared" ref="BS645:BS654" si="31">IF(J787="1 Bedroom",O787,0)</f>
        <v>0</v>
      </c>
      <c r="BT645" s="1484"/>
      <c r="BU645" s="1484"/>
      <c r="BV645" s="1484"/>
      <c r="BW645" s="1484"/>
      <c r="BX645" s="1484">
        <f t="shared" ref="BX645:BX654" si="32">IF(J787="2 Bedrooms",O787,0)</f>
        <v>0</v>
      </c>
      <c r="BY645" s="1484"/>
      <c r="BZ645" s="1484"/>
      <c r="CA645" s="1484"/>
      <c r="CB645" s="1484"/>
      <c r="CC645" s="1484">
        <f t="shared" ref="CC645:CC654" si="33">IF(J787="3 Bedrooms",O787,0)</f>
        <v>0</v>
      </c>
      <c r="CD645" s="1484"/>
      <c r="CE645" s="1484"/>
      <c r="CF645" s="1484"/>
      <c r="CG645" s="1484"/>
      <c r="CH645" s="1484">
        <f t="shared" ref="CH645:CH654" si="34">IF(J787="4 Bedrooms",O787,0)</f>
        <v>0</v>
      </c>
      <c r="CI645" s="1484"/>
      <c r="CJ645" s="1484"/>
      <c r="CK645" s="1484"/>
      <c r="CL645" s="1484"/>
      <c r="CM645" s="1484">
        <f t="shared" ref="CM645:CM654" si="35">IF(J787="5 Bedrooms",O787,0)</f>
        <v>0</v>
      </c>
      <c r="CN645" s="1484"/>
      <c r="CO645" s="1484"/>
      <c r="CP645" s="1484"/>
      <c r="CQ645" s="1484"/>
      <c r="CR645" s="6"/>
      <c r="CS645" s="1471">
        <f t="shared" ref="CS645:CS654" si="36">IF(AND(BN645&gt;=1,AH787&gt;=0.1,AH787&lt;=1),O787,0)</f>
        <v>0</v>
      </c>
      <c r="CT645" s="1472"/>
      <c r="CU645" s="1472"/>
      <c r="CV645" s="1472"/>
      <c r="CW645" s="1473"/>
      <c r="CX645" s="1471">
        <f t="shared" ref="CX645:CX654" si="37">IF(AND(BS645&gt;=1,AH787&gt;=0.1,AH787&lt;=1),O787,0)</f>
        <v>0</v>
      </c>
      <c r="CY645" s="1472"/>
      <c r="CZ645" s="1472"/>
      <c r="DA645" s="1472"/>
      <c r="DB645" s="1473"/>
      <c r="DC645" s="1471">
        <f t="shared" ref="DC645:DC654" si="38">IF(AND(BX645&gt;=1,AH787&gt;=0.1,AH787&lt;=1),O787,0)</f>
        <v>0</v>
      </c>
      <c r="DD645" s="1472"/>
      <c r="DE645" s="1472"/>
      <c r="DF645" s="1472"/>
      <c r="DG645" s="1473"/>
      <c r="DH645" s="1471">
        <f t="shared" ref="DH645:DH654" si="39">IF(AND(CC645&gt;=1,AH787&gt;=0.1,AH787&lt;=1),O787,0)</f>
        <v>0</v>
      </c>
      <c r="DI645" s="1472"/>
      <c r="DJ645" s="1472"/>
      <c r="DK645" s="1472"/>
      <c r="DL645" s="1473"/>
      <c r="DM645" s="1471">
        <f t="shared" ref="DM645:DM654" si="40">IF(AND(CH645&gt;=1,AH787&gt;=0.1,AH787&lt;=1),O787,0)</f>
        <v>0</v>
      </c>
      <c r="DN645" s="1472"/>
      <c r="DO645" s="1472"/>
      <c r="DP645" s="1472"/>
      <c r="DQ645" s="1473"/>
      <c r="DR645" s="1471">
        <f t="shared" ref="DR645:DR654" si="41">IF(AND(CM645&gt;=1,AH787&gt;=0.1,AH787&lt;=1),O787,0)</f>
        <v>0</v>
      </c>
      <c r="DS645" s="1472"/>
      <c r="DT645" s="1472"/>
      <c r="DU645" s="1472"/>
      <c r="DV645" s="1473"/>
      <c r="DX645" s="1447" t="e">
        <f t="shared" si="29"/>
        <v>#VALUE!</v>
      </c>
      <c r="DY645" s="1447"/>
      <c r="DZ645" s="1447"/>
      <c r="EA645" s="1447"/>
      <c r="EB645" s="1447"/>
      <c r="EC645" s="1447" t="e">
        <f t="shared" si="24"/>
        <v>#VALUE!</v>
      </c>
      <c r="ED645" s="1447"/>
      <c r="EE645" s="1447"/>
      <c r="EF645" s="1447"/>
      <c r="EG645" s="1447"/>
      <c r="EH645" s="1447">
        <f t="shared" si="25"/>
        <v>462.69230769230774</v>
      </c>
      <c r="EI645" s="1447"/>
      <c r="EJ645" s="1447"/>
      <c r="EK645" s="1447"/>
      <c r="EL645" s="1447"/>
      <c r="EM645" s="1447" t="e">
        <f t="shared" si="26"/>
        <v>#VALUE!</v>
      </c>
      <c r="EN645" s="1447"/>
      <c r="EO645" s="1447"/>
      <c r="EP645" s="1447"/>
      <c r="EQ645" s="1447"/>
      <c r="ER645" s="1447" t="e">
        <f t="shared" si="27"/>
        <v>#VALUE!</v>
      </c>
      <c r="ES645" s="1447"/>
      <c r="ET645" s="1447"/>
      <c r="EU645" s="1447"/>
      <c r="EV645" s="1447"/>
      <c r="EW645" s="1447" t="e">
        <f t="shared" si="28"/>
        <v>#VALUE!</v>
      </c>
      <c r="EX645" s="1447"/>
      <c r="EY645" s="1447"/>
      <c r="EZ645" s="1447"/>
      <c r="FA645" s="1447"/>
    </row>
    <row r="646" spans="1:157" ht="12.95" customHeight="1">
      <c r="A646" s="22"/>
      <c r="B646" t="s">
        <v>17</v>
      </c>
      <c r="G646" s="1378" t="s">
        <v>2762</v>
      </c>
      <c r="H646" s="1378"/>
      <c r="I646" s="1378"/>
      <c r="J646" s="1378"/>
      <c r="K646" s="1378"/>
      <c r="L646" s="1378"/>
      <c r="M646" s="1378"/>
      <c r="N646" s="1378"/>
      <c r="O646" s="1378"/>
      <c r="P646" s="1378"/>
      <c r="Q646" s="1378"/>
      <c r="R646" s="1378"/>
      <c r="S646" s="8"/>
      <c r="T646" s="22"/>
      <c r="U646" t="s">
        <v>17</v>
      </c>
      <c r="Z646" s="1434" t="s">
        <v>2789</v>
      </c>
      <c r="AA646" s="1434"/>
      <c r="AB646" s="1434"/>
      <c r="AC646" s="1434"/>
      <c r="AD646" s="1434"/>
      <c r="AE646" s="1434"/>
      <c r="AF646" s="1434"/>
      <c r="AG646" s="1434"/>
      <c r="AH646" s="1434"/>
      <c r="AI646" s="1434"/>
      <c r="AJ646" s="1434"/>
      <c r="AK646" s="1434"/>
      <c r="AZ646" s="3"/>
      <c r="BA646" s="3"/>
      <c r="BB646" s="3"/>
      <c r="BC646" s="3"/>
      <c r="BD646" s="3"/>
      <c r="BE646" s="3"/>
      <c r="BF646" s="3"/>
      <c r="BG646" s="3"/>
      <c r="BH646" s="3"/>
      <c r="BI646" s="3"/>
      <c r="BJ646" s="3"/>
      <c r="BK646" s="3"/>
      <c r="BL646" s="3"/>
      <c r="BM646" s="3"/>
      <c r="BN646" s="1471">
        <f t="shared" si="30"/>
        <v>0</v>
      </c>
      <c r="BO646" s="1472"/>
      <c r="BP646" s="1472"/>
      <c r="BQ646" s="1472"/>
      <c r="BR646" s="1473"/>
      <c r="BS646" s="1484">
        <f t="shared" si="31"/>
        <v>0</v>
      </c>
      <c r="BT646" s="1484"/>
      <c r="BU646" s="1484"/>
      <c r="BV646" s="1484"/>
      <c r="BW646" s="1484"/>
      <c r="BX646" s="1484">
        <f t="shared" si="32"/>
        <v>0</v>
      </c>
      <c r="BY646" s="1484"/>
      <c r="BZ646" s="1484"/>
      <c r="CA646" s="1484"/>
      <c r="CB646" s="1484"/>
      <c r="CC646" s="1484">
        <f t="shared" si="33"/>
        <v>0</v>
      </c>
      <c r="CD646" s="1484"/>
      <c r="CE646" s="1484"/>
      <c r="CF646" s="1484"/>
      <c r="CG646" s="1484"/>
      <c r="CH646" s="1484">
        <f t="shared" si="34"/>
        <v>0</v>
      </c>
      <c r="CI646" s="1484"/>
      <c r="CJ646" s="1484"/>
      <c r="CK646" s="1484"/>
      <c r="CL646" s="1484"/>
      <c r="CM646" s="1484">
        <f t="shared" si="35"/>
        <v>0</v>
      </c>
      <c r="CN646" s="1484"/>
      <c r="CO646" s="1484"/>
      <c r="CP646" s="1484"/>
      <c r="CQ646" s="1484"/>
      <c r="CR646" s="6"/>
      <c r="CS646" s="1471">
        <f t="shared" si="36"/>
        <v>0</v>
      </c>
      <c r="CT646" s="1472"/>
      <c r="CU646" s="1472"/>
      <c r="CV646" s="1472"/>
      <c r="CW646" s="1473"/>
      <c r="CX646" s="1471">
        <f t="shared" si="37"/>
        <v>0</v>
      </c>
      <c r="CY646" s="1472"/>
      <c r="CZ646" s="1472"/>
      <c r="DA646" s="1472"/>
      <c r="DB646" s="1473"/>
      <c r="DC646" s="1471">
        <f t="shared" si="38"/>
        <v>0</v>
      </c>
      <c r="DD646" s="1472"/>
      <c r="DE646" s="1472"/>
      <c r="DF646" s="1472"/>
      <c r="DG646" s="1473"/>
      <c r="DH646" s="1471">
        <f t="shared" si="39"/>
        <v>0</v>
      </c>
      <c r="DI646" s="1472"/>
      <c r="DJ646" s="1472"/>
      <c r="DK646" s="1472"/>
      <c r="DL646" s="1473"/>
      <c r="DM646" s="1471">
        <f t="shared" si="40"/>
        <v>0</v>
      </c>
      <c r="DN646" s="1472"/>
      <c r="DO646" s="1472"/>
      <c r="DP646" s="1472"/>
      <c r="DQ646" s="1473"/>
      <c r="DR646" s="1471">
        <f t="shared" si="41"/>
        <v>0</v>
      </c>
      <c r="DS646" s="1472"/>
      <c r="DT646" s="1472"/>
      <c r="DU646" s="1472"/>
      <c r="DV646" s="1473"/>
      <c r="DX646" s="1447" t="e">
        <f t="shared" si="29"/>
        <v>#VALUE!</v>
      </c>
      <c r="DY646" s="1447"/>
      <c r="DZ646" s="1447"/>
      <c r="EA646" s="1447"/>
      <c r="EB646" s="1447"/>
      <c r="EC646" s="1447" t="e">
        <f t="shared" si="24"/>
        <v>#VALUE!</v>
      </c>
      <c r="ED646" s="1447"/>
      <c r="EE646" s="1447"/>
      <c r="EF646" s="1447"/>
      <c r="EG646" s="1447"/>
      <c r="EH646" s="1447" t="e">
        <f t="shared" si="25"/>
        <v>#VALUE!</v>
      </c>
      <c r="EI646" s="1447"/>
      <c r="EJ646" s="1447"/>
      <c r="EK646" s="1447"/>
      <c r="EL646" s="1447"/>
      <c r="EM646" s="1447" t="e">
        <f t="shared" si="26"/>
        <v>#VALUE!</v>
      </c>
      <c r="EN646" s="1447"/>
      <c r="EO646" s="1447"/>
      <c r="EP646" s="1447"/>
      <c r="EQ646" s="1447"/>
      <c r="ER646" s="1447" t="e">
        <f t="shared" si="27"/>
        <v>#VALUE!</v>
      </c>
      <c r="ES646" s="1447"/>
      <c r="ET646" s="1447"/>
      <c r="EU646" s="1447"/>
      <c r="EV646" s="1447"/>
      <c r="EW646" s="1447" t="e">
        <f t="shared" si="28"/>
        <v>#VALUE!</v>
      </c>
      <c r="EX646" s="1447"/>
      <c r="EY646" s="1447"/>
      <c r="EZ646" s="1447"/>
      <c r="FA646" s="1447"/>
    </row>
    <row r="647" spans="1:157" ht="12.95" customHeight="1">
      <c r="A647" s="22"/>
      <c r="B647" t="s">
        <v>317</v>
      </c>
      <c r="G647" s="1379" t="s">
        <v>2763</v>
      </c>
      <c r="H647" s="1379"/>
      <c r="I647" s="1379"/>
      <c r="J647" s="1379"/>
      <c r="K647" s="1379"/>
      <c r="L647" s="1379"/>
      <c r="O647" s="33" t="s">
        <v>207</v>
      </c>
      <c r="P647" s="1455"/>
      <c r="Q647" s="1455"/>
      <c r="R647" s="1455"/>
      <c r="S647" s="10"/>
      <c r="T647" s="22"/>
      <c r="U647" t="s">
        <v>317</v>
      </c>
      <c r="Z647" s="1379" t="s">
        <v>2790</v>
      </c>
      <c r="AA647" s="1379"/>
      <c r="AB647" s="1379"/>
      <c r="AC647" s="1379"/>
      <c r="AD647" s="1379"/>
      <c r="AE647" s="1379"/>
      <c r="AH647" s="33" t="s">
        <v>207</v>
      </c>
      <c r="AI647" s="1455"/>
      <c r="AJ647" s="1455"/>
      <c r="AK647" s="1455"/>
      <c r="AZ647" s="34"/>
      <c r="BA647" s="34"/>
      <c r="BB647" s="34"/>
      <c r="BC647" s="34"/>
      <c r="BD647" s="34"/>
      <c r="BE647" s="34"/>
      <c r="BF647" s="34"/>
      <c r="BG647" s="34"/>
      <c r="BH647" s="34"/>
      <c r="BI647" s="34"/>
      <c r="BJ647" s="34"/>
      <c r="BK647" s="34"/>
      <c r="BL647" s="34"/>
      <c r="BM647" s="34"/>
      <c r="BN647" s="1471">
        <f t="shared" si="30"/>
        <v>0</v>
      </c>
      <c r="BO647" s="1472"/>
      <c r="BP647" s="1472"/>
      <c r="BQ647" s="1472"/>
      <c r="BR647" s="1473"/>
      <c r="BS647" s="1484">
        <f t="shared" si="31"/>
        <v>0</v>
      </c>
      <c r="BT647" s="1484"/>
      <c r="BU647" s="1484"/>
      <c r="BV647" s="1484"/>
      <c r="BW647" s="1484"/>
      <c r="BX647" s="1484">
        <f t="shared" si="32"/>
        <v>0</v>
      </c>
      <c r="BY647" s="1484"/>
      <c r="BZ647" s="1484"/>
      <c r="CA647" s="1484"/>
      <c r="CB647" s="1484"/>
      <c r="CC647" s="1484">
        <f t="shared" si="33"/>
        <v>0</v>
      </c>
      <c r="CD647" s="1484"/>
      <c r="CE647" s="1484"/>
      <c r="CF647" s="1484"/>
      <c r="CG647" s="1484"/>
      <c r="CH647" s="1484">
        <f t="shared" si="34"/>
        <v>0</v>
      </c>
      <c r="CI647" s="1484"/>
      <c r="CJ647" s="1484"/>
      <c r="CK647" s="1484"/>
      <c r="CL647" s="1484"/>
      <c r="CM647" s="1484">
        <f t="shared" si="35"/>
        <v>0</v>
      </c>
      <c r="CN647" s="1484"/>
      <c r="CO647" s="1484"/>
      <c r="CP647" s="1484"/>
      <c r="CQ647" s="1484"/>
      <c r="CR647" s="6"/>
      <c r="CS647" s="1471">
        <f t="shared" si="36"/>
        <v>0</v>
      </c>
      <c r="CT647" s="1472"/>
      <c r="CU647" s="1472"/>
      <c r="CV647" s="1472"/>
      <c r="CW647" s="1473"/>
      <c r="CX647" s="1471">
        <f t="shared" si="37"/>
        <v>0</v>
      </c>
      <c r="CY647" s="1472"/>
      <c r="CZ647" s="1472"/>
      <c r="DA647" s="1472"/>
      <c r="DB647" s="1473"/>
      <c r="DC647" s="1471">
        <f t="shared" si="38"/>
        <v>0</v>
      </c>
      <c r="DD647" s="1472"/>
      <c r="DE647" s="1472"/>
      <c r="DF647" s="1472"/>
      <c r="DG647" s="1473"/>
      <c r="DH647" s="1471">
        <f t="shared" si="39"/>
        <v>0</v>
      </c>
      <c r="DI647" s="1472"/>
      <c r="DJ647" s="1472"/>
      <c r="DK647" s="1472"/>
      <c r="DL647" s="1473"/>
      <c r="DM647" s="1471">
        <f t="shared" si="40"/>
        <v>0</v>
      </c>
      <c r="DN647" s="1472"/>
      <c r="DO647" s="1472"/>
      <c r="DP647" s="1472"/>
      <c r="DQ647" s="1473"/>
      <c r="DR647" s="1471">
        <f t="shared" si="41"/>
        <v>0</v>
      </c>
      <c r="DS647" s="1472"/>
      <c r="DT647" s="1472"/>
      <c r="DU647" s="1472"/>
      <c r="DV647" s="1473"/>
      <c r="DX647" s="1447" t="e">
        <f t="shared" si="29"/>
        <v>#VALUE!</v>
      </c>
      <c r="DY647" s="1447"/>
      <c r="DZ647" s="1447"/>
      <c r="EA647" s="1447"/>
      <c r="EB647" s="1447"/>
      <c r="EC647" s="1447" t="e">
        <f t="shared" si="24"/>
        <v>#VALUE!</v>
      </c>
      <c r="ED647" s="1447"/>
      <c r="EE647" s="1447"/>
      <c r="EF647" s="1447"/>
      <c r="EG647" s="1447"/>
      <c r="EH647" s="1447" t="e">
        <f t="shared" si="25"/>
        <v>#VALUE!</v>
      </c>
      <c r="EI647" s="1447"/>
      <c r="EJ647" s="1447"/>
      <c r="EK647" s="1447"/>
      <c r="EL647" s="1447"/>
      <c r="EM647" s="1447">
        <f t="shared" si="26"/>
        <v>1391</v>
      </c>
      <c r="EN647" s="1447"/>
      <c r="EO647" s="1447"/>
      <c r="EP647" s="1447"/>
      <c r="EQ647" s="1447"/>
      <c r="ER647" s="1447" t="e">
        <f t="shared" si="27"/>
        <v>#VALUE!</v>
      </c>
      <c r="ES647" s="1447"/>
      <c r="ET647" s="1447"/>
      <c r="EU647" s="1447"/>
      <c r="EV647" s="1447"/>
      <c r="EW647" s="1447" t="e">
        <f t="shared" si="28"/>
        <v>#VALUE!</v>
      </c>
      <c r="EX647" s="1447"/>
      <c r="EY647" s="1447"/>
      <c r="EZ647" s="1447"/>
      <c r="FA647" s="1447"/>
    </row>
    <row r="648" spans="1:157" ht="12.95" customHeight="1">
      <c r="A648" s="22"/>
      <c r="B648" t="s">
        <v>18</v>
      </c>
      <c r="H648" s="1378" t="s">
        <v>2782</v>
      </c>
      <c r="I648" s="1378"/>
      <c r="J648" s="1378"/>
      <c r="K648" s="1378"/>
      <c r="L648" s="1378"/>
      <c r="M648" s="1378"/>
      <c r="N648" s="1378"/>
      <c r="O648" s="1378"/>
      <c r="P648" s="1378"/>
      <c r="Q648" s="1378"/>
      <c r="R648" s="1378"/>
      <c r="S648" s="8"/>
      <c r="T648" s="22"/>
      <c r="U648" t="s">
        <v>18</v>
      </c>
      <c r="AA648" s="1378" t="s">
        <v>2791</v>
      </c>
      <c r="AB648" s="1378"/>
      <c r="AC648" s="1378"/>
      <c r="AD648" s="1378"/>
      <c r="AE648" s="1378"/>
      <c r="AF648" s="1378"/>
      <c r="AG648" s="1378"/>
      <c r="AH648" s="1378"/>
      <c r="AI648" s="1378"/>
      <c r="AJ648" s="1378"/>
      <c r="AK648" s="1378"/>
      <c r="AZ648" s="34"/>
      <c r="BA648" s="34"/>
      <c r="BB648" s="34"/>
      <c r="BC648" s="34"/>
      <c r="BD648" s="34"/>
      <c r="BE648" s="34"/>
      <c r="BF648" s="34"/>
      <c r="BG648" s="34"/>
      <c r="BH648" s="34"/>
      <c r="BI648" s="34"/>
      <c r="BJ648" s="34"/>
      <c r="BK648" s="34"/>
      <c r="BL648" s="34"/>
      <c r="BM648" s="34"/>
      <c r="BN648" s="1471">
        <f t="shared" si="30"/>
        <v>0</v>
      </c>
      <c r="BO648" s="1472"/>
      <c r="BP648" s="1472"/>
      <c r="BQ648" s="1472"/>
      <c r="BR648" s="1473"/>
      <c r="BS648" s="1484">
        <f t="shared" si="31"/>
        <v>0</v>
      </c>
      <c r="BT648" s="1484"/>
      <c r="BU648" s="1484"/>
      <c r="BV648" s="1484"/>
      <c r="BW648" s="1484"/>
      <c r="BX648" s="1484">
        <f t="shared" si="32"/>
        <v>0</v>
      </c>
      <c r="BY648" s="1484"/>
      <c r="BZ648" s="1484"/>
      <c r="CA648" s="1484"/>
      <c r="CB648" s="1484"/>
      <c r="CC648" s="1484">
        <f t="shared" si="33"/>
        <v>0</v>
      </c>
      <c r="CD648" s="1484"/>
      <c r="CE648" s="1484"/>
      <c r="CF648" s="1484"/>
      <c r="CG648" s="1484"/>
      <c r="CH648" s="1484">
        <f t="shared" si="34"/>
        <v>0</v>
      </c>
      <c r="CI648" s="1484"/>
      <c r="CJ648" s="1484"/>
      <c r="CK648" s="1484"/>
      <c r="CL648" s="1484"/>
      <c r="CM648" s="1484">
        <f t="shared" si="35"/>
        <v>0</v>
      </c>
      <c r="CN648" s="1484"/>
      <c r="CO648" s="1484"/>
      <c r="CP648" s="1484"/>
      <c r="CQ648" s="1484"/>
      <c r="CR648" s="6"/>
      <c r="CS648" s="1471">
        <f t="shared" si="36"/>
        <v>0</v>
      </c>
      <c r="CT648" s="1472"/>
      <c r="CU648" s="1472"/>
      <c r="CV648" s="1472"/>
      <c r="CW648" s="1473"/>
      <c r="CX648" s="1471">
        <f t="shared" si="37"/>
        <v>0</v>
      </c>
      <c r="CY648" s="1472"/>
      <c r="CZ648" s="1472"/>
      <c r="DA648" s="1472"/>
      <c r="DB648" s="1473"/>
      <c r="DC648" s="1471">
        <f t="shared" si="38"/>
        <v>0</v>
      </c>
      <c r="DD648" s="1472"/>
      <c r="DE648" s="1472"/>
      <c r="DF648" s="1472"/>
      <c r="DG648" s="1473"/>
      <c r="DH648" s="1471">
        <f t="shared" si="39"/>
        <v>0</v>
      </c>
      <c r="DI648" s="1472"/>
      <c r="DJ648" s="1472"/>
      <c r="DK648" s="1472"/>
      <c r="DL648" s="1473"/>
      <c r="DM648" s="1471">
        <f t="shared" si="40"/>
        <v>0</v>
      </c>
      <c r="DN648" s="1472"/>
      <c r="DO648" s="1472"/>
      <c r="DP648" s="1472"/>
      <c r="DQ648" s="1473"/>
      <c r="DR648" s="1471">
        <f t="shared" si="41"/>
        <v>0</v>
      </c>
      <c r="DS648" s="1472"/>
      <c r="DT648" s="1472"/>
      <c r="DU648" s="1472"/>
      <c r="DV648" s="1473"/>
      <c r="DX648" s="1447" t="e">
        <f t="shared" si="29"/>
        <v>#VALUE!</v>
      </c>
      <c r="DY648" s="1447"/>
      <c r="DZ648" s="1447"/>
      <c r="EA648" s="1447"/>
      <c r="EB648" s="1447"/>
      <c r="EC648" s="1447" t="e">
        <f t="shared" si="24"/>
        <v>#VALUE!</v>
      </c>
      <c r="ED648" s="1447"/>
      <c r="EE648" s="1447"/>
      <c r="EF648" s="1447"/>
      <c r="EG648" s="1447"/>
      <c r="EH648" s="1447" t="e">
        <f t="shared" si="25"/>
        <v>#VALUE!</v>
      </c>
      <c r="EI648" s="1447"/>
      <c r="EJ648" s="1447"/>
      <c r="EK648" s="1447"/>
      <c r="EL648" s="1447"/>
      <c r="EM648" s="1447" t="e">
        <f t="shared" si="26"/>
        <v>#VALUE!</v>
      </c>
      <c r="EN648" s="1447"/>
      <c r="EO648" s="1447"/>
      <c r="EP648" s="1447"/>
      <c r="EQ648" s="1447"/>
      <c r="ER648" s="1447" t="e">
        <f t="shared" si="27"/>
        <v>#VALUE!</v>
      </c>
      <c r="ES648" s="1447"/>
      <c r="ET648" s="1447"/>
      <c r="EU648" s="1447"/>
      <c r="EV648" s="1447"/>
      <c r="EW648" s="1447" t="e">
        <f t="shared" si="28"/>
        <v>#VALUE!</v>
      </c>
      <c r="EX648" s="1447"/>
      <c r="EY648" s="1447"/>
      <c r="EZ648" s="1447"/>
      <c r="FA648" s="1447"/>
    </row>
    <row r="649" spans="1:157" ht="12.95" customHeight="1">
      <c r="A649" s="22"/>
      <c r="B649" t="s">
        <v>20</v>
      </c>
      <c r="N649" s="1430" t="s">
        <v>553</v>
      </c>
      <c r="O649" s="1430"/>
      <c r="T649" s="22"/>
      <c r="U649" t="s">
        <v>20</v>
      </c>
      <c r="AG649" s="1430" t="s">
        <v>553</v>
      </c>
      <c r="AH649" s="1430"/>
      <c r="AZ649" s="34"/>
      <c r="BA649" s="34"/>
      <c r="BB649" s="34"/>
      <c r="BC649" s="34"/>
      <c r="BD649" s="34"/>
      <c r="BE649" s="34"/>
      <c r="BF649" s="34"/>
      <c r="BG649" s="34"/>
      <c r="BH649" s="34"/>
      <c r="BI649" s="34"/>
      <c r="BJ649" s="34"/>
      <c r="BK649" s="34"/>
      <c r="BL649" s="34"/>
      <c r="BM649" s="34"/>
      <c r="BN649" s="1471">
        <f t="shared" si="30"/>
        <v>0</v>
      </c>
      <c r="BO649" s="1472"/>
      <c r="BP649" s="1472"/>
      <c r="BQ649" s="1472"/>
      <c r="BR649" s="1473"/>
      <c r="BS649" s="1484">
        <f t="shared" si="31"/>
        <v>0</v>
      </c>
      <c r="BT649" s="1484"/>
      <c r="BU649" s="1484"/>
      <c r="BV649" s="1484"/>
      <c r="BW649" s="1484"/>
      <c r="BX649" s="1484">
        <f t="shared" si="32"/>
        <v>0</v>
      </c>
      <c r="BY649" s="1484"/>
      <c r="BZ649" s="1484"/>
      <c r="CA649" s="1484"/>
      <c r="CB649" s="1484"/>
      <c r="CC649" s="1484">
        <f t="shared" si="33"/>
        <v>0</v>
      </c>
      <c r="CD649" s="1484"/>
      <c r="CE649" s="1484"/>
      <c r="CF649" s="1484"/>
      <c r="CG649" s="1484"/>
      <c r="CH649" s="1484">
        <f t="shared" si="34"/>
        <v>0</v>
      </c>
      <c r="CI649" s="1484"/>
      <c r="CJ649" s="1484"/>
      <c r="CK649" s="1484"/>
      <c r="CL649" s="1484"/>
      <c r="CM649" s="1484">
        <f t="shared" si="35"/>
        <v>0</v>
      </c>
      <c r="CN649" s="1484"/>
      <c r="CO649" s="1484"/>
      <c r="CP649" s="1484"/>
      <c r="CQ649" s="1484"/>
      <c r="CR649" s="6"/>
      <c r="CS649" s="1471">
        <f t="shared" si="36"/>
        <v>0</v>
      </c>
      <c r="CT649" s="1472"/>
      <c r="CU649" s="1472"/>
      <c r="CV649" s="1472"/>
      <c r="CW649" s="1473"/>
      <c r="CX649" s="1471">
        <f t="shared" si="37"/>
        <v>0</v>
      </c>
      <c r="CY649" s="1472"/>
      <c r="CZ649" s="1472"/>
      <c r="DA649" s="1472"/>
      <c r="DB649" s="1473"/>
      <c r="DC649" s="1471">
        <f t="shared" si="38"/>
        <v>0</v>
      </c>
      <c r="DD649" s="1472"/>
      <c r="DE649" s="1472"/>
      <c r="DF649" s="1472"/>
      <c r="DG649" s="1473"/>
      <c r="DH649" s="1471">
        <f t="shared" si="39"/>
        <v>0</v>
      </c>
      <c r="DI649" s="1472"/>
      <c r="DJ649" s="1472"/>
      <c r="DK649" s="1472"/>
      <c r="DL649" s="1473"/>
      <c r="DM649" s="1471">
        <f t="shared" si="40"/>
        <v>0</v>
      </c>
      <c r="DN649" s="1472"/>
      <c r="DO649" s="1472"/>
      <c r="DP649" s="1472"/>
      <c r="DQ649" s="1473"/>
      <c r="DR649" s="1471">
        <f t="shared" si="41"/>
        <v>0</v>
      </c>
      <c r="DS649" s="1472"/>
      <c r="DT649" s="1472"/>
      <c r="DU649" s="1472"/>
      <c r="DV649" s="1473"/>
      <c r="DX649" s="1447" t="e">
        <f t="shared" si="29"/>
        <v>#VALUE!</v>
      </c>
      <c r="DY649" s="1447"/>
      <c r="DZ649" s="1447"/>
      <c r="EA649" s="1447"/>
      <c r="EB649" s="1447"/>
      <c r="EC649" s="1447" t="e">
        <f t="shared" si="24"/>
        <v>#VALUE!</v>
      </c>
      <c r="ED649" s="1447"/>
      <c r="EE649" s="1447"/>
      <c r="EF649" s="1447"/>
      <c r="EG649" s="1447"/>
      <c r="EH649" s="1447" t="e">
        <f t="shared" si="25"/>
        <v>#VALUE!</v>
      </c>
      <c r="EI649" s="1447"/>
      <c r="EJ649" s="1447"/>
      <c r="EK649" s="1447"/>
      <c r="EL649" s="1447"/>
      <c r="EM649" s="1447" t="e">
        <f t="shared" si="26"/>
        <v>#VALUE!</v>
      </c>
      <c r="EN649" s="1447"/>
      <c r="EO649" s="1447"/>
      <c r="EP649" s="1447"/>
      <c r="EQ649" s="1447"/>
      <c r="ER649" s="1447" t="e">
        <f t="shared" si="27"/>
        <v>#VALUE!</v>
      </c>
      <c r="ES649" s="1447"/>
      <c r="ET649" s="1447"/>
      <c r="EU649" s="1447"/>
      <c r="EV649" s="1447"/>
      <c r="EW649" s="1447" t="e">
        <f t="shared" si="28"/>
        <v>#VALUE!</v>
      </c>
      <c r="EX649" s="1447"/>
      <c r="EY649" s="1447"/>
      <c r="EZ649" s="1447"/>
      <c r="FA649" s="1447"/>
    </row>
    <row r="650" spans="1:157" ht="12.95" customHeight="1">
      <c r="A650" s="22"/>
      <c r="T650" s="22"/>
      <c r="AZ650" s="34"/>
      <c r="BA650" s="34"/>
      <c r="BB650" s="34"/>
      <c r="BC650" s="34"/>
      <c r="BD650" s="34"/>
      <c r="BE650" s="34"/>
      <c r="BF650" s="34"/>
      <c r="BG650" s="34"/>
      <c r="BH650" s="34"/>
      <c r="BI650" s="34"/>
      <c r="BJ650" s="34"/>
      <c r="BK650" s="34"/>
      <c r="BL650" s="34"/>
      <c r="BM650" s="34"/>
      <c r="BN650" s="1471">
        <f t="shared" si="30"/>
        <v>0</v>
      </c>
      <c r="BO650" s="1472"/>
      <c r="BP650" s="1472"/>
      <c r="BQ650" s="1472"/>
      <c r="BR650" s="1473"/>
      <c r="BS650" s="1484">
        <f t="shared" si="31"/>
        <v>0</v>
      </c>
      <c r="BT650" s="1484"/>
      <c r="BU650" s="1484"/>
      <c r="BV650" s="1484"/>
      <c r="BW650" s="1484"/>
      <c r="BX650" s="1484">
        <f t="shared" si="32"/>
        <v>0</v>
      </c>
      <c r="BY650" s="1484"/>
      <c r="BZ650" s="1484"/>
      <c r="CA650" s="1484"/>
      <c r="CB650" s="1484"/>
      <c r="CC650" s="1484">
        <f t="shared" si="33"/>
        <v>0</v>
      </c>
      <c r="CD650" s="1484"/>
      <c r="CE650" s="1484"/>
      <c r="CF650" s="1484"/>
      <c r="CG650" s="1484"/>
      <c r="CH650" s="1484">
        <f t="shared" si="34"/>
        <v>0</v>
      </c>
      <c r="CI650" s="1484"/>
      <c r="CJ650" s="1484"/>
      <c r="CK650" s="1484"/>
      <c r="CL650" s="1484"/>
      <c r="CM650" s="1484">
        <f t="shared" si="35"/>
        <v>0</v>
      </c>
      <c r="CN650" s="1484"/>
      <c r="CO650" s="1484"/>
      <c r="CP650" s="1484"/>
      <c r="CQ650" s="1484"/>
      <c r="CR650" s="6"/>
      <c r="CS650" s="1471">
        <f t="shared" si="36"/>
        <v>0</v>
      </c>
      <c r="CT650" s="1472"/>
      <c r="CU650" s="1472"/>
      <c r="CV650" s="1472"/>
      <c r="CW650" s="1473"/>
      <c r="CX650" s="1471">
        <f t="shared" si="37"/>
        <v>0</v>
      </c>
      <c r="CY650" s="1472"/>
      <c r="CZ650" s="1472"/>
      <c r="DA650" s="1472"/>
      <c r="DB650" s="1473"/>
      <c r="DC650" s="1471">
        <f t="shared" si="38"/>
        <v>0</v>
      </c>
      <c r="DD650" s="1472"/>
      <c r="DE650" s="1472"/>
      <c r="DF650" s="1472"/>
      <c r="DG650" s="1473"/>
      <c r="DH650" s="1471">
        <f t="shared" si="39"/>
        <v>0</v>
      </c>
      <c r="DI650" s="1472"/>
      <c r="DJ650" s="1472"/>
      <c r="DK650" s="1472"/>
      <c r="DL650" s="1473"/>
      <c r="DM650" s="1471">
        <f t="shared" si="40"/>
        <v>0</v>
      </c>
      <c r="DN650" s="1472"/>
      <c r="DO650" s="1472"/>
      <c r="DP650" s="1472"/>
      <c r="DQ650" s="1473"/>
      <c r="DR650" s="1471">
        <f t="shared" si="41"/>
        <v>0</v>
      </c>
      <c r="DS650" s="1472"/>
      <c r="DT650" s="1472"/>
      <c r="DU650" s="1472"/>
      <c r="DV650" s="1473"/>
      <c r="DX650" s="1447" t="e">
        <f t="shared" si="29"/>
        <v>#VALUE!</v>
      </c>
      <c r="DY650" s="1447"/>
      <c r="DZ650" s="1447"/>
      <c r="EA650" s="1447"/>
      <c r="EB650" s="1447"/>
      <c r="EC650" s="1447" t="e">
        <f t="shared" si="24"/>
        <v>#VALUE!</v>
      </c>
      <c r="ED650" s="1447"/>
      <c r="EE650" s="1447"/>
      <c r="EF650" s="1447"/>
      <c r="EG650" s="1447"/>
      <c r="EH650" s="1447" t="e">
        <f t="shared" si="25"/>
        <v>#VALUE!</v>
      </c>
      <c r="EI650" s="1447"/>
      <c r="EJ650" s="1447"/>
      <c r="EK650" s="1447"/>
      <c r="EL650" s="1447"/>
      <c r="EM650" s="1447" t="e">
        <f t="shared" si="26"/>
        <v>#VALUE!</v>
      </c>
      <c r="EN650" s="1447"/>
      <c r="EO650" s="1447"/>
      <c r="EP650" s="1447"/>
      <c r="EQ650" s="1447"/>
      <c r="ER650" s="1447" t="e">
        <f t="shared" si="27"/>
        <v>#VALUE!</v>
      </c>
      <c r="ES650" s="1447"/>
      <c r="ET650" s="1447"/>
      <c r="EU650" s="1447"/>
      <c r="EV650" s="1447"/>
      <c r="EW650" s="1447" t="e">
        <f t="shared" si="28"/>
        <v>#VALUE!</v>
      </c>
      <c r="EX650" s="1447"/>
      <c r="EY650" s="1447"/>
      <c r="EZ650" s="1447"/>
      <c r="FA650" s="1447"/>
    </row>
    <row r="651" spans="1:157" ht="12.95" customHeight="1">
      <c r="A651" s="55" t="s">
        <v>119</v>
      </c>
      <c r="B651" t="s">
        <v>471</v>
      </c>
      <c r="G651" s="1457" t="str">
        <f>C629</f>
        <v>City of San Jose</v>
      </c>
      <c r="H651" s="1457"/>
      <c r="I651" s="1457"/>
      <c r="J651" s="1457"/>
      <c r="K651" s="1457"/>
      <c r="L651" s="1457"/>
      <c r="M651" s="1457"/>
      <c r="N651" s="1457"/>
      <c r="O651" s="1457"/>
      <c r="P651" s="1457"/>
      <c r="Q651" s="1457"/>
      <c r="R651" s="1457"/>
      <c r="T651" s="55" t="s">
        <v>589</v>
      </c>
      <c r="U651" t="s">
        <v>471</v>
      </c>
      <c r="Z651" s="1457" t="str">
        <f>C630</f>
        <v>City of San Jose</v>
      </c>
      <c r="AA651" s="1457"/>
      <c r="AB651" s="1457"/>
      <c r="AC651" s="1457"/>
      <c r="AD651" s="1457"/>
      <c r="AE651" s="1457"/>
      <c r="AF651" s="1457"/>
      <c r="AG651" s="1457"/>
      <c r="AH651" s="1457"/>
      <c r="AI651" s="1457"/>
      <c r="AJ651" s="1457"/>
      <c r="AK651" s="1457"/>
      <c r="AZ651" s="34"/>
      <c r="BA651" s="34"/>
      <c r="BB651" s="34"/>
      <c r="BC651" s="34"/>
      <c r="BD651" s="34"/>
      <c r="BE651" s="34"/>
      <c r="BF651" s="34"/>
      <c r="BG651" s="34"/>
      <c r="BH651" s="34"/>
      <c r="BI651" s="34"/>
      <c r="BJ651" s="34"/>
      <c r="BK651" s="34"/>
      <c r="BL651" s="34"/>
      <c r="BM651" s="34"/>
      <c r="BN651" s="1471">
        <f t="shared" si="30"/>
        <v>0</v>
      </c>
      <c r="BO651" s="1472"/>
      <c r="BP651" s="1472"/>
      <c r="BQ651" s="1472"/>
      <c r="BR651" s="1473"/>
      <c r="BS651" s="1484">
        <f t="shared" si="31"/>
        <v>0</v>
      </c>
      <c r="BT651" s="1484"/>
      <c r="BU651" s="1484"/>
      <c r="BV651" s="1484"/>
      <c r="BW651" s="1484"/>
      <c r="BX651" s="1484">
        <f t="shared" si="32"/>
        <v>0</v>
      </c>
      <c r="BY651" s="1484"/>
      <c r="BZ651" s="1484"/>
      <c r="CA651" s="1484"/>
      <c r="CB651" s="1484"/>
      <c r="CC651" s="1484">
        <f t="shared" si="33"/>
        <v>0</v>
      </c>
      <c r="CD651" s="1484"/>
      <c r="CE651" s="1484"/>
      <c r="CF651" s="1484"/>
      <c r="CG651" s="1484"/>
      <c r="CH651" s="1484">
        <f t="shared" si="34"/>
        <v>0</v>
      </c>
      <c r="CI651" s="1484"/>
      <c r="CJ651" s="1484"/>
      <c r="CK651" s="1484"/>
      <c r="CL651" s="1484"/>
      <c r="CM651" s="1484">
        <f t="shared" si="35"/>
        <v>0</v>
      </c>
      <c r="CN651" s="1484"/>
      <c r="CO651" s="1484"/>
      <c r="CP651" s="1484"/>
      <c r="CQ651" s="1484"/>
      <c r="CR651" s="6"/>
      <c r="CS651" s="1471">
        <f t="shared" si="36"/>
        <v>0</v>
      </c>
      <c r="CT651" s="1472"/>
      <c r="CU651" s="1472"/>
      <c r="CV651" s="1472"/>
      <c r="CW651" s="1473"/>
      <c r="CX651" s="1471">
        <f t="shared" si="37"/>
        <v>0</v>
      </c>
      <c r="CY651" s="1472"/>
      <c r="CZ651" s="1472"/>
      <c r="DA651" s="1472"/>
      <c r="DB651" s="1473"/>
      <c r="DC651" s="1471">
        <f t="shared" si="38"/>
        <v>0</v>
      </c>
      <c r="DD651" s="1472"/>
      <c r="DE651" s="1472"/>
      <c r="DF651" s="1472"/>
      <c r="DG651" s="1473"/>
      <c r="DH651" s="1471">
        <f t="shared" si="39"/>
        <v>0</v>
      </c>
      <c r="DI651" s="1472"/>
      <c r="DJ651" s="1472"/>
      <c r="DK651" s="1472"/>
      <c r="DL651" s="1473"/>
      <c r="DM651" s="1471">
        <f t="shared" si="40"/>
        <v>0</v>
      </c>
      <c r="DN651" s="1472"/>
      <c r="DO651" s="1472"/>
      <c r="DP651" s="1472"/>
      <c r="DQ651" s="1473"/>
      <c r="DR651" s="1471">
        <f t="shared" si="41"/>
        <v>0</v>
      </c>
      <c r="DS651" s="1472"/>
      <c r="DT651" s="1472"/>
      <c r="DU651" s="1472"/>
      <c r="DV651" s="1473"/>
      <c r="DX651" s="1447" t="e">
        <f t="shared" si="29"/>
        <v>#VALUE!</v>
      </c>
      <c r="DY651" s="1447"/>
      <c r="DZ651" s="1447"/>
      <c r="EA651" s="1447"/>
      <c r="EB651" s="1447"/>
      <c r="EC651" s="1447" t="e">
        <f t="shared" si="24"/>
        <v>#VALUE!</v>
      </c>
      <c r="ED651" s="1447"/>
      <c r="EE651" s="1447"/>
      <c r="EF651" s="1447"/>
      <c r="EG651" s="1447"/>
      <c r="EH651" s="1447" t="e">
        <f t="shared" si="25"/>
        <v>#VALUE!</v>
      </c>
      <c r="EI651" s="1447"/>
      <c r="EJ651" s="1447"/>
      <c r="EK651" s="1447"/>
      <c r="EL651" s="1447"/>
      <c r="EM651" s="1447" t="e">
        <f t="shared" si="26"/>
        <v>#VALUE!</v>
      </c>
      <c r="EN651" s="1447"/>
      <c r="EO651" s="1447"/>
      <c r="EP651" s="1447"/>
      <c r="EQ651" s="1447"/>
      <c r="ER651" s="1447" t="e">
        <f t="shared" si="27"/>
        <v>#VALUE!</v>
      </c>
      <c r="ES651" s="1447"/>
      <c r="ET651" s="1447"/>
      <c r="EU651" s="1447"/>
      <c r="EV651" s="1447"/>
      <c r="EW651" s="1447" t="e">
        <f t="shared" si="28"/>
        <v>#VALUE!</v>
      </c>
      <c r="EX651" s="1447"/>
      <c r="EY651" s="1447"/>
      <c r="EZ651" s="1447"/>
      <c r="FA651" s="1447"/>
    </row>
    <row r="652" spans="1:157" ht="12.95" customHeight="1">
      <c r="A652" s="22"/>
      <c r="B652" t="s">
        <v>85</v>
      </c>
      <c r="G652" s="1378" t="s">
        <v>2765</v>
      </c>
      <c r="H652" s="1378"/>
      <c r="I652" s="1378"/>
      <c r="J652" s="1378"/>
      <c r="K652" s="1378"/>
      <c r="L652" s="1378"/>
      <c r="M652" s="1378"/>
      <c r="N652" s="1378"/>
      <c r="O652" s="1378"/>
      <c r="P652" s="1378"/>
      <c r="Q652" s="1378"/>
      <c r="R652" s="1378"/>
      <c r="T652" s="22"/>
      <c r="U652" t="s">
        <v>85</v>
      </c>
      <c r="Z652" s="1378" t="s">
        <v>2765</v>
      </c>
      <c r="AA652" s="1378"/>
      <c r="AB652" s="1378"/>
      <c r="AC652" s="1378"/>
      <c r="AD652" s="1378"/>
      <c r="AE652" s="1378"/>
      <c r="AF652" s="1378"/>
      <c r="AG652" s="1378"/>
      <c r="AH652" s="1378"/>
      <c r="AI652" s="1378"/>
      <c r="AJ652" s="1378"/>
      <c r="AK652" s="1378"/>
      <c r="AZ652" s="34"/>
      <c r="BA652" s="34"/>
      <c r="BB652" s="34"/>
      <c r="BC652" s="34"/>
      <c r="BD652" s="34"/>
      <c r="BE652" s="34"/>
      <c r="BF652" s="34"/>
      <c r="BG652" s="34"/>
      <c r="BH652" s="34"/>
      <c r="BI652" s="34"/>
      <c r="BJ652" s="34"/>
      <c r="BK652" s="34"/>
      <c r="BL652" s="34"/>
      <c r="BM652" s="34"/>
      <c r="BN652" s="1471">
        <f t="shared" si="30"/>
        <v>0</v>
      </c>
      <c r="BO652" s="1472"/>
      <c r="BP652" s="1472"/>
      <c r="BQ652" s="1472"/>
      <c r="BR652" s="1473"/>
      <c r="BS652" s="1484">
        <f t="shared" si="31"/>
        <v>0</v>
      </c>
      <c r="BT652" s="1484"/>
      <c r="BU652" s="1484"/>
      <c r="BV652" s="1484"/>
      <c r="BW652" s="1484"/>
      <c r="BX652" s="1484">
        <f t="shared" si="32"/>
        <v>0</v>
      </c>
      <c r="BY652" s="1484"/>
      <c r="BZ652" s="1484"/>
      <c r="CA652" s="1484"/>
      <c r="CB652" s="1484"/>
      <c r="CC652" s="1484">
        <f t="shared" si="33"/>
        <v>0</v>
      </c>
      <c r="CD652" s="1484"/>
      <c r="CE652" s="1484"/>
      <c r="CF652" s="1484"/>
      <c r="CG652" s="1484"/>
      <c r="CH652" s="1484">
        <f t="shared" si="34"/>
        <v>0</v>
      </c>
      <c r="CI652" s="1484"/>
      <c r="CJ652" s="1484"/>
      <c r="CK652" s="1484"/>
      <c r="CL652" s="1484"/>
      <c r="CM652" s="1484">
        <f t="shared" si="35"/>
        <v>0</v>
      </c>
      <c r="CN652" s="1484"/>
      <c r="CO652" s="1484"/>
      <c r="CP652" s="1484"/>
      <c r="CQ652" s="1484"/>
      <c r="CR652" s="6"/>
      <c r="CS652" s="1471">
        <f t="shared" si="36"/>
        <v>0</v>
      </c>
      <c r="CT652" s="1472"/>
      <c r="CU652" s="1472"/>
      <c r="CV652" s="1472"/>
      <c r="CW652" s="1473"/>
      <c r="CX652" s="1471">
        <f t="shared" si="37"/>
        <v>0</v>
      </c>
      <c r="CY652" s="1472"/>
      <c r="CZ652" s="1472"/>
      <c r="DA652" s="1472"/>
      <c r="DB652" s="1473"/>
      <c r="DC652" s="1471">
        <f t="shared" si="38"/>
        <v>0</v>
      </c>
      <c r="DD652" s="1472"/>
      <c r="DE652" s="1472"/>
      <c r="DF652" s="1472"/>
      <c r="DG652" s="1473"/>
      <c r="DH652" s="1471">
        <f t="shared" si="39"/>
        <v>0</v>
      </c>
      <c r="DI652" s="1472"/>
      <c r="DJ652" s="1472"/>
      <c r="DK652" s="1472"/>
      <c r="DL652" s="1473"/>
      <c r="DM652" s="1471">
        <f t="shared" si="40"/>
        <v>0</v>
      </c>
      <c r="DN652" s="1472"/>
      <c r="DO652" s="1472"/>
      <c r="DP652" s="1472"/>
      <c r="DQ652" s="1473"/>
      <c r="DR652" s="1471">
        <f t="shared" si="41"/>
        <v>0</v>
      </c>
      <c r="DS652" s="1472"/>
      <c r="DT652" s="1472"/>
      <c r="DU652" s="1472"/>
      <c r="DV652" s="1473"/>
      <c r="DX652" s="1447" t="e">
        <f t="shared" si="29"/>
        <v>#VALUE!</v>
      </c>
      <c r="DY652" s="1447"/>
      <c r="DZ652" s="1447"/>
      <c r="EA652" s="1447"/>
      <c r="EB652" s="1447"/>
      <c r="EC652" s="1447" t="e">
        <f t="shared" si="24"/>
        <v>#VALUE!</v>
      </c>
      <c r="ED652" s="1447"/>
      <c r="EE652" s="1447"/>
      <c r="EF652" s="1447"/>
      <c r="EG652" s="1447"/>
      <c r="EH652" s="1447" t="e">
        <f t="shared" si="25"/>
        <v>#VALUE!</v>
      </c>
      <c r="EI652" s="1447"/>
      <c r="EJ652" s="1447"/>
      <c r="EK652" s="1447"/>
      <c r="EL652" s="1447"/>
      <c r="EM652" s="1447" t="e">
        <f t="shared" si="26"/>
        <v>#VALUE!</v>
      </c>
      <c r="EN652" s="1447"/>
      <c r="EO652" s="1447"/>
      <c r="EP652" s="1447"/>
      <c r="EQ652" s="1447"/>
      <c r="ER652" s="1447" t="e">
        <f t="shared" si="27"/>
        <v>#VALUE!</v>
      </c>
      <c r="ES652" s="1447"/>
      <c r="ET652" s="1447"/>
      <c r="EU652" s="1447"/>
      <c r="EV652" s="1447"/>
      <c r="EW652" s="1447" t="e">
        <f t="shared" si="28"/>
        <v>#VALUE!</v>
      </c>
      <c r="EX652" s="1447"/>
      <c r="EY652" s="1447"/>
      <c r="EZ652" s="1447"/>
      <c r="FA652" s="1447"/>
    </row>
    <row r="653" spans="1:157" ht="12.95" customHeight="1">
      <c r="A653" s="22"/>
      <c r="B653" t="s">
        <v>588</v>
      </c>
      <c r="G653" s="1434" t="s">
        <v>2640</v>
      </c>
      <c r="H653" s="1434"/>
      <c r="I653" s="1434"/>
      <c r="J653" s="1434"/>
      <c r="K653" s="1434"/>
      <c r="L653" s="1434"/>
      <c r="M653" s="1434"/>
      <c r="N653" s="1434"/>
      <c r="O653" s="1434"/>
      <c r="P653" s="1434"/>
      <c r="Q653" s="1434"/>
      <c r="R653" s="1434"/>
      <c r="T653" s="22"/>
      <c r="U653" t="s">
        <v>588</v>
      </c>
      <c r="Z653" s="1434" t="s">
        <v>2640</v>
      </c>
      <c r="AA653" s="1434"/>
      <c r="AB653" s="1434"/>
      <c r="AC653" s="1434"/>
      <c r="AD653" s="1434"/>
      <c r="AE653" s="1434"/>
      <c r="AF653" s="1434"/>
      <c r="AG653" s="1434"/>
      <c r="AH653" s="1434"/>
      <c r="AI653" s="1434"/>
      <c r="AJ653" s="1434"/>
      <c r="AK653" s="1434"/>
      <c r="AZ653" s="34"/>
      <c r="BA653" s="34"/>
      <c r="BB653" s="34"/>
      <c r="BC653" s="34"/>
      <c r="BD653" s="34"/>
      <c r="BE653" s="34"/>
      <c r="BF653" s="34"/>
      <c r="BG653" s="34"/>
      <c r="BH653" s="34"/>
      <c r="BI653" s="34"/>
      <c r="BJ653" s="34"/>
      <c r="BK653" s="34"/>
      <c r="BL653" s="34"/>
      <c r="BM653" s="34"/>
      <c r="BN653" s="1471">
        <f t="shared" si="30"/>
        <v>0</v>
      </c>
      <c r="BO653" s="1472"/>
      <c r="BP653" s="1472"/>
      <c r="BQ653" s="1472"/>
      <c r="BR653" s="1473"/>
      <c r="BS653" s="1484">
        <f t="shared" si="31"/>
        <v>0</v>
      </c>
      <c r="BT653" s="1484"/>
      <c r="BU653" s="1484"/>
      <c r="BV653" s="1484"/>
      <c r="BW653" s="1484"/>
      <c r="BX653" s="1484">
        <f t="shared" si="32"/>
        <v>0</v>
      </c>
      <c r="BY653" s="1484"/>
      <c r="BZ653" s="1484"/>
      <c r="CA653" s="1484"/>
      <c r="CB653" s="1484"/>
      <c r="CC653" s="1484">
        <f t="shared" si="33"/>
        <v>0</v>
      </c>
      <c r="CD653" s="1484"/>
      <c r="CE653" s="1484"/>
      <c r="CF653" s="1484"/>
      <c r="CG653" s="1484"/>
      <c r="CH653" s="1484">
        <f t="shared" si="34"/>
        <v>0</v>
      </c>
      <c r="CI653" s="1484"/>
      <c r="CJ653" s="1484"/>
      <c r="CK653" s="1484"/>
      <c r="CL653" s="1484"/>
      <c r="CM653" s="1484">
        <f t="shared" si="35"/>
        <v>0</v>
      </c>
      <c r="CN653" s="1484"/>
      <c r="CO653" s="1484"/>
      <c r="CP653" s="1484"/>
      <c r="CQ653" s="1484"/>
      <c r="CR653" s="6"/>
      <c r="CS653" s="1471">
        <f t="shared" si="36"/>
        <v>0</v>
      </c>
      <c r="CT653" s="1472"/>
      <c r="CU653" s="1472"/>
      <c r="CV653" s="1472"/>
      <c r="CW653" s="1473"/>
      <c r="CX653" s="1471">
        <f t="shared" si="37"/>
        <v>0</v>
      </c>
      <c r="CY653" s="1472"/>
      <c r="CZ653" s="1472"/>
      <c r="DA653" s="1472"/>
      <c r="DB653" s="1473"/>
      <c r="DC653" s="1471">
        <f t="shared" si="38"/>
        <v>0</v>
      </c>
      <c r="DD653" s="1472"/>
      <c r="DE653" s="1472"/>
      <c r="DF653" s="1472"/>
      <c r="DG653" s="1473"/>
      <c r="DH653" s="1471">
        <f t="shared" si="39"/>
        <v>0</v>
      </c>
      <c r="DI653" s="1472"/>
      <c r="DJ653" s="1472"/>
      <c r="DK653" s="1472"/>
      <c r="DL653" s="1473"/>
      <c r="DM653" s="1471">
        <f t="shared" si="40"/>
        <v>0</v>
      </c>
      <c r="DN653" s="1472"/>
      <c r="DO653" s="1472"/>
      <c r="DP653" s="1472"/>
      <c r="DQ653" s="1473"/>
      <c r="DR653" s="1471">
        <f t="shared" si="41"/>
        <v>0</v>
      </c>
      <c r="DS653" s="1472"/>
      <c r="DT653" s="1472"/>
      <c r="DU653" s="1472"/>
      <c r="DV653" s="1473"/>
      <c r="DX653" s="1447" t="e">
        <f t="shared" si="29"/>
        <v>#VALUE!</v>
      </c>
      <c r="DY653" s="1447"/>
      <c r="DZ653" s="1447"/>
      <c r="EA653" s="1447"/>
      <c r="EB653" s="1447"/>
      <c r="EC653" s="1447" t="e">
        <f t="shared" si="24"/>
        <v>#VALUE!</v>
      </c>
      <c r="ED653" s="1447"/>
      <c r="EE653" s="1447"/>
      <c r="EF653" s="1447"/>
      <c r="EG653" s="1447"/>
      <c r="EH653" s="1447" t="e">
        <f t="shared" si="25"/>
        <v>#VALUE!</v>
      </c>
      <c r="EI653" s="1447"/>
      <c r="EJ653" s="1447"/>
      <c r="EK653" s="1447"/>
      <c r="EL653" s="1447"/>
      <c r="EM653" s="1447" t="e">
        <f t="shared" si="26"/>
        <v>#VALUE!</v>
      </c>
      <c r="EN653" s="1447"/>
      <c r="EO653" s="1447"/>
      <c r="EP653" s="1447"/>
      <c r="EQ653" s="1447"/>
      <c r="ER653" s="1447" t="e">
        <f t="shared" si="27"/>
        <v>#VALUE!</v>
      </c>
      <c r="ES653" s="1447"/>
      <c r="ET653" s="1447"/>
      <c r="EU653" s="1447"/>
      <c r="EV653" s="1447"/>
      <c r="EW653" s="1447" t="e">
        <f t="shared" si="28"/>
        <v>#VALUE!</v>
      </c>
      <c r="EX653" s="1447"/>
      <c r="EY653" s="1447"/>
      <c r="EZ653" s="1447"/>
      <c r="FA653" s="1447"/>
    </row>
    <row r="654" spans="1:157" ht="12.95" customHeight="1">
      <c r="A654" s="22"/>
      <c r="B654" t="s">
        <v>17</v>
      </c>
      <c r="G654" s="1434" t="s">
        <v>2706</v>
      </c>
      <c r="H654" s="1434"/>
      <c r="I654" s="1434"/>
      <c r="J654" s="1434"/>
      <c r="K654" s="1434"/>
      <c r="L654" s="1434"/>
      <c r="M654" s="1434"/>
      <c r="N654" s="1434"/>
      <c r="O654" s="1434"/>
      <c r="P654" s="1434"/>
      <c r="Q654" s="1434"/>
      <c r="R654" s="1434"/>
      <c r="T654" s="22"/>
      <c r="U654" t="s">
        <v>17</v>
      </c>
      <c r="Z654" s="1434" t="s">
        <v>2706</v>
      </c>
      <c r="AA654" s="1434"/>
      <c r="AB654" s="1434"/>
      <c r="AC654" s="1434"/>
      <c r="AD654" s="1434"/>
      <c r="AE654" s="1434"/>
      <c r="AF654" s="1434"/>
      <c r="AG654" s="1434"/>
      <c r="AH654" s="1434"/>
      <c r="AI654" s="1434"/>
      <c r="AJ654" s="1434"/>
      <c r="AK654" s="1434"/>
      <c r="AZ654" s="34"/>
      <c r="BA654" s="34"/>
      <c r="BB654" s="34"/>
      <c r="BC654" s="34"/>
      <c r="BD654" s="34"/>
      <c r="BE654" s="34"/>
      <c r="BF654" s="34"/>
      <c r="BG654" s="34"/>
      <c r="BH654" s="34"/>
      <c r="BI654" s="34"/>
      <c r="BJ654" s="34"/>
      <c r="BK654" s="34"/>
      <c r="BL654" s="34"/>
      <c r="BM654" s="34"/>
      <c r="BN654" s="1471">
        <f t="shared" si="30"/>
        <v>0</v>
      </c>
      <c r="BO654" s="1472"/>
      <c r="BP654" s="1472"/>
      <c r="BQ654" s="1472"/>
      <c r="BR654" s="1473"/>
      <c r="BS654" s="1484">
        <f t="shared" si="31"/>
        <v>0</v>
      </c>
      <c r="BT654" s="1484"/>
      <c r="BU654" s="1484"/>
      <c r="BV654" s="1484"/>
      <c r="BW654" s="1484"/>
      <c r="BX654" s="1484">
        <f t="shared" si="32"/>
        <v>0</v>
      </c>
      <c r="BY654" s="1484"/>
      <c r="BZ654" s="1484"/>
      <c r="CA654" s="1484"/>
      <c r="CB654" s="1484"/>
      <c r="CC654" s="1484">
        <f t="shared" si="33"/>
        <v>0</v>
      </c>
      <c r="CD654" s="1484"/>
      <c r="CE654" s="1484"/>
      <c r="CF654" s="1484"/>
      <c r="CG654" s="1484"/>
      <c r="CH654" s="1484">
        <f t="shared" si="34"/>
        <v>0</v>
      </c>
      <c r="CI654" s="1484"/>
      <c r="CJ654" s="1484"/>
      <c r="CK654" s="1484"/>
      <c r="CL654" s="1484"/>
      <c r="CM654" s="1484">
        <f t="shared" si="35"/>
        <v>0</v>
      </c>
      <c r="CN654" s="1484"/>
      <c r="CO654" s="1484"/>
      <c r="CP654" s="1484"/>
      <c r="CQ654" s="1484"/>
      <c r="CR654" s="6"/>
      <c r="CS654" s="1471">
        <f t="shared" si="36"/>
        <v>0</v>
      </c>
      <c r="CT654" s="1472"/>
      <c r="CU654" s="1472"/>
      <c r="CV654" s="1472"/>
      <c r="CW654" s="1473"/>
      <c r="CX654" s="1471">
        <f t="shared" si="37"/>
        <v>0</v>
      </c>
      <c r="CY654" s="1472"/>
      <c r="CZ654" s="1472"/>
      <c r="DA654" s="1472"/>
      <c r="DB654" s="1473"/>
      <c r="DC654" s="1471">
        <f t="shared" si="38"/>
        <v>0</v>
      </c>
      <c r="DD654" s="1472"/>
      <c r="DE654" s="1472"/>
      <c r="DF654" s="1472"/>
      <c r="DG654" s="1473"/>
      <c r="DH654" s="1471">
        <f t="shared" si="39"/>
        <v>0</v>
      </c>
      <c r="DI654" s="1472"/>
      <c r="DJ654" s="1472"/>
      <c r="DK654" s="1472"/>
      <c r="DL654" s="1473"/>
      <c r="DM654" s="1471">
        <f t="shared" si="40"/>
        <v>0</v>
      </c>
      <c r="DN654" s="1472"/>
      <c r="DO654" s="1472"/>
      <c r="DP654" s="1472"/>
      <c r="DQ654" s="1473"/>
      <c r="DR654" s="1471">
        <f t="shared" si="41"/>
        <v>0</v>
      </c>
      <c r="DS654" s="1472"/>
      <c r="DT654" s="1472"/>
      <c r="DU654" s="1472"/>
      <c r="DV654" s="1473"/>
      <c r="DX654" s="1447" t="e">
        <f t="shared" si="29"/>
        <v>#VALUE!</v>
      </c>
      <c r="DY654" s="1447"/>
      <c r="DZ654" s="1447"/>
      <c r="EA654" s="1447"/>
      <c r="EB654" s="1447"/>
      <c r="EC654" s="1447" t="e">
        <f t="shared" si="24"/>
        <v>#VALUE!</v>
      </c>
      <c r="ED654" s="1447"/>
      <c r="EE654" s="1447"/>
      <c r="EF654" s="1447"/>
      <c r="EG654" s="1447"/>
      <c r="EH654" s="1447" t="e">
        <f t="shared" si="25"/>
        <v>#VALUE!</v>
      </c>
      <c r="EI654" s="1447"/>
      <c r="EJ654" s="1447"/>
      <c r="EK654" s="1447"/>
      <c r="EL654" s="1447"/>
      <c r="EM654" s="1447" t="e">
        <f t="shared" si="26"/>
        <v>#VALUE!</v>
      </c>
      <c r="EN654" s="1447"/>
      <c r="EO654" s="1447"/>
      <c r="EP654" s="1447"/>
      <c r="EQ654" s="1447"/>
      <c r="ER654" s="1447" t="e">
        <f t="shared" si="27"/>
        <v>#VALUE!</v>
      </c>
      <c r="ES654" s="1447"/>
      <c r="ET654" s="1447"/>
      <c r="EU654" s="1447"/>
      <c r="EV654" s="1447"/>
      <c r="EW654" s="1447" t="e">
        <f t="shared" si="28"/>
        <v>#VALUE!</v>
      </c>
      <c r="EX654" s="1447"/>
      <c r="EY654" s="1447"/>
      <c r="EZ654" s="1447"/>
      <c r="FA654" s="1447"/>
    </row>
    <row r="655" spans="1:157" ht="12.95" customHeight="1">
      <c r="A655" s="22"/>
      <c r="B655" t="s">
        <v>317</v>
      </c>
      <c r="G655" s="1379" t="s">
        <v>2707</v>
      </c>
      <c r="H655" s="1379"/>
      <c r="I655" s="1379"/>
      <c r="J655" s="1379"/>
      <c r="K655" s="1379"/>
      <c r="L655" s="1379"/>
      <c r="O655" s="33" t="s">
        <v>207</v>
      </c>
      <c r="P655" s="1455"/>
      <c r="Q655" s="1455"/>
      <c r="R655" s="1455"/>
      <c r="T655" s="22"/>
      <c r="U655" t="s">
        <v>317</v>
      </c>
      <c r="Z655" s="1379" t="s">
        <v>2707</v>
      </c>
      <c r="AA655" s="1379"/>
      <c r="AB655" s="1379"/>
      <c r="AC655" s="1379"/>
      <c r="AD655" s="1379"/>
      <c r="AE655" s="1379"/>
      <c r="AH655" s="33" t="s">
        <v>207</v>
      </c>
      <c r="AI655" s="1455"/>
      <c r="AJ655" s="1455"/>
      <c r="AK655" s="1455"/>
      <c r="AZ655" s="34"/>
      <c r="BA655" s="34"/>
      <c r="BB655" s="34"/>
      <c r="BC655" s="34"/>
      <c r="BD655" s="34"/>
      <c r="BE655" s="34"/>
      <c r="BF655" s="34"/>
      <c r="BG655" s="34"/>
      <c r="BH655" s="34"/>
      <c r="BI655" s="34"/>
      <c r="BJ655" s="34"/>
      <c r="BK655" s="34"/>
      <c r="BL655" s="34"/>
      <c r="BM655" s="34"/>
      <c r="BN655" s="1487">
        <f>SUM(BN645:BR654)</f>
        <v>0</v>
      </c>
      <c r="BO655" s="1488"/>
      <c r="BP655" s="1488"/>
      <c r="BQ655" s="1488"/>
      <c r="BR655" s="1489"/>
      <c r="BS655" s="1474">
        <f>SUM(BS645:BW654)</f>
        <v>0</v>
      </c>
      <c r="BT655" s="1475"/>
      <c r="BU655" s="1475"/>
      <c r="BV655" s="1475"/>
      <c r="BW655" s="1476"/>
      <c r="BX655" s="1474">
        <f>SUM(BX645:CB654)</f>
        <v>0</v>
      </c>
      <c r="BY655" s="1475"/>
      <c r="BZ655" s="1475"/>
      <c r="CA655" s="1475"/>
      <c r="CB655" s="1476"/>
      <c r="CC655" s="1474">
        <f>SUM(CC645:CG654)</f>
        <v>0</v>
      </c>
      <c r="CD655" s="1475"/>
      <c r="CE655" s="1475"/>
      <c r="CF655" s="1475"/>
      <c r="CG655" s="1476"/>
      <c r="CH655" s="1474">
        <f>SUM(CH645:CL654)</f>
        <v>0</v>
      </c>
      <c r="CI655" s="1475"/>
      <c r="CJ655" s="1475"/>
      <c r="CK655" s="1475"/>
      <c r="CL655" s="1476"/>
      <c r="CM655" s="1474">
        <f>SUM(CM645:CQ654)</f>
        <v>0</v>
      </c>
      <c r="CN655" s="1475"/>
      <c r="CO655" s="1475"/>
      <c r="CP655" s="1475"/>
      <c r="CQ655" s="1476"/>
      <c r="CR655" s="1047"/>
      <c r="CS655" s="1486">
        <f>SUM(CS645:CW654)</f>
        <v>0</v>
      </c>
      <c r="CT655" s="1486"/>
      <c r="CU655" s="1486"/>
      <c r="CV655" s="1486"/>
      <c r="CW655" s="1486"/>
      <c r="CX655" s="1486">
        <f>SUM(CX645:DB654)</f>
        <v>0</v>
      </c>
      <c r="CY655" s="1486"/>
      <c r="CZ655" s="1486"/>
      <c r="DA655" s="1486"/>
      <c r="DB655" s="1486"/>
      <c r="DC655" s="1486">
        <f>SUM(DC645:DG654)</f>
        <v>0</v>
      </c>
      <c r="DD655" s="1486"/>
      <c r="DE655" s="1486"/>
      <c r="DF655" s="1486"/>
      <c r="DG655" s="1486"/>
      <c r="DH655" s="1486">
        <f>SUM(DH645:DL654)</f>
        <v>0</v>
      </c>
      <c r="DI655" s="1486"/>
      <c r="DJ655" s="1486"/>
      <c r="DK655" s="1486"/>
      <c r="DL655" s="1486"/>
      <c r="DM655" s="1486">
        <f>SUM(DM645:DQ654)</f>
        <v>0</v>
      </c>
      <c r="DN655" s="1486"/>
      <c r="DO655" s="1486"/>
      <c r="DP655" s="1486"/>
      <c r="DQ655" s="1486"/>
      <c r="DR655" s="1486">
        <f>SUM(DR645:DV654)</f>
        <v>0</v>
      </c>
      <c r="DS655" s="1486"/>
      <c r="DT655" s="1486"/>
      <c r="DU655" s="1486"/>
      <c r="DV655" s="1486"/>
      <c r="DX655" s="1447" t="e">
        <f t="shared" si="29"/>
        <v>#VALUE!</v>
      </c>
      <c r="DY655" s="1447"/>
      <c r="DZ655" s="1447"/>
      <c r="EA655" s="1447"/>
      <c r="EB655" s="1447"/>
      <c r="EC655" s="1447" t="e">
        <f t="shared" si="24"/>
        <v>#VALUE!</v>
      </c>
      <c r="ED655" s="1447"/>
      <c r="EE655" s="1447"/>
      <c r="EF655" s="1447"/>
      <c r="EG655" s="1447"/>
      <c r="EH655" s="1447" t="e">
        <f t="shared" si="25"/>
        <v>#VALUE!</v>
      </c>
      <c r="EI655" s="1447"/>
      <c r="EJ655" s="1447"/>
      <c r="EK655" s="1447"/>
      <c r="EL655" s="1447"/>
      <c r="EM655" s="1447" t="e">
        <f t="shared" si="26"/>
        <v>#VALUE!</v>
      </c>
      <c r="EN655" s="1447"/>
      <c r="EO655" s="1447"/>
      <c r="EP655" s="1447"/>
      <c r="EQ655" s="1447"/>
      <c r="ER655" s="1447" t="e">
        <f t="shared" si="27"/>
        <v>#VALUE!</v>
      </c>
      <c r="ES655" s="1447"/>
      <c r="ET655" s="1447"/>
      <c r="EU655" s="1447"/>
      <c r="EV655" s="1447"/>
      <c r="EW655" s="1447" t="e">
        <f t="shared" si="28"/>
        <v>#VALUE!</v>
      </c>
      <c r="EX655" s="1447"/>
      <c r="EY655" s="1447"/>
      <c r="EZ655" s="1447"/>
      <c r="FA655" s="1447"/>
    </row>
    <row r="656" spans="1:157" ht="12.95" customHeight="1">
      <c r="A656" s="22"/>
      <c r="B656" t="s">
        <v>18</v>
      </c>
      <c r="H656" s="1378" t="s">
        <v>2767</v>
      </c>
      <c r="I656" s="1378"/>
      <c r="J656" s="1378"/>
      <c r="K656" s="1378"/>
      <c r="L656" s="1378"/>
      <c r="M656" s="1378"/>
      <c r="N656" s="1378"/>
      <c r="O656" s="1378"/>
      <c r="P656" s="1378"/>
      <c r="Q656" s="1378"/>
      <c r="R656" s="1378"/>
      <c r="T656" s="22"/>
      <c r="U656" t="s">
        <v>18</v>
      </c>
      <c r="AA656" s="1378" t="s">
        <v>2768</v>
      </c>
      <c r="AB656" s="1378"/>
      <c r="AC656" s="1378"/>
      <c r="AD656" s="1378"/>
      <c r="AE656" s="1378"/>
      <c r="AF656" s="1378"/>
      <c r="AG656" s="1378"/>
      <c r="AH656" s="1378"/>
      <c r="AI656" s="1378"/>
      <c r="AJ656" s="1378"/>
      <c r="AK656" s="1378"/>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47" t="e">
        <f t="shared" si="29"/>
        <v>#VALUE!</v>
      </c>
      <c r="DY656" s="1447"/>
      <c r="DZ656" s="1447"/>
      <c r="EA656" s="1447"/>
      <c r="EB656" s="1447"/>
      <c r="EC656" s="1447" t="e">
        <f t="shared" si="24"/>
        <v>#VALUE!</v>
      </c>
      <c r="ED656" s="1447"/>
      <c r="EE656" s="1447"/>
      <c r="EF656" s="1447"/>
      <c r="EG656" s="1447"/>
      <c r="EH656" s="1447" t="e">
        <f t="shared" si="25"/>
        <v>#VALUE!</v>
      </c>
      <c r="EI656" s="1447"/>
      <c r="EJ656" s="1447"/>
      <c r="EK656" s="1447"/>
      <c r="EL656" s="1447"/>
      <c r="EM656" s="1447" t="e">
        <f t="shared" si="26"/>
        <v>#VALUE!</v>
      </c>
      <c r="EN656" s="1447"/>
      <c r="EO656" s="1447"/>
      <c r="EP656" s="1447"/>
      <c r="EQ656" s="1447"/>
      <c r="ER656" s="1447" t="e">
        <f t="shared" si="27"/>
        <v>#VALUE!</v>
      </c>
      <c r="ES656" s="1447"/>
      <c r="ET656" s="1447"/>
      <c r="EU656" s="1447"/>
      <c r="EV656" s="1447"/>
      <c r="EW656" s="1447" t="e">
        <f t="shared" si="28"/>
        <v>#VALUE!</v>
      </c>
      <c r="EX656" s="1447"/>
      <c r="EY656" s="1447"/>
      <c r="EZ656" s="1447"/>
      <c r="FA656" s="1447"/>
    </row>
    <row r="657" spans="1:157" ht="12.95" customHeight="1">
      <c r="A657" s="22"/>
      <c r="B657" t="s">
        <v>20</v>
      </c>
      <c r="N657" s="1430" t="s">
        <v>553</v>
      </c>
      <c r="O657" s="1430"/>
      <c r="T657" s="22"/>
      <c r="U657" t="s">
        <v>20</v>
      </c>
      <c r="AG657" s="1430" t="s">
        <v>553</v>
      </c>
      <c r="AH657" s="1430"/>
      <c r="AZ657" s="34"/>
      <c r="BA657" s="34"/>
      <c r="BB657" s="34"/>
      <c r="BC657" s="34"/>
      <c r="BD657" s="34"/>
      <c r="BE657" s="34"/>
      <c r="BF657" s="34"/>
      <c r="BG657" s="34"/>
      <c r="BH657" s="34"/>
      <c r="BI657" s="34"/>
      <c r="BJ657" s="34"/>
      <c r="BK657" s="34"/>
      <c r="BL657" s="34"/>
      <c r="BM657" s="34"/>
      <c r="CR657" s="3"/>
      <c r="CS657" s="895">
        <f>BN655+BS655+BX655+CC655+CH655+CM655</f>
        <v>0</v>
      </c>
      <c r="CT657" s="57" t="s">
        <v>2050</v>
      </c>
      <c r="CU657" s="3"/>
      <c r="CV657" s="3"/>
      <c r="CW657" s="3"/>
      <c r="CX657" s="3"/>
      <c r="CY657" s="3"/>
      <c r="CZ657" s="3"/>
      <c r="DA657" s="3"/>
      <c r="DB657" s="3"/>
      <c r="DC657" s="3"/>
      <c r="DD657" s="3"/>
      <c r="DE657" s="3"/>
      <c r="DF657" s="3"/>
      <c r="DQ657" s="56" t="s">
        <v>2059</v>
      </c>
      <c r="DR657" s="1447">
        <f>SUM(CS655:DV655)</f>
        <v>0</v>
      </c>
      <c r="DS657" s="1447"/>
      <c r="DT657" s="1447"/>
      <c r="DU657" s="1447"/>
      <c r="DV657" s="1447"/>
      <c r="DX657" s="1447" t="e">
        <f t="shared" si="29"/>
        <v>#VALUE!</v>
      </c>
      <c r="DY657" s="1447"/>
      <c r="DZ657" s="1447"/>
      <c r="EA657" s="1447"/>
      <c r="EB657" s="1447"/>
      <c r="EC657" s="1447" t="e">
        <f t="shared" si="24"/>
        <v>#VALUE!</v>
      </c>
      <c r="ED657" s="1447"/>
      <c r="EE657" s="1447"/>
      <c r="EF657" s="1447"/>
      <c r="EG657" s="1447"/>
      <c r="EH657" s="1447" t="e">
        <f t="shared" si="25"/>
        <v>#VALUE!</v>
      </c>
      <c r="EI657" s="1447"/>
      <c r="EJ657" s="1447"/>
      <c r="EK657" s="1447"/>
      <c r="EL657" s="1447"/>
      <c r="EM657" s="1447" t="e">
        <f t="shared" si="26"/>
        <v>#VALUE!</v>
      </c>
      <c r="EN657" s="1447"/>
      <c r="EO657" s="1447"/>
      <c r="EP657" s="1447"/>
      <c r="EQ657" s="1447"/>
      <c r="ER657" s="1447" t="e">
        <f t="shared" si="27"/>
        <v>#VALUE!</v>
      </c>
      <c r="ES657" s="1447"/>
      <c r="ET657" s="1447"/>
      <c r="EU657" s="1447"/>
      <c r="EV657" s="1447"/>
      <c r="EW657" s="1447" t="e">
        <f t="shared" si="28"/>
        <v>#VALUE!</v>
      </c>
      <c r="EX657" s="1447"/>
      <c r="EY657" s="1447"/>
      <c r="EZ657" s="1447"/>
      <c r="FA657" s="1447"/>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1743</v>
      </c>
      <c r="CU658" s="3"/>
      <c r="CV658" s="3"/>
      <c r="CW658" s="3"/>
      <c r="CX658" s="3"/>
      <c r="CY658" s="3"/>
      <c r="CZ658" s="3"/>
      <c r="DA658" s="3"/>
      <c r="DB658" s="3"/>
      <c r="DC658" s="3"/>
      <c r="DD658" s="3"/>
      <c r="DE658" s="3"/>
      <c r="DF658" s="3"/>
      <c r="DX658" s="1447" t="e">
        <f t="shared" ref="DX658:DX667" si="42">DX620*(BN620/$BN$632)</f>
        <v>#VALUE!</v>
      </c>
      <c r="DY658" s="1447"/>
      <c r="DZ658" s="1447"/>
      <c r="EA658" s="1447"/>
      <c r="EB658" s="1447"/>
      <c r="EC658" s="1447" t="e">
        <f t="shared" ref="EC658:EC667" si="43">EC620*(BS620/$BS$632)</f>
        <v>#VALUE!</v>
      </c>
      <c r="ED658" s="1447"/>
      <c r="EE658" s="1447"/>
      <c r="EF658" s="1447"/>
      <c r="EG658" s="1447"/>
      <c r="EH658" s="1447" t="e">
        <f t="shared" ref="EH658:EH667" si="44">EH620*(BX620/$BX$632)</f>
        <v>#VALUE!</v>
      </c>
      <c r="EI658" s="1447"/>
      <c r="EJ658" s="1447"/>
      <c r="EK658" s="1447"/>
      <c r="EL658" s="1447"/>
      <c r="EM658" s="1447" t="e">
        <f t="shared" ref="EM658:EM667" si="45">EM620*(CC620/$CC$632)</f>
        <v>#VALUE!</v>
      </c>
      <c r="EN658" s="1447"/>
      <c r="EO658" s="1447"/>
      <c r="EP658" s="1447"/>
      <c r="EQ658" s="1447"/>
      <c r="ER658" s="1447" t="e">
        <f t="shared" ref="ER658:ER667" si="46">ER620*(CH620/$CH$632)</f>
        <v>#VALUE!</v>
      </c>
      <c r="ES658" s="1447"/>
      <c r="ET658" s="1447"/>
      <c r="EU658" s="1447"/>
      <c r="EV658" s="1447"/>
      <c r="EW658" s="1447" t="e">
        <f t="shared" ref="EW658:EW667" si="47">EW620*(CM620/$CM$632)</f>
        <v>#VALUE!</v>
      </c>
      <c r="EX658" s="1447"/>
      <c r="EY658" s="1447"/>
      <c r="EZ658" s="1447"/>
      <c r="FA658" s="1447"/>
    </row>
    <row r="659" spans="1:157" ht="12.95" customHeight="1">
      <c r="A659" s="55" t="s">
        <v>772</v>
      </c>
      <c r="B659" t="s">
        <v>471</v>
      </c>
      <c r="G659" s="1457" t="str">
        <f>C631</f>
        <v>Santa Clara County - Measure A</v>
      </c>
      <c r="H659" s="1457"/>
      <c r="I659" s="1457"/>
      <c r="J659" s="1457"/>
      <c r="K659" s="1457"/>
      <c r="L659" s="1457"/>
      <c r="M659" s="1457"/>
      <c r="N659" s="1457"/>
      <c r="O659" s="1457"/>
      <c r="P659" s="1457"/>
      <c r="Q659" s="1457"/>
      <c r="R659" s="1457"/>
      <c r="T659" s="55" t="s">
        <v>592</v>
      </c>
      <c r="U659" t="s">
        <v>471</v>
      </c>
      <c r="Z659" s="1457" t="str">
        <f>C632</f>
        <v>HCD IIG</v>
      </c>
      <c r="AA659" s="1457"/>
      <c r="AB659" s="1457"/>
      <c r="AC659" s="1457"/>
      <c r="AD659" s="1457"/>
      <c r="AE659" s="1457"/>
      <c r="AF659" s="1457"/>
      <c r="AG659" s="1457"/>
      <c r="AH659" s="1457"/>
      <c r="AI659" s="1457"/>
      <c r="AJ659" s="1457"/>
      <c r="AK659" s="1457"/>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47" t="e">
        <f t="shared" si="42"/>
        <v>#VALUE!</v>
      </c>
      <c r="DY659" s="1447"/>
      <c r="DZ659" s="1447"/>
      <c r="EA659" s="1447"/>
      <c r="EB659" s="1447"/>
      <c r="EC659" s="1447" t="e">
        <f t="shared" si="43"/>
        <v>#VALUE!</v>
      </c>
      <c r="ED659" s="1447"/>
      <c r="EE659" s="1447"/>
      <c r="EF659" s="1447"/>
      <c r="EG659" s="1447"/>
      <c r="EH659" s="1447" t="e">
        <f t="shared" si="44"/>
        <v>#VALUE!</v>
      </c>
      <c r="EI659" s="1447"/>
      <c r="EJ659" s="1447"/>
      <c r="EK659" s="1447"/>
      <c r="EL659" s="1447"/>
      <c r="EM659" s="1447" t="e">
        <f t="shared" si="45"/>
        <v>#VALUE!</v>
      </c>
      <c r="EN659" s="1447"/>
      <c r="EO659" s="1447"/>
      <c r="EP659" s="1447"/>
      <c r="EQ659" s="1447"/>
      <c r="ER659" s="1447" t="e">
        <f t="shared" si="46"/>
        <v>#VALUE!</v>
      </c>
      <c r="ES659" s="1447"/>
      <c r="ET659" s="1447"/>
      <c r="EU659" s="1447"/>
      <c r="EV659" s="1447"/>
      <c r="EW659" s="1447" t="e">
        <f t="shared" si="47"/>
        <v>#VALUE!</v>
      </c>
      <c r="EX659" s="1447"/>
      <c r="EY659" s="1447"/>
      <c r="EZ659" s="1447"/>
      <c r="FA659" s="1447"/>
    </row>
    <row r="660" spans="1:157" ht="12.95" customHeight="1">
      <c r="A660" s="22"/>
      <c r="B660" t="s">
        <v>85</v>
      </c>
      <c r="G660" s="1378" t="s">
        <v>2769</v>
      </c>
      <c r="H660" s="1378"/>
      <c r="I660" s="1378"/>
      <c r="J660" s="1378"/>
      <c r="K660" s="1378"/>
      <c r="L660" s="1378"/>
      <c r="M660" s="1378"/>
      <c r="N660" s="1378"/>
      <c r="O660" s="1378"/>
      <c r="P660" s="1378"/>
      <c r="Q660" s="1378"/>
      <c r="R660" s="1378"/>
      <c r="T660" s="22"/>
      <c r="U660" t="s">
        <v>85</v>
      </c>
      <c r="Z660" s="1378" t="s">
        <v>2773</v>
      </c>
      <c r="AA660" s="1378"/>
      <c r="AB660" s="1378"/>
      <c r="AC660" s="1378"/>
      <c r="AD660" s="1378"/>
      <c r="AE660" s="1378"/>
      <c r="AF660" s="1378"/>
      <c r="AG660" s="1378"/>
      <c r="AH660" s="1378"/>
      <c r="AI660" s="1378"/>
      <c r="AJ660" s="1378"/>
      <c r="AK660" s="1378"/>
      <c r="AZ660" s="34"/>
      <c r="BA660" s="34"/>
      <c r="BB660" s="34"/>
      <c r="BC660" s="34"/>
      <c r="BD660" s="34"/>
      <c r="BE660" s="34"/>
      <c r="BF660" s="34"/>
      <c r="BG660" s="34"/>
      <c r="BH660" s="34"/>
      <c r="BI660" s="34"/>
      <c r="BJ660" s="34"/>
      <c r="BK660" s="34"/>
      <c r="BL660" s="34"/>
      <c r="BM660" s="34"/>
      <c r="BN660" s="1474">
        <f>BN632+BN641+BN655</f>
        <v>60</v>
      </c>
      <c r="BO660" s="1475"/>
      <c r="BP660" s="1475"/>
      <c r="BQ660" s="1475"/>
      <c r="BR660" s="1476"/>
      <c r="BS660" s="1474">
        <f>BS632+BS641+BS655</f>
        <v>64</v>
      </c>
      <c r="BT660" s="1475"/>
      <c r="BU660" s="1475"/>
      <c r="BV660" s="1475"/>
      <c r="BW660" s="1476"/>
      <c r="BX660" s="1474">
        <f>BX632+BX641+BX655</f>
        <v>28</v>
      </c>
      <c r="BY660" s="1475"/>
      <c r="BZ660" s="1475"/>
      <c r="CA660" s="1475"/>
      <c r="CB660" s="1476"/>
      <c r="CC660" s="1474">
        <f>CC632+CC641+CC655</f>
        <v>8</v>
      </c>
      <c r="CD660" s="1475"/>
      <c r="CE660" s="1475"/>
      <c r="CF660" s="1475"/>
      <c r="CG660" s="1476"/>
      <c r="CH660" s="1474">
        <f>CH632+CH641+CH655</f>
        <v>0</v>
      </c>
      <c r="CI660" s="1475"/>
      <c r="CJ660" s="1475"/>
      <c r="CK660" s="1475"/>
      <c r="CL660" s="1476"/>
      <c r="CM660" s="1468">
        <f>CM655+CM641+CM632</f>
        <v>0</v>
      </c>
      <c r="CN660" s="1469"/>
      <c r="CO660" s="1469"/>
      <c r="CP660" s="1469"/>
      <c r="CQ660" s="1470"/>
      <c r="CR660" s="3"/>
      <c r="CS660" s="895">
        <f>CS634+CS658</f>
        <v>200</v>
      </c>
      <c r="CT660" s="57" t="s">
        <v>2055</v>
      </c>
      <c r="CU660" s="3"/>
      <c r="CV660" s="3"/>
      <c r="CW660" s="3"/>
      <c r="CX660" s="3"/>
      <c r="CY660" s="3"/>
      <c r="CZ660" s="3"/>
      <c r="DA660" s="3"/>
      <c r="DB660" s="3"/>
      <c r="DC660" s="3"/>
      <c r="DD660" s="3"/>
      <c r="DE660" s="3"/>
      <c r="DF660" s="3"/>
      <c r="DX660" s="1447" t="e">
        <f t="shared" si="42"/>
        <v>#VALUE!</v>
      </c>
      <c r="DY660" s="1447"/>
      <c r="DZ660" s="1447"/>
      <c r="EA660" s="1447"/>
      <c r="EB660" s="1447"/>
      <c r="EC660" s="1447" t="e">
        <f t="shared" si="43"/>
        <v>#VALUE!</v>
      </c>
      <c r="ED660" s="1447"/>
      <c r="EE660" s="1447"/>
      <c r="EF660" s="1447"/>
      <c r="EG660" s="1447"/>
      <c r="EH660" s="1447" t="e">
        <f t="shared" si="44"/>
        <v>#VALUE!</v>
      </c>
      <c r="EI660" s="1447"/>
      <c r="EJ660" s="1447"/>
      <c r="EK660" s="1447"/>
      <c r="EL660" s="1447"/>
      <c r="EM660" s="1447" t="e">
        <f t="shared" si="45"/>
        <v>#VALUE!</v>
      </c>
      <c r="EN660" s="1447"/>
      <c r="EO660" s="1447"/>
      <c r="EP660" s="1447"/>
      <c r="EQ660" s="1447"/>
      <c r="ER660" s="1447" t="e">
        <f t="shared" si="46"/>
        <v>#VALUE!</v>
      </c>
      <c r="ES660" s="1447"/>
      <c r="ET660" s="1447"/>
      <c r="EU660" s="1447"/>
      <c r="EV660" s="1447"/>
      <c r="EW660" s="1447" t="e">
        <f t="shared" si="47"/>
        <v>#VALUE!</v>
      </c>
      <c r="EX660" s="1447"/>
      <c r="EY660" s="1447"/>
      <c r="EZ660" s="1447"/>
      <c r="FA660" s="1447"/>
    </row>
    <row r="661" spans="1:157" ht="12.95" customHeight="1">
      <c r="A661" s="22"/>
      <c r="B661" t="s">
        <v>588</v>
      </c>
      <c r="G661" s="1378" t="s">
        <v>2770</v>
      </c>
      <c r="H661" s="1378"/>
      <c r="I661" s="1378"/>
      <c r="J661" s="1378"/>
      <c r="K661" s="1378"/>
      <c r="L661" s="1378"/>
      <c r="M661" s="1378"/>
      <c r="N661" s="1378"/>
      <c r="O661" s="1378"/>
      <c r="P661" s="1378"/>
      <c r="Q661" s="1378"/>
      <c r="R661" s="1378"/>
      <c r="T661" s="22"/>
      <c r="U661" t="s">
        <v>588</v>
      </c>
      <c r="Z661" s="1434" t="s">
        <v>2774</v>
      </c>
      <c r="AA661" s="1434"/>
      <c r="AB661" s="1434"/>
      <c r="AC661" s="1434"/>
      <c r="AD661" s="1434"/>
      <c r="AE661" s="1434"/>
      <c r="AF661" s="1434"/>
      <c r="AG661" s="1434"/>
      <c r="AH661" s="1434"/>
      <c r="AI661" s="1434"/>
      <c r="AJ661" s="1434"/>
      <c r="AK661" s="1434"/>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47" t="e">
        <f t="shared" si="42"/>
        <v>#VALUE!</v>
      </c>
      <c r="DY661" s="1447"/>
      <c r="DZ661" s="1447"/>
      <c r="EA661" s="1447"/>
      <c r="EB661" s="1447"/>
      <c r="EC661" s="1447" t="e">
        <f t="shared" si="43"/>
        <v>#VALUE!</v>
      </c>
      <c r="ED661" s="1447"/>
      <c r="EE661" s="1447"/>
      <c r="EF661" s="1447"/>
      <c r="EG661" s="1447"/>
      <c r="EH661" s="1447" t="e">
        <f t="shared" si="44"/>
        <v>#VALUE!</v>
      </c>
      <c r="EI661" s="1447"/>
      <c r="EJ661" s="1447"/>
      <c r="EK661" s="1447"/>
      <c r="EL661" s="1447"/>
      <c r="EM661" s="1447" t="e">
        <f t="shared" si="45"/>
        <v>#VALUE!</v>
      </c>
      <c r="EN661" s="1447"/>
      <c r="EO661" s="1447"/>
      <c r="EP661" s="1447"/>
      <c r="EQ661" s="1447"/>
      <c r="ER661" s="1447" t="e">
        <f t="shared" si="46"/>
        <v>#VALUE!</v>
      </c>
      <c r="ES661" s="1447"/>
      <c r="ET661" s="1447"/>
      <c r="EU661" s="1447"/>
      <c r="EV661" s="1447"/>
      <c r="EW661" s="1447" t="e">
        <f t="shared" si="47"/>
        <v>#VALUE!</v>
      </c>
      <c r="EX661" s="1447"/>
      <c r="EY661" s="1447"/>
      <c r="EZ661" s="1447"/>
      <c r="FA661" s="1447"/>
    </row>
    <row r="662" spans="1:157" ht="12.95" customHeight="1">
      <c r="A662" s="22"/>
      <c r="B662" t="s">
        <v>17</v>
      </c>
      <c r="G662" s="1378" t="s">
        <v>2771</v>
      </c>
      <c r="H662" s="1378"/>
      <c r="I662" s="1378"/>
      <c r="J662" s="1378"/>
      <c r="K662" s="1378"/>
      <c r="L662" s="1378"/>
      <c r="M662" s="1378"/>
      <c r="N662" s="1378"/>
      <c r="O662" s="1378"/>
      <c r="P662" s="1378"/>
      <c r="Q662" s="1378"/>
      <c r="R662" s="1378"/>
      <c r="T662" s="22"/>
      <c r="U662" t="s">
        <v>17</v>
      </c>
      <c r="Z662" s="1434" t="s">
        <v>2775</v>
      </c>
      <c r="AA662" s="1434"/>
      <c r="AB662" s="1434"/>
      <c r="AC662" s="1434"/>
      <c r="AD662" s="1434"/>
      <c r="AE662" s="1434"/>
      <c r="AF662" s="1434"/>
      <c r="AG662" s="1434"/>
      <c r="AH662" s="1434"/>
      <c r="AI662" s="1434"/>
      <c r="AJ662" s="1434"/>
      <c r="AK662" s="1434"/>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7" t="e">
        <f t="shared" si="42"/>
        <v>#VALUE!</v>
      </c>
      <c r="DY662" s="1447"/>
      <c r="DZ662" s="1447"/>
      <c r="EA662" s="1447"/>
      <c r="EB662" s="1447"/>
      <c r="EC662" s="1447" t="e">
        <f t="shared" si="43"/>
        <v>#VALUE!</v>
      </c>
      <c r="ED662" s="1447"/>
      <c r="EE662" s="1447"/>
      <c r="EF662" s="1447"/>
      <c r="EG662" s="1447"/>
      <c r="EH662" s="1447" t="e">
        <f t="shared" si="44"/>
        <v>#VALUE!</v>
      </c>
      <c r="EI662" s="1447"/>
      <c r="EJ662" s="1447"/>
      <c r="EK662" s="1447"/>
      <c r="EL662" s="1447"/>
      <c r="EM662" s="1447" t="e">
        <f t="shared" si="45"/>
        <v>#VALUE!</v>
      </c>
      <c r="EN662" s="1447"/>
      <c r="EO662" s="1447"/>
      <c r="EP662" s="1447"/>
      <c r="EQ662" s="1447"/>
      <c r="ER662" s="1447" t="e">
        <f t="shared" si="46"/>
        <v>#VALUE!</v>
      </c>
      <c r="ES662" s="1447"/>
      <c r="ET662" s="1447"/>
      <c r="EU662" s="1447"/>
      <c r="EV662" s="1447"/>
      <c r="EW662" s="1447" t="e">
        <f t="shared" si="47"/>
        <v>#VALUE!</v>
      </c>
      <c r="EX662" s="1447"/>
      <c r="EY662" s="1447"/>
      <c r="EZ662" s="1447"/>
      <c r="FA662" s="1447"/>
    </row>
    <row r="663" spans="1:157" ht="12.95" customHeight="1">
      <c r="A663" s="22"/>
      <c r="B663" t="s">
        <v>317</v>
      </c>
      <c r="G663" s="1379" t="s">
        <v>2772</v>
      </c>
      <c r="H663" s="1379"/>
      <c r="I663" s="1379"/>
      <c r="J663" s="1379"/>
      <c r="K663" s="1379"/>
      <c r="L663" s="1379"/>
      <c r="O663" s="33" t="s">
        <v>207</v>
      </c>
      <c r="P663" s="1455"/>
      <c r="Q663" s="1455"/>
      <c r="R663" s="1455"/>
      <c r="T663" s="22"/>
      <c r="U663" t="s">
        <v>317</v>
      </c>
      <c r="Z663" s="1379" t="s">
        <v>2776</v>
      </c>
      <c r="AA663" s="1379"/>
      <c r="AB663" s="1379"/>
      <c r="AC663" s="1379"/>
      <c r="AD663" s="1379"/>
      <c r="AE663" s="1379"/>
      <c r="AH663" s="33" t="s">
        <v>207</v>
      </c>
      <c r="AI663" s="1455"/>
      <c r="AJ663" s="1455"/>
      <c r="AK663" s="145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7" t="e">
        <f t="shared" si="42"/>
        <v>#VALUE!</v>
      </c>
      <c r="DY663" s="1447"/>
      <c r="DZ663" s="1447"/>
      <c r="EA663" s="1447"/>
      <c r="EB663" s="1447"/>
      <c r="EC663" s="1447" t="e">
        <f t="shared" si="43"/>
        <v>#VALUE!</v>
      </c>
      <c r="ED663" s="1447"/>
      <c r="EE663" s="1447"/>
      <c r="EF663" s="1447"/>
      <c r="EG663" s="1447"/>
      <c r="EH663" s="1447" t="e">
        <f t="shared" si="44"/>
        <v>#VALUE!</v>
      </c>
      <c r="EI663" s="1447"/>
      <c r="EJ663" s="1447"/>
      <c r="EK663" s="1447"/>
      <c r="EL663" s="1447"/>
      <c r="EM663" s="1447" t="e">
        <f t="shared" si="45"/>
        <v>#VALUE!</v>
      </c>
      <c r="EN663" s="1447"/>
      <c r="EO663" s="1447"/>
      <c r="EP663" s="1447"/>
      <c r="EQ663" s="1447"/>
      <c r="ER663" s="1447" t="e">
        <f t="shared" si="46"/>
        <v>#VALUE!</v>
      </c>
      <c r="ES663" s="1447"/>
      <c r="ET663" s="1447"/>
      <c r="EU663" s="1447"/>
      <c r="EV663" s="1447"/>
      <c r="EW663" s="1447" t="e">
        <f t="shared" si="47"/>
        <v>#VALUE!</v>
      </c>
      <c r="EX663" s="1447"/>
      <c r="EY663" s="1447"/>
      <c r="EZ663" s="1447"/>
      <c r="FA663" s="1447"/>
    </row>
    <row r="664" spans="1:157" ht="12.95" customHeight="1">
      <c r="A664" s="22"/>
      <c r="B664" t="s">
        <v>18</v>
      </c>
      <c r="H664" s="1378" t="s">
        <v>2767</v>
      </c>
      <c r="I664" s="1378"/>
      <c r="J664" s="1378"/>
      <c r="K664" s="1378"/>
      <c r="L664" s="1378"/>
      <c r="M664" s="1378"/>
      <c r="N664" s="1378"/>
      <c r="O664" s="1378"/>
      <c r="P664" s="1378"/>
      <c r="Q664" s="1378"/>
      <c r="R664" s="1378"/>
      <c r="T664" s="22"/>
      <c r="U664" t="s">
        <v>18</v>
      </c>
      <c r="AA664" s="1378" t="s">
        <v>2432</v>
      </c>
      <c r="AB664" s="1378"/>
      <c r="AC664" s="1378"/>
      <c r="AD664" s="1378"/>
      <c r="AE664" s="1378"/>
      <c r="AF664" s="1378"/>
      <c r="AG664" s="1378"/>
      <c r="AH664" s="1378"/>
      <c r="AI664" s="1378"/>
      <c r="AJ664" s="1378"/>
      <c r="AK664" s="1378"/>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7" t="e">
        <f t="shared" si="42"/>
        <v>#VALUE!</v>
      </c>
      <c r="DY664" s="1447"/>
      <c r="DZ664" s="1447"/>
      <c r="EA664" s="1447"/>
      <c r="EB664" s="1447"/>
      <c r="EC664" s="1447" t="e">
        <f t="shared" si="43"/>
        <v>#VALUE!</v>
      </c>
      <c r="ED664" s="1447"/>
      <c r="EE664" s="1447"/>
      <c r="EF664" s="1447"/>
      <c r="EG664" s="1447"/>
      <c r="EH664" s="1447" t="e">
        <f t="shared" si="44"/>
        <v>#VALUE!</v>
      </c>
      <c r="EI664" s="1447"/>
      <c r="EJ664" s="1447"/>
      <c r="EK664" s="1447"/>
      <c r="EL664" s="1447"/>
      <c r="EM664" s="1447" t="e">
        <f t="shared" si="45"/>
        <v>#VALUE!</v>
      </c>
      <c r="EN664" s="1447"/>
      <c r="EO664" s="1447"/>
      <c r="EP664" s="1447"/>
      <c r="EQ664" s="1447"/>
      <c r="ER664" s="1447" t="e">
        <f t="shared" si="46"/>
        <v>#VALUE!</v>
      </c>
      <c r="ES664" s="1447"/>
      <c r="ET664" s="1447"/>
      <c r="EU664" s="1447"/>
      <c r="EV664" s="1447"/>
      <c r="EW664" s="1447" t="e">
        <f t="shared" si="47"/>
        <v>#VALUE!</v>
      </c>
      <c r="EX664" s="1447"/>
      <c r="EY664" s="1447"/>
      <c r="EZ664" s="1447"/>
      <c r="FA664" s="1447"/>
    </row>
    <row r="665" spans="1:157" ht="12.95" customHeight="1">
      <c r="A665" s="22"/>
      <c r="B665" t="s">
        <v>20</v>
      </c>
      <c r="N665" s="1430" t="s">
        <v>553</v>
      </c>
      <c r="O665" s="1430"/>
      <c r="T665" s="22"/>
      <c r="U665" t="s">
        <v>20</v>
      </c>
      <c r="AG665" s="1430" t="s">
        <v>553</v>
      </c>
      <c r="AH665" s="1430"/>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7" t="e">
        <f t="shared" si="42"/>
        <v>#VALUE!</v>
      </c>
      <c r="DY665" s="1447"/>
      <c r="DZ665" s="1447"/>
      <c r="EA665" s="1447"/>
      <c r="EB665" s="1447"/>
      <c r="EC665" s="1447" t="e">
        <f t="shared" si="43"/>
        <v>#VALUE!</v>
      </c>
      <c r="ED665" s="1447"/>
      <c r="EE665" s="1447"/>
      <c r="EF665" s="1447"/>
      <c r="EG665" s="1447"/>
      <c r="EH665" s="1447" t="e">
        <f t="shared" si="44"/>
        <v>#VALUE!</v>
      </c>
      <c r="EI665" s="1447"/>
      <c r="EJ665" s="1447"/>
      <c r="EK665" s="1447"/>
      <c r="EL665" s="1447"/>
      <c r="EM665" s="1447" t="e">
        <f t="shared" si="45"/>
        <v>#VALUE!</v>
      </c>
      <c r="EN665" s="1447"/>
      <c r="EO665" s="1447"/>
      <c r="EP665" s="1447"/>
      <c r="EQ665" s="1447"/>
      <c r="ER665" s="1447" t="e">
        <f t="shared" si="46"/>
        <v>#VALUE!</v>
      </c>
      <c r="ES665" s="1447"/>
      <c r="ET665" s="1447"/>
      <c r="EU665" s="1447"/>
      <c r="EV665" s="1447"/>
      <c r="EW665" s="1447" t="e">
        <f t="shared" si="47"/>
        <v>#VALUE!</v>
      </c>
      <c r="EX665" s="1447"/>
      <c r="EY665" s="1447"/>
      <c r="EZ665" s="1447"/>
      <c r="FA665" s="1447"/>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1740</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7" t="e">
        <f t="shared" si="42"/>
        <v>#VALUE!</v>
      </c>
      <c r="DY666" s="1447"/>
      <c r="DZ666" s="1447"/>
      <c r="EA666" s="1447"/>
      <c r="EB666" s="1447"/>
      <c r="EC666" s="1447" t="e">
        <f t="shared" si="43"/>
        <v>#VALUE!</v>
      </c>
      <c r="ED666" s="1447"/>
      <c r="EE666" s="1447"/>
      <c r="EF666" s="1447"/>
      <c r="EG666" s="1447"/>
      <c r="EH666" s="1447" t="e">
        <f t="shared" si="44"/>
        <v>#VALUE!</v>
      </c>
      <c r="EI666" s="1447"/>
      <c r="EJ666" s="1447"/>
      <c r="EK666" s="1447"/>
      <c r="EL666" s="1447"/>
      <c r="EM666" s="1447" t="e">
        <f t="shared" si="45"/>
        <v>#VALUE!</v>
      </c>
      <c r="EN666" s="1447"/>
      <c r="EO666" s="1447"/>
      <c r="EP666" s="1447"/>
      <c r="EQ666" s="1447"/>
      <c r="ER666" s="1447" t="e">
        <f t="shared" si="46"/>
        <v>#VALUE!</v>
      </c>
      <c r="ES666" s="1447"/>
      <c r="ET666" s="1447"/>
      <c r="EU666" s="1447"/>
      <c r="EV666" s="1447"/>
      <c r="EW666" s="1447" t="e">
        <f t="shared" si="47"/>
        <v>#VALUE!</v>
      </c>
      <c r="EX666" s="1447"/>
      <c r="EY666" s="1447"/>
      <c r="EZ666" s="1447"/>
      <c r="FA666" s="1447"/>
    </row>
    <row r="667" spans="1:157" ht="12.95" customHeight="1">
      <c r="A667" s="55" t="s">
        <v>463</v>
      </c>
      <c r="B667" t="s">
        <v>471</v>
      </c>
      <c r="G667" s="1457" t="str">
        <f>C633</f>
        <v>Deferred Developer Fee</v>
      </c>
      <c r="H667" s="1457"/>
      <c r="I667" s="1457"/>
      <c r="J667" s="1457"/>
      <c r="K667" s="1457"/>
      <c r="L667" s="1457"/>
      <c r="M667" s="1457"/>
      <c r="N667" s="1457"/>
      <c r="O667" s="1457"/>
      <c r="P667" s="1457"/>
      <c r="Q667" s="1457"/>
      <c r="R667" s="1457"/>
      <c r="T667" s="55" t="s">
        <v>464</v>
      </c>
      <c r="U667" t="s">
        <v>471</v>
      </c>
      <c r="Z667" s="1457" t="str">
        <f>C634</f>
        <v>Contributed Developer Fee</v>
      </c>
      <c r="AA667" s="1457"/>
      <c r="AB667" s="1457"/>
      <c r="AC667" s="1457"/>
      <c r="AD667" s="1457"/>
      <c r="AE667" s="1457"/>
      <c r="AF667" s="1457"/>
      <c r="AG667" s="1457"/>
      <c r="AH667" s="1457"/>
      <c r="AI667" s="1457"/>
      <c r="AJ667" s="1457"/>
      <c r="AK667" s="1457"/>
      <c r="AZ667" s="3"/>
      <c r="BA667" s="118">
        <f t="shared" ref="BA667:BA699" si="48">IF($G718=0,"N/A",VLOOKUP($T$189,TC_Rent,(MATCH($B718,bedrooms,FALSE))))</f>
        <v>3122</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7" t="e">
        <f t="shared" si="42"/>
        <v>#VALUE!</v>
      </c>
      <c r="DY667" s="1447"/>
      <c r="DZ667" s="1447"/>
      <c r="EA667" s="1447"/>
      <c r="EB667" s="1447"/>
      <c r="EC667" s="1447" t="e">
        <f t="shared" si="43"/>
        <v>#VALUE!</v>
      </c>
      <c r="ED667" s="1447"/>
      <c r="EE667" s="1447"/>
      <c r="EF667" s="1447"/>
      <c r="EG667" s="1447"/>
      <c r="EH667" s="1447" t="e">
        <f t="shared" si="44"/>
        <v>#VALUE!</v>
      </c>
      <c r="EI667" s="1447"/>
      <c r="EJ667" s="1447"/>
      <c r="EK667" s="1447"/>
      <c r="EL667" s="1447"/>
      <c r="EM667" s="1447" t="e">
        <f t="shared" si="45"/>
        <v>#VALUE!</v>
      </c>
      <c r="EN667" s="1447"/>
      <c r="EO667" s="1447"/>
      <c r="EP667" s="1447"/>
      <c r="EQ667" s="1447"/>
      <c r="ER667" s="1447" t="e">
        <f t="shared" si="46"/>
        <v>#VALUE!</v>
      </c>
      <c r="ES667" s="1447"/>
      <c r="ET667" s="1447"/>
      <c r="EU667" s="1447"/>
      <c r="EV667" s="1447"/>
      <c r="EW667" s="1447" t="e">
        <f t="shared" si="47"/>
        <v>#VALUE!</v>
      </c>
      <c r="EX667" s="1447"/>
      <c r="EY667" s="1447"/>
      <c r="EZ667" s="1447"/>
      <c r="FA667" s="1447"/>
    </row>
    <row r="668" spans="1:157" ht="12.95" customHeight="1">
      <c r="A668" s="22"/>
      <c r="B668" t="s">
        <v>85</v>
      </c>
      <c r="G668" s="1378" t="s">
        <v>2777</v>
      </c>
      <c r="H668" s="1378"/>
      <c r="I668" s="1378"/>
      <c r="J668" s="1378"/>
      <c r="K668" s="1378"/>
      <c r="L668" s="1378"/>
      <c r="M668" s="1378"/>
      <c r="N668" s="1378"/>
      <c r="O668" s="1378"/>
      <c r="P668" s="1378"/>
      <c r="Q668" s="1378"/>
      <c r="R668" s="1378"/>
      <c r="T668" s="22"/>
      <c r="U668" t="s">
        <v>85</v>
      </c>
      <c r="Z668" s="1378" t="s">
        <v>2777</v>
      </c>
      <c r="AA668" s="1378"/>
      <c r="AB668" s="1378"/>
      <c r="AC668" s="1378"/>
      <c r="AD668" s="1378"/>
      <c r="AE668" s="1378"/>
      <c r="AF668" s="1378"/>
      <c r="AG668" s="1378"/>
      <c r="AH668" s="1378"/>
      <c r="AI668" s="1378"/>
      <c r="AJ668" s="1378"/>
      <c r="AK668" s="1378"/>
      <c r="AZ668" s="3"/>
      <c r="BA668" s="118">
        <f t="shared" si="48"/>
        <v>3122</v>
      </c>
      <c r="BB668" s="3"/>
      <c r="BC668" s="3"/>
      <c r="BD668" s="3"/>
      <c r="BE668" s="3"/>
      <c r="BF668" s="218"/>
      <c r="BG668" s="315">
        <f t="shared" ref="BG668:BG700" si="49">G718</f>
        <v>29</v>
      </c>
      <c r="BH668" s="319">
        <f t="shared" ref="BH668:BH702" si="50">IF($BG$703=0,0,BG668/$BG$703)</f>
        <v>0.18354430379746836</v>
      </c>
      <c r="BI668" s="320">
        <f t="shared" ref="BI668:BI691" si="51">IF(BH668=0,"",BH668*AC718)</f>
        <v>0.11012658227848102</v>
      </c>
      <c r="BJ668" s="3"/>
      <c r="BK668" s="3"/>
      <c r="BL668" s="3"/>
      <c r="BM668" s="3"/>
      <c r="BN668" s="3"/>
      <c r="BO668" s="3"/>
      <c r="BT668" s="315">
        <f t="shared" ref="BT668:BT700" si="52">G718</f>
        <v>29</v>
      </c>
      <c r="BU668" s="319">
        <f t="shared" ref="BU668:BU702" si="53">IF($BT$703=0,0,BT668/$BT$703)</f>
        <v>0.18354430379746836</v>
      </c>
      <c r="BV668" s="320">
        <f t="shared" ref="BV668:BV700" si="54">IF(BU668=0,"",BU668*AH718)</f>
        <v>0.11011482415523967</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7" t="e">
        <f>DX630*(BN630/$BN$632)</f>
        <v>#VALUE!</v>
      </c>
      <c r="DY668" s="1447"/>
      <c r="DZ668" s="1447"/>
      <c r="EA668" s="1447"/>
      <c r="EB668" s="1447"/>
      <c r="EC668" s="1447" t="e">
        <f>EC630*(BS630/$BS$632)</f>
        <v>#VALUE!</v>
      </c>
      <c r="ED668" s="1447"/>
      <c r="EE668" s="1447"/>
      <c r="EF668" s="1447"/>
      <c r="EG668" s="1447"/>
      <c r="EH668" s="1447" t="e">
        <f>EH630*(BX630/$BX$632)</f>
        <v>#VALUE!</v>
      </c>
      <c r="EI668" s="1447"/>
      <c r="EJ668" s="1447"/>
      <c r="EK668" s="1447"/>
      <c r="EL668" s="1447"/>
      <c r="EM668" s="1447" t="e">
        <f>EM630*(CC630/$CC$632)</f>
        <v>#VALUE!</v>
      </c>
      <c r="EN668" s="1447"/>
      <c r="EO668" s="1447"/>
      <c r="EP668" s="1447"/>
      <c r="EQ668" s="1447"/>
      <c r="ER668" s="1447" t="e">
        <f>ER630*(CH630/$CH$632)</f>
        <v>#VALUE!</v>
      </c>
      <c r="ES668" s="1447"/>
      <c r="ET668" s="1447"/>
      <c r="EU668" s="1447"/>
      <c r="EV668" s="1447"/>
      <c r="EW668" s="1447" t="e">
        <f>EW630*(CM630/$CM$632)</f>
        <v>#VALUE!</v>
      </c>
      <c r="EX668" s="1447"/>
      <c r="EY668" s="1447"/>
      <c r="EZ668" s="1447"/>
      <c r="FA668" s="1447"/>
    </row>
    <row r="669" spans="1:157" ht="12.95" customHeight="1">
      <c r="A669" s="22"/>
      <c r="B669" t="s">
        <v>588</v>
      </c>
      <c r="G669" s="1378" t="s">
        <v>2665</v>
      </c>
      <c r="H669" s="1378"/>
      <c r="I669" s="1378"/>
      <c r="J669" s="1378"/>
      <c r="K669" s="1378"/>
      <c r="L669" s="1378"/>
      <c r="M669" s="1378"/>
      <c r="N669" s="1378"/>
      <c r="O669" s="1378"/>
      <c r="P669" s="1378"/>
      <c r="Q669" s="1378"/>
      <c r="R669" s="1378"/>
      <c r="T669" s="22"/>
      <c r="U669" t="s">
        <v>588</v>
      </c>
      <c r="Z669" s="1434" t="s">
        <v>2665</v>
      </c>
      <c r="AA669" s="1434"/>
      <c r="AB669" s="1434"/>
      <c r="AC669" s="1434"/>
      <c r="AD669" s="1434"/>
      <c r="AE669" s="1434"/>
      <c r="AF669" s="1434"/>
      <c r="AG669" s="1434"/>
      <c r="AH669" s="1434"/>
      <c r="AI669" s="1434"/>
      <c r="AJ669" s="1434"/>
      <c r="AK669" s="1434"/>
      <c r="AZ669" s="3"/>
      <c r="BA669" s="118" t="str">
        <f t="shared" si="48"/>
        <v>N/A</v>
      </c>
      <c r="BB669" s="3"/>
      <c r="BC669" s="3"/>
      <c r="BD669" s="3"/>
      <c r="BE669" s="3"/>
      <c r="BF669" s="218"/>
      <c r="BG669" s="316">
        <f t="shared" si="49"/>
        <v>31</v>
      </c>
      <c r="BH669" s="319">
        <f t="shared" si="50"/>
        <v>0.19620253164556961</v>
      </c>
      <c r="BI669" s="320">
        <f t="shared" si="51"/>
        <v>5.8860759493670881E-2</v>
      </c>
      <c r="BJ669" s="3"/>
      <c r="BK669" s="3"/>
      <c r="BL669" s="3"/>
      <c r="BM669" s="3"/>
      <c r="BN669" s="3"/>
      <c r="BO669" s="3"/>
      <c r="BT669" s="316">
        <f t="shared" si="52"/>
        <v>31</v>
      </c>
      <c r="BU669" s="319">
        <f t="shared" si="53"/>
        <v>0.19620253164556961</v>
      </c>
      <c r="BV669" s="320">
        <f t="shared" si="54"/>
        <v>5.8823052408793451E-2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7" t="e">
        <f>DX631*(BN631/$BN$632)</f>
        <v>#VALUE!</v>
      </c>
      <c r="DY669" s="1447"/>
      <c r="DZ669" s="1447"/>
      <c r="EA669" s="1447"/>
      <c r="EB669" s="1447"/>
      <c r="EC669" s="1447" t="e">
        <f>EC631*(BS631/$BS$632)</f>
        <v>#VALUE!</v>
      </c>
      <c r="ED669" s="1447"/>
      <c r="EE669" s="1447"/>
      <c r="EF669" s="1447"/>
      <c r="EG669" s="1447"/>
      <c r="EH669" s="1447" t="e">
        <f>EH631*(BX631/$BX$632)</f>
        <v>#VALUE!</v>
      </c>
      <c r="EI669" s="1447"/>
      <c r="EJ669" s="1447"/>
      <c r="EK669" s="1447"/>
      <c r="EL669" s="1447"/>
      <c r="EM669" s="1447" t="e">
        <f>EM631*(CC631/$CC$632)</f>
        <v>#VALUE!</v>
      </c>
      <c r="EN669" s="1447"/>
      <c r="EO669" s="1447"/>
      <c r="EP669" s="1447"/>
      <c r="EQ669" s="1447"/>
      <c r="ER669" s="1447" t="e">
        <f>ER631*(CH631/$CH$632)</f>
        <v>#VALUE!</v>
      </c>
      <c r="ES669" s="1447"/>
      <c r="ET669" s="1447"/>
      <c r="EU669" s="1447"/>
      <c r="EV669" s="1447"/>
      <c r="EW669" s="1447" t="e">
        <f>EW631*(CM631/$CM$632)</f>
        <v>#VALUE!</v>
      </c>
      <c r="EX669" s="1447"/>
      <c r="EY669" s="1447"/>
      <c r="EZ669" s="1447"/>
      <c r="FA669" s="1447"/>
    </row>
    <row r="670" spans="1:157" ht="12.95" customHeight="1">
      <c r="A670" s="22"/>
      <c r="B670" t="s">
        <v>17</v>
      </c>
      <c r="G670" s="1378" t="s">
        <v>2648</v>
      </c>
      <c r="H670" s="1378"/>
      <c r="I670" s="1378"/>
      <c r="J670" s="1378"/>
      <c r="K670" s="1378"/>
      <c r="L670" s="1378"/>
      <c r="M670" s="1378"/>
      <c r="N670" s="1378"/>
      <c r="O670" s="1378"/>
      <c r="P670" s="1378"/>
      <c r="Q670" s="1378"/>
      <c r="R670" s="1378"/>
      <c r="T670" s="22"/>
      <c r="U670" t="s">
        <v>17</v>
      </c>
      <c r="Z670" s="1434" t="s">
        <v>2648</v>
      </c>
      <c r="AA670" s="1434"/>
      <c r="AB670" s="1434"/>
      <c r="AC670" s="1434"/>
      <c r="AD670" s="1434"/>
      <c r="AE670" s="1434"/>
      <c r="AF670" s="1434"/>
      <c r="AG670" s="1434"/>
      <c r="AH670" s="1434"/>
      <c r="AI670" s="1434"/>
      <c r="AJ670" s="1434"/>
      <c r="AK670" s="1434"/>
      <c r="AZ670" s="3"/>
      <c r="BA670" s="118">
        <f t="shared" si="48"/>
        <v>3346</v>
      </c>
      <c r="BB670" s="3"/>
      <c r="BC670" s="3"/>
      <c r="BD670" s="3"/>
      <c r="BE670" s="3"/>
      <c r="BF670" s="218"/>
      <c r="BG670" s="316">
        <f t="shared" si="49"/>
        <v>0</v>
      </c>
      <c r="BH670" s="319">
        <f t="shared" si="50"/>
        <v>0</v>
      </c>
      <c r="BI670" s="320" t="str">
        <f t="shared" si="51"/>
        <v/>
      </c>
      <c r="BJ670" s="3"/>
      <c r="BK670" s="3"/>
      <c r="BL670" s="3"/>
      <c r="BM670" s="3"/>
      <c r="BN670" s="3"/>
      <c r="BO670" s="3"/>
      <c r="BT670" s="316">
        <f t="shared" si="52"/>
        <v>0</v>
      </c>
      <c r="BU670" s="319">
        <f t="shared" si="53"/>
        <v>0</v>
      </c>
      <c r="BV670" s="320" t="str">
        <f t="shared" si="54"/>
        <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7">
        <f>SUMIF(DX635:EB669,"&gt;0")</f>
        <v>1342.8833333333332</v>
      </c>
      <c r="DY670" s="1447"/>
      <c r="DZ670" s="1447"/>
      <c r="EA670" s="1447"/>
      <c r="EB670" s="1447"/>
      <c r="EC670" s="1447">
        <f>SUMIF(EC635:EG669,"&gt;0")</f>
        <v>1660.515625</v>
      </c>
      <c r="ED670" s="1447"/>
      <c r="EE670" s="1447"/>
      <c r="EF670" s="1447"/>
      <c r="EG670" s="1447"/>
      <c r="EH670" s="1447">
        <f>SUMIF(EH635:EL669,"&gt;0")</f>
        <v>1420.6923076923076</v>
      </c>
      <c r="EI670" s="1447"/>
      <c r="EJ670" s="1447"/>
      <c r="EK670" s="1447"/>
      <c r="EL670" s="1447"/>
      <c r="EM670" s="1447">
        <f>SUMIF(EM635:EQ669,"&gt;0")</f>
        <v>1391</v>
      </c>
      <c r="EN670" s="1447"/>
      <c r="EO670" s="1447"/>
      <c r="EP670" s="1447"/>
      <c r="EQ670" s="1447"/>
      <c r="ER670" s="1447">
        <f>SUMIF(ER635:EV669,"&gt;0")</f>
        <v>0</v>
      </c>
      <c r="ES670" s="1447"/>
      <c r="ET670" s="1447"/>
      <c r="EU670" s="1447"/>
      <c r="EV670" s="1447"/>
      <c r="EW670" s="1447">
        <f>SUMIF(EW635:FA669,"&gt;0")</f>
        <v>0</v>
      </c>
      <c r="EX670" s="1447"/>
      <c r="EY670" s="1447"/>
      <c r="EZ670" s="1447"/>
      <c r="FA670" s="1447"/>
    </row>
    <row r="671" spans="1:157" ht="12.95" customHeight="1">
      <c r="A671" s="22"/>
      <c r="B671" t="s">
        <v>317</v>
      </c>
      <c r="G671" s="1379" t="s">
        <v>2745</v>
      </c>
      <c r="H671" s="1379"/>
      <c r="I671" s="1379"/>
      <c r="J671" s="1379"/>
      <c r="K671" s="1379"/>
      <c r="L671" s="1379"/>
      <c r="O671" s="33" t="s">
        <v>207</v>
      </c>
      <c r="P671" s="1455"/>
      <c r="Q671" s="1455"/>
      <c r="R671" s="1455"/>
      <c r="T671" s="22"/>
      <c r="U671" t="s">
        <v>317</v>
      </c>
      <c r="Z671" s="1379" t="s">
        <v>2745</v>
      </c>
      <c r="AA671" s="1379"/>
      <c r="AB671" s="1379"/>
      <c r="AC671" s="1379"/>
      <c r="AD671" s="1379"/>
      <c r="AE671" s="1379"/>
      <c r="AH671" s="33" t="s">
        <v>207</v>
      </c>
      <c r="AI671" s="1455"/>
      <c r="AJ671" s="1455"/>
      <c r="AK671" s="1455"/>
      <c r="AZ671" s="3"/>
      <c r="BA671" s="118">
        <f t="shared" si="48"/>
        <v>3346</v>
      </c>
      <c r="BB671" s="3"/>
      <c r="BC671" s="3"/>
      <c r="BD671" s="3"/>
      <c r="BE671" s="3"/>
      <c r="BF671" s="218"/>
      <c r="BG671" s="316">
        <f t="shared" si="49"/>
        <v>28</v>
      </c>
      <c r="BH671" s="319">
        <f t="shared" si="50"/>
        <v>0.17721518987341772</v>
      </c>
      <c r="BI671" s="320">
        <f t="shared" si="51"/>
        <v>0.10632911392405063</v>
      </c>
      <c r="BJ671" s="3"/>
      <c r="BK671" s="3"/>
      <c r="BL671" s="3"/>
      <c r="BM671" s="3"/>
      <c r="BN671" s="3"/>
      <c r="BO671" s="3"/>
      <c r="BT671" s="316">
        <f t="shared" si="52"/>
        <v>28</v>
      </c>
      <c r="BU671" s="319">
        <f t="shared" si="53"/>
        <v>0.17721518987341772</v>
      </c>
      <c r="BV671" s="320">
        <f t="shared" si="54"/>
        <v>0.10635029924262486</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8" t="s">
        <v>2783</v>
      </c>
      <c r="I672" s="1378"/>
      <c r="J672" s="1378"/>
      <c r="K672" s="1378"/>
      <c r="L672" s="1378"/>
      <c r="M672" s="1378"/>
      <c r="N672" s="1378"/>
      <c r="O672" s="1378"/>
      <c r="P672" s="1378"/>
      <c r="Q672" s="1378"/>
      <c r="R672" s="1378"/>
      <c r="T672" s="22"/>
      <c r="U672" t="s">
        <v>18</v>
      </c>
      <c r="AA672" s="1378" t="s">
        <v>2783</v>
      </c>
      <c r="AB672" s="1378"/>
      <c r="AC672" s="1378"/>
      <c r="AD672" s="1378"/>
      <c r="AE672" s="1378"/>
      <c r="AF672" s="1378"/>
      <c r="AG672" s="1378"/>
      <c r="AH672" s="1378"/>
      <c r="AI672" s="1378"/>
      <c r="AJ672" s="1378"/>
      <c r="AK672" s="1378"/>
      <c r="AZ672" s="3"/>
      <c r="BA672" s="118">
        <f t="shared" si="48"/>
        <v>3346</v>
      </c>
      <c r="BB672" s="3"/>
      <c r="BC672" s="3"/>
      <c r="BD672" s="3"/>
      <c r="BE672" s="3"/>
      <c r="BF672" s="218"/>
      <c r="BG672" s="316">
        <f t="shared" si="49"/>
        <v>25</v>
      </c>
      <c r="BH672" s="319">
        <f t="shared" si="50"/>
        <v>0.15822784810126583</v>
      </c>
      <c r="BI672" s="320">
        <f t="shared" si="51"/>
        <v>7.9113924050632917E-2</v>
      </c>
      <c r="BJ672" s="3"/>
      <c r="BK672" s="3"/>
      <c r="BL672" s="3"/>
      <c r="BM672" s="3"/>
      <c r="BN672" s="3"/>
      <c r="BO672" s="3"/>
      <c r="BT672" s="316">
        <f t="shared" si="52"/>
        <v>25</v>
      </c>
      <c r="BU672" s="319">
        <f t="shared" si="53"/>
        <v>0.15822784810126583</v>
      </c>
      <c r="BV672" s="320">
        <f t="shared" si="54"/>
        <v>7.9113924050632917E-2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30" t="s">
        <v>553</v>
      </c>
      <c r="O673" s="1430"/>
      <c r="T673" s="22"/>
      <c r="U673" t="s">
        <v>20</v>
      </c>
      <c r="AG673" s="1430" t="s">
        <v>553</v>
      </c>
      <c r="AH673" s="1430"/>
      <c r="AZ673" s="3"/>
      <c r="BA673" s="118" t="str">
        <f t="shared" si="48"/>
        <v>N/A</v>
      </c>
      <c r="BB673" s="3"/>
      <c r="BC673" s="3"/>
      <c r="BD673" s="3"/>
      <c r="BE673" s="3"/>
      <c r="BF673" s="218"/>
      <c r="BG673" s="316">
        <f t="shared" si="49"/>
        <v>11</v>
      </c>
      <c r="BH673" s="319">
        <f t="shared" si="50"/>
        <v>6.9620253164556958E-2</v>
      </c>
      <c r="BI673" s="320">
        <f t="shared" si="51"/>
        <v>2.0886075949367085E-2</v>
      </c>
      <c r="BJ673" s="3"/>
      <c r="BK673" s="3"/>
      <c r="BL673" s="3"/>
      <c r="BM673" s="3"/>
      <c r="BN673" s="3"/>
      <c r="BO673" s="3"/>
      <c r="BT673" s="316">
        <f t="shared" si="52"/>
        <v>11</v>
      </c>
      <c r="BU673" s="319">
        <f t="shared" si="53"/>
        <v>6.9620253164556958E-2</v>
      </c>
      <c r="BV673" s="320">
        <f t="shared" si="54"/>
        <v>2.0869430341915907E-2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IF($G725=0,"N/A",VLOOKUP($T$189,TC_Rent,(MATCH($B725,bedrooms,FALSE))))</f>
        <v>4014</v>
      </c>
      <c r="BB674" s="3"/>
      <c r="BC674" s="3"/>
      <c r="BD674" s="3"/>
      <c r="BE674" s="3"/>
      <c r="BF674" s="218"/>
      <c r="BG674" s="316">
        <f t="shared" si="49"/>
        <v>0</v>
      </c>
      <c r="BH674" s="319">
        <f t="shared" si="50"/>
        <v>0</v>
      </c>
      <c r="BI674" s="320" t="str">
        <f t="shared" si="51"/>
        <v/>
      </c>
      <c r="BJ674" s="3"/>
      <c r="BK674" s="3"/>
      <c r="BL674" s="3"/>
      <c r="BM674" s="3"/>
      <c r="BN674" s="3"/>
      <c r="BO674" s="3"/>
      <c r="BT674" s="316">
        <f t="shared" si="52"/>
        <v>0</v>
      </c>
      <c r="BU674" s="319">
        <f t="shared" si="53"/>
        <v>0</v>
      </c>
      <c r="BV674" s="320" t="str">
        <f t="shared" si="54"/>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457">
        <f>C635</f>
        <v>0</v>
      </c>
      <c r="H675" s="1457"/>
      <c r="I675" s="1457"/>
      <c r="J675" s="1457"/>
      <c r="K675" s="1457"/>
      <c r="L675" s="1457"/>
      <c r="M675" s="1457"/>
      <c r="N675" s="1457"/>
      <c r="O675" s="1457"/>
      <c r="P675" s="1457"/>
      <c r="Q675" s="1457"/>
      <c r="R675" s="1457"/>
      <c r="T675" s="55" t="s">
        <v>654</v>
      </c>
      <c r="U675" t="s">
        <v>471</v>
      </c>
      <c r="Z675" s="1457">
        <f>C636</f>
        <v>0</v>
      </c>
      <c r="AA675" s="1457"/>
      <c r="AB675" s="1457"/>
      <c r="AC675" s="1457"/>
      <c r="AD675" s="1457"/>
      <c r="AE675" s="1457"/>
      <c r="AF675" s="1457"/>
      <c r="AG675" s="1457"/>
      <c r="AH675" s="1457"/>
      <c r="AI675" s="1457"/>
      <c r="AJ675" s="1457"/>
      <c r="AK675" s="1457"/>
      <c r="AZ675" s="3"/>
      <c r="BA675" s="118">
        <f t="shared" si="48"/>
        <v>4014</v>
      </c>
      <c r="BB675" s="3"/>
      <c r="BC675" s="3"/>
      <c r="BD675" s="3"/>
      <c r="BE675" s="3"/>
      <c r="BF675" s="218"/>
      <c r="BG675" s="316">
        <f>G725</f>
        <v>5</v>
      </c>
      <c r="BH675" s="319">
        <f t="shared" si="50"/>
        <v>3.1645569620253167E-2</v>
      </c>
      <c r="BI675" s="320">
        <f t="shared" si="51"/>
        <v>1.8987341772151899E-2</v>
      </c>
      <c r="BJ675" s="3"/>
      <c r="BK675" s="3"/>
      <c r="BL675" s="3"/>
      <c r="BM675" s="3"/>
      <c r="BN675" s="3"/>
      <c r="BO675" s="3"/>
      <c r="BT675" s="316">
        <f>G725</f>
        <v>5</v>
      </c>
      <c r="BU675" s="319">
        <f t="shared" si="53"/>
        <v>3.1645569620253167E-2</v>
      </c>
      <c r="BV675" s="320">
        <f t="shared" si="54"/>
        <v>1.8984188252508628E-2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78"/>
      <c r="H676" s="1378"/>
      <c r="I676" s="1378"/>
      <c r="J676" s="1378"/>
      <c r="K676" s="1378"/>
      <c r="L676" s="1378"/>
      <c r="M676" s="1378"/>
      <c r="N676" s="1378"/>
      <c r="O676" s="1378"/>
      <c r="P676" s="1378"/>
      <c r="Q676" s="1378"/>
      <c r="R676" s="1378"/>
      <c r="T676" s="22"/>
      <c r="U676" t="s">
        <v>85</v>
      </c>
      <c r="Z676" s="1378"/>
      <c r="AA676" s="1378"/>
      <c r="AB676" s="1378"/>
      <c r="AC676" s="1378"/>
      <c r="AD676" s="1378"/>
      <c r="AE676" s="1378"/>
      <c r="AF676" s="1378"/>
      <c r="AG676" s="1378"/>
      <c r="AH676" s="1378"/>
      <c r="AI676" s="1378"/>
      <c r="AJ676" s="1378"/>
      <c r="AK676" s="1378"/>
      <c r="AZ676" s="3"/>
      <c r="BA676" s="118">
        <f t="shared" si="48"/>
        <v>4014</v>
      </c>
      <c r="BB676" s="3"/>
      <c r="BC676" s="3"/>
      <c r="BD676" s="3"/>
      <c r="BE676" s="3"/>
      <c r="BF676" s="218"/>
      <c r="BG676" s="316">
        <f t="shared" si="49"/>
        <v>4</v>
      </c>
      <c r="BH676" s="319">
        <f t="shared" si="50"/>
        <v>2.5316455696202531E-2</v>
      </c>
      <c r="BI676" s="320">
        <f t="shared" si="51"/>
        <v>7.5949367088607592E-3</v>
      </c>
      <c r="BJ676" s="3"/>
      <c r="BK676" s="3"/>
      <c r="BL676" s="3"/>
      <c r="BM676" s="3"/>
      <c r="BN676" s="3"/>
      <c r="BO676" s="3"/>
      <c r="BT676" s="316">
        <f t="shared" si="52"/>
        <v>4</v>
      </c>
      <c r="BU676" s="319">
        <f t="shared" si="53"/>
        <v>2.5316455696202531E-2</v>
      </c>
      <c r="BV676" s="320">
        <f t="shared" si="54"/>
        <v>7.5873682617169022E-3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378"/>
      <c r="H677" s="1378"/>
      <c r="I677" s="1378"/>
      <c r="J677" s="1378"/>
      <c r="K677" s="1378"/>
      <c r="L677" s="1378"/>
      <c r="M677" s="1378"/>
      <c r="N677" s="1378"/>
      <c r="O677" s="1378"/>
      <c r="P677" s="1378"/>
      <c r="Q677" s="1378"/>
      <c r="R677" s="1378"/>
      <c r="T677" s="22"/>
      <c r="U677" t="s">
        <v>588</v>
      </c>
      <c r="Z677" s="1434"/>
      <c r="AA677" s="1434"/>
      <c r="AB677" s="1434"/>
      <c r="AC677" s="1434"/>
      <c r="AD677" s="1434"/>
      <c r="AE677" s="1434"/>
      <c r="AF677" s="1434"/>
      <c r="AG677" s="1434"/>
      <c r="AH677" s="1434"/>
      <c r="AI677" s="1434"/>
      <c r="AJ677" s="1434"/>
      <c r="AK677" s="1434"/>
      <c r="AZ677" s="3"/>
      <c r="BA677" s="118">
        <f t="shared" si="48"/>
        <v>4014</v>
      </c>
      <c r="BB677" s="3"/>
      <c r="BC677" s="3"/>
      <c r="BD677" s="3"/>
      <c r="BE677" s="3"/>
      <c r="BF677" s="218"/>
      <c r="BG677" s="316">
        <f t="shared" si="49"/>
        <v>7</v>
      </c>
      <c r="BH677" s="319">
        <f t="shared" si="50"/>
        <v>4.4303797468354431E-2</v>
      </c>
      <c r="BI677" s="320">
        <f t="shared" si="51"/>
        <v>1.3291139240506329E-2</v>
      </c>
      <c r="BJ677" s="3"/>
      <c r="BK677" s="3"/>
      <c r="BL677" s="3"/>
      <c r="BM677" s="3"/>
      <c r="BN677" s="3"/>
      <c r="BO677" s="3"/>
      <c r="BT677" s="316">
        <f t="shared" si="52"/>
        <v>7</v>
      </c>
      <c r="BU677" s="319">
        <f t="shared" si="53"/>
        <v>4.4303797468354431E-2</v>
      </c>
      <c r="BV677" s="320">
        <f t="shared" si="54"/>
        <v>1.3277894458004579E-2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78"/>
      <c r="H678" s="1378"/>
      <c r="I678" s="1378"/>
      <c r="J678" s="1378"/>
      <c r="K678" s="1378"/>
      <c r="L678" s="1378"/>
      <c r="M678" s="1378"/>
      <c r="N678" s="1378"/>
      <c r="O678" s="1378"/>
      <c r="P678" s="1378"/>
      <c r="Q678" s="1378"/>
      <c r="R678" s="1378"/>
      <c r="T678" s="22"/>
      <c r="U678" t="s">
        <v>17</v>
      </c>
      <c r="Z678" s="1434"/>
      <c r="AA678" s="1434"/>
      <c r="AB678" s="1434"/>
      <c r="AC678" s="1434"/>
      <c r="AD678" s="1434"/>
      <c r="AE678" s="1434"/>
      <c r="AF678" s="1434"/>
      <c r="AG678" s="1434"/>
      <c r="AH678" s="1434"/>
      <c r="AI678" s="1434"/>
      <c r="AJ678" s="1434"/>
      <c r="AK678" s="1434"/>
      <c r="AZ678" s="3"/>
      <c r="BA678" s="118" t="str">
        <f t="shared" si="48"/>
        <v>N/A</v>
      </c>
      <c r="BB678" s="3"/>
      <c r="BC678" s="3"/>
      <c r="BD678" s="3"/>
      <c r="BE678" s="3"/>
      <c r="BF678" s="218"/>
      <c r="BG678" s="316">
        <f t="shared" si="49"/>
        <v>10</v>
      </c>
      <c r="BH678" s="319">
        <f t="shared" si="50"/>
        <v>6.3291139240506333E-2</v>
      </c>
      <c r="BI678" s="320">
        <f t="shared" si="51"/>
        <v>1.8987341772151899E-2</v>
      </c>
      <c r="BJ678" s="3"/>
      <c r="BK678" s="3"/>
      <c r="BL678" s="3"/>
      <c r="BM678" s="3"/>
      <c r="BN678" s="3"/>
      <c r="BO678" s="3"/>
      <c r="BT678" s="316">
        <f t="shared" si="52"/>
        <v>10</v>
      </c>
      <c r="BU678" s="319">
        <f t="shared" si="53"/>
        <v>6.3291139240506333E-2</v>
      </c>
      <c r="BV678" s="320">
        <f t="shared" si="54"/>
        <v>1.8968420654292256E-2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379"/>
      <c r="H679" s="1379"/>
      <c r="I679" s="1379"/>
      <c r="J679" s="1379"/>
      <c r="K679" s="1379"/>
      <c r="L679" s="1379"/>
      <c r="O679" s="33" t="s">
        <v>207</v>
      </c>
      <c r="P679" s="1455"/>
      <c r="Q679" s="1455"/>
      <c r="R679" s="1455"/>
      <c r="T679" s="22"/>
      <c r="U679" t="s">
        <v>317</v>
      </c>
      <c r="Z679" s="1379"/>
      <c r="AA679" s="1379"/>
      <c r="AB679" s="1379"/>
      <c r="AC679" s="1379"/>
      <c r="AD679" s="1379"/>
      <c r="AE679" s="1379"/>
      <c r="AH679" s="33" t="s">
        <v>207</v>
      </c>
      <c r="AI679" s="1455"/>
      <c r="AJ679" s="1455"/>
      <c r="AK679" s="1455"/>
      <c r="AZ679" s="3"/>
      <c r="BA679" s="118">
        <f t="shared" si="48"/>
        <v>4638</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78"/>
      <c r="I680" s="1378"/>
      <c r="J680" s="1378"/>
      <c r="K680" s="1378"/>
      <c r="L680" s="1378"/>
      <c r="M680" s="1378"/>
      <c r="N680" s="1378"/>
      <c r="O680" s="1378"/>
      <c r="P680" s="1378"/>
      <c r="Q680" s="1378"/>
      <c r="R680" s="1378"/>
      <c r="T680" s="22"/>
      <c r="U680" t="s">
        <v>18</v>
      </c>
      <c r="AA680" s="1378"/>
      <c r="AB680" s="1378"/>
      <c r="AC680" s="1378"/>
      <c r="AD680" s="1378"/>
      <c r="AE680" s="1378"/>
      <c r="AF680" s="1378"/>
      <c r="AG680" s="1378"/>
      <c r="AH680" s="1378"/>
      <c r="AI680" s="1378"/>
      <c r="AJ680" s="1378"/>
      <c r="AK680" s="1378"/>
      <c r="AZ680" s="3"/>
      <c r="BA680" s="118" t="str">
        <f>IF($G731=0,"N/A",VLOOKUP($T$189,TC_Rent,(MATCH($B731,bedrooms,FALSE))))</f>
        <v>N/A</v>
      </c>
      <c r="BB680" s="3"/>
      <c r="BC680" s="3"/>
      <c r="BD680" s="3"/>
      <c r="BE680" s="3"/>
      <c r="BF680" s="218"/>
      <c r="BG680" s="316">
        <f t="shared" si="49"/>
        <v>8</v>
      </c>
      <c r="BH680" s="319">
        <f t="shared" si="50"/>
        <v>5.0632911392405063E-2</v>
      </c>
      <c r="BI680" s="320">
        <f t="shared" si="51"/>
        <v>1.5189873417721518E-2</v>
      </c>
      <c r="BJ680" s="3"/>
      <c r="BK680" s="3"/>
      <c r="BL680" s="3"/>
      <c r="BM680" s="3"/>
      <c r="BN680" s="3"/>
      <c r="BO680" s="3"/>
      <c r="BT680" s="316">
        <f t="shared" si="52"/>
        <v>8</v>
      </c>
      <c r="BU680" s="319">
        <f t="shared" si="53"/>
        <v>5.0632911392405063E-2</v>
      </c>
      <c r="BV680" s="320">
        <f t="shared" si="54"/>
        <v>1.5185506629330627E-2</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30" t="s">
        <v>677</v>
      </c>
      <c r="O681" s="1430"/>
      <c r="T681" s="22"/>
      <c r="U681" t="s">
        <v>20</v>
      </c>
      <c r="AG681" s="1430" t="s">
        <v>677</v>
      </c>
      <c r="AH681" s="1430"/>
      <c r="AZ681" s="3"/>
      <c r="BA681" s="118" t="str">
        <f t="shared" si="48"/>
        <v>N/A</v>
      </c>
      <c r="BB681" s="3"/>
      <c r="BC681" s="3"/>
      <c r="BD681" s="3"/>
      <c r="BE681" s="3"/>
      <c r="BF681" s="218"/>
      <c r="BG681" s="316">
        <f>G731</f>
        <v>0</v>
      </c>
      <c r="BH681" s="319">
        <f t="shared" si="50"/>
        <v>0</v>
      </c>
      <c r="BI681" s="320" t="str">
        <f t="shared" si="51"/>
        <v/>
      </c>
      <c r="BJ681" s="3"/>
      <c r="BK681" s="3"/>
      <c r="BL681" s="3"/>
      <c r="BM681" s="3"/>
      <c r="BN681" s="3"/>
      <c r="BO681" s="3"/>
      <c r="BT681" s="316">
        <f>G731</f>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471</v>
      </c>
      <c r="G683" s="1457">
        <f>C637</f>
        <v>0</v>
      </c>
      <c r="H683" s="1457"/>
      <c r="I683" s="1457"/>
      <c r="J683" s="1457"/>
      <c r="K683" s="1457"/>
      <c r="L683" s="1457"/>
      <c r="M683" s="1457"/>
      <c r="N683" s="1457"/>
      <c r="O683" s="1457"/>
      <c r="P683" s="1457"/>
      <c r="Q683" s="1457"/>
      <c r="R683" s="1457"/>
      <c r="T683" s="55" t="s">
        <v>364</v>
      </c>
      <c r="U683" t="s">
        <v>471</v>
      </c>
      <c r="Z683" s="1457">
        <f>C638</f>
        <v>0</v>
      </c>
      <c r="AA683" s="1457"/>
      <c r="AB683" s="1457"/>
      <c r="AC683" s="1457"/>
      <c r="AD683" s="1457"/>
      <c r="AE683" s="1457"/>
      <c r="AF683" s="1457"/>
      <c r="AG683" s="1457"/>
      <c r="AH683" s="1457"/>
      <c r="AI683" s="1457"/>
      <c r="AJ683" s="1457"/>
      <c r="AK683" s="1457"/>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78"/>
      <c r="H684" s="1378"/>
      <c r="I684" s="1378"/>
      <c r="J684" s="1378"/>
      <c r="K684" s="1378"/>
      <c r="L684" s="1378"/>
      <c r="M684" s="1378"/>
      <c r="N684" s="1378"/>
      <c r="O684" s="1378"/>
      <c r="P684" s="1378"/>
      <c r="Q684" s="1378"/>
      <c r="R684" s="1378"/>
      <c r="T684" s="22"/>
      <c r="U684" t="s">
        <v>85</v>
      </c>
      <c r="Z684" s="1378"/>
      <c r="AA684" s="1378"/>
      <c r="AB684" s="1378"/>
      <c r="AC684" s="1378"/>
      <c r="AD684" s="1378"/>
      <c r="AE684" s="1378"/>
      <c r="AF684" s="1378"/>
      <c r="AG684" s="1378"/>
      <c r="AH684" s="1378"/>
      <c r="AI684" s="1378"/>
      <c r="AJ684" s="1378"/>
      <c r="AK684" s="1378"/>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378"/>
      <c r="H685" s="1378"/>
      <c r="I685" s="1378"/>
      <c r="J685" s="1378"/>
      <c r="K685" s="1378"/>
      <c r="L685" s="1378"/>
      <c r="M685" s="1378"/>
      <c r="N685" s="1378"/>
      <c r="O685" s="1378"/>
      <c r="P685" s="1378"/>
      <c r="Q685" s="1378"/>
      <c r="R685" s="1378"/>
      <c r="U685" t="s">
        <v>588</v>
      </c>
      <c r="Z685" s="1434"/>
      <c r="AA685" s="1434"/>
      <c r="AB685" s="1434"/>
      <c r="AC685" s="1434"/>
      <c r="AD685" s="1434"/>
      <c r="AE685" s="1434"/>
      <c r="AF685" s="1434"/>
      <c r="AG685" s="1434"/>
      <c r="AH685" s="1434"/>
      <c r="AI685" s="1434"/>
      <c r="AJ685" s="1434"/>
      <c r="AK685" s="1434"/>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78"/>
      <c r="H686" s="1378"/>
      <c r="I686" s="1378"/>
      <c r="J686" s="1378"/>
      <c r="K686" s="1378"/>
      <c r="L686" s="1378"/>
      <c r="M686" s="1378"/>
      <c r="N686" s="1378"/>
      <c r="O686" s="1378"/>
      <c r="P686" s="1378"/>
      <c r="Q686" s="1378"/>
      <c r="R686" s="1378"/>
      <c r="U686" t="s">
        <v>17</v>
      </c>
      <c r="Z686" s="1434"/>
      <c r="AA686" s="1434"/>
      <c r="AB686" s="1434"/>
      <c r="AC686" s="1434"/>
      <c r="AD686" s="1434"/>
      <c r="AE686" s="1434"/>
      <c r="AF686" s="1434"/>
      <c r="AG686" s="1434"/>
      <c r="AH686" s="1434"/>
      <c r="AI686" s="1434"/>
      <c r="AJ686" s="1434"/>
      <c r="AK686" s="1434"/>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379"/>
      <c r="H687" s="1379"/>
      <c r="I687" s="1379"/>
      <c r="J687" s="1379"/>
      <c r="K687" s="1379"/>
      <c r="L687" s="1379"/>
      <c r="O687" s="33" t="s">
        <v>207</v>
      </c>
      <c r="P687" s="1455"/>
      <c r="Q687" s="1455"/>
      <c r="R687" s="1455"/>
      <c r="U687" t="s">
        <v>317</v>
      </c>
      <c r="Z687" s="1379"/>
      <c r="AA687" s="1379"/>
      <c r="AB687" s="1379"/>
      <c r="AC687" s="1379"/>
      <c r="AD687" s="1379"/>
      <c r="AE687" s="1379"/>
      <c r="AH687" s="33" t="s">
        <v>207</v>
      </c>
      <c r="AI687" s="1455"/>
      <c r="AJ687" s="1455"/>
      <c r="AK687" s="1455"/>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78"/>
      <c r="I688" s="1378"/>
      <c r="J688" s="1378"/>
      <c r="K688" s="1378"/>
      <c r="L688" s="1378"/>
      <c r="M688" s="1378"/>
      <c r="N688" s="1378"/>
      <c r="O688" s="1378"/>
      <c r="P688" s="1378"/>
      <c r="Q688" s="1378"/>
      <c r="R688" s="1378"/>
      <c r="U688" t="s">
        <v>18</v>
      </c>
      <c r="AA688" s="1378"/>
      <c r="AB688" s="1378"/>
      <c r="AC688" s="1378"/>
      <c r="AD688" s="1378"/>
      <c r="AE688" s="1378"/>
      <c r="AF688" s="1378"/>
      <c r="AG688" s="1378"/>
      <c r="AH688" s="1378"/>
      <c r="AI688" s="1378"/>
      <c r="AJ688" s="1378"/>
      <c r="AK688" s="1378"/>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30" t="s">
        <v>677</v>
      </c>
      <c r="O689" s="1430"/>
      <c r="U689" t="s">
        <v>20</v>
      </c>
      <c r="AG689" s="1430" t="s">
        <v>677</v>
      </c>
      <c r="AH689" s="1430"/>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430" t="s">
        <v>553</v>
      </c>
      <c r="AF693" s="1430"/>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430" t="s">
        <v>677</v>
      </c>
      <c r="AF694" s="1430"/>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485">
        <v>45405</v>
      </c>
      <c r="AF695" s="1485"/>
      <c r="AG695" s="1485"/>
      <c r="AH695" s="1485"/>
      <c r="AI695" s="1485"/>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1002</v>
      </c>
      <c r="E696" s="135"/>
      <c r="F696" s="135"/>
      <c r="G696" s="135"/>
      <c r="H696" s="135"/>
      <c r="AE696" s="1877">
        <v>45511</v>
      </c>
      <c r="AF696" s="1877"/>
      <c r="AG696" s="1877"/>
      <c r="AH696" s="1877"/>
      <c r="AI696" s="1877"/>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485">
        <v>45658</v>
      </c>
      <c r="AF698" s="1485"/>
      <c r="AG698" s="1485"/>
      <c r="AH698" s="1485"/>
      <c r="AI698" s="1485"/>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483">
        <v>0.53990000000000005</v>
      </c>
      <c r="AF699" s="1483"/>
      <c r="AG699" s="1483"/>
      <c r="AH699" s="1483"/>
      <c r="AI699" s="1483"/>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457" t="str">
        <f>H335</f>
        <v xml:space="preserve">City of San Jose </v>
      </c>
      <c r="X700" s="1457"/>
      <c r="Y700" s="1457"/>
      <c r="Z700" s="1457"/>
      <c r="AA700" s="1457"/>
      <c r="AB700" s="1457"/>
      <c r="AC700" s="1457"/>
      <c r="AD700" s="1457"/>
      <c r="AE700" s="1457"/>
      <c r="AF700" s="1457"/>
      <c r="AG700" s="1457"/>
      <c r="AH700" s="1457"/>
      <c r="AI700" s="1457"/>
      <c r="AJ700" s="1457"/>
      <c r="AK700" s="1457"/>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G751</f>
        <v>0</v>
      </c>
      <c r="BH701" s="319">
        <f t="shared" si="50"/>
        <v>0</v>
      </c>
      <c r="BI701" s="320" t="str">
        <f>IF(BH701=0,"",BH701*AC762)</f>
        <v/>
      </c>
      <c r="BJ701" s="3"/>
      <c r="BK701" s="34"/>
      <c r="BL701" s="34"/>
      <c r="BM701" s="34"/>
      <c r="BN701" s="34"/>
      <c r="BO701" s="34"/>
      <c r="BT701" s="316">
        <f>G751</f>
        <v>0</v>
      </c>
      <c r="BU701" s="319">
        <f t="shared" si="53"/>
        <v>0</v>
      </c>
      <c r="BV701" s="320" t="str">
        <f>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430" t="s">
        <v>677</v>
      </c>
      <c r="AF702" s="1430"/>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378"/>
      <c r="X703" s="1378"/>
      <c r="Y703" s="1378"/>
      <c r="Z703" s="1378"/>
      <c r="AA703" s="1378"/>
      <c r="AB703" s="1378"/>
      <c r="AC703" s="1378"/>
      <c r="AD703" s="1378"/>
      <c r="AE703" s="1378"/>
      <c r="AF703" s="1378"/>
      <c r="AG703" s="1378"/>
      <c r="AH703" s="1378"/>
      <c r="AI703" s="1378"/>
      <c r="AJ703" s="1378"/>
      <c r="AK703" s="1378"/>
      <c r="AZ703" s="34"/>
      <c r="BA703" s="34"/>
      <c r="BB703" s="34"/>
      <c r="BC703" s="34"/>
      <c r="BD703" s="34"/>
      <c r="BE703" s="3"/>
      <c r="BF703" s="312" t="s">
        <v>914</v>
      </c>
      <c r="BG703" s="321">
        <f>SUM(BG668:BG702)</f>
        <v>158</v>
      </c>
      <c r="BH703" s="322">
        <f>SUM(BH668:BH702)</f>
        <v>1.0000000000000002</v>
      </c>
      <c r="BI703" s="322">
        <f>SUM(BI668:BI702)</f>
        <v>0.44936708860759494</v>
      </c>
      <c r="BN703" s="3"/>
      <c r="BO703" s="3"/>
      <c r="BT703" s="893">
        <f>SUM(BT668:BT702)</f>
        <v>158</v>
      </c>
      <c r="BU703" s="322">
        <f>SUM(BU668:BU702)</f>
        <v>1.0000000000000002</v>
      </c>
      <c r="BV703" s="322">
        <f>SUM(BV668:BV702)</f>
        <v>0.4492749084550598</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78"/>
      <c r="K704" s="1378"/>
      <c r="L704" s="1378"/>
      <c r="M704" s="1378"/>
      <c r="N704" s="1378"/>
      <c r="O704" s="1378"/>
      <c r="P704" s="1378"/>
      <c r="Q704" s="1378"/>
      <c r="R704" s="1378"/>
      <c r="S704" s="1378"/>
      <c r="T704" s="1378"/>
      <c r="U704" s="1378"/>
      <c r="V704" s="1378"/>
      <c r="W704" s="1378"/>
      <c r="X704" s="1378"/>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79"/>
      <c r="K705" s="1379"/>
      <c r="L705" s="1379"/>
      <c r="M705" s="1379"/>
      <c r="N705" s="1379"/>
      <c r="O705" s="1379"/>
      <c r="P705" s="4" t="s">
        <v>207</v>
      </c>
      <c r="Q705" s="4"/>
      <c r="R705" s="1455"/>
      <c r="S705" s="1455"/>
      <c r="T705" s="1455"/>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378" t="s">
        <v>308</v>
      </c>
      <c r="X706" s="1378"/>
      <c r="Y706" s="1378"/>
      <c r="Z706" s="1378"/>
      <c r="AA706" s="1378"/>
      <c r="AB706" s="1378"/>
      <c r="AC706" s="1378"/>
      <c r="AD706" s="1378"/>
      <c r="AE706" s="1378"/>
      <c r="AF706" s="1378"/>
      <c r="AG706" s="1378"/>
      <c r="AH706" s="1378"/>
      <c r="AI706" s="1378"/>
      <c r="AJ706" s="1378"/>
      <c r="AK706" s="1378"/>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78" t="s">
        <v>335</v>
      </c>
      <c r="F707" s="1378"/>
      <c r="G707" s="1378"/>
      <c r="H707" s="1378"/>
      <c r="I707" s="1378"/>
      <c r="J707" s="1378"/>
      <c r="K707" s="1378"/>
      <c r="L707" s="1378"/>
      <c r="M707" s="1378"/>
      <c r="N707" s="1378"/>
      <c r="O707" s="1378"/>
      <c r="P707" s="1378"/>
      <c r="Q707" s="1378"/>
      <c r="R707" s="1378"/>
      <c r="S707" s="1378"/>
      <c r="T707" s="1378"/>
      <c r="U707" s="1378"/>
      <c r="V707" s="1378"/>
      <c r="W707" s="1378"/>
      <c r="X707" s="1378"/>
      <c r="Y707" s="1378"/>
      <c r="Z707" s="1378"/>
      <c r="AA707" s="1378"/>
      <c r="AB707" s="1378"/>
      <c r="AC707" s="1378"/>
      <c r="AD707" s="1378"/>
      <c r="AE707" s="1378"/>
      <c r="AF707" s="1378"/>
      <c r="AG707" s="1378"/>
      <c r="AH707" s="1378"/>
      <c r="AI707" s="1378"/>
      <c r="AJ707" s="1378"/>
      <c r="AK707" s="1378"/>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8" t="s">
        <v>95</v>
      </c>
      <c r="B709" s="1268"/>
      <c r="C709" s="1268"/>
      <c r="D709" s="1268"/>
      <c r="E709" s="1268"/>
      <c r="F709" s="1268"/>
      <c r="G709" s="1268"/>
      <c r="H709" s="1268"/>
      <c r="I709" s="1268"/>
      <c r="J709" s="1268"/>
      <c r="K709" s="1268"/>
      <c r="L709" s="1268"/>
      <c r="M709" s="1268"/>
      <c r="N709" s="1268"/>
      <c r="O709" s="1268"/>
      <c r="P709" s="1268"/>
      <c r="Q709" s="1268"/>
      <c r="R709" s="1268"/>
      <c r="S709" s="1268"/>
      <c r="T709" s="1268"/>
      <c r="U709" s="1268"/>
      <c r="V709" s="1268"/>
      <c r="W709" s="1268"/>
      <c r="X709" s="1268"/>
      <c r="Y709" s="1268"/>
      <c r="Z709" s="1268"/>
      <c r="AA709" s="1268"/>
      <c r="AB709" s="1268"/>
      <c r="AC709" s="1268"/>
      <c r="AD709" s="1268"/>
      <c r="AE709" s="1268"/>
      <c r="AF709" s="1268"/>
      <c r="AG709" s="1268"/>
      <c r="AH709" s="1268"/>
      <c r="AI709" s="1268"/>
      <c r="AJ709" s="1268"/>
      <c r="AK709" s="1268"/>
      <c r="AL709" s="1268"/>
      <c r="AM709" s="1268"/>
      <c r="AN709" s="1268"/>
      <c r="AO709" s="1268"/>
      <c r="AP709" s="1268"/>
      <c r="AQ709" s="1268"/>
      <c r="AR709" s="1268"/>
      <c r="AS709" s="1268"/>
      <c r="AT709" s="1268"/>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8"/>
      <c r="B710" s="1268"/>
      <c r="C710" s="1268"/>
      <c r="D710" s="1268"/>
      <c r="E710" s="1268"/>
      <c r="F710" s="1268"/>
      <c r="G710" s="1268"/>
      <c r="H710" s="1268"/>
      <c r="I710" s="1268"/>
      <c r="J710" s="1268"/>
      <c r="K710" s="1268"/>
      <c r="L710" s="1268"/>
      <c r="M710" s="1268"/>
      <c r="N710" s="1268"/>
      <c r="O710" s="1268"/>
      <c r="P710" s="1268"/>
      <c r="Q710" s="1268"/>
      <c r="R710" s="1268"/>
      <c r="S710" s="1268"/>
      <c r="T710" s="1268"/>
      <c r="U710" s="1268"/>
      <c r="V710" s="1268"/>
      <c r="W710" s="1268"/>
      <c r="X710" s="1268"/>
      <c r="Y710" s="1268"/>
      <c r="Z710" s="1268"/>
      <c r="AA710" s="1268"/>
      <c r="AB710" s="1268"/>
      <c r="AC710" s="1268"/>
      <c r="AD710" s="1268"/>
      <c r="AE710" s="1268"/>
      <c r="AF710" s="1268"/>
      <c r="AG710" s="1268"/>
      <c r="AH710" s="1268"/>
      <c r="AI710" s="1268"/>
      <c r="AJ710" s="1268"/>
      <c r="AK710" s="1268"/>
      <c r="AL710" s="1268"/>
      <c r="AM710" s="1268"/>
      <c r="AN710" s="1268"/>
      <c r="AO710" s="1268"/>
      <c r="AP710" s="1268"/>
      <c r="AQ710" s="1268"/>
      <c r="AR710" s="1268"/>
      <c r="AS710" s="1268"/>
      <c r="AT710" s="1268"/>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8"/>
      <c r="B711" s="1268"/>
      <c r="C711" s="1268"/>
      <c r="D711" s="1268"/>
      <c r="E711" s="1268"/>
      <c r="F711" s="1268"/>
      <c r="G711" s="1268"/>
      <c r="H711" s="1268"/>
      <c r="I711" s="1268"/>
      <c r="J711" s="1268"/>
      <c r="K711" s="1268"/>
      <c r="L711" s="1268"/>
      <c r="M711" s="1268"/>
      <c r="N711" s="1268"/>
      <c r="O711" s="1268"/>
      <c r="P711" s="1268"/>
      <c r="Q711" s="1268"/>
      <c r="R711" s="1268"/>
      <c r="S711" s="1268"/>
      <c r="T711" s="1268"/>
      <c r="U711" s="1268"/>
      <c r="V711" s="1268"/>
      <c r="W711" s="1268"/>
      <c r="X711" s="1268"/>
      <c r="Y711" s="1268"/>
      <c r="Z711" s="1268"/>
      <c r="AA711" s="1268"/>
      <c r="AB711" s="1268"/>
      <c r="AC711" s="1268"/>
      <c r="AD711" s="1268"/>
      <c r="AE711" s="1268"/>
      <c r="AF711" s="1268"/>
      <c r="AG711" s="1268"/>
      <c r="AH711" s="1268"/>
      <c r="AI711" s="1268"/>
      <c r="AJ711" s="1268"/>
      <c r="AK711" s="1268"/>
      <c r="AL711" s="1268"/>
      <c r="AM711" s="1268"/>
      <c r="AN711" s="1268"/>
      <c r="AO711" s="1268"/>
      <c r="AP711" s="1268"/>
      <c r="AQ711" s="1268"/>
      <c r="AR711" s="1268"/>
      <c r="AS711" s="1268"/>
      <c r="AT711" s="1268"/>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80" t="s">
        <v>390</v>
      </c>
      <c r="C714" s="1381"/>
      <c r="D714" s="1381"/>
      <c r="E714" s="1381"/>
      <c r="F714" s="1382"/>
      <c r="G714" s="1380" t="s">
        <v>286</v>
      </c>
      <c r="H714" s="1381"/>
      <c r="I714" s="1381"/>
      <c r="J714" s="1382"/>
      <c r="K714" s="1477" t="s">
        <v>1868</v>
      </c>
      <c r="L714" s="1478"/>
      <c r="M714" s="1478"/>
      <c r="N714" s="1479"/>
      <c r="O714" s="1380" t="s">
        <v>455</v>
      </c>
      <c r="P714" s="1381"/>
      <c r="Q714" s="1381"/>
      <c r="R714" s="1381"/>
      <c r="S714" s="1382"/>
      <c r="T714" s="1454" t="s">
        <v>2252</v>
      </c>
      <c r="U714" s="1381"/>
      <c r="V714" s="1381"/>
      <c r="W714" s="1382"/>
      <c r="X714" s="1454" t="s">
        <v>2254</v>
      </c>
      <c r="Y714" s="1381"/>
      <c r="Z714" s="1381"/>
      <c r="AA714" s="1381"/>
      <c r="AB714" s="1382"/>
      <c r="AC714" s="1454" t="s">
        <v>2253</v>
      </c>
      <c r="AD714" s="1381"/>
      <c r="AE714" s="1381"/>
      <c r="AF714" s="1381"/>
      <c r="AG714" s="1382"/>
      <c r="AH714" s="1454" t="s">
        <v>2255</v>
      </c>
      <c r="AI714" s="1381"/>
      <c r="AJ714" s="1382"/>
      <c r="AK714" s="1454" t="s">
        <v>2289</v>
      </c>
      <c r="AL714" s="1381"/>
      <c r="AM714" s="1381"/>
      <c r="AN714" s="1381"/>
      <c r="AO714" s="1382"/>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83"/>
      <c r="C715" s="1384"/>
      <c r="D715" s="1384"/>
      <c r="E715" s="1384"/>
      <c r="F715" s="1385"/>
      <c r="G715" s="1383"/>
      <c r="H715" s="1384"/>
      <c r="I715" s="1384"/>
      <c r="J715" s="1385"/>
      <c r="K715" s="1480"/>
      <c r="L715" s="1481"/>
      <c r="M715" s="1481"/>
      <c r="N715" s="1482"/>
      <c r="O715" s="1383"/>
      <c r="P715" s="1384"/>
      <c r="Q715" s="1384"/>
      <c r="R715" s="1384"/>
      <c r="S715" s="1385"/>
      <c r="T715" s="1383"/>
      <c r="U715" s="1384"/>
      <c r="V715" s="1384"/>
      <c r="W715" s="1385"/>
      <c r="X715" s="1383"/>
      <c r="Y715" s="1384"/>
      <c r="Z715" s="1384"/>
      <c r="AA715" s="1384"/>
      <c r="AB715" s="1385"/>
      <c r="AC715" s="1383"/>
      <c r="AD715" s="1384"/>
      <c r="AE715" s="1384"/>
      <c r="AF715" s="1384"/>
      <c r="AG715" s="1385"/>
      <c r="AH715" s="1383"/>
      <c r="AI715" s="1384"/>
      <c r="AJ715" s="1385"/>
      <c r="AK715" s="1383"/>
      <c r="AL715" s="1384"/>
      <c r="AM715" s="1384"/>
      <c r="AN715" s="1384"/>
      <c r="AO715" s="1385"/>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3"/>
      <c r="C716" s="1384"/>
      <c r="D716" s="1384"/>
      <c r="E716" s="1384"/>
      <c r="F716" s="1385"/>
      <c r="G716" s="1383"/>
      <c r="H716" s="1384"/>
      <c r="I716" s="1384"/>
      <c r="J716" s="1385"/>
      <c r="K716" s="1480"/>
      <c r="L716" s="1481"/>
      <c r="M716" s="1481"/>
      <c r="N716" s="1482"/>
      <c r="O716" s="1383"/>
      <c r="P716" s="1384"/>
      <c r="Q716" s="1384"/>
      <c r="R716" s="1384"/>
      <c r="S716" s="1385"/>
      <c r="T716" s="1383"/>
      <c r="U716" s="1384"/>
      <c r="V716" s="1384"/>
      <c r="W716" s="1385"/>
      <c r="X716" s="1383"/>
      <c r="Y716" s="1384"/>
      <c r="Z716" s="1384"/>
      <c r="AA716" s="1384"/>
      <c r="AB716" s="1385"/>
      <c r="AC716" s="1383"/>
      <c r="AD716" s="1384"/>
      <c r="AE716" s="1384"/>
      <c r="AF716" s="1384"/>
      <c r="AG716" s="1385"/>
      <c r="AH716" s="1383"/>
      <c r="AI716" s="1384"/>
      <c r="AJ716" s="1385"/>
      <c r="AK716" s="1383"/>
      <c r="AL716" s="1384"/>
      <c r="AM716" s="1384"/>
      <c r="AN716" s="1384"/>
      <c r="AO716" s="1385"/>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86"/>
      <c r="C717" s="1387"/>
      <c r="D717" s="1387"/>
      <c r="E717" s="1387"/>
      <c r="F717" s="1388"/>
      <c r="G717" s="1386"/>
      <c r="H717" s="1387"/>
      <c r="I717" s="1387"/>
      <c r="J717" s="1388"/>
      <c r="K717" s="1480"/>
      <c r="L717" s="1481"/>
      <c r="M717" s="1481"/>
      <c r="N717" s="1482"/>
      <c r="O717" s="1386"/>
      <c r="P717" s="1387"/>
      <c r="Q717" s="1387"/>
      <c r="R717" s="1387"/>
      <c r="S717" s="1388"/>
      <c r="T717" s="1386"/>
      <c r="U717" s="1387"/>
      <c r="V717" s="1387"/>
      <c r="W717" s="1388"/>
      <c r="X717" s="1386"/>
      <c r="Y717" s="1387"/>
      <c r="Z717" s="1387"/>
      <c r="AA717" s="1387"/>
      <c r="AB717" s="1388"/>
      <c r="AC717" s="1386"/>
      <c r="AD717" s="1387"/>
      <c r="AE717" s="1387"/>
      <c r="AF717" s="1387"/>
      <c r="AG717" s="1388"/>
      <c r="AH717" s="1386"/>
      <c r="AI717" s="1387"/>
      <c r="AJ717" s="1388"/>
      <c r="AK717" s="1386"/>
      <c r="AL717" s="1387"/>
      <c r="AM717" s="1387"/>
      <c r="AN717" s="1387"/>
      <c r="AO717" s="1388"/>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7" t="s">
        <v>325</v>
      </c>
      <c r="C718" s="1358"/>
      <c r="D718" s="1358"/>
      <c r="E718" s="1358"/>
      <c r="F718" s="1359"/>
      <c r="G718" s="1375">
        <v>29</v>
      </c>
      <c r="H718" s="1376"/>
      <c r="I718" s="1376"/>
      <c r="J718" s="1377"/>
      <c r="K718" s="1366">
        <v>415</v>
      </c>
      <c r="L718" s="1367"/>
      <c r="M718" s="1367"/>
      <c r="N718" s="1368"/>
      <c r="O718" s="1372">
        <v>1827</v>
      </c>
      <c r="P718" s="1373"/>
      <c r="Q718" s="1373"/>
      <c r="R718" s="1373"/>
      <c r="S718" s="1374"/>
      <c r="T718" s="1372">
        <v>46</v>
      </c>
      <c r="U718" s="1373"/>
      <c r="V718" s="1373"/>
      <c r="W718" s="1374"/>
      <c r="X718" s="1363">
        <f t="shared" ref="X718:X741" si="56">O718+T718</f>
        <v>1873</v>
      </c>
      <c r="Y718" s="1364"/>
      <c r="Z718" s="1364"/>
      <c r="AA718" s="1364"/>
      <c r="AB718" s="1365"/>
      <c r="AC718" s="1360">
        <v>0.6</v>
      </c>
      <c r="AD718" s="1361"/>
      <c r="AE718" s="1361"/>
      <c r="AF718" s="1361"/>
      <c r="AG718" s="1362"/>
      <c r="AH718" s="1369">
        <f t="shared" ref="AH718:AH751" si="57">IF($AC718&gt;0,($X718/$BA667), "")</f>
        <v>0.59993593850096094</v>
      </c>
      <c r="AI718" s="1370"/>
      <c r="AJ718" s="1371"/>
      <c r="AK718" s="1357" t="s">
        <v>599</v>
      </c>
      <c r="AL718" s="1358"/>
      <c r="AM718" s="1358"/>
      <c r="AN718" s="1358"/>
      <c r="AO718" s="1359"/>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7" t="s">
        <v>325</v>
      </c>
      <c r="C719" s="1358"/>
      <c r="D719" s="1358"/>
      <c r="E719" s="1358"/>
      <c r="F719" s="1359"/>
      <c r="G719" s="1375">
        <v>31</v>
      </c>
      <c r="H719" s="1376"/>
      <c r="I719" s="1376"/>
      <c r="J719" s="1377"/>
      <c r="K719" s="1366">
        <v>381</v>
      </c>
      <c r="L719" s="1367"/>
      <c r="M719" s="1367"/>
      <c r="N719" s="1368"/>
      <c r="O719" s="1372">
        <v>890</v>
      </c>
      <c r="P719" s="1373"/>
      <c r="Q719" s="1373"/>
      <c r="R719" s="1373"/>
      <c r="S719" s="1374"/>
      <c r="T719" s="1372">
        <v>46</v>
      </c>
      <c r="U719" s="1373"/>
      <c r="V719" s="1373"/>
      <c r="W719" s="1374"/>
      <c r="X719" s="1363">
        <f t="shared" si="56"/>
        <v>936</v>
      </c>
      <c r="Y719" s="1364"/>
      <c r="Z719" s="1364"/>
      <c r="AA719" s="1364"/>
      <c r="AB719" s="1365"/>
      <c r="AC719" s="1360">
        <v>0.3</v>
      </c>
      <c r="AD719" s="1361"/>
      <c r="AE719" s="1361"/>
      <c r="AF719" s="1361"/>
      <c r="AG719" s="1362"/>
      <c r="AH719" s="1369">
        <f t="shared" si="57"/>
        <v>0.29980781550288277</v>
      </c>
      <c r="AI719" s="1370"/>
      <c r="AJ719" s="1371"/>
      <c r="AK719" s="1357" t="s">
        <v>599</v>
      </c>
      <c r="AL719" s="1358"/>
      <c r="AM719" s="1358"/>
      <c r="AN719" s="1358"/>
      <c r="AO719" s="1359"/>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7"/>
      <c r="C720" s="1358"/>
      <c r="D720" s="1358"/>
      <c r="E720" s="1358"/>
      <c r="F720" s="1359"/>
      <c r="G720" s="1375"/>
      <c r="H720" s="1376"/>
      <c r="I720" s="1376"/>
      <c r="J720" s="1377"/>
      <c r="K720" s="1366"/>
      <c r="L720" s="1367"/>
      <c r="M720" s="1367"/>
      <c r="N720" s="1368"/>
      <c r="O720" s="1372"/>
      <c r="P720" s="1373"/>
      <c r="Q720" s="1373"/>
      <c r="R720" s="1373"/>
      <c r="S720" s="1374"/>
      <c r="T720" s="1372"/>
      <c r="U720" s="1373"/>
      <c r="V720" s="1373"/>
      <c r="W720" s="1374"/>
      <c r="X720" s="1363">
        <f t="shared" si="56"/>
        <v>0</v>
      </c>
      <c r="Y720" s="1364"/>
      <c r="Z720" s="1364"/>
      <c r="AA720" s="1364"/>
      <c r="AB720" s="1365"/>
      <c r="AC720" s="1360"/>
      <c r="AD720" s="1361"/>
      <c r="AE720" s="1361"/>
      <c r="AF720" s="1361"/>
      <c r="AG720" s="1362"/>
      <c r="AH720" s="1369" t="str">
        <f t="shared" si="57"/>
        <v/>
      </c>
      <c r="AI720" s="1370"/>
      <c r="AJ720" s="1371"/>
      <c r="AK720" s="1357" t="s">
        <v>599</v>
      </c>
      <c r="AL720" s="1358"/>
      <c r="AM720" s="1358"/>
      <c r="AN720" s="1358"/>
      <c r="AO720" s="1359"/>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7" t="s">
        <v>326</v>
      </c>
      <c r="C721" s="1358"/>
      <c r="D721" s="1358"/>
      <c r="E721" s="1358"/>
      <c r="F721" s="1359"/>
      <c r="G721" s="1375">
        <v>28</v>
      </c>
      <c r="H721" s="1376"/>
      <c r="I721" s="1376"/>
      <c r="J721" s="1377"/>
      <c r="K721" s="1366">
        <v>563</v>
      </c>
      <c r="L721" s="1367"/>
      <c r="M721" s="1367"/>
      <c r="N721" s="1368"/>
      <c r="O721" s="1372">
        <v>1955</v>
      </c>
      <c r="P721" s="1373"/>
      <c r="Q721" s="1373"/>
      <c r="R721" s="1373"/>
      <c r="S721" s="1374"/>
      <c r="T721" s="1372">
        <v>53</v>
      </c>
      <c r="U721" s="1373"/>
      <c r="V721" s="1373"/>
      <c r="W721" s="1374"/>
      <c r="X721" s="1363">
        <f t="shared" si="56"/>
        <v>2008</v>
      </c>
      <c r="Y721" s="1364"/>
      <c r="Z721" s="1364"/>
      <c r="AA721" s="1364"/>
      <c r="AB721" s="1365"/>
      <c r="AC721" s="1360">
        <v>0.6</v>
      </c>
      <c r="AD721" s="1361"/>
      <c r="AE721" s="1361"/>
      <c r="AF721" s="1361"/>
      <c r="AG721" s="1362"/>
      <c r="AH721" s="1369">
        <f t="shared" si="57"/>
        <v>0.60011954572624027</v>
      </c>
      <c r="AI721" s="1370"/>
      <c r="AJ721" s="1371"/>
      <c r="AK721" s="1357" t="s">
        <v>599</v>
      </c>
      <c r="AL721" s="1358"/>
      <c r="AM721" s="1358"/>
      <c r="AN721" s="1358"/>
      <c r="AO721" s="1359"/>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7" t="s">
        <v>326</v>
      </c>
      <c r="C722" s="1358"/>
      <c r="D722" s="1358"/>
      <c r="E722" s="1358"/>
      <c r="F722" s="1359"/>
      <c r="G722" s="1375">
        <v>25</v>
      </c>
      <c r="H722" s="1376"/>
      <c r="I722" s="1376"/>
      <c r="J722" s="1377"/>
      <c r="K722" s="1366">
        <v>563</v>
      </c>
      <c r="L722" s="1367"/>
      <c r="M722" s="1367"/>
      <c r="N722" s="1368"/>
      <c r="O722" s="1372">
        <v>1620</v>
      </c>
      <c r="P722" s="1373"/>
      <c r="Q722" s="1373"/>
      <c r="R722" s="1373"/>
      <c r="S722" s="1374"/>
      <c r="T722" s="1372">
        <v>53</v>
      </c>
      <c r="U722" s="1373"/>
      <c r="V722" s="1373"/>
      <c r="W722" s="1374"/>
      <c r="X722" s="1363">
        <f t="shared" si="56"/>
        <v>1673</v>
      </c>
      <c r="Y722" s="1364"/>
      <c r="Z722" s="1364"/>
      <c r="AA722" s="1364"/>
      <c r="AB722" s="1365"/>
      <c r="AC722" s="1360">
        <v>0.5</v>
      </c>
      <c r="AD722" s="1361"/>
      <c r="AE722" s="1361"/>
      <c r="AF722" s="1361"/>
      <c r="AG722" s="1362"/>
      <c r="AH722" s="1369">
        <f t="shared" si="57"/>
        <v>0.5</v>
      </c>
      <c r="AI722" s="1370"/>
      <c r="AJ722" s="1371"/>
      <c r="AK722" s="1357" t="s">
        <v>2694</v>
      </c>
      <c r="AL722" s="1358"/>
      <c r="AM722" s="1358"/>
      <c r="AN722" s="1358"/>
      <c r="AO722" s="1359"/>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7" t="s">
        <v>326</v>
      </c>
      <c r="C723" s="1358"/>
      <c r="D723" s="1358"/>
      <c r="E723" s="1358"/>
      <c r="F723" s="1359"/>
      <c r="G723" s="1375">
        <v>11</v>
      </c>
      <c r="H723" s="1376"/>
      <c r="I723" s="1376"/>
      <c r="J723" s="1377"/>
      <c r="K723" s="1366">
        <v>563</v>
      </c>
      <c r="L723" s="1367"/>
      <c r="M723" s="1367"/>
      <c r="N723" s="1368"/>
      <c r="O723" s="1372">
        <v>1003</v>
      </c>
      <c r="P723" s="1373"/>
      <c r="Q723" s="1373"/>
      <c r="R723" s="1373"/>
      <c r="S723" s="1374"/>
      <c r="T723" s="1372">
        <v>0</v>
      </c>
      <c r="U723" s="1373"/>
      <c r="V723" s="1373"/>
      <c r="W723" s="1374"/>
      <c r="X723" s="1363">
        <f t="shared" si="56"/>
        <v>1003</v>
      </c>
      <c r="Y723" s="1364"/>
      <c r="Z723" s="1364"/>
      <c r="AA723" s="1364"/>
      <c r="AB723" s="1365"/>
      <c r="AC723" s="1360">
        <v>0.3</v>
      </c>
      <c r="AD723" s="1361"/>
      <c r="AE723" s="1361"/>
      <c r="AF723" s="1361"/>
      <c r="AG723" s="1362"/>
      <c r="AH723" s="1369">
        <f t="shared" si="57"/>
        <v>0.29976090854751941</v>
      </c>
      <c r="AI723" s="1370"/>
      <c r="AJ723" s="1371"/>
      <c r="AK723" s="1357" t="s">
        <v>2418</v>
      </c>
      <c r="AL723" s="1358"/>
      <c r="AM723" s="1358"/>
      <c r="AN723" s="1358"/>
      <c r="AO723" s="1359"/>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7"/>
      <c r="C724" s="1358"/>
      <c r="D724" s="1358"/>
      <c r="E724" s="1358"/>
      <c r="F724" s="1359"/>
      <c r="G724" s="1375"/>
      <c r="H724" s="1376"/>
      <c r="I724" s="1376"/>
      <c r="J724" s="1377"/>
      <c r="K724" s="1366"/>
      <c r="L724" s="1367"/>
      <c r="M724" s="1367"/>
      <c r="N724" s="1368"/>
      <c r="O724" s="1372"/>
      <c r="P724" s="1373"/>
      <c r="Q724" s="1373"/>
      <c r="R724" s="1373"/>
      <c r="S724" s="1374"/>
      <c r="T724" s="1372"/>
      <c r="U724" s="1373"/>
      <c r="V724" s="1373"/>
      <c r="W724" s="1374"/>
      <c r="X724" s="1363">
        <f t="shared" si="56"/>
        <v>0</v>
      </c>
      <c r="Y724" s="1364"/>
      <c r="Z724" s="1364"/>
      <c r="AA724" s="1364"/>
      <c r="AB724" s="1365"/>
      <c r="AC724" s="1360"/>
      <c r="AD724" s="1361"/>
      <c r="AE724" s="1361"/>
      <c r="AF724" s="1361"/>
      <c r="AG724" s="1362"/>
      <c r="AH724" s="1369" t="str">
        <f t="shared" si="57"/>
        <v/>
      </c>
      <c r="AI724" s="1370"/>
      <c r="AJ724" s="1371"/>
      <c r="AK724" s="1357" t="s">
        <v>599</v>
      </c>
      <c r="AL724" s="1358"/>
      <c r="AM724" s="1358"/>
      <c r="AN724" s="1358"/>
      <c r="AO724" s="1359"/>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7" t="s">
        <v>163</v>
      </c>
      <c r="C725" s="1358"/>
      <c r="D725" s="1358"/>
      <c r="E725" s="1358"/>
      <c r="F725" s="1359"/>
      <c r="G725" s="1375">
        <v>5</v>
      </c>
      <c r="H725" s="1376"/>
      <c r="I725" s="1376"/>
      <c r="J725" s="1377"/>
      <c r="K725" s="1366">
        <v>846</v>
      </c>
      <c r="L725" s="1367"/>
      <c r="M725" s="1367"/>
      <c r="N725" s="1368"/>
      <c r="O725" s="1372">
        <v>2335</v>
      </c>
      <c r="P725" s="1373"/>
      <c r="Q725" s="1373"/>
      <c r="R725" s="1373"/>
      <c r="S725" s="1374"/>
      <c r="T725" s="1372">
        <v>73</v>
      </c>
      <c r="U725" s="1373"/>
      <c r="V725" s="1373"/>
      <c r="W725" s="1374"/>
      <c r="X725" s="1363">
        <f>O725+T725</f>
        <v>2408</v>
      </c>
      <c r="Y725" s="1364"/>
      <c r="Z725" s="1364"/>
      <c r="AA725" s="1364"/>
      <c r="AB725" s="1365"/>
      <c r="AC725" s="1360">
        <v>0.6</v>
      </c>
      <c r="AD725" s="1361"/>
      <c r="AE725" s="1361"/>
      <c r="AF725" s="1361"/>
      <c r="AG725" s="1362"/>
      <c r="AH725" s="1369">
        <f t="shared" si="57"/>
        <v>0.59990034877927256</v>
      </c>
      <c r="AI725" s="1370"/>
      <c r="AJ725" s="1371"/>
      <c r="AK725" s="1357" t="s">
        <v>599</v>
      </c>
      <c r="AL725" s="1358"/>
      <c r="AM725" s="1358"/>
      <c r="AN725" s="1358"/>
      <c r="AO725" s="1359"/>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7" t="s">
        <v>163</v>
      </c>
      <c r="C726" s="1358"/>
      <c r="D726" s="1358"/>
      <c r="E726" s="1358"/>
      <c r="F726" s="1359"/>
      <c r="G726" s="1375">
        <v>4</v>
      </c>
      <c r="H726" s="1376"/>
      <c r="I726" s="1376"/>
      <c r="J726" s="1377"/>
      <c r="K726" s="1366">
        <v>846</v>
      </c>
      <c r="L726" s="1367"/>
      <c r="M726" s="1367"/>
      <c r="N726" s="1368"/>
      <c r="O726" s="1372">
        <v>1203</v>
      </c>
      <c r="P726" s="1373"/>
      <c r="Q726" s="1373"/>
      <c r="R726" s="1373"/>
      <c r="S726" s="1374"/>
      <c r="T726" s="1372">
        <v>0</v>
      </c>
      <c r="U726" s="1373"/>
      <c r="V726" s="1373"/>
      <c r="W726" s="1374"/>
      <c r="X726" s="1363">
        <f t="shared" si="56"/>
        <v>1203</v>
      </c>
      <c r="Y726" s="1364"/>
      <c r="Z726" s="1364"/>
      <c r="AA726" s="1364"/>
      <c r="AB726" s="1365"/>
      <c r="AC726" s="1360">
        <v>0.3</v>
      </c>
      <c r="AD726" s="1361"/>
      <c r="AE726" s="1361"/>
      <c r="AF726" s="1361"/>
      <c r="AG726" s="1362"/>
      <c r="AH726" s="1369">
        <f t="shared" si="57"/>
        <v>0.29970104633781763</v>
      </c>
      <c r="AI726" s="1370"/>
      <c r="AJ726" s="1371"/>
      <c r="AK726" s="1357" t="s">
        <v>2418</v>
      </c>
      <c r="AL726" s="1358"/>
      <c r="AM726" s="1358"/>
      <c r="AN726" s="1358"/>
      <c r="AO726" s="1359"/>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7" t="s">
        <v>163</v>
      </c>
      <c r="C727" s="1358"/>
      <c r="D727" s="1358"/>
      <c r="E727" s="1358"/>
      <c r="F727" s="1359"/>
      <c r="G727" s="1375">
        <v>7</v>
      </c>
      <c r="H727" s="1376"/>
      <c r="I727" s="1376"/>
      <c r="J727" s="1377"/>
      <c r="K727" s="1366">
        <v>846</v>
      </c>
      <c r="L727" s="1367"/>
      <c r="M727" s="1367"/>
      <c r="N727" s="1368"/>
      <c r="O727" s="1372">
        <v>1203</v>
      </c>
      <c r="P727" s="1373"/>
      <c r="Q727" s="1373"/>
      <c r="R727" s="1373"/>
      <c r="S727" s="1374"/>
      <c r="T727" s="1372">
        <v>0</v>
      </c>
      <c r="U727" s="1373"/>
      <c r="V727" s="1373"/>
      <c r="W727" s="1374"/>
      <c r="X727" s="1363">
        <f t="shared" si="56"/>
        <v>1203</v>
      </c>
      <c r="Y727" s="1364"/>
      <c r="Z727" s="1364"/>
      <c r="AA727" s="1364"/>
      <c r="AB727" s="1365"/>
      <c r="AC727" s="1360">
        <v>0.3</v>
      </c>
      <c r="AD727" s="1361"/>
      <c r="AE727" s="1361"/>
      <c r="AF727" s="1361"/>
      <c r="AG727" s="1362"/>
      <c r="AH727" s="1369">
        <f t="shared" si="57"/>
        <v>0.29970104633781763</v>
      </c>
      <c r="AI727" s="1370"/>
      <c r="AJ727" s="1371"/>
      <c r="AK727" s="1357" t="s">
        <v>599</v>
      </c>
      <c r="AL727" s="1358"/>
      <c r="AM727" s="1358"/>
      <c r="AN727" s="1358"/>
      <c r="AO727" s="1359"/>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7" t="s">
        <v>163</v>
      </c>
      <c r="C728" s="1358"/>
      <c r="D728" s="1358"/>
      <c r="E728" s="1358"/>
      <c r="F728" s="1359"/>
      <c r="G728" s="1375">
        <v>10</v>
      </c>
      <c r="H728" s="1376"/>
      <c r="I728" s="1376"/>
      <c r="J728" s="1377"/>
      <c r="K728" s="1366">
        <v>846</v>
      </c>
      <c r="L728" s="1367"/>
      <c r="M728" s="1367"/>
      <c r="N728" s="1368"/>
      <c r="O728" s="1372">
        <v>1203</v>
      </c>
      <c r="P728" s="1373"/>
      <c r="Q728" s="1373"/>
      <c r="R728" s="1373"/>
      <c r="S728" s="1374"/>
      <c r="T728" s="1372">
        <v>0</v>
      </c>
      <c r="U728" s="1373"/>
      <c r="V728" s="1373"/>
      <c r="W728" s="1374"/>
      <c r="X728" s="1363">
        <f t="shared" si="56"/>
        <v>1203</v>
      </c>
      <c r="Y728" s="1364"/>
      <c r="Z728" s="1364"/>
      <c r="AA728" s="1364"/>
      <c r="AB728" s="1365"/>
      <c r="AC728" s="1360">
        <v>0.3</v>
      </c>
      <c r="AD728" s="1361"/>
      <c r="AE728" s="1361"/>
      <c r="AF728" s="1361"/>
      <c r="AG728" s="1362"/>
      <c r="AH728" s="1369">
        <f t="shared" si="57"/>
        <v>0.29970104633781763</v>
      </c>
      <c r="AI728" s="1370"/>
      <c r="AJ728" s="1371"/>
      <c r="AK728" s="1357" t="s">
        <v>1067</v>
      </c>
      <c r="AL728" s="1358"/>
      <c r="AM728" s="1358"/>
      <c r="AN728" s="1358"/>
      <c r="AO728" s="1359"/>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7"/>
      <c r="C729" s="1358"/>
      <c r="D729" s="1358"/>
      <c r="E729" s="1358"/>
      <c r="F729" s="1359"/>
      <c r="G729" s="1375"/>
      <c r="H729" s="1376"/>
      <c r="I729" s="1376"/>
      <c r="J729" s="1377"/>
      <c r="K729" s="1366"/>
      <c r="L729" s="1367"/>
      <c r="M729" s="1367"/>
      <c r="N729" s="1368"/>
      <c r="O729" s="1372"/>
      <c r="P729" s="1373"/>
      <c r="Q729" s="1373"/>
      <c r="R729" s="1373"/>
      <c r="S729" s="1374"/>
      <c r="T729" s="1372"/>
      <c r="U729" s="1373"/>
      <c r="V729" s="1373"/>
      <c r="W729" s="1374"/>
      <c r="X729" s="1363">
        <f t="shared" si="56"/>
        <v>0</v>
      </c>
      <c r="Y729" s="1364"/>
      <c r="Z729" s="1364"/>
      <c r="AA729" s="1364"/>
      <c r="AB729" s="1365"/>
      <c r="AC729" s="1360"/>
      <c r="AD729" s="1361"/>
      <c r="AE729" s="1361"/>
      <c r="AF729" s="1361"/>
      <c r="AG729" s="1362"/>
      <c r="AH729" s="1369" t="str">
        <f t="shared" si="57"/>
        <v/>
      </c>
      <c r="AI729" s="1370"/>
      <c r="AJ729" s="1371"/>
      <c r="AK729" s="1357" t="s">
        <v>599</v>
      </c>
      <c r="AL729" s="1358"/>
      <c r="AM729" s="1358"/>
      <c r="AN729" s="1358"/>
      <c r="AO729" s="1359"/>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7" t="s">
        <v>164</v>
      </c>
      <c r="C730" s="1358"/>
      <c r="D730" s="1358"/>
      <c r="E730" s="1358"/>
      <c r="F730" s="1359"/>
      <c r="G730" s="1375">
        <v>8</v>
      </c>
      <c r="H730" s="1376"/>
      <c r="I730" s="1376"/>
      <c r="J730" s="1377"/>
      <c r="K730" s="1366">
        <v>1096</v>
      </c>
      <c r="L730" s="1367"/>
      <c r="M730" s="1367"/>
      <c r="N730" s="1368"/>
      <c r="O730" s="1372">
        <v>1391</v>
      </c>
      <c r="P730" s="1373"/>
      <c r="Q730" s="1373"/>
      <c r="R730" s="1373"/>
      <c r="S730" s="1374"/>
      <c r="T730" s="1372">
        <v>0</v>
      </c>
      <c r="U730" s="1373"/>
      <c r="V730" s="1373"/>
      <c r="W730" s="1374"/>
      <c r="X730" s="1363">
        <f t="shared" si="56"/>
        <v>1391</v>
      </c>
      <c r="Y730" s="1364"/>
      <c r="Z730" s="1364"/>
      <c r="AA730" s="1364"/>
      <c r="AB730" s="1365"/>
      <c r="AC730" s="1360">
        <v>0.3</v>
      </c>
      <c r="AD730" s="1361"/>
      <c r="AE730" s="1361"/>
      <c r="AF730" s="1361"/>
      <c r="AG730" s="1362"/>
      <c r="AH730" s="1369">
        <f t="shared" si="57"/>
        <v>0.29991375592927988</v>
      </c>
      <c r="AI730" s="1370"/>
      <c r="AJ730" s="1371"/>
      <c r="AK730" s="1357" t="s">
        <v>599</v>
      </c>
      <c r="AL730" s="1358"/>
      <c r="AM730" s="1358"/>
      <c r="AN730" s="1358"/>
      <c r="AO730" s="1359"/>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7"/>
      <c r="C731" s="1358"/>
      <c r="D731" s="1358"/>
      <c r="E731" s="1358"/>
      <c r="F731" s="1359"/>
      <c r="G731" s="1375"/>
      <c r="H731" s="1376"/>
      <c r="I731" s="1376"/>
      <c r="J731" s="1377"/>
      <c r="K731" s="1366"/>
      <c r="L731" s="1367"/>
      <c r="M731" s="1367"/>
      <c r="N731" s="1368"/>
      <c r="O731" s="1372"/>
      <c r="P731" s="1373"/>
      <c r="Q731" s="1373"/>
      <c r="R731" s="1373"/>
      <c r="S731" s="1374"/>
      <c r="T731" s="1372"/>
      <c r="U731" s="1373"/>
      <c r="V731" s="1373"/>
      <c r="W731" s="1374"/>
      <c r="X731" s="1363">
        <f>O731+T731</f>
        <v>0</v>
      </c>
      <c r="Y731" s="1364"/>
      <c r="Z731" s="1364"/>
      <c r="AA731" s="1364"/>
      <c r="AB731" s="1365"/>
      <c r="AC731" s="1360"/>
      <c r="AD731" s="1361"/>
      <c r="AE731" s="1361"/>
      <c r="AF731" s="1361"/>
      <c r="AG731" s="1362"/>
      <c r="AH731" s="1369" t="str">
        <f t="shared" si="57"/>
        <v/>
      </c>
      <c r="AI731" s="1370"/>
      <c r="AJ731" s="1371"/>
      <c r="AK731" s="1357" t="s">
        <v>599</v>
      </c>
      <c r="AL731" s="1358"/>
      <c r="AM731" s="1358"/>
      <c r="AN731" s="1358"/>
      <c r="AO731" s="1359"/>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7"/>
      <c r="C732" s="1358"/>
      <c r="D732" s="1358"/>
      <c r="E732" s="1358"/>
      <c r="F732" s="1359"/>
      <c r="G732" s="1375"/>
      <c r="H732" s="1376"/>
      <c r="I732" s="1376"/>
      <c r="J732" s="1377"/>
      <c r="K732" s="1366"/>
      <c r="L732" s="1367"/>
      <c r="M732" s="1367"/>
      <c r="N732" s="1368"/>
      <c r="O732" s="1372"/>
      <c r="P732" s="1373"/>
      <c r="Q732" s="1373"/>
      <c r="R732" s="1373"/>
      <c r="S732" s="1374"/>
      <c r="T732" s="1372"/>
      <c r="U732" s="1373"/>
      <c r="V732" s="1373"/>
      <c r="W732" s="1374"/>
      <c r="X732" s="1363">
        <f t="shared" si="56"/>
        <v>0</v>
      </c>
      <c r="Y732" s="1364"/>
      <c r="Z732" s="1364"/>
      <c r="AA732" s="1364"/>
      <c r="AB732" s="1365"/>
      <c r="AC732" s="1360"/>
      <c r="AD732" s="1361"/>
      <c r="AE732" s="1361"/>
      <c r="AF732" s="1361"/>
      <c r="AG732" s="1362"/>
      <c r="AH732" s="1369" t="str">
        <f t="shared" si="57"/>
        <v/>
      </c>
      <c r="AI732" s="1370"/>
      <c r="AJ732" s="1371"/>
      <c r="AK732" s="1357" t="s">
        <v>599</v>
      </c>
      <c r="AL732" s="1358"/>
      <c r="AM732" s="1358"/>
      <c r="AN732" s="1358"/>
      <c r="AO732" s="1359"/>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7"/>
      <c r="C733" s="1358"/>
      <c r="D733" s="1358"/>
      <c r="E733" s="1358"/>
      <c r="F733" s="1359"/>
      <c r="G733" s="1375"/>
      <c r="H733" s="1376"/>
      <c r="I733" s="1376"/>
      <c r="J733" s="1377"/>
      <c r="K733" s="1366"/>
      <c r="L733" s="1367"/>
      <c r="M733" s="1367"/>
      <c r="N733" s="1368"/>
      <c r="O733" s="1372"/>
      <c r="P733" s="1373"/>
      <c r="Q733" s="1373"/>
      <c r="R733" s="1373"/>
      <c r="S733" s="1374"/>
      <c r="T733" s="1372"/>
      <c r="U733" s="1373"/>
      <c r="V733" s="1373"/>
      <c r="W733" s="1374"/>
      <c r="X733" s="1363">
        <f t="shared" si="56"/>
        <v>0</v>
      </c>
      <c r="Y733" s="1364"/>
      <c r="Z733" s="1364"/>
      <c r="AA733" s="1364"/>
      <c r="AB733" s="1365"/>
      <c r="AC733" s="1360"/>
      <c r="AD733" s="1361"/>
      <c r="AE733" s="1361"/>
      <c r="AF733" s="1361"/>
      <c r="AG733" s="1362"/>
      <c r="AH733" s="1369" t="str">
        <f t="shared" si="57"/>
        <v/>
      </c>
      <c r="AI733" s="1370"/>
      <c r="AJ733" s="1371"/>
      <c r="AK733" s="1357" t="s">
        <v>599</v>
      </c>
      <c r="AL733" s="1358"/>
      <c r="AM733" s="1358"/>
      <c r="AN733" s="1358"/>
      <c r="AO733" s="1359"/>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7"/>
      <c r="C734" s="1358"/>
      <c r="D734" s="1358"/>
      <c r="E734" s="1358"/>
      <c r="F734" s="1359"/>
      <c r="G734" s="1375"/>
      <c r="H734" s="1376"/>
      <c r="I734" s="1376"/>
      <c r="J734" s="1377"/>
      <c r="K734" s="1366"/>
      <c r="L734" s="1367"/>
      <c r="M734" s="1367"/>
      <c r="N734" s="1368"/>
      <c r="O734" s="1372"/>
      <c r="P734" s="1373"/>
      <c r="Q734" s="1373"/>
      <c r="R734" s="1373"/>
      <c r="S734" s="1374"/>
      <c r="T734" s="1372"/>
      <c r="U734" s="1373"/>
      <c r="V734" s="1373"/>
      <c r="W734" s="1374"/>
      <c r="X734" s="1363">
        <f t="shared" si="56"/>
        <v>0</v>
      </c>
      <c r="Y734" s="1364"/>
      <c r="Z734" s="1364"/>
      <c r="AA734" s="1364"/>
      <c r="AB734" s="1365"/>
      <c r="AC734" s="1360"/>
      <c r="AD734" s="1361"/>
      <c r="AE734" s="1361"/>
      <c r="AF734" s="1361"/>
      <c r="AG734" s="1362"/>
      <c r="AH734" s="1369" t="str">
        <f t="shared" si="57"/>
        <v/>
      </c>
      <c r="AI734" s="1370"/>
      <c r="AJ734" s="1371"/>
      <c r="AK734" s="1357" t="s">
        <v>599</v>
      </c>
      <c r="AL734" s="1358"/>
      <c r="AM734" s="1358"/>
      <c r="AN734" s="1358"/>
      <c r="AO734" s="1359"/>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7"/>
      <c r="C735" s="1358"/>
      <c r="D735" s="1358"/>
      <c r="E735" s="1358"/>
      <c r="F735" s="1359"/>
      <c r="G735" s="1375"/>
      <c r="H735" s="1376"/>
      <c r="I735" s="1376"/>
      <c r="J735" s="1377"/>
      <c r="K735" s="1366"/>
      <c r="L735" s="1367"/>
      <c r="M735" s="1367"/>
      <c r="N735" s="1368"/>
      <c r="O735" s="1372"/>
      <c r="P735" s="1373"/>
      <c r="Q735" s="1373"/>
      <c r="R735" s="1373"/>
      <c r="S735" s="1374"/>
      <c r="T735" s="1372"/>
      <c r="U735" s="1373"/>
      <c r="V735" s="1373"/>
      <c r="W735" s="1374"/>
      <c r="X735" s="1363">
        <f t="shared" si="56"/>
        <v>0</v>
      </c>
      <c r="Y735" s="1364"/>
      <c r="Z735" s="1364"/>
      <c r="AA735" s="1364"/>
      <c r="AB735" s="1365"/>
      <c r="AC735" s="1360"/>
      <c r="AD735" s="1361"/>
      <c r="AE735" s="1361"/>
      <c r="AF735" s="1361"/>
      <c r="AG735" s="1362"/>
      <c r="AH735" s="1369" t="str">
        <f t="shared" si="57"/>
        <v/>
      </c>
      <c r="AI735" s="1370"/>
      <c r="AJ735" s="1371"/>
      <c r="AK735" s="1357" t="s">
        <v>599</v>
      </c>
      <c r="AL735" s="1358"/>
      <c r="AM735" s="1358"/>
      <c r="AN735" s="1358"/>
      <c r="AO735" s="1359"/>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7"/>
      <c r="C736" s="1358"/>
      <c r="D736" s="1358"/>
      <c r="E736" s="1358"/>
      <c r="F736" s="1359"/>
      <c r="G736" s="1375"/>
      <c r="H736" s="1376"/>
      <c r="I736" s="1376"/>
      <c r="J736" s="1377"/>
      <c r="K736" s="1366"/>
      <c r="L736" s="1367"/>
      <c r="M736" s="1367"/>
      <c r="N736" s="1368"/>
      <c r="O736" s="1372"/>
      <c r="P736" s="1373"/>
      <c r="Q736" s="1373"/>
      <c r="R736" s="1373"/>
      <c r="S736" s="1374"/>
      <c r="T736" s="1372"/>
      <c r="U736" s="1373"/>
      <c r="V736" s="1373"/>
      <c r="W736" s="1374"/>
      <c r="X736" s="1363">
        <f t="shared" si="56"/>
        <v>0</v>
      </c>
      <c r="Y736" s="1364"/>
      <c r="Z736" s="1364"/>
      <c r="AA736" s="1364"/>
      <c r="AB736" s="1365"/>
      <c r="AC736" s="1360"/>
      <c r="AD736" s="1361"/>
      <c r="AE736" s="1361"/>
      <c r="AF736" s="1361"/>
      <c r="AG736" s="1362"/>
      <c r="AH736" s="1369" t="str">
        <f t="shared" si="57"/>
        <v/>
      </c>
      <c r="AI736" s="1370"/>
      <c r="AJ736" s="1371"/>
      <c r="AK736" s="1357" t="s">
        <v>599</v>
      </c>
      <c r="AL736" s="1358"/>
      <c r="AM736" s="1358"/>
      <c r="AN736" s="1358"/>
      <c r="AO736" s="1359"/>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7"/>
      <c r="C737" s="1358"/>
      <c r="D737" s="1358"/>
      <c r="E737" s="1358"/>
      <c r="F737" s="1359"/>
      <c r="G737" s="1375"/>
      <c r="H737" s="1376"/>
      <c r="I737" s="1376"/>
      <c r="J737" s="1377"/>
      <c r="K737" s="1366"/>
      <c r="L737" s="1367"/>
      <c r="M737" s="1367"/>
      <c r="N737" s="1368"/>
      <c r="O737" s="1372"/>
      <c r="P737" s="1373"/>
      <c r="Q737" s="1373"/>
      <c r="R737" s="1373"/>
      <c r="S737" s="1374"/>
      <c r="T737" s="1372"/>
      <c r="U737" s="1373"/>
      <c r="V737" s="1373"/>
      <c r="W737" s="1374"/>
      <c r="X737" s="1363">
        <f t="shared" si="56"/>
        <v>0</v>
      </c>
      <c r="Y737" s="1364"/>
      <c r="Z737" s="1364"/>
      <c r="AA737" s="1364"/>
      <c r="AB737" s="1365"/>
      <c r="AC737" s="1360"/>
      <c r="AD737" s="1361"/>
      <c r="AE737" s="1361"/>
      <c r="AF737" s="1361"/>
      <c r="AG737" s="1362"/>
      <c r="AH737" s="1369" t="str">
        <f t="shared" si="57"/>
        <v/>
      </c>
      <c r="AI737" s="1370"/>
      <c r="AJ737" s="1371"/>
      <c r="AK737" s="1357" t="s">
        <v>599</v>
      </c>
      <c r="AL737" s="1358"/>
      <c r="AM737" s="1358"/>
      <c r="AN737" s="1358"/>
      <c r="AO737" s="1359"/>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7"/>
      <c r="C738" s="1358"/>
      <c r="D738" s="1358"/>
      <c r="E738" s="1358"/>
      <c r="F738" s="1359"/>
      <c r="G738" s="1375"/>
      <c r="H738" s="1376"/>
      <c r="I738" s="1376"/>
      <c r="J738" s="1377"/>
      <c r="K738" s="1366"/>
      <c r="L738" s="1367"/>
      <c r="M738" s="1367"/>
      <c r="N738" s="1368"/>
      <c r="O738" s="1372"/>
      <c r="P738" s="1373"/>
      <c r="Q738" s="1373"/>
      <c r="R738" s="1373"/>
      <c r="S738" s="1374"/>
      <c r="T738" s="1372"/>
      <c r="U738" s="1373"/>
      <c r="V738" s="1373"/>
      <c r="W738" s="1374"/>
      <c r="X738" s="1363">
        <f t="shared" si="56"/>
        <v>0</v>
      </c>
      <c r="Y738" s="1364"/>
      <c r="Z738" s="1364"/>
      <c r="AA738" s="1364"/>
      <c r="AB738" s="1365"/>
      <c r="AC738" s="1360"/>
      <c r="AD738" s="1361"/>
      <c r="AE738" s="1361"/>
      <c r="AF738" s="1361"/>
      <c r="AG738" s="1362"/>
      <c r="AH738" s="1369" t="str">
        <f t="shared" si="57"/>
        <v/>
      </c>
      <c r="AI738" s="1370"/>
      <c r="AJ738" s="1371"/>
      <c r="AK738" s="1357" t="s">
        <v>599</v>
      </c>
      <c r="AL738" s="1358"/>
      <c r="AM738" s="1358"/>
      <c r="AN738" s="1358"/>
      <c r="AO738" s="1359"/>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7"/>
      <c r="C739" s="1358"/>
      <c r="D739" s="1358"/>
      <c r="E739" s="1358"/>
      <c r="F739" s="1359"/>
      <c r="G739" s="1375"/>
      <c r="H739" s="1376"/>
      <c r="I739" s="1376"/>
      <c r="J739" s="1377"/>
      <c r="K739" s="1366"/>
      <c r="L739" s="1367"/>
      <c r="M739" s="1367"/>
      <c r="N739" s="1368"/>
      <c r="O739" s="1372"/>
      <c r="P739" s="1373"/>
      <c r="Q739" s="1373"/>
      <c r="R739" s="1373"/>
      <c r="S739" s="1374"/>
      <c r="T739" s="1372"/>
      <c r="U739" s="1373"/>
      <c r="V739" s="1373"/>
      <c r="W739" s="1374"/>
      <c r="X739" s="1363">
        <f t="shared" si="56"/>
        <v>0</v>
      </c>
      <c r="Y739" s="1364"/>
      <c r="Z739" s="1364"/>
      <c r="AA739" s="1364"/>
      <c r="AB739" s="1365"/>
      <c r="AC739" s="1360"/>
      <c r="AD739" s="1361"/>
      <c r="AE739" s="1361"/>
      <c r="AF739" s="1361"/>
      <c r="AG739" s="1362"/>
      <c r="AH739" s="1369" t="str">
        <f t="shared" si="57"/>
        <v/>
      </c>
      <c r="AI739" s="1370"/>
      <c r="AJ739" s="1371"/>
      <c r="AK739" s="1357" t="s">
        <v>599</v>
      </c>
      <c r="AL739" s="1358"/>
      <c r="AM739" s="1358"/>
      <c r="AN739" s="1358"/>
      <c r="AO739" s="1359"/>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7"/>
      <c r="C740" s="1358"/>
      <c r="D740" s="1358"/>
      <c r="E740" s="1358"/>
      <c r="F740" s="1359"/>
      <c r="G740" s="1375"/>
      <c r="H740" s="1376"/>
      <c r="I740" s="1376"/>
      <c r="J740" s="1377"/>
      <c r="K740" s="1366"/>
      <c r="L740" s="1367"/>
      <c r="M740" s="1367"/>
      <c r="N740" s="1368"/>
      <c r="O740" s="1372"/>
      <c r="P740" s="1373"/>
      <c r="Q740" s="1373"/>
      <c r="R740" s="1373"/>
      <c r="S740" s="1374"/>
      <c r="T740" s="1372"/>
      <c r="U740" s="1373"/>
      <c r="V740" s="1373"/>
      <c r="W740" s="1374"/>
      <c r="X740" s="1363">
        <f t="shared" si="56"/>
        <v>0</v>
      </c>
      <c r="Y740" s="1364"/>
      <c r="Z740" s="1364"/>
      <c r="AA740" s="1364"/>
      <c r="AB740" s="1365"/>
      <c r="AC740" s="1360"/>
      <c r="AD740" s="1361"/>
      <c r="AE740" s="1361"/>
      <c r="AF740" s="1361"/>
      <c r="AG740" s="1362"/>
      <c r="AH740" s="1369" t="str">
        <f t="shared" si="57"/>
        <v/>
      </c>
      <c r="AI740" s="1370"/>
      <c r="AJ740" s="1371"/>
      <c r="AK740" s="1357" t="s">
        <v>599</v>
      </c>
      <c r="AL740" s="1358"/>
      <c r="AM740" s="1358"/>
      <c r="AN740" s="1358"/>
      <c r="AO740" s="1359"/>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7"/>
      <c r="C741" s="1358"/>
      <c r="D741" s="1358"/>
      <c r="E741" s="1358"/>
      <c r="F741" s="1359"/>
      <c r="G741" s="1375"/>
      <c r="H741" s="1376"/>
      <c r="I741" s="1376"/>
      <c r="J741" s="1377"/>
      <c r="K741" s="1366"/>
      <c r="L741" s="1367"/>
      <c r="M741" s="1367"/>
      <c r="N741" s="1368"/>
      <c r="O741" s="1372"/>
      <c r="P741" s="1373"/>
      <c r="Q741" s="1373"/>
      <c r="R741" s="1373"/>
      <c r="S741" s="1374"/>
      <c r="T741" s="1372"/>
      <c r="U741" s="1373"/>
      <c r="V741" s="1373"/>
      <c r="W741" s="1374"/>
      <c r="X741" s="1363">
        <f t="shared" si="56"/>
        <v>0</v>
      </c>
      <c r="Y741" s="1364"/>
      <c r="Z741" s="1364"/>
      <c r="AA741" s="1364"/>
      <c r="AB741" s="1365"/>
      <c r="AC741" s="1360"/>
      <c r="AD741" s="1361"/>
      <c r="AE741" s="1361"/>
      <c r="AF741" s="1361"/>
      <c r="AG741" s="1362"/>
      <c r="AH741" s="1369" t="str">
        <f t="shared" si="57"/>
        <v/>
      </c>
      <c r="AI741" s="1370"/>
      <c r="AJ741" s="1371"/>
      <c r="AK741" s="1357" t="s">
        <v>599</v>
      </c>
      <c r="AL741" s="1358"/>
      <c r="AM741" s="1358"/>
      <c r="AN741" s="1358"/>
      <c r="AO741" s="1359"/>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7"/>
      <c r="C742" s="1358"/>
      <c r="D742" s="1358"/>
      <c r="E742" s="1358"/>
      <c r="F742" s="1359"/>
      <c r="G742" s="1375"/>
      <c r="H742" s="1376"/>
      <c r="I742" s="1376"/>
      <c r="J742" s="1377"/>
      <c r="K742" s="1366"/>
      <c r="L742" s="1367"/>
      <c r="M742" s="1367"/>
      <c r="N742" s="1368"/>
      <c r="O742" s="1372"/>
      <c r="P742" s="1373"/>
      <c r="Q742" s="1373"/>
      <c r="R742" s="1373"/>
      <c r="S742" s="1374"/>
      <c r="T742" s="1372"/>
      <c r="U742" s="1373"/>
      <c r="V742" s="1373"/>
      <c r="W742" s="1374"/>
      <c r="X742" s="1363">
        <f t="shared" ref="X742:X751" si="58">O742+T742</f>
        <v>0</v>
      </c>
      <c r="Y742" s="1364"/>
      <c r="Z742" s="1364"/>
      <c r="AA742" s="1364"/>
      <c r="AB742" s="1365"/>
      <c r="AC742" s="1360"/>
      <c r="AD742" s="1361"/>
      <c r="AE742" s="1361"/>
      <c r="AF742" s="1361"/>
      <c r="AG742" s="1362"/>
      <c r="AH742" s="1369" t="str">
        <f t="shared" si="57"/>
        <v/>
      </c>
      <c r="AI742" s="1370"/>
      <c r="AJ742" s="1371"/>
      <c r="AK742" s="1357" t="s">
        <v>599</v>
      </c>
      <c r="AL742" s="1358"/>
      <c r="AM742" s="1358"/>
      <c r="AN742" s="1358"/>
      <c r="AO742" s="1359"/>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7"/>
      <c r="C743" s="1358"/>
      <c r="D743" s="1358"/>
      <c r="E743" s="1358"/>
      <c r="F743" s="1359"/>
      <c r="G743" s="1375"/>
      <c r="H743" s="1376"/>
      <c r="I743" s="1376"/>
      <c r="J743" s="1377"/>
      <c r="K743" s="1366"/>
      <c r="L743" s="1367"/>
      <c r="M743" s="1367"/>
      <c r="N743" s="1368"/>
      <c r="O743" s="1372"/>
      <c r="P743" s="1373"/>
      <c r="Q743" s="1373"/>
      <c r="R743" s="1373"/>
      <c r="S743" s="1374"/>
      <c r="T743" s="1372"/>
      <c r="U743" s="1373"/>
      <c r="V743" s="1373"/>
      <c r="W743" s="1374"/>
      <c r="X743" s="1363">
        <f t="shared" si="58"/>
        <v>0</v>
      </c>
      <c r="Y743" s="1364"/>
      <c r="Z743" s="1364"/>
      <c r="AA743" s="1364"/>
      <c r="AB743" s="1365"/>
      <c r="AC743" s="1360"/>
      <c r="AD743" s="1361"/>
      <c r="AE743" s="1361"/>
      <c r="AF743" s="1361"/>
      <c r="AG743" s="1362"/>
      <c r="AH743" s="1369" t="str">
        <f t="shared" si="57"/>
        <v/>
      </c>
      <c r="AI743" s="1370"/>
      <c r="AJ743" s="1371"/>
      <c r="AK743" s="1357" t="s">
        <v>599</v>
      </c>
      <c r="AL743" s="1358"/>
      <c r="AM743" s="1358"/>
      <c r="AN743" s="1358"/>
      <c r="AO743" s="1359"/>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7"/>
      <c r="C744" s="1358"/>
      <c r="D744" s="1358"/>
      <c r="E744" s="1358"/>
      <c r="F744" s="1359"/>
      <c r="G744" s="1375"/>
      <c r="H744" s="1376"/>
      <c r="I744" s="1376"/>
      <c r="J744" s="1377"/>
      <c r="K744" s="1366"/>
      <c r="L744" s="1367"/>
      <c r="M744" s="1367"/>
      <c r="N744" s="1368"/>
      <c r="O744" s="1372"/>
      <c r="P744" s="1373"/>
      <c r="Q744" s="1373"/>
      <c r="R744" s="1373"/>
      <c r="S744" s="1374"/>
      <c r="T744" s="1372"/>
      <c r="U744" s="1373"/>
      <c r="V744" s="1373"/>
      <c r="W744" s="1374"/>
      <c r="X744" s="1363">
        <f t="shared" si="58"/>
        <v>0</v>
      </c>
      <c r="Y744" s="1364"/>
      <c r="Z744" s="1364"/>
      <c r="AA744" s="1364"/>
      <c r="AB744" s="1365"/>
      <c r="AC744" s="1360"/>
      <c r="AD744" s="1361"/>
      <c r="AE744" s="1361"/>
      <c r="AF744" s="1361"/>
      <c r="AG744" s="1362"/>
      <c r="AH744" s="1369" t="str">
        <f t="shared" si="57"/>
        <v/>
      </c>
      <c r="AI744" s="1370"/>
      <c r="AJ744" s="1371"/>
      <c r="AK744" s="1357" t="s">
        <v>599</v>
      </c>
      <c r="AL744" s="1358"/>
      <c r="AM744" s="1358"/>
      <c r="AN744" s="1358"/>
      <c r="AO744" s="1359"/>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7"/>
      <c r="C745" s="1358"/>
      <c r="D745" s="1358"/>
      <c r="E745" s="1358"/>
      <c r="F745" s="1359"/>
      <c r="G745" s="1375"/>
      <c r="H745" s="1376"/>
      <c r="I745" s="1376"/>
      <c r="J745" s="1377"/>
      <c r="K745" s="1366"/>
      <c r="L745" s="1367"/>
      <c r="M745" s="1367"/>
      <c r="N745" s="1368"/>
      <c r="O745" s="1372"/>
      <c r="P745" s="1373"/>
      <c r="Q745" s="1373"/>
      <c r="R745" s="1373"/>
      <c r="S745" s="1374"/>
      <c r="T745" s="1372"/>
      <c r="U745" s="1373"/>
      <c r="V745" s="1373"/>
      <c r="W745" s="1374"/>
      <c r="X745" s="1363">
        <f t="shared" si="58"/>
        <v>0</v>
      </c>
      <c r="Y745" s="1364"/>
      <c r="Z745" s="1364"/>
      <c r="AA745" s="1364"/>
      <c r="AB745" s="1365"/>
      <c r="AC745" s="1360"/>
      <c r="AD745" s="1361"/>
      <c r="AE745" s="1361"/>
      <c r="AF745" s="1361"/>
      <c r="AG745" s="1362"/>
      <c r="AH745" s="1369" t="str">
        <f t="shared" si="57"/>
        <v/>
      </c>
      <c r="AI745" s="1370"/>
      <c r="AJ745" s="1371"/>
      <c r="AK745" s="1357" t="s">
        <v>599</v>
      </c>
      <c r="AL745" s="1358"/>
      <c r="AM745" s="1358"/>
      <c r="AN745" s="1358"/>
      <c r="AO745" s="1359"/>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7"/>
      <c r="C746" s="1358"/>
      <c r="D746" s="1358"/>
      <c r="E746" s="1358"/>
      <c r="F746" s="1359"/>
      <c r="G746" s="1375"/>
      <c r="H746" s="1376"/>
      <c r="I746" s="1376"/>
      <c r="J746" s="1377"/>
      <c r="K746" s="1366"/>
      <c r="L746" s="1367"/>
      <c r="M746" s="1367"/>
      <c r="N746" s="1368"/>
      <c r="O746" s="1372"/>
      <c r="P746" s="1373"/>
      <c r="Q746" s="1373"/>
      <c r="R746" s="1373"/>
      <c r="S746" s="1374"/>
      <c r="T746" s="1372"/>
      <c r="U746" s="1373"/>
      <c r="V746" s="1373"/>
      <c r="W746" s="1374"/>
      <c r="X746" s="1363">
        <f t="shared" si="58"/>
        <v>0</v>
      </c>
      <c r="Y746" s="1364"/>
      <c r="Z746" s="1364"/>
      <c r="AA746" s="1364"/>
      <c r="AB746" s="1365"/>
      <c r="AC746" s="1360"/>
      <c r="AD746" s="1361"/>
      <c r="AE746" s="1361"/>
      <c r="AF746" s="1361"/>
      <c r="AG746" s="1362"/>
      <c r="AH746" s="1369" t="str">
        <f t="shared" si="57"/>
        <v/>
      </c>
      <c r="AI746" s="1370"/>
      <c r="AJ746" s="1371"/>
      <c r="AK746" s="1357" t="s">
        <v>599</v>
      </c>
      <c r="AL746" s="1358"/>
      <c r="AM746" s="1358"/>
      <c r="AN746" s="1358"/>
      <c r="AO746" s="1359"/>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7"/>
      <c r="C747" s="1358"/>
      <c r="D747" s="1358"/>
      <c r="E747" s="1358"/>
      <c r="F747" s="1359"/>
      <c r="G747" s="1375"/>
      <c r="H747" s="1376"/>
      <c r="I747" s="1376"/>
      <c r="J747" s="1377"/>
      <c r="K747" s="1366"/>
      <c r="L747" s="1367"/>
      <c r="M747" s="1367"/>
      <c r="N747" s="1368"/>
      <c r="O747" s="1372"/>
      <c r="P747" s="1373"/>
      <c r="Q747" s="1373"/>
      <c r="R747" s="1373"/>
      <c r="S747" s="1374"/>
      <c r="T747" s="1372"/>
      <c r="U747" s="1373"/>
      <c r="V747" s="1373"/>
      <c r="W747" s="1374"/>
      <c r="X747" s="1363">
        <f t="shared" si="58"/>
        <v>0</v>
      </c>
      <c r="Y747" s="1364"/>
      <c r="Z747" s="1364"/>
      <c r="AA747" s="1364"/>
      <c r="AB747" s="1365"/>
      <c r="AC747" s="1360"/>
      <c r="AD747" s="1361"/>
      <c r="AE747" s="1361"/>
      <c r="AF747" s="1361"/>
      <c r="AG747" s="1362"/>
      <c r="AH747" s="1369" t="str">
        <f t="shared" si="57"/>
        <v/>
      </c>
      <c r="AI747" s="1370"/>
      <c r="AJ747" s="1371"/>
      <c r="AK747" s="1357" t="s">
        <v>599</v>
      </c>
      <c r="AL747" s="1358"/>
      <c r="AM747" s="1358"/>
      <c r="AN747" s="1358"/>
      <c r="AO747" s="1359"/>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7"/>
      <c r="C748" s="1358"/>
      <c r="D748" s="1358"/>
      <c r="E748" s="1358"/>
      <c r="F748" s="1359"/>
      <c r="G748" s="1375"/>
      <c r="H748" s="1376"/>
      <c r="I748" s="1376"/>
      <c r="J748" s="1377"/>
      <c r="K748" s="1366"/>
      <c r="L748" s="1367"/>
      <c r="M748" s="1367"/>
      <c r="N748" s="1368"/>
      <c r="O748" s="1372"/>
      <c r="P748" s="1373"/>
      <c r="Q748" s="1373"/>
      <c r="R748" s="1373"/>
      <c r="S748" s="1374"/>
      <c r="T748" s="1372"/>
      <c r="U748" s="1373"/>
      <c r="V748" s="1373"/>
      <c r="W748" s="1374"/>
      <c r="X748" s="1363">
        <f t="shared" si="58"/>
        <v>0</v>
      </c>
      <c r="Y748" s="1364"/>
      <c r="Z748" s="1364"/>
      <c r="AA748" s="1364"/>
      <c r="AB748" s="1365"/>
      <c r="AC748" s="1360"/>
      <c r="AD748" s="1361"/>
      <c r="AE748" s="1361"/>
      <c r="AF748" s="1361"/>
      <c r="AG748" s="1362"/>
      <c r="AH748" s="1369" t="str">
        <f t="shared" si="57"/>
        <v/>
      </c>
      <c r="AI748" s="1370"/>
      <c r="AJ748" s="1371"/>
      <c r="AK748" s="1357" t="s">
        <v>599</v>
      </c>
      <c r="AL748" s="1358"/>
      <c r="AM748" s="1358"/>
      <c r="AN748" s="1358"/>
      <c r="AO748" s="1359"/>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7"/>
      <c r="C749" s="1358"/>
      <c r="D749" s="1358"/>
      <c r="E749" s="1358"/>
      <c r="F749" s="1359"/>
      <c r="G749" s="1375"/>
      <c r="H749" s="1376"/>
      <c r="I749" s="1376"/>
      <c r="J749" s="1377"/>
      <c r="K749" s="1366"/>
      <c r="L749" s="1367"/>
      <c r="M749" s="1367"/>
      <c r="N749" s="1368"/>
      <c r="O749" s="1372"/>
      <c r="P749" s="1373"/>
      <c r="Q749" s="1373"/>
      <c r="R749" s="1373"/>
      <c r="S749" s="1374"/>
      <c r="T749" s="1372"/>
      <c r="U749" s="1373"/>
      <c r="V749" s="1373"/>
      <c r="W749" s="1374"/>
      <c r="X749" s="1363">
        <f t="shared" si="58"/>
        <v>0</v>
      </c>
      <c r="Y749" s="1364"/>
      <c r="Z749" s="1364"/>
      <c r="AA749" s="1364"/>
      <c r="AB749" s="1365"/>
      <c r="AC749" s="1360"/>
      <c r="AD749" s="1361"/>
      <c r="AE749" s="1361"/>
      <c r="AF749" s="1361"/>
      <c r="AG749" s="1362"/>
      <c r="AH749" s="1369" t="str">
        <f t="shared" si="57"/>
        <v/>
      </c>
      <c r="AI749" s="1370"/>
      <c r="AJ749" s="1371"/>
      <c r="AK749" s="1357" t="s">
        <v>599</v>
      </c>
      <c r="AL749" s="1358"/>
      <c r="AM749" s="1358"/>
      <c r="AN749" s="1358"/>
      <c r="AO749" s="1359"/>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7"/>
      <c r="C750" s="1358"/>
      <c r="D750" s="1358"/>
      <c r="E750" s="1358"/>
      <c r="F750" s="1359"/>
      <c r="G750" s="1375"/>
      <c r="H750" s="1376"/>
      <c r="I750" s="1376"/>
      <c r="J750" s="1377"/>
      <c r="K750" s="1366"/>
      <c r="L750" s="1367"/>
      <c r="M750" s="1367"/>
      <c r="N750" s="1368"/>
      <c r="O750" s="1372"/>
      <c r="P750" s="1373"/>
      <c r="Q750" s="1373"/>
      <c r="R750" s="1373"/>
      <c r="S750" s="1374"/>
      <c r="T750" s="1372"/>
      <c r="U750" s="1373"/>
      <c r="V750" s="1373"/>
      <c r="W750" s="1374"/>
      <c r="X750" s="1363">
        <f t="shared" si="58"/>
        <v>0</v>
      </c>
      <c r="Y750" s="1364"/>
      <c r="Z750" s="1364"/>
      <c r="AA750" s="1364"/>
      <c r="AB750" s="1365"/>
      <c r="AC750" s="1360"/>
      <c r="AD750" s="1361"/>
      <c r="AE750" s="1361"/>
      <c r="AF750" s="1361"/>
      <c r="AG750" s="1362"/>
      <c r="AH750" s="1369" t="str">
        <f t="shared" si="57"/>
        <v/>
      </c>
      <c r="AI750" s="1370"/>
      <c r="AJ750" s="1371"/>
      <c r="AK750" s="1357" t="s">
        <v>599</v>
      </c>
      <c r="AL750" s="1358"/>
      <c r="AM750" s="1358"/>
      <c r="AN750" s="1358"/>
      <c r="AO750" s="1359"/>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7"/>
      <c r="C751" s="1358"/>
      <c r="D751" s="1358"/>
      <c r="E751" s="1358"/>
      <c r="F751" s="1359"/>
      <c r="G751" s="1375"/>
      <c r="H751" s="1376"/>
      <c r="I751" s="1376"/>
      <c r="J751" s="1377"/>
      <c r="K751" s="1366"/>
      <c r="L751" s="1367"/>
      <c r="M751" s="1367"/>
      <c r="N751" s="1368"/>
      <c r="O751" s="1372"/>
      <c r="P751" s="1373"/>
      <c r="Q751" s="1373"/>
      <c r="R751" s="1373"/>
      <c r="S751" s="1374"/>
      <c r="T751" s="1372"/>
      <c r="U751" s="1373"/>
      <c r="V751" s="1373"/>
      <c r="W751" s="1374"/>
      <c r="X751" s="1363">
        <f t="shared" si="58"/>
        <v>0</v>
      </c>
      <c r="Y751" s="1364"/>
      <c r="Z751" s="1364"/>
      <c r="AA751" s="1364"/>
      <c r="AB751" s="1365"/>
      <c r="AC751" s="1360"/>
      <c r="AD751" s="1361"/>
      <c r="AE751" s="1361"/>
      <c r="AF751" s="1361"/>
      <c r="AG751" s="1362"/>
      <c r="AH751" s="1369" t="str">
        <f t="shared" si="57"/>
        <v/>
      </c>
      <c r="AI751" s="1370"/>
      <c r="AJ751" s="1371"/>
      <c r="AK751" s="1357" t="s">
        <v>599</v>
      </c>
      <c r="AL751" s="1358"/>
      <c r="AM751" s="1358"/>
      <c r="AN751" s="1358"/>
      <c r="AO751" s="1359"/>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7"/>
      <c r="C752" s="1358"/>
      <c r="D752" s="1358"/>
      <c r="E752" s="1358"/>
      <c r="F752" s="1359"/>
      <c r="G752" s="1375"/>
      <c r="H752" s="1376"/>
      <c r="I752" s="1376"/>
      <c r="J752" s="1377"/>
      <c r="K752" s="1366"/>
      <c r="L752" s="1367"/>
      <c r="M752" s="1367"/>
      <c r="N752" s="1368"/>
      <c r="O752" s="1372"/>
      <c r="P752" s="1373"/>
      <c r="Q752" s="1373"/>
      <c r="R752" s="1373"/>
      <c r="S752" s="1374"/>
      <c r="T752" s="1372"/>
      <c r="U752" s="1373"/>
      <c r="V752" s="1373"/>
      <c r="W752" s="1374"/>
      <c r="X752" s="1363">
        <f>O752+T752</f>
        <v>0</v>
      </c>
      <c r="Y752" s="1364"/>
      <c r="Z752" s="1364"/>
      <c r="AA752" s="1364"/>
      <c r="AB752" s="1365"/>
      <c r="AC752" s="1360"/>
      <c r="AD752" s="1361"/>
      <c r="AE752" s="1361"/>
      <c r="AF752" s="1361"/>
      <c r="AG752" s="1362"/>
      <c r="AH752" s="1369" t="str">
        <f>IF($AC752&gt;0,($X752/$BA701), "")</f>
        <v/>
      </c>
      <c r="AI752" s="1370"/>
      <c r="AJ752" s="1371"/>
      <c r="AK752" s="1357" t="s">
        <v>599</v>
      </c>
      <c r="AL752" s="1358"/>
      <c r="AM752" s="1358"/>
      <c r="AN752" s="1358"/>
      <c r="AO752" s="1359"/>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418" t="s">
        <v>125</v>
      </c>
      <c r="C753" s="1419"/>
      <c r="D753" s="1419"/>
      <c r="E753" s="1419"/>
      <c r="F753" s="1420"/>
      <c r="G753" s="1603">
        <f>SUM(G718:G752)</f>
        <v>158</v>
      </c>
      <c r="H753" s="1604"/>
      <c r="I753" s="1604"/>
      <c r="J753" s="1605"/>
      <c r="K753" s="937" t="s">
        <v>124</v>
      </c>
      <c r="L753" s="5"/>
      <c r="M753" s="5"/>
      <c r="N753" s="46"/>
      <c r="O753" s="1363">
        <f>SUMPRODUCT(G718:G752,O718:O752)</f>
        <v>234912</v>
      </c>
      <c r="P753" s="1364"/>
      <c r="Q753" s="1364"/>
      <c r="R753" s="1364"/>
      <c r="S753" s="1365"/>
      <c r="T753"/>
      <c r="U753"/>
      <c r="V753"/>
      <c r="W753"/>
      <c r="X753" s="939" t="s">
        <v>915</v>
      </c>
      <c r="Y753" s="938"/>
      <c r="Z753" s="938"/>
      <c r="AA753" s="938"/>
      <c r="AB753" s="940"/>
      <c r="AC753" s="1389">
        <f>BI703</f>
        <v>0.44936708860759494</v>
      </c>
      <c r="AD753" s="1390"/>
      <c r="AE753" s="1390"/>
      <c r="AF753" s="1390"/>
      <c r="AG753" s="1391"/>
      <c r="AH753" s="1389">
        <f>IFERROR(BV703,"")</f>
        <v>0.4492749084550598</v>
      </c>
      <c r="AI753" s="1390"/>
      <c r="AJ753" s="1391"/>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616" t="s">
        <v>2183</v>
      </c>
      <c r="C754" s="1616"/>
      <c r="D754" s="1616"/>
      <c r="E754" s="1616"/>
      <c r="F754" s="1616"/>
      <c r="G754" s="1616"/>
      <c r="H754" s="1616"/>
      <c r="I754" s="1616"/>
      <c r="J754" s="1616"/>
      <c r="K754" s="1616"/>
      <c r="L754" s="1616"/>
      <c r="M754" s="1616"/>
      <c r="N754" s="1616"/>
      <c r="O754" s="1616"/>
      <c r="P754" s="1616"/>
      <c r="Q754" s="1616"/>
      <c r="R754" s="1616"/>
      <c r="S754" s="1616"/>
      <c r="T754" s="1616"/>
      <c r="U754" s="1616"/>
      <c r="V754" s="1616"/>
      <c r="W754" s="1616"/>
      <c r="X754" s="1616"/>
      <c r="Y754" s="1616"/>
      <c r="Z754" s="1616"/>
      <c r="AA754" s="1616"/>
      <c r="AB754" s="1616"/>
      <c r="AC754" s="1616"/>
      <c r="AD754" s="1616"/>
      <c r="AE754" s="1616"/>
      <c r="AF754" s="1616"/>
      <c r="AG754" s="1616"/>
      <c r="AH754" s="1616"/>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616"/>
      <c r="C755" s="1616"/>
      <c r="D755" s="1616"/>
      <c r="E755" s="1616"/>
      <c r="F755" s="1616"/>
      <c r="G755" s="1616"/>
      <c r="H755" s="1616"/>
      <c r="I755" s="1616"/>
      <c r="J755" s="1616"/>
      <c r="K755" s="1616"/>
      <c r="L755" s="1616"/>
      <c r="M755" s="1616"/>
      <c r="N755" s="1616"/>
      <c r="O755" s="1616"/>
      <c r="P755" s="1616"/>
      <c r="Q755" s="1616"/>
      <c r="R755" s="1616"/>
      <c r="S755" s="1616"/>
      <c r="T755" s="1616"/>
      <c r="U755" s="1616"/>
      <c r="V755" s="1616"/>
      <c r="W755" s="1616"/>
      <c r="X755" s="1616"/>
      <c r="Y755" s="1616"/>
      <c r="Z755" s="1616"/>
      <c r="AA755" s="1616"/>
      <c r="AB755" s="1616"/>
      <c r="AC755" s="1616"/>
      <c r="AD755" s="1616"/>
      <c r="AE755" s="1616"/>
      <c r="AF755" s="1616"/>
      <c r="AG755" s="1616"/>
      <c r="AH755" s="1616"/>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2181</v>
      </c>
      <c r="D756" s="1067"/>
      <c r="E756" s="1067"/>
      <c r="F756" s="1067"/>
      <c r="G756" s="1068"/>
      <c r="H756" s="1068"/>
      <c r="I756" s="1068"/>
      <c r="J756" s="1068"/>
      <c r="K756" s="1067"/>
      <c r="L756" s="1067"/>
      <c r="M756" s="1067"/>
      <c r="N756" s="1067"/>
      <c r="O756" s="1490">
        <f>CS634</f>
        <v>200</v>
      </c>
      <c r="P756" s="1490"/>
      <c r="Q756" s="1490"/>
      <c r="R756" s="1490"/>
      <c r="S756" s="1004"/>
      <c r="T756" s="1004"/>
      <c r="U756" s="118" t="s">
        <v>2182</v>
      </c>
      <c r="V756" s="1067"/>
      <c r="W756" s="1067"/>
      <c r="X756" s="1067"/>
      <c r="Y756" s="1068"/>
      <c r="Z756" s="1068"/>
      <c r="AA756" s="1068"/>
      <c r="AB756" s="1068"/>
      <c r="AC756" s="1067"/>
      <c r="AD756" s="1067"/>
      <c r="AE756" s="1067"/>
      <c r="AF756" s="1067"/>
      <c r="AG756" s="1417"/>
      <c r="AH756" s="1417"/>
      <c r="AI756" s="1417"/>
      <c r="AJ756" s="1417"/>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04" t="str">
        <f>IF(G753&lt;&gt;AG440,"! Total Low-Income Units in the Unit Mix Table above does not match the number of Total Low-Income Units on row #"&amp;TEXT(ROW(D440),"#"),"")</f>
        <v/>
      </c>
      <c r="D757" s="1404"/>
      <c r="E757" s="1404"/>
      <c r="F757" s="1404"/>
      <c r="G757" s="1404"/>
      <c r="H757" s="1404"/>
      <c r="I757" s="1404"/>
      <c r="J757" s="1404"/>
      <c r="K757" s="1404"/>
      <c r="L757" s="1404"/>
      <c r="M757" s="1404"/>
      <c r="N757" s="1404"/>
      <c r="O757" s="1404"/>
      <c r="P757" s="1404"/>
      <c r="Q757" s="1404"/>
      <c r="R757" s="1404"/>
      <c r="S757" s="1404"/>
      <c r="T757" s="1404"/>
      <c r="U757" s="1404"/>
      <c r="V757" s="1404"/>
      <c r="W757" s="1404"/>
      <c r="X757" s="1404"/>
      <c r="Y757" s="1404"/>
      <c r="Z757" s="1404"/>
      <c r="AA757" s="1404"/>
      <c r="AB757" s="1404"/>
      <c r="AC757" s="1404"/>
      <c r="AD757" s="1404"/>
      <c r="AE757" s="1404"/>
      <c r="AF757" s="1404"/>
      <c r="AG757" s="1404"/>
      <c r="AH757" s="1404"/>
      <c r="AI757" s="1404"/>
      <c r="AJ757" s="1404"/>
      <c r="AK757" s="1404"/>
      <c r="AL757" s="1404"/>
      <c r="AM757" s="1404"/>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04"/>
      <c r="D758" s="1404"/>
      <c r="E758" s="1404"/>
      <c r="F758" s="1404"/>
      <c r="G758" s="1404"/>
      <c r="H758" s="1404"/>
      <c r="I758" s="1404"/>
      <c r="J758" s="1404"/>
      <c r="K758" s="1404"/>
      <c r="L758" s="1404"/>
      <c r="M758" s="1404"/>
      <c r="N758" s="1404"/>
      <c r="O758" s="1404"/>
      <c r="P758" s="1404"/>
      <c r="Q758" s="1404"/>
      <c r="R758" s="1404"/>
      <c r="S758" s="1404"/>
      <c r="T758" s="1404"/>
      <c r="U758" s="1404"/>
      <c r="V758" s="1404"/>
      <c r="W758" s="1404"/>
      <c r="X758" s="1404"/>
      <c r="Y758" s="1404"/>
      <c r="Z758" s="1404"/>
      <c r="AA758" s="1404"/>
      <c r="AB758" s="1404"/>
      <c r="AC758" s="1404"/>
      <c r="AD758" s="1404"/>
      <c r="AE758" s="1404"/>
      <c r="AF758" s="1404"/>
      <c r="AG758" s="1404"/>
      <c r="AH758" s="1404"/>
      <c r="AI758" s="1404"/>
      <c r="AJ758" s="1404"/>
      <c r="AK758" s="1404"/>
      <c r="AL758" s="1404"/>
      <c r="AM758" s="1404"/>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2180</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631" t="s">
        <v>599</v>
      </c>
      <c r="AE759" s="1631"/>
      <c r="AF759" s="1631"/>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2405</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4" t="s">
        <v>2406</v>
      </c>
      <c r="D763" s="1274"/>
      <c r="E763" s="1274"/>
      <c r="F763" s="1274"/>
      <c r="G763" s="1274"/>
      <c r="H763" s="1274"/>
      <c r="I763" s="1274"/>
      <c r="J763" s="1274"/>
      <c r="K763" s="1274"/>
      <c r="L763" s="1274"/>
      <c r="M763" s="1274"/>
      <c r="N763" s="1274"/>
      <c r="O763" s="1274"/>
      <c r="P763" s="1274"/>
      <c r="Q763" s="1274"/>
      <c r="R763" s="1274"/>
      <c r="S763" s="1274"/>
      <c r="T763" s="1274"/>
      <c r="U763" s="1274"/>
      <c r="V763" s="1274"/>
      <c r="W763" s="1274"/>
      <c r="X763" s="1274"/>
      <c r="Y763" s="1274"/>
      <c r="Z763" s="1274"/>
      <c r="AA763" s="1274"/>
      <c r="AB763" s="1274"/>
      <c r="AC763" s="1274"/>
      <c r="AD763" s="1274"/>
      <c r="AE763" s="1274"/>
      <c r="AF763" s="1274"/>
      <c r="AG763" s="1274"/>
      <c r="AH763" s="1274"/>
      <c r="AI763" s="1274"/>
      <c r="AJ763" s="1274"/>
      <c r="AK763" s="1274"/>
      <c r="AL763" s="1274"/>
      <c r="AM763" s="1274"/>
      <c r="AN763" s="1274"/>
      <c r="AO763" s="1274"/>
      <c r="AP763" s="1274"/>
      <c r="AQ763" s="1274"/>
      <c r="AR763" s="1274"/>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4"/>
      <c r="D764" s="1274"/>
      <c r="E764" s="1274"/>
      <c r="F764" s="1274"/>
      <c r="G764" s="1274"/>
      <c r="H764" s="1274"/>
      <c r="I764" s="1274"/>
      <c r="J764" s="1274"/>
      <c r="K764" s="1274"/>
      <c r="L764" s="1274"/>
      <c r="M764" s="1274"/>
      <c r="N764" s="1274"/>
      <c r="O764" s="1274"/>
      <c r="P764" s="1274"/>
      <c r="Q764" s="1274"/>
      <c r="R764" s="1274"/>
      <c r="S764" s="1274"/>
      <c r="T764" s="1274"/>
      <c r="U764" s="1274"/>
      <c r="V764" s="1274"/>
      <c r="W764" s="1274"/>
      <c r="X764" s="1274"/>
      <c r="Y764" s="1274"/>
      <c r="Z764" s="1274"/>
      <c r="AA764" s="1274"/>
      <c r="AB764" s="1274"/>
      <c r="AC764" s="1274"/>
      <c r="AD764" s="1274"/>
      <c r="AE764" s="1274"/>
      <c r="AF764" s="1274"/>
      <c r="AG764" s="1274"/>
      <c r="AH764" s="1274"/>
      <c r="AI764" s="1274"/>
      <c r="AJ764" s="1274"/>
      <c r="AK764" s="1274"/>
      <c r="AL764" s="1274"/>
      <c r="AM764" s="1274"/>
      <c r="AN764" s="1274"/>
      <c r="AO764" s="1274"/>
      <c r="AP764" s="1274"/>
      <c r="AQ764" s="1274"/>
      <c r="AR764" s="1274"/>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4"/>
      <c r="D765" s="1274"/>
      <c r="E765" s="1274"/>
      <c r="F765" s="1274"/>
      <c r="G765" s="1274"/>
      <c r="H765" s="1274"/>
      <c r="I765" s="1274"/>
      <c r="J765" s="1274"/>
      <c r="K765" s="1274"/>
      <c r="L765" s="1274"/>
      <c r="M765" s="1274"/>
      <c r="N765" s="1274"/>
      <c r="O765" s="1274"/>
      <c r="P765" s="1274"/>
      <c r="Q765" s="1274"/>
      <c r="R765" s="1274"/>
      <c r="S765" s="1274"/>
      <c r="T765" s="1274"/>
      <c r="U765" s="1274"/>
      <c r="V765" s="1274"/>
      <c r="W765" s="1274"/>
      <c r="X765" s="1274"/>
      <c r="Y765" s="1274"/>
      <c r="Z765" s="1274"/>
      <c r="AA765" s="1274"/>
      <c r="AB765" s="1274"/>
      <c r="AC765" s="1274"/>
      <c r="AD765" s="1274"/>
      <c r="AE765" s="1274"/>
      <c r="AF765" s="1274"/>
      <c r="AG765" s="1274"/>
      <c r="AH765" s="1274"/>
      <c r="AI765" s="1274"/>
      <c r="AJ765" s="1274"/>
      <c r="AK765" s="1274"/>
      <c r="AL765" s="1274"/>
      <c r="AM765" s="1274"/>
      <c r="AN765" s="1274"/>
      <c r="AO765" s="1274"/>
      <c r="AP765" s="1274"/>
      <c r="AQ765" s="1274"/>
      <c r="AR765" s="1274"/>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4" t="s">
        <v>2407</v>
      </c>
      <c r="D766" s="1274"/>
      <c r="E766" s="1274"/>
      <c r="F766" s="1274"/>
      <c r="G766" s="1274"/>
      <c r="H766" s="1274"/>
      <c r="I766" s="1274"/>
      <c r="J766" s="1274"/>
      <c r="K766" s="1274"/>
      <c r="L766" s="1274"/>
      <c r="M766" s="1274"/>
      <c r="N766" s="1274"/>
      <c r="O766" s="1274"/>
      <c r="P766" s="1274"/>
      <c r="Q766" s="1274"/>
      <c r="R766" s="1274"/>
      <c r="S766" s="1274"/>
      <c r="T766" s="1274"/>
      <c r="U766" s="1274"/>
      <c r="V766" s="1274"/>
      <c r="W766" s="1274"/>
      <c r="X766" s="1274"/>
      <c r="Y766" s="1274"/>
      <c r="Z766" s="1274"/>
      <c r="AA766" s="1274"/>
      <c r="AB766" s="1274"/>
      <c r="AC766" s="1274"/>
      <c r="AD766" s="1274"/>
      <c r="AE766" s="1274"/>
      <c r="AF766" s="1274"/>
      <c r="AG766" s="1274"/>
      <c r="AH766" s="1274"/>
      <c r="AI766" s="1274"/>
      <c r="AJ766" s="1274"/>
      <c r="AK766" s="1274"/>
      <c r="AL766" s="1274"/>
      <c r="AM766" s="1274"/>
      <c r="AN766" s="1274"/>
      <c r="AO766" s="1274"/>
      <c r="AP766" s="1274"/>
      <c r="AQ766" s="1274"/>
      <c r="AR766" s="1274"/>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4"/>
      <c r="D767" s="1274"/>
      <c r="E767" s="1274"/>
      <c r="F767" s="1274"/>
      <c r="G767" s="1274"/>
      <c r="H767" s="1274"/>
      <c r="I767" s="1274"/>
      <c r="J767" s="1274"/>
      <c r="K767" s="1274"/>
      <c r="L767" s="1274"/>
      <c r="M767" s="1274"/>
      <c r="N767" s="1274"/>
      <c r="O767" s="1274"/>
      <c r="P767" s="1274"/>
      <c r="Q767" s="1274"/>
      <c r="R767" s="1274"/>
      <c r="S767" s="1274"/>
      <c r="T767" s="1274"/>
      <c r="U767" s="1274"/>
      <c r="V767" s="1274"/>
      <c r="W767" s="1274"/>
      <c r="X767" s="1274"/>
      <c r="Y767" s="1274"/>
      <c r="Z767" s="1274"/>
      <c r="AA767" s="1274"/>
      <c r="AB767" s="1274"/>
      <c r="AC767" s="1274"/>
      <c r="AD767" s="1274"/>
      <c r="AE767" s="1274"/>
      <c r="AF767" s="1274"/>
      <c r="AG767" s="1274"/>
      <c r="AH767" s="1274"/>
      <c r="AI767" s="1274"/>
      <c r="AJ767" s="1274"/>
      <c r="AK767" s="1274"/>
      <c r="AL767" s="1274"/>
      <c r="AM767" s="1274"/>
      <c r="AN767" s="1274"/>
      <c r="AO767" s="1274"/>
      <c r="AP767" s="1274"/>
      <c r="AQ767" s="1274"/>
      <c r="AR767" s="1274"/>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4"/>
      <c r="D768" s="1274"/>
      <c r="E768" s="1274"/>
      <c r="F768" s="1274"/>
      <c r="G768" s="1274"/>
      <c r="H768" s="1274"/>
      <c r="I768" s="1274"/>
      <c r="J768" s="1274"/>
      <c r="K768" s="1274"/>
      <c r="L768" s="1274"/>
      <c r="M768" s="1274"/>
      <c r="N768" s="1274"/>
      <c r="O768" s="1274"/>
      <c r="P768" s="1274"/>
      <c r="Q768" s="1274"/>
      <c r="R768" s="1274"/>
      <c r="S768" s="1274"/>
      <c r="T768" s="1274"/>
      <c r="U768" s="1274"/>
      <c r="V768" s="1274"/>
      <c r="W768" s="1274"/>
      <c r="X768" s="1274"/>
      <c r="Y768" s="1274"/>
      <c r="Z768" s="1274"/>
      <c r="AA768" s="1274"/>
      <c r="AB768" s="1274"/>
      <c r="AC768" s="1274"/>
      <c r="AD768" s="1274"/>
      <c r="AE768" s="1274"/>
      <c r="AF768" s="1274"/>
      <c r="AG768" s="1274"/>
      <c r="AH768" s="1274"/>
      <c r="AI768" s="1274"/>
      <c r="AJ768" s="1274"/>
      <c r="AK768" s="1274"/>
      <c r="AL768" s="1274"/>
      <c r="AM768" s="1274"/>
      <c r="AN768" s="1274"/>
      <c r="AO768" s="1274"/>
      <c r="AP768" s="1274"/>
      <c r="AQ768" s="1274"/>
      <c r="AR768" s="1274"/>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80" t="s">
        <v>390</v>
      </c>
      <c r="K769" s="1381"/>
      <c r="L769" s="1381"/>
      <c r="M769" s="1381"/>
      <c r="N769" s="1382"/>
      <c r="O769" s="1598" t="s">
        <v>286</v>
      </c>
      <c r="P769" s="1598"/>
      <c r="Q769" s="1598"/>
      <c r="R769" s="1598"/>
      <c r="S769" s="1598"/>
      <c r="T769" s="1477" t="s">
        <v>1868</v>
      </c>
      <c r="U769" s="1478"/>
      <c r="V769" s="1478"/>
      <c r="W769" s="1479"/>
      <c r="X769" s="1380" t="s">
        <v>455</v>
      </c>
      <c r="Y769" s="1381"/>
      <c r="Z769" s="1381"/>
      <c r="AA769" s="1381"/>
      <c r="AB769" s="1382"/>
      <c r="AC769" s="1380" t="s">
        <v>287</v>
      </c>
      <c r="AD769" s="1381"/>
      <c r="AE769" s="1381"/>
      <c r="AF769" s="1381"/>
      <c r="AG769" s="1382"/>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83"/>
      <c r="K770" s="1384"/>
      <c r="L770" s="1384"/>
      <c r="M770" s="1384"/>
      <c r="N770" s="1385"/>
      <c r="O770" s="1598"/>
      <c r="P770" s="1598"/>
      <c r="Q770" s="1598"/>
      <c r="R770" s="1598"/>
      <c r="S770" s="1598"/>
      <c r="T770" s="1480"/>
      <c r="U770" s="1481"/>
      <c r="V770" s="1481"/>
      <c r="W770" s="1482"/>
      <c r="X770" s="1383"/>
      <c r="Y770" s="1384"/>
      <c r="Z770" s="1384"/>
      <c r="AA770" s="1384"/>
      <c r="AB770" s="1385"/>
      <c r="AC770" s="1383"/>
      <c r="AD770" s="1384"/>
      <c r="AE770" s="1384"/>
      <c r="AF770" s="1384"/>
      <c r="AG770" s="1385"/>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83"/>
      <c r="K771" s="1384"/>
      <c r="L771" s="1384"/>
      <c r="M771" s="1384"/>
      <c r="N771" s="1385"/>
      <c r="O771" s="1598"/>
      <c r="P771" s="1598"/>
      <c r="Q771" s="1598"/>
      <c r="R771" s="1598"/>
      <c r="S771" s="1598"/>
      <c r="T771" s="1480"/>
      <c r="U771" s="1481"/>
      <c r="V771" s="1481"/>
      <c r="W771" s="1482"/>
      <c r="X771" s="1383"/>
      <c r="Y771" s="1384"/>
      <c r="Z771" s="1384"/>
      <c r="AA771" s="1384"/>
      <c r="AB771" s="1385"/>
      <c r="AC771" s="1383"/>
      <c r="AD771" s="1384"/>
      <c r="AE771" s="1384"/>
      <c r="AF771" s="1384"/>
      <c r="AG771" s="1385"/>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86"/>
      <c r="K772" s="1387"/>
      <c r="L772" s="1387"/>
      <c r="M772" s="1387"/>
      <c r="N772" s="1388"/>
      <c r="O772" s="1598"/>
      <c r="P772" s="1598"/>
      <c r="Q772" s="1598"/>
      <c r="R772" s="1598"/>
      <c r="S772" s="1598"/>
      <c r="T772" s="1758"/>
      <c r="U772" s="1759"/>
      <c r="V772" s="1759"/>
      <c r="W772" s="1760"/>
      <c r="X772" s="1386"/>
      <c r="Y772" s="1387"/>
      <c r="Z772" s="1387"/>
      <c r="AA772" s="1387"/>
      <c r="AB772" s="1388"/>
      <c r="AC772" s="1386"/>
      <c r="AD772" s="1387"/>
      <c r="AE772" s="1387"/>
      <c r="AF772" s="1387"/>
      <c r="AG772" s="1388"/>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7" t="s">
        <v>163</v>
      </c>
      <c r="K773" s="1358"/>
      <c r="L773" s="1358"/>
      <c r="M773" s="1358"/>
      <c r="N773" s="1359"/>
      <c r="O773" s="1602">
        <v>2</v>
      </c>
      <c r="P773" s="1602"/>
      <c r="Q773" s="1602"/>
      <c r="R773" s="1602"/>
      <c r="S773" s="1602"/>
      <c r="T773" s="1366">
        <v>858</v>
      </c>
      <c r="U773" s="1367"/>
      <c r="V773" s="1367"/>
      <c r="W773" s="1368"/>
      <c r="X773" s="1372">
        <v>0</v>
      </c>
      <c r="Y773" s="1373"/>
      <c r="Z773" s="1373"/>
      <c r="AA773" s="1373"/>
      <c r="AB773" s="1374"/>
      <c r="AC773" s="1363">
        <f>X773*O773</f>
        <v>0</v>
      </c>
      <c r="AD773" s="1364"/>
      <c r="AE773" s="1364"/>
      <c r="AF773" s="1364"/>
      <c r="AG773" s="1365"/>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7"/>
      <c r="K774" s="1358"/>
      <c r="L774" s="1358"/>
      <c r="M774" s="1358"/>
      <c r="N774" s="1359"/>
      <c r="O774" s="1602"/>
      <c r="P774" s="1602"/>
      <c r="Q774" s="1602"/>
      <c r="R774" s="1602"/>
      <c r="S774" s="1602"/>
      <c r="T774" s="1366"/>
      <c r="U774" s="1367"/>
      <c r="V774" s="1367"/>
      <c r="W774" s="1368"/>
      <c r="X774" s="1372"/>
      <c r="Y774" s="1373"/>
      <c r="Z774" s="1373"/>
      <c r="AA774" s="1373"/>
      <c r="AB774" s="1374"/>
      <c r="AC774" s="1363">
        <f>X774*O774</f>
        <v>0</v>
      </c>
      <c r="AD774" s="1364"/>
      <c r="AE774" s="1364"/>
      <c r="AF774" s="1364"/>
      <c r="AG774" s="1365"/>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7"/>
      <c r="K775" s="1358"/>
      <c r="L775" s="1358"/>
      <c r="M775" s="1358"/>
      <c r="N775" s="1359"/>
      <c r="O775" s="1602"/>
      <c r="P775" s="1602"/>
      <c r="Q775" s="1602"/>
      <c r="R775" s="1602"/>
      <c r="S775" s="1602"/>
      <c r="T775" s="1366"/>
      <c r="U775" s="1367"/>
      <c r="V775" s="1367"/>
      <c r="W775" s="1368"/>
      <c r="X775" s="1372"/>
      <c r="Y775" s="1373"/>
      <c r="Z775" s="1373"/>
      <c r="AA775" s="1373"/>
      <c r="AB775" s="1374"/>
      <c r="AC775" s="1363">
        <f>X775*O775</f>
        <v>0</v>
      </c>
      <c r="AD775" s="1364"/>
      <c r="AE775" s="1364"/>
      <c r="AF775" s="1364"/>
      <c r="AG775" s="1365"/>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7"/>
      <c r="K776" s="1358"/>
      <c r="L776" s="1358"/>
      <c r="M776" s="1358"/>
      <c r="N776" s="1359"/>
      <c r="O776" s="1602"/>
      <c r="P776" s="1602"/>
      <c r="Q776" s="1602"/>
      <c r="R776" s="1602"/>
      <c r="S776" s="1602"/>
      <c r="T776" s="1366"/>
      <c r="U776" s="1367"/>
      <c r="V776" s="1367"/>
      <c r="W776" s="1368"/>
      <c r="X776" s="1372"/>
      <c r="Y776" s="1373"/>
      <c r="Z776" s="1373"/>
      <c r="AA776" s="1373"/>
      <c r="AB776" s="1374"/>
      <c r="AC776" s="1363">
        <f>X776*O776</f>
        <v>0</v>
      </c>
      <c r="AD776" s="1364"/>
      <c r="AE776" s="1364"/>
      <c r="AF776" s="1364"/>
      <c r="AG776" s="1365"/>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418" t="s">
        <v>125</v>
      </c>
      <c r="K777" s="1419"/>
      <c r="L777" s="1419"/>
      <c r="M777" s="1419"/>
      <c r="N777" s="1420"/>
      <c r="O777" s="1487">
        <f>SUM(O773:S776)</f>
        <v>2</v>
      </c>
      <c r="P777" s="1488"/>
      <c r="Q777" s="1488"/>
      <c r="R777" s="1488"/>
      <c r="S777" s="1489"/>
      <c r="X777" s="1418" t="s">
        <v>124</v>
      </c>
      <c r="Y777" s="1419"/>
      <c r="Z777" s="1419"/>
      <c r="AA777" s="1419"/>
      <c r="AB777" s="1420"/>
      <c r="AC777" s="1363">
        <f>SUM(AC773:AG776)</f>
        <v>0</v>
      </c>
      <c r="AD777" s="1364"/>
      <c r="AE777" s="1364"/>
      <c r="AF777" s="1364"/>
      <c r="AG777" s="1365"/>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697" t="s">
        <v>677</v>
      </c>
      <c r="K779" s="1697"/>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2408</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80" t="s">
        <v>390</v>
      </c>
      <c r="K783" s="1381"/>
      <c r="L783" s="1381"/>
      <c r="M783" s="1381"/>
      <c r="N783" s="1382"/>
      <c r="O783" s="1598" t="s">
        <v>286</v>
      </c>
      <c r="P783" s="1598"/>
      <c r="Q783" s="1598"/>
      <c r="R783" s="1598"/>
      <c r="S783" s="1598"/>
      <c r="T783" s="1477" t="s">
        <v>1868</v>
      </c>
      <c r="U783" s="1478"/>
      <c r="V783" s="1478"/>
      <c r="W783" s="1479"/>
      <c r="X783" s="1380" t="s">
        <v>455</v>
      </c>
      <c r="Y783" s="1381"/>
      <c r="Z783" s="1381"/>
      <c r="AA783" s="1381"/>
      <c r="AB783" s="1382"/>
      <c r="AC783" s="1380" t="s">
        <v>287</v>
      </c>
      <c r="AD783" s="1381"/>
      <c r="AE783" s="1381"/>
      <c r="AF783" s="1381"/>
      <c r="AG783" s="1382"/>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83"/>
      <c r="K784" s="1384"/>
      <c r="L784" s="1384"/>
      <c r="M784" s="1384"/>
      <c r="N784" s="1385"/>
      <c r="O784" s="1598"/>
      <c r="P784" s="1598"/>
      <c r="Q784" s="1598"/>
      <c r="R784" s="1598"/>
      <c r="S784" s="1598"/>
      <c r="T784" s="1480"/>
      <c r="U784" s="1481"/>
      <c r="V784" s="1481"/>
      <c r="W784" s="1482"/>
      <c r="X784" s="1383"/>
      <c r="Y784" s="1384"/>
      <c r="Z784" s="1384"/>
      <c r="AA784" s="1384"/>
      <c r="AB784" s="1385"/>
      <c r="AC784" s="1383"/>
      <c r="AD784" s="1384"/>
      <c r="AE784" s="1384"/>
      <c r="AF784" s="1384"/>
      <c r="AG784" s="138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83"/>
      <c r="K785" s="1384"/>
      <c r="L785" s="1384"/>
      <c r="M785" s="1384"/>
      <c r="N785" s="1385"/>
      <c r="O785" s="1598"/>
      <c r="P785" s="1598"/>
      <c r="Q785" s="1598"/>
      <c r="R785" s="1598"/>
      <c r="S785" s="1598"/>
      <c r="T785" s="1480"/>
      <c r="U785" s="1481"/>
      <c r="V785" s="1481"/>
      <c r="W785" s="1482"/>
      <c r="X785" s="1383"/>
      <c r="Y785" s="1384"/>
      <c r="Z785" s="1384"/>
      <c r="AA785" s="1384"/>
      <c r="AB785" s="1385"/>
      <c r="AC785" s="1383"/>
      <c r="AD785" s="1384"/>
      <c r="AE785" s="1384"/>
      <c r="AF785" s="1384"/>
      <c r="AG785" s="1385"/>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86"/>
      <c r="K786" s="1387"/>
      <c r="L786" s="1387"/>
      <c r="M786" s="1387"/>
      <c r="N786" s="1388"/>
      <c r="O786" s="1598"/>
      <c r="P786" s="1598"/>
      <c r="Q786" s="1598"/>
      <c r="R786" s="1598"/>
      <c r="S786" s="1598"/>
      <c r="T786" s="1758"/>
      <c r="U786" s="1759"/>
      <c r="V786" s="1759"/>
      <c r="W786" s="1760"/>
      <c r="X786" s="1386"/>
      <c r="Y786" s="1387"/>
      <c r="Z786" s="1387"/>
      <c r="AA786" s="1387"/>
      <c r="AB786" s="1388"/>
      <c r="AC786" s="1386"/>
      <c r="AD786" s="1387"/>
      <c r="AE786" s="1387"/>
      <c r="AF786" s="1387"/>
      <c r="AG786" s="1388"/>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7"/>
      <c r="K787" s="1358"/>
      <c r="L787" s="1358"/>
      <c r="M787" s="1358"/>
      <c r="N787" s="1359"/>
      <c r="O787" s="1602"/>
      <c r="P787" s="1602"/>
      <c r="Q787" s="1602"/>
      <c r="R787" s="1602"/>
      <c r="S787" s="1602"/>
      <c r="T787" s="1366"/>
      <c r="U787" s="1367"/>
      <c r="V787" s="1367"/>
      <c r="W787" s="1368"/>
      <c r="X787" s="1372"/>
      <c r="Y787" s="1373"/>
      <c r="Z787" s="1373"/>
      <c r="AA787" s="1373"/>
      <c r="AB787" s="1374"/>
      <c r="AC787" s="1363">
        <f t="shared" ref="AC787:AC796" si="59">X787*O787</f>
        <v>0</v>
      </c>
      <c r="AD787" s="1364"/>
      <c r="AE787" s="1364"/>
      <c r="AF787" s="1364"/>
      <c r="AG787" s="136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7"/>
      <c r="K788" s="1358"/>
      <c r="L788" s="1358"/>
      <c r="M788" s="1358"/>
      <c r="N788" s="1359"/>
      <c r="O788" s="1602"/>
      <c r="P788" s="1602"/>
      <c r="Q788" s="1602"/>
      <c r="R788" s="1602"/>
      <c r="S788" s="1602"/>
      <c r="T788" s="1366"/>
      <c r="U788" s="1367"/>
      <c r="V788" s="1367"/>
      <c r="W788" s="1368"/>
      <c r="X788" s="1372"/>
      <c r="Y788" s="1373"/>
      <c r="Z788" s="1373"/>
      <c r="AA788" s="1373"/>
      <c r="AB788" s="1374"/>
      <c r="AC788" s="1363">
        <f t="shared" si="59"/>
        <v>0</v>
      </c>
      <c r="AD788" s="1364"/>
      <c r="AE788" s="1364"/>
      <c r="AF788" s="1364"/>
      <c r="AG788" s="136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7"/>
      <c r="K789" s="1358"/>
      <c r="L789" s="1358"/>
      <c r="M789" s="1358"/>
      <c r="N789" s="1359"/>
      <c r="O789" s="1602"/>
      <c r="P789" s="1602"/>
      <c r="Q789" s="1602"/>
      <c r="R789" s="1602"/>
      <c r="S789" s="1602"/>
      <c r="T789" s="1366"/>
      <c r="U789" s="1367"/>
      <c r="V789" s="1367"/>
      <c r="W789" s="1368"/>
      <c r="X789" s="1372"/>
      <c r="Y789" s="1373"/>
      <c r="Z789" s="1373"/>
      <c r="AA789" s="1373"/>
      <c r="AB789" s="1374"/>
      <c r="AC789" s="1363">
        <f t="shared" si="59"/>
        <v>0</v>
      </c>
      <c r="AD789" s="1364"/>
      <c r="AE789" s="1364"/>
      <c r="AF789" s="1364"/>
      <c r="AG789" s="136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7"/>
      <c r="K790" s="1358"/>
      <c r="L790" s="1358"/>
      <c r="M790" s="1358"/>
      <c r="N790" s="1359"/>
      <c r="O790" s="1602"/>
      <c r="P790" s="1602"/>
      <c r="Q790" s="1602"/>
      <c r="R790" s="1602"/>
      <c r="S790" s="1602"/>
      <c r="T790" s="1366"/>
      <c r="U790" s="1367"/>
      <c r="V790" s="1367"/>
      <c r="W790" s="1368"/>
      <c r="X790" s="1372"/>
      <c r="Y790" s="1373"/>
      <c r="Z790" s="1373"/>
      <c r="AA790" s="1373"/>
      <c r="AB790" s="1374"/>
      <c r="AC790" s="1363">
        <f t="shared" si="59"/>
        <v>0</v>
      </c>
      <c r="AD790" s="1364"/>
      <c r="AE790" s="1364"/>
      <c r="AF790" s="1364"/>
      <c r="AG790" s="136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7"/>
      <c r="K791" s="1358"/>
      <c r="L791" s="1358"/>
      <c r="M791" s="1358"/>
      <c r="N791" s="1359"/>
      <c r="O791" s="1602"/>
      <c r="P791" s="1602"/>
      <c r="Q791" s="1602"/>
      <c r="R791" s="1602"/>
      <c r="S791" s="1602"/>
      <c r="T791" s="1366"/>
      <c r="U791" s="1367"/>
      <c r="V791" s="1367"/>
      <c r="W791" s="1368"/>
      <c r="X791" s="1372"/>
      <c r="Y791" s="1373"/>
      <c r="Z791" s="1373"/>
      <c r="AA791" s="1373"/>
      <c r="AB791" s="1374"/>
      <c r="AC791" s="1363">
        <f t="shared" si="59"/>
        <v>0</v>
      </c>
      <c r="AD791" s="1364"/>
      <c r="AE791" s="1364"/>
      <c r="AF791" s="1364"/>
      <c r="AG791" s="136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7"/>
      <c r="K792" s="1358"/>
      <c r="L792" s="1358"/>
      <c r="M792" s="1358"/>
      <c r="N792" s="1359"/>
      <c r="O792" s="1602"/>
      <c r="P792" s="1602"/>
      <c r="Q792" s="1602"/>
      <c r="R792" s="1602"/>
      <c r="S792" s="1602"/>
      <c r="T792" s="1366"/>
      <c r="U792" s="1367"/>
      <c r="V792" s="1367"/>
      <c r="W792" s="1368"/>
      <c r="X792" s="1372"/>
      <c r="Y792" s="1373"/>
      <c r="Z792" s="1373"/>
      <c r="AA792" s="1373"/>
      <c r="AB792" s="1374"/>
      <c r="AC792" s="1363">
        <f t="shared" si="59"/>
        <v>0</v>
      </c>
      <c r="AD792" s="1364"/>
      <c r="AE792" s="1364"/>
      <c r="AF792" s="1364"/>
      <c r="AG792" s="136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7"/>
      <c r="K793" s="1358"/>
      <c r="L793" s="1358"/>
      <c r="M793" s="1358"/>
      <c r="N793" s="1359"/>
      <c r="O793" s="1602"/>
      <c r="P793" s="1602"/>
      <c r="Q793" s="1602"/>
      <c r="R793" s="1602"/>
      <c r="S793" s="1602"/>
      <c r="T793" s="1366"/>
      <c r="U793" s="1367"/>
      <c r="V793" s="1367"/>
      <c r="W793" s="1368"/>
      <c r="X793" s="1372"/>
      <c r="Y793" s="1373"/>
      <c r="Z793" s="1373"/>
      <c r="AA793" s="1373"/>
      <c r="AB793" s="1374"/>
      <c r="AC793" s="1363">
        <f t="shared" si="59"/>
        <v>0</v>
      </c>
      <c r="AD793" s="1364"/>
      <c r="AE793" s="1364"/>
      <c r="AF793" s="1364"/>
      <c r="AG793" s="136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7"/>
      <c r="K794" s="1358"/>
      <c r="L794" s="1358"/>
      <c r="M794" s="1358"/>
      <c r="N794" s="1359"/>
      <c r="O794" s="1602"/>
      <c r="P794" s="1602"/>
      <c r="Q794" s="1602"/>
      <c r="R794" s="1602"/>
      <c r="S794" s="1602"/>
      <c r="T794" s="1366"/>
      <c r="U794" s="1367"/>
      <c r="V794" s="1367"/>
      <c r="W794" s="1368"/>
      <c r="X794" s="1372"/>
      <c r="Y794" s="1373"/>
      <c r="Z794" s="1373"/>
      <c r="AA794" s="1373"/>
      <c r="AB794" s="1374"/>
      <c r="AC794" s="1363">
        <f t="shared" si="59"/>
        <v>0</v>
      </c>
      <c r="AD794" s="1364"/>
      <c r="AE794" s="1364"/>
      <c r="AF794" s="1364"/>
      <c r="AG794" s="136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7"/>
      <c r="K795" s="1358"/>
      <c r="L795" s="1358"/>
      <c r="M795" s="1358"/>
      <c r="N795" s="1359"/>
      <c r="O795" s="1602"/>
      <c r="P795" s="1602"/>
      <c r="Q795" s="1602"/>
      <c r="R795" s="1602"/>
      <c r="S795" s="1602"/>
      <c r="T795" s="1366"/>
      <c r="U795" s="1367"/>
      <c r="V795" s="1367"/>
      <c r="W795" s="1368"/>
      <c r="X795" s="1372"/>
      <c r="Y795" s="1373"/>
      <c r="Z795" s="1373"/>
      <c r="AA795" s="1373"/>
      <c r="AB795" s="1374"/>
      <c r="AC795" s="1363">
        <f t="shared" si="59"/>
        <v>0</v>
      </c>
      <c r="AD795" s="1364"/>
      <c r="AE795" s="1364"/>
      <c r="AF795" s="1364"/>
      <c r="AG795" s="136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7"/>
      <c r="K796" s="1358"/>
      <c r="L796" s="1358"/>
      <c r="M796" s="1358"/>
      <c r="N796" s="1359"/>
      <c r="O796" s="1602"/>
      <c r="P796" s="1602"/>
      <c r="Q796" s="1602"/>
      <c r="R796" s="1602"/>
      <c r="S796" s="1602"/>
      <c r="T796" s="1366"/>
      <c r="U796" s="1367"/>
      <c r="V796" s="1367"/>
      <c r="W796" s="1368"/>
      <c r="X796" s="1372"/>
      <c r="Y796" s="1373"/>
      <c r="Z796" s="1373"/>
      <c r="AA796" s="1373"/>
      <c r="AB796" s="1374"/>
      <c r="AC796" s="1363">
        <f t="shared" si="59"/>
        <v>0</v>
      </c>
      <c r="AD796" s="1364"/>
      <c r="AE796" s="1364"/>
      <c r="AF796" s="1364"/>
      <c r="AG796" s="1365"/>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665" t="s">
        <v>477</v>
      </c>
      <c r="BO796" s="1666"/>
      <c r="BP796" s="3"/>
      <c r="BQ796" s="3"/>
      <c r="BR796" s="3"/>
      <c r="BS796" s="14" t="s">
        <v>642</v>
      </c>
      <c r="BT796" s="14"/>
      <c r="BU796" s="14"/>
      <c r="BV796" s="14"/>
      <c r="BW796" s="14"/>
      <c r="BX796" s="14"/>
      <c r="BY796" s="14"/>
      <c r="BZ796" s="14"/>
      <c r="CA796" s="14"/>
      <c r="CB796" s="1662" t="str">
        <f>T189</f>
        <v>Santa Clara</v>
      </c>
      <c r="CC796" s="1663"/>
      <c r="CD796" s="1663"/>
      <c r="CE796" s="1663"/>
      <c r="CF796" s="1663"/>
      <c r="CG796" s="1663"/>
      <c r="CH796" s="1664"/>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418" t="s">
        <v>125</v>
      </c>
      <c r="K797" s="1419"/>
      <c r="L797" s="1419"/>
      <c r="M797" s="1419"/>
      <c r="N797" s="1420"/>
      <c r="O797" s="1486">
        <f>SUM(O787:S796)</f>
        <v>0</v>
      </c>
      <c r="P797" s="1486"/>
      <c r="Q797" s="1486"/>
      <c r="R797" s="1486"/>
      <c r="S797" s="1486"/>
      <c r="T797"/>
      <c r="U797"/>
      <c r="V797"/>
      <c r="W797"/>
      <c r="X797" s="937" t="s">
        <v>124</v>
      </c>
      <c r="Y797" s="11"/>
      <c r="Z797" s="11"/>
      <c r="AA797" s="11"/>
      <c r="AB797" s="944"/>
      <c r="AC797" s="1363">
        <f>SUM(AC787:AG796)</f>
        <v>0</v>
      </c>
      <c r="AD797" s="1364"/>
      <c r="AE797" s="1364"/>
      <c r="AF797" s="1364"/>
      <c r="AG797" s="1365"/>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40" t="str">
        <f>IF(O797&lt;&gt;AG438,"! Total market rate units in the Unit Mix Table above does not match the number of  market rate units on row #"&amp;TEXT(ROW(D438),"#"),"")</f>
        <v/>
      </c>
      <c r="D798" s="1440"/>
      <c r="E798" s="1440"/>
      <c r="F798" s="1440"/>
      <c r="G798" s="1440"/>
      <c r="H798" s="1440"/>
      <c r="I798" s="1440"/>
      <c r="J798" s="1440"/>
      <c r="K798" s="1440"/>
      <c r="L798" s="1440"/>
      <c r="M798" s="1440"/>
      <c r="N798" s="1440"/>
      <c r="O798" s="1440"/>
      <c r="P798" s="1440"/>
      <c r="Q798" s="1440"/>
      <c r="R798" s="1440"/>
      <c r="S798" s="1440"/>
      <c r="T798" s="1440"/>
      <c r="U798" s="1440"/>
      <c r="V798" s="1440"/>
      <c r="W798" s="1440"/>
      <c r="X798" s="1440"/>
      <c r="Y798" s="1440"/>
      <c r="Z798" s="1440"/>
      <c r="AA798" s="1440"/>
      <c r="AB798" s="1440"/>
      <c r="AC798" s="1440"/>
      <c r="AD798" s="1440"/>
      <c r="AE798" s="1440"/>
      <c r="AF798" s="1440"/>
      <c r="AG798" s="1440"/>
      <c r="AH798" s="1440"/>
      <c r="AI798" s="1440"/>
      <c r="AJ798" s="1440"/>
      <c r="AK798" s="1440"/>
      <c r="AL798" s="1440"/>
      <c r="AM798" s="1440"/>
      <c r="AN798" s="1440"/>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40"/>
      <c r="D799" s="1440"/>
      <c r="E799" s="1440"/>
      <c r="F799" s="1440"/>
      <c r="G799" s="1440"/>
      <c r="H799" s="1440"/>
      <c r="I799" s="1440"/>
      <c r="J799" s="1440"/>
      <c r="K799" s="1440"/>
      <c r="L799" s="1440"/>
      <c r="M799" s="1440"/>
      <c r="N799" s="1440"/>
      <c r="O799" s="1440"/>
      <c r="P799" s="1440"/>
      <c r="Q799" s="1440"/>
      <c r="R799" s="1440"/>
      <c r="S799" s="1440"/>
      <c r="T799" s="1440"/>
      <c r="U799" s="1440"/>
      <c r="V799" s="1440"/>
      <c r="W799" s="1440"/>
      <c r="X799" s="1440"/>
      <c r="Y799" s="1440"/>
      <c r="Z799" s="1440"/>
      <c r="AA799" s="1440"/>
      <c r="AB799" s="1440"/>
      <c r="AC799" s="1440"/>
      <c r="AD799" s="1440"/>
      <c r="AE799" s="1440"/>
      <c r="AF799" s="1440"/>
      <c r="AG799" s="1440"/>
      <c r="AH799" s="1440"/>
      <c r="AI799" s="1440"/>
      <c r="AJ799" s="1440"/>
      <c r="AK799" s="1440"/>
      <c r="AL799" s="1440"/>
      <c r="AM799" s="1440"/>
      <c r="AN799" s="1440"/>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2634</v>
      </c>
      <c r="BP799" s="32"/>
      <c r="BQ799" s="32"/>
      <c r="BR799" s="32"/>
      <c r="BS799" s="32"/>
      <c r="BT799" s="32"/>
      <c r="BU799" s="14"/>
      <c r="BV799" s="31" t="s">
        <v>2635</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43">
        <f>O753+AC777+AC797</f>
        <v>234912</v>
      </c>
      <c r="Z800" s="1643"/>
      <c r="AA800" s="1643"/>
      <c r="AB800" s="1643"/>
      <c r="AC800" s="1643"/>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43">
        <f>(O753+AC777+AC797)*12</f>
        <v>2818944</v>
      </c>
      <c r="Z801" s="1643"/>
      <c r="AA801" s="1643"/>
      <c r="AB801" s="1643"/>
      <c r="AC801" s="1643"/>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326</v>
      </c>
      <c r="BR805" s="72" t="s">
        <v>163</v>
      </c>
      <c r="BS805" s="72" t="s">
        <v>164</v>
      </c>
      <c r="BT805" s="72" t="s">
        <v>468</v>
      </c>
      <c r="BU805" s="14"/>
      <c r="BV805" s="14"/>
      <c r="BW805" s="71" t="s">
        <v>641</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613">
        <v>65</v>
      </c>
      <c r="AA806" s="1614"/>
      <c r="AB806" s="1614"/>
      <c r="AC806" s="1614"/>
      <c r="AD806" s="1614"/>
      <c r="AE806" s="1615"/>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57">
        <v>20</v>
      </c>
      <c r="AA807" s="1614"/>
      <c r="AB807" s="1614"/>
      <c r="AC807" s="1614"/>
      <c r="AD807" s="1614"/>
      <c r="AE807" s="1615"/>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08">
        <v>52931</v>
      </c>
      <c r="AA808" s="1609"/>
      <c r="AB808" s="1609"/>
      <c r="AC808" s="1609"/>
      <c r="AD808" s="1609"/>
      <c r="AE808" s="1610"/>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11">
        <f>'Subsidy Contract Calculation'!J40</f>
        <v>1283040</v>
      </c>
      <c r="AA809" s="1412"/>
      <c r="AB809" s="1412"/>
      <c r="AC809" s="1412"/>
      <c r="AD809" s="1412"/>
      <c r="AE809" s="1413"/>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99">
        <v>19200</v>
      </c>
      <c r="AA813" s="1500"/>
      <c r="AB813" s="1500"/>
      <c r="AC813" s="1500"/>
      <c r="AD813" s="1500"/>
      <c r="AE813" s="1501"/>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99"/>
      <c r="AA814" s="1500"/>
      <c r="AB814" s="1500"/>
      <c r="AC814" s="1500"/>
      <c r="AD814" s="1500"/>
      <c r="AE814" s="1501"/>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99"/>
      <c r="AA815" s="1500"/>
      <c r="AB815" s="1500"/>
      <c r="AC815" s="1500"/>
      <c r="AD815" s="1500"/>
      <c r="AE815" s="1501"/>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544" t="s">
        <v>2690</v>
      </c>
      <c r="Q816" s="1575"/>
      <c r="R816" s="1575"/>
      <c r="S816" s="1575"/>
      <c r="T816" s="1575"/>
      <c r="U816" s="1575"/>
      <c r="V816" s="1575"/>
      <c r="W816" s="1575"/>
      <c r="X816" s="1575"/>
      <c r="Y816" s="1576"/>
      <c r="Z816" s="1499">
        <v>19200</v>
      </c>
      <c r="AA816" s="1500"/>
      <c r="AB816" s="1500"/>
      <c r="AC816" s="1500"/>
      <c r="AD816" s="1500"/>
      <c r="AE816" s="1501"/>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11">
        <f>SUM(Z813:AE816)</f>
        <v>38400</v>
      </c>
      <c r="AA817" s="1412"/>
      <c r="AB817" s="1412"/>
      <c r="AC817" s="1412"/>
      <c r="AD817" s="1412"/>
      <c r="AE817" s="1413"/>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411">
        <f>Z817+Y801+Z809</f>
        <v>4140384</v>
      </c>
      <c r="AA818" s="1412"/>
      <c r="AB818" s="1412"/>
      <c r="AC818" s="1412"/>
      <c r="AD818" s="1412"/>
      <c r="AE818" s="1413"/>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45" t="s">
        <v>126</v>
      </c>
      <c r="N823" s="1745"/>
      <c r="O823" s="1745"/>
      <c r="P823" s="1761"/>
      <c r="Q823" s="1607" t="s">
        <v>291</v>
      </c>
      <c r="R823" s="1607"/>
      <c r="S823" s="1607"/>
      <c r="T823" s="1607"/>
      <c r="U823" s="1607" t="s">
        <v>292</v>
      </c>
      <c r="V823" s="1607"/>
      <c r="W823" s="1607"/>
      <c r="X823" s="1607"/>
      <c r="Y823" s="1607" t="s">
        <v>293</v>
      </c>
      <c r="Z823" s="1607"/>
      <c r="AA823" s="1607"/>
      <c r="AB823" s="1607"/>
      <c r="AC823" s="1607" t="s">
        <v>362</v>
      </c>
      <c r="AD823" s="1607"/>
      <c r="AE823" s="1607"/>
      <c r="AF823" s="1607"/>
      <c r="AG823" s="1754" t="s">
        <v>336</v>
      </c>
      <c r="AH823" s="1754"/>
      <c r="AI823" s="1754"/>
      <c r="AJ823" s="1754"/>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737"/>
      <c r="N824" s="1737"/>
      <c r="O824" s="1737"/>
      <c r="P824" s="1738"/>
      <c r="Q824" s="1607"/>
      <c r="R824" s="1607"/>
      <c r="S824" s="1607"/>
      <c r="T824" s="1607"/>
      <c r="U824" s="1607"/>
      <c r="V824" s="1607"/>
      <c r="W824" s="1607"/>
      <c r="X824" s="1607"/>
      <c r="Y824" s="1607"/>
      <c r="Z824" s="1607"/>
      <c r="AA824" s="1607"/>
      <c r="AB824" s="1607"/>
      <c r="AC824" s="1607"/>
      <c r="AD824" s="1607"/>
      <c r="AE824" s="1607"/>
      <c r="AF824" s="1607"/>
      <c r="AG824" s="1754"/>
      <c r="AH824" s="1754"/>
      <c r="AI824" s="1754"/>
      <c r="AJ824" s="1754"/>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21" t="s">
        <v>40</v>
      </c>
      <c r="D825" s="1457"/>
      <c r="E825" s="1457"/>
      <c r="F825" s="1457"/>
      <c r="G825" s="1457"/>
      <c r="H825" s="1457"/>
      <c r="I825" s="48"/>
      <c r="J825" s="48"/>
      <c r="K825" s="48"/>
      <c r="L825" s="49"/>
      <c r="M825" s="1606">
        <v>14</v>
      </c>
      <c r="N825" s="1606"/>
      <c r="O825" s="1606"/>
      <c r="P825" s="1606"/>
      <c r="Q825" s="1606">
        <v>16</v>
      </c>
      <c r="R825" s="1606"/>
      <c r="S825" s="1606"/>
      <c r="T825" s="1606"/>
      <c r="U825" s="1606">
        <v>20</v>
      </c>
      <c r="V825" s="1606"/>
      <c r="W825" s="1606"/>
      <c r="X825" s="1606"/>
      <c r="Y825" s="1606">
        <v>21</v>
      </c>
      <c r="Z825" s="1606"/>
      <c r="AA825" s="1606"/>
      <c r="AB825" s="1606"/>
      <c r="AC825" s="1414"/>
      <c r="AD825" s="1415"/>
      <c r="AE825" s="1415"/>
      <c r="AF825" s="1416"/>
      <c r="AG825" s="1414"/>
      <c r="AH825" s="1415"/>
      <c r="AI825" s="1415"/>
      <c r="AJ825" s="1416"/>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729" t="s">
        <v>41</v>
      </c>
      <c r="D826" s="1612"/>
      <c r="E826" s="1612"/>
      <c r="F826" s="1612"/>
      <c r="G826" s="1612"/>
      <c r="H826" s="1612"/>
      <c r="I826" s="5"/>
      <c r="J826" s="5"/>
      <c r="K826" s="5"/>
      <c r="L826" s="46"/>
      <c r="M826" s="1606"/>
      <c r="N826" s="1606"/>
      <c r="O826" s="1606"/>
      <c r="P826" s="1606"/>
      <c r="Q826" s="1606"/>
      <c r="R826" s="1606"/>
      <c r="S826" s="1606"/>
      <c r="T826" s="1606"/>
      <c r="U826" s="1606"/>
      <c r="V826" s="1606"/>
      <c r="W826" s="1606"/>
      <c r="X826" s="1606"/>
      <c r="Y826" s="1606"/>
      <c r="Z826" s="1606"/>
      <c r="AA826" s="1606"/>
      <c r="AB826" s="1606"/>
      <c r="AC826" s="1414"/>
      <c r="AD826" s="1415"/>
      <c r="AE826" s="1415"/>
      <c r="AF826" s="1416"/>
      <c r="AG826" s="1414"/>
      <c r="AH826" s="1415"/>
      <c r="AI826" s="1415"/>
      <c r="AJ826" s="1416"/>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729" t="s">
        <v>42</v>
      </c>
      <c r="D827" s="1612"/>
      <c r="E827" s="1612"/>
      <c r="F827" s="1612"/>
      <c r="G827" s="1612"/>
      <c r="H827" s="1612"/>
      <c r="I827" s="60"/>
      <c r="J827" s="60"/>
      <c r="K827" s="60"/>
      <c r="L827" s="61"/>
      <c r="M827" s="1606">
        <v>7</v>
      </c>
      <c r="N827" s="1606"/>
      <c r="O827" s="1606"/>
      <c r="P827" s="1606"/>
      <c r="Q827" s="1606">
        <v>8</v>
      </c>
      <c r="R827" s="1606"/>
      <c r="S827" s="1606"/>
      <c r="T827" s="1606"/>
      <c r="U827" s="1606">
        <v>12</v>
      </c>
      <c r="V827" s="1606"/>
      <c r="W827" s="1606"/>
      <c r="X827" s="1606"/>
      <c r="Y827" s="1606">
        <v>15</v>
      </c>
      <c r="Z827" s="1606"/>
      <c r="AA827" s="1606"/>
      <c r="AB827" s="1606"/>
      <c r="AC827" s="1414"/>
      <c r="AD827" s="1415"/>
      <c r="AE827" s="1415"/>
      <c r="AF827" s="1416"/>
      <c r="AG827" s="1414"/>
      <c r="AH827" s="1415"/>
      <c r="AI827" s="1415"/>
      <c r="AJ827" s="1416"/>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729" t="s">
        <v>771</v>
      </c>
      <c r="D828" s="1612"/>
      <c r="E828" s="1612"/>
      <c r="F828" s="1612"/>
      <c r="G828" s="1612"/>
      <c r="H828" s="1612"/>
      <c r="I828" s="60"/>
      <c r="J828" s="60"/>
      <c r="K828" s="60"/>
      <c r="L828" s="61"/>
      <c r="M828" s="1606"/>
      <c r="N828" s="1606"/>
      <c r="O828" s="1606"/>
      <c r="P828" s="1606"/>
      <c r="Q828" s="1606"/>
      <c r="R828" s="1606"/>
      <c r="S828" s="1606"/>
      <c r="T828" s="1606"/>
      <c r="U828" s="1606"/>
      <c r="V828" s="1606"/>
      <c r="W828" s="1606"/>
      <c r="X828" s="1606"/>
      <c r="Y828" s="1606"/>
      <c r="Z828" s="1606"/>
      <c r="AA828" s="1606"/>
      <c r="AB828" s="1606"/>
      <c r="AC828" s="1414"/>
      <c r="AD828" s="1415"/>
      <c r="AE828" s="1415"/>
      <c r="AF828" s="1416"/>
      <c r="AG828" s="1414"/>
      <c r="AH828" s="1415"/>
      <c r="AI828" s="1415"/>
      <c r="AJ828" s="1416"/>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729" t="s">
        <v>467</v>
      </c>
      <c r="D829" s="1612"/>
      <c r="E829" s="1612"/>
      <c r="F829" s="1612"/>
      <c r="G829" s="1612"/>
      <c r="H829" s="1612"/>
      <c r="I829" s="60"/>
      <c r="J829" s="60"/>
      <c r="K829" s="60"/>
      <c r="L829" s="61"/>
      <c r="M829" s="1606"/>
      <c r="N829" s="1606"/>
      <c r="O829" s="1606"/>
      <c r="P829" s="1606"/>
      <c r="Q829" s="1606"/>
      <c r="R829" s="1606"/>
      <c r="S829" s="1606"/>
      <c r="T829" s="1606"/>
      <c r="U829" s="1606"/>
      <c r="V829" s="1606"/>
      <c r="W829" s="1606"/>
      <c r="X829" s="1606"/>
      <c r="Y829" s="1606"/>
      <c r="Z829" s="1606"/>
      <c r="AA829" s="1606"/>
      <c r="AB829" s="1606"/>
      <c r="AC829" s="1414"/>
      <c r="AD829" s="1415"/>
      <c r="AE829" s="1415"/>
      <c r="AF829" s="1416"/>
      <c r="AG829" s="1414"/>
      <c r="AH829" s="1415"/>
      <c r="AI829" s="1415"/>
      <c r="AJ829" s="1416"/>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11" t="s">
        <v>792</v>
      </c>
      <c r="D830" s="1612"/>
      <c r="E830" s="1612"/>
      <c r="F830" s="1612"/>
      <c r="G830" s="1612"/>
      <c r="H830" s="1612"/>
      <c r="I830" s="60"/>
      <c r="J830" s="60"/>
      <c r="K830" s="60"/>
      <c r="L830" s="61"/>
      <c r="M830" s="1606"/>
      <c r="N830" s="1606"/>
      <c r="O830" s="1606"/>
      <c r="P830" s="1606"/>
      <c r="Q830" s="1606"/>
      <c r="R830" s="1606"/>
      <c r="S830" s="1606"/>
      <c r="T830" s="1606"/>
      <c r="U830" s="1606"/>
      <c r="V830" s="1606"/>
      <c r="W830" s="1606"/>
      <c r="X830" s="1606"/>
      <c r="Y830" s="1606"/>
      <c r="Z830" s="1606"/>
      <c r="AA830" s="1606"/>
      <c r="AB830" s="1606"/>
      <c r="AC830" s="1414"/>
      <c r="AD830" s="1415"/>
      <c r="AE830" s="1415"/>
      <c r="AF830" s="1416"/>
      <c r="AG830" s="1414"/>
      <c r="AH830" s="1415"/>
      <c r="AI830" s="1415"/>
      <c r="AJ830" s="1416"/>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544" t="s">
        <v>2691</v>
      </c>
      <c r="G831" s="1575"/>
      <c r="H831" s="1575"/>
      <c r="I831" s="1575"/>
      <c r="J831" s="1575"/>
      <c r="K831" s="1575"/>
      <c r="L831" s="1575"/>
      <c r="M831" s="1606">
        <v>25</v>
      </c>
      <c r="N831" s="1606"/>
      <c r="O831" s="1606"/>
      <c r="P831" s="1606"/>
      <c r="Q831" s="1606">
        <v>29</v>
      </c>
      <c r="R831" s="1606"/>
      <c r="S831" s="1606"/>
      <c r="T831" s="1606"/>
      <c r="U831" s="1606">
        <v>41</v>
      </c>
      <c r="V831" s="1606"/>
      <c r="W831" s="1606"/>
      <c r="X831" s="1606"/>
      <c r="Y831" s="1606">
        <v>53</v>
      </c>
      <c r="Z831" s="1606"/>
      <c r="AA831" s="1606"/>
      <c r="AB831" s="1606"/>
      <c r="AC831" s="1414"/>
      <c r="AD831" s="1415"/>
      <c r="AE831" s="1415"/>
      <c r="AF831" s="1416"/>
      <c r="AG831" s="1414"/>
      <c r="AH831" s="1415"/>
      <c r="AI831" s="1415"/>
      <c r="AJ831" s="1416"/>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418" t="s">
        <v>124</v>
      </c>
      <c r="D832" s="1419"/>
      <c r="E832" s="1419"/>
      <c r="F832" s="1419"/>
      <c r="G832" s="1419"/>
      <c r="H832" s="1419"/>
      <c r="I832" s="1419"/>
      <c r="J832" s="1419"/>
      <c r="K832" s="1419"/>
      <c r="L832" s="1420"/>
      <c r="M832" s="1653">
        <f>SUM(M825:P831)</f>
        <v>46</v>
      </c>
      <c r="N832" s="1653"/>
      <c r="O832" s="1653"/>
      <c r="P832" s="1653"/>
      <c r="Q832" s="1653">
        <f>SUM(Q825:T831)</f>
        <v>53</v>
      </c>
      <c r="R832" s="1653"/>
      <c r="S832" s="1653"/>
      <c r="T832" s="1653"/>
      <c r="U832" s="1653">
        <f>SUM(U825:X831)</f>
        <v>73</v>
      </c>
      <c r="V832" s="1653"/>
      <c r="W832" s="1653"/>
      <c r="X832" s="1653"/>
      <c r="Y832" s="1653">
        <f>SUM(Y825:AB831)</f>
        <v>89</v>
      </c>
      <c r="Z832" s="1653"/>
      <c r="AA832" s="1653"/>
      <c r="AB832" s="1653"/>
      <c r="AC832" s="1653">
        <f>SUM(AC825:AF831)</f>
        <v>0</v>
      </c>
      <c r="AD832" s="1653"/>
      <c r="AE832" s="1653"/>
      <c r="AF832" s="1653"/>
      <c r="AG832" s="1653">
        <f>SUM(AG825:AJ831)</f>
        <v>0</v>
      </c>
      <c r="AH832" s="1653"/>
      <c r="AI832" s="1653"/>
      <c r="AJ832" s="1653"/>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54" t="s">
        <v>2686</v>
      </c>
      <c r="D837" s="1655"/>
      <c r="E837" s="1655"/>
      <c r="F837" s="1655"/>
      <c r="G837" s="1655"/>
      <c r="H837" s="1655"/>
      <c r="I837" s="1655"/>
      <c r="J837" s="1655"/>
      <c r="K837" s="1655"/>
      <c r="L837" s="1655"/>
      <c r="M837" s="1655"/>
      <c r="N837" s="1655"/>
      <c r="O837" s="1655"/>
      <c r="P837" s="1655"/>
      <c r="Q837" s="1655"/>
      <c r="R837" s="1655"/>
      <c r="S837" s="1655"/>
      <c r="T837" s="1655"/>
      <c r="U837" s="1655"/>
      <c r="V837" s="1655"/>
      <c r="W837" s="1655"/>
      <c r="X837" s="1655"/>
      <c r="Y837" s="1655"/>
      <c r="Z837" s="1655"/>
      <c r="AA837" s="1655"/>
      <c r="AB837" s="1655"/>
      <c r="AC837" s="1655"/>
      <c r="AD837" s="1655"/>
      <c r="AE837" s="1655"/>
      <c r="AF837" s="1655"/>
      <c r="AG837" s="1655"/>
      <c r="AH837" s="1655"/>
      <c r="AI837" s="1655"/>
      <c r="AJ837" s="1656"/>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48">
        <f>ROUNDDOWN(BC939*2,2)</f>
        <v>0</v>
      </c>
      <c r="BJ841" s="1648"/>
      <c r="BK841" s="1648"/>
      <c r="BL841" s="1648"/>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32">
        <v>5675</v>
      </c>
      <c r="X842" s="1632"/>
      <c r="Y842" s="1632"/>
      <c r="Z842" s="1632"/>
      <c r="AA842" s="1632"/>
      <c r="AB842" s="1632"/>
      <c r="AC842" s="1632"/>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32">
        <v>18000</v>
      </c>
      <c r="X843" s="1632"/>
      <c r="Y843" s="1632"/>
      <c r="Z843" s="1632"/>
      <c r="AA843" s="1632"/>
      <c r="AB843" s="1632"/>
      <c r="AC843" s="1632"/>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32">
        <v>27850</v>
      </c>
      <c r="X844" s="1632"/>
      <c r="Y844" s="1632"/>
      <c r="Z844" s="1632"/>
      <c r="AA844" s="1632"/>
      <c r="AB844" s="1632"/>
      <c r="AC844" s="1632"/>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32">
        <v>50000</v>
      </c>
      <c r="X845" s="1632"/>
      <c r="Y845" s="1632"/>
      <c r="Z845" s="1632"/>
      <c r="AA845" s="1632"/>
      <c r="AB845" s="1632"/>
      <c r="AC845" s="1632"/>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544" t="s">
        <v>2784</v>
      </c>
      <c r="N846" s="1575"/>
      <c r="O846" s="1575"/>
      <c r="P846" s="1575"/>
      <c r="Q846" s="1575"/>
      <c r="R846" s="1575"/>
      <c r="S846" s="1575"/>
      <c r="T846" s="1575"/>
      <c r="U846" s="1575"/>
      <c r="V846" s="1576"/>
      <c r="W846" s="1632">
        <v>17675</v>
      </c>
      <c r="X846" s="1632"/>
      <c r="Y846" s="1632"/>
      <c r="Z846" s="1632"/>
      <c r="AA846" s="1632"/>
      <c r="AB846" s="1632"/>
      <c r="AC846" s="1632"/>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411">
        <f>SUM(W842:AC846)</f>
        <v>119200</v>
      </c>
      <c r="X847" s="1412"/>
      <c r="Y847" s="1412"/>
      <c r="Z847" s="1412"/>
      <c r="AA847" s="1412"/>
      <c r="AB847" s="1412"/>
      <c r="AC847" s="1413"/>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33"/>
      <c r="BH848" s="1633"/>
      <c r="BI848" s="1633"/>
      <c r="BJ848" s="1633"/>
      <c r="BK848" s="1633"/>
      <c r="BL848" s="1633"/>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418" t="s">
        <v>346</v>
      </c>
      <c r="K849" s="1419"/>
      <c r="L849" s="1419"/>
      <c r="M849" s="1419"/>
      <c r="N849" s="1419"/>
      <c r="O849" s="1419"/>
      <c r="P849" s="1419"/>
      <c r="Q849" s="1419"/>
      <c r="R849" s="1419"/>
      <c r="S849" s="1419"/>
      <c r="T849" s="1419"/>
      <c r="U849" s="1419"/>
      <c r="V849" s="1420"/>
      <c r="W849" s="1499">
        <v>157334.592</v>
      </c>
      <c r="X849" s="1500"/>
      <c r="Y849" s="1500"/>
      <c r="Z849" s="1500"/>
      <c r="AA849" s="1500"/>
      <c r="AB849" s="1500"/>
      <c r="AC849" s="1501"/>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353</v>
      </c>
      <c r="K851" s="5"/>
      <c r="L851" s="5"/>
      <c r="M851" s="5"/>
      <c r="N851" s="5"/>
      <c r="O851" s="5"/>
      <c r="P851" s="5"/>
      <c r="Q851" s="5"/>
      <c r="R851" s="5"/>
      <c r="S851" s="5"/>
      <c r="T851" s="5"/>
      <c r="U851" s="5"/>
      <c r="V851" s="46"/>
      <c r="W851" s="1650"/>
      <c r="X851" s="1650"/>
      <c r="Y851" s="1650"/>
      <c r="Z851" s="1650"/>
      <c r="AA851" s="1650"/>
      <c r="AB851" s="1650"/>
      <c r="AC851" s="1650"/>
      <c r="AZ851" s="1753">
        <f>SUM(AZ818:AZ846)</f>
        <v>7.5000000000000011E-2</v>
      </c>
      <c r="BA851" s="1753"/>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50"/>
      <c r="X852" s="1650"/>
      <c r="Y852" s="1650"/>
      <c r="Z852" s="1650"/>
      <c r="AA852" s="1650"/>
      <c r="AB852" s="1650"/>
      <c r="AC852" s="1650"/>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650">
        <v>197471</v>
      </c>
      <c r="X853" s="1650"/>
      <c r="Y853" s="1650"/>
      <c r="Z853" s="1650"/>
      <c r="AA853" s="1650"/>
      <c r="AB853" s="1650"/>
      <c r="AC853" s="1650"/>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650">
        <v>66529</v>
      </c>
      <c r="X854" s="1650"/>
      <c r="Y854" s="1650"/>
      <c r="Z854" s="1650"/>
      <c r="AA854" s="1650"/>
      <c r="AB854" s="1650"/>
      <c r="AC854" s="1650"/>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52">
        <f>SUM(W851:AC854)</f>
        <v>264000</v>
      </c>
      <c r="X855" s="1752"/>
      <c r="Y855" s="1752"/>
      <c r="Z855" s="1752"/>
      <c r="AA855" s="1752"/>
      <c r="AB855" s="1752"/>
      <c r="AC855" s="1752"/>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627</v>
      </c>
      <c r="K857" s="5"/>
      <c r="L857" s="5"/>
      <c r="M857" s="5"/>
      <c r="N857" s="5"/>
      <c r="O857" s="5"/>
      <c r="P857" s="5"/>
      <c r="Q857" s="5"/>
      <c r="R857" s="5"/>
      <c r="S857" s="5"/>
      <c r="T857" s="5"/>
      <c r="U857" s="5"/>
      <c r="V857" s="46"/>
      <c r="W857" s="1644">
        <v>180200</v>
      </c>
      <c r="X857" s="1645"/>
      <c r="Y857" s="1645"/>
      <c r="Z857" s="1645"/>
      <c r="AA857" s="1645"/>
      <c r="AB857" s="1645"/>
      <c r="AC857" s="1646"/>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1768</v>
      </c>
      <c r="K858" s="5"/>
      <c r="L858" s="5"/>
      <c r="M858" s="5"/>
      <c r="N858" s="5"/>
      <c r="O858" s="5"/>
      <c r="P858" s="5"/>
      <c r="Q858" s="5"/>
      <c r="R858" s="5"/>
      <c r="S858" s="5"/>
      <c r="T858" s="1637">
        <v>4</v>
      </c>
      <c r="U858" s="1638"/>
      <c r="V858" s="1639"/>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644">
        <v>148400</v>
      </c>
      <c r="X859" s="1645"/>
      <c r="Y859" s="1645"/>
      <c r="Z859" s="1645"/>
      <c r="AA859" s="1645"/>
      <c r="AB859" s="1645"/>
      <c r="AC859" s="1646"/>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1769</v>
      </c>
      <c r="K860" s="5"/>
      <c r="L860" s="5"/>
      <c r="M860" s="5"/>
      <c r="N860" s="5"/>
      <c r="O860" s="5"/>
      <c r="P860" s="5"/>
      <c r="Q860" s="5"/>
      <c r="R860" s="5"/>
      <c r="S860" s="5"/>
      <c r="T860" s="1637">
        <v>2</v>
      </c>
      <c r="U860" s="1638"/>
      <c r="V860" s="1639"/>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544" t="s">
        <v>2785</v>
      </c>
      <c r="N861" s="1575"/>
      <c r="O861" s="1575"/>
      <c r="P861" s="1575"/>
      <c r="Q861" s="1575"/>
      <c r="R861" s="1575"/>
      <c r="S861" s="1575"/>
      <c r="T861" s="1575"/>
      <c r="U861" s="1575"/>
      <c r="V861" s="1576"/>
      <c r="W861" s="1644">
        <v>95400</v>
      </c>
      <c r="X861" s="1645"/>
      <c r="Y861" s="1645"/>
      <c r="Z861" s="1645"/>
      <c r="AA861" s="1645"/>
      <c r="AB861" s="1645"/>
      <c r="AC861" s="1646"/>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640">
        <f>SUM(W857:AC861)</f>
        <v>424000</v>
      </c>
      <c r="X862" s="1641"/>
      <c r="Y862" s="1641"/>
      <c r="Z862" s="1641"/>
      <c r="AA862" s="1641"/>
      <c r="AB862" s="1641"/>
      <c r="AC862" s="1642"/>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44">
        <v>80000</v>
      </c>
      <c r="X863" s="1645"/>
      <c r="Y863" s="1645"/>
      <c r="Z863" s="1645"/>
      <c r="AA863" s="1645"/>
      <c r="AB863" s="1645"/>
      <c r="AC863" s="1646"/>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625</v>
      </c>
      <c r="K865" s="5"/>
      <c r="L865" s="5"/>
      <c r="M865" s="5"/>
      <c r="N865" s="5"/>
      <c r="O865" s="5"/>
      <c r="P865" s="5"/>
      <c r="Q865" s="5"/>
      <c r="R865" s="5"/>
      <c r="S865" s="5"/>
      <c r="T865" s="5"/>
      <c r="U865" s="5"/>
      <c r="V865" s="46"/>
      <c r="W865" s="1632">
        <v>25000</v>
      </c>
      <c r="X865" s="1632"/>
      <c r="Y865" s="1632"/>
      <c r="Z865" s="1632"/>
      <c r="AA865" s="1632"/>
      <c r="AB865" s="1632"/>
      <c r="AC865" s="1632"/>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632">
        <v>60760</v>
      </c>
      <c r="X866" s="1632"/>
      <c r="Y866" s="1632"/>
      <c r="Z866" s="1632"/>
      <c r="AA866" s="1632"/>
      <c r="AB866" s="1632"/>
      <c r="AC866" s="1632"/>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632">
        <v>38440</v>
      </c>
      <c r="X867" s="1632"/>
      <c r="Y867" s="1632"/>
      <c r="Z867" s="1632"/>
      <c r="AA867" s="1632"/>
      <c r="AB867" s="1632"/>
      <c r="AC867" s="1632"/>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632">
        <v>15000</v>
      </c>
      <c r="X868" s="1632"/>
      <c r="Y868" s="1632"/>
      <c r="Z868" s="1632"/>
      <c r="AA868" s="1632"/>
      <c r="AB868" s="1632"/>
      <c r="AC868" s="1632"/>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632">
        <v>20000</v>
      </c>
      <c r="X869" s="1632"/>
      <c r="Y869" s="1632"/>
      <c r="Z869" s="1632"/>
      <c r="AA869" s="1632"/>
      <c r="AB869" s="1632"/>
      <c r="AC869" s="1632"/>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632">
        <v>11200</v>
      </c>
      <c r="X870" s="1632"/>
      <c r="Y870" s="1632"/>
      <c r="Z870" s="1632"/>
      <c r="AA870" s="1632"/>
      <c r="AB870" s="1632"/>
      <c r="AC870" s="1632"/>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544" t="s">
        <v>2786</v>
      </c>
      <c r="N871" s="1575"/>
      <c r="O871" s="1575"/>
      <c r="P871" s="1575"/>
      <c r="Q871" s="1575"/>
      <c r="R871" s="1575"/>
      <c r="S871" s="1575"/>
      <c r="T871" s="1575"/>
      <c r="U871" s="1575"/>
      <c r="V871" s="1576"/>
      <c r="W871" s="1632">
        <v>88800</v>
      </c>
      <c r="X871" s="1632"/>
      <c r="Y871" s="1632"/>
      <c r="Z871" s="1632"/>
      <c r="AA871" s="1632"/>
      <c r="AB871" s="1632"/>
      <c r="AC871" s="1632"/>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643">
        <f>SUM(W865:AC871)</f>
        <v>259200</v>
      </c>
      <c r="X872" s="1643"/>
      <c r="Y872" s="1643"/>
      <c r="Z872" s="1643"/>
      <c r="AA872" s="1643"/>
      <c r="AB872" s="1643"/>
      <c r="AC872" s="1643"/>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1350</v>
      </c>
      <c r="J874" s="45" t="s">
        <v>170</v>
      </c>
      <c r="K874" s="5"/>
      <c r="L874" s="5"/>
      <c r="M874" s="1544" t="s">
        <v>335</v>
      </c>
      <c r="N874" s="1575"/>
      <c r="O874" s="1575"/>
      <c r="P874" s="1575"/>
      <c r="Q874" s="1575"/>
      <c r="R874" s="1575"/>
      <c r="S874" s="1575"/>
      <c r="T874" s="1575"/>
      <c r="U874" s="1575"/>
      <c r="V874" s="1576"/>
      <c r="W874" s="1499"/>
      <c r="X874" s="1500"/>
      <c r="Y874" s="1500"/>
      <c r="Z874" s="1500"/>
      <c r="AA874" s="1500"/>
      <c r="AB874" s="1500"/>
      <c r="AC874" s="1501"/>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1351</v>
      </c>
      <c r="J875" s="45" t="s">
        <v>170</v>
      </c>
      <c r="K875" s="5"/>
      <c r="L875" s="5"/>
      <c r="M875" s="1544" t="s">
        <v>335</v>
      </c>
      <c r="N875" s="1575"/>
      <c r="O875" s="1575"/>
      <c r="P875" s="1575"/>
      <c r="Q875" s="1575"/>
      <c r="R875" s="1575"/>
      <c r="S875" s="1575"/>
      <c r="T875" s="1575"/>
      <c r="U875" s="1575"/>
      <c r="V875" s="1576"/>
      <c r="W875" s="1499"/>
      <c r="X875" s="1500"/>
      <c r="Y875" s="1500"/>
      <c r="Z875" s="1500"/>
      <c r="AA875" s="1500"/>
      <c r="AB875" s="1500"/>
      <c r="AC875" s="1501"/>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544" t="s">
        <v>335</v>
      </c>
      <c r="N876" s="1575"/>
      <c r="O876" s="1575"/>
      <c r="P876" s="1575"/>
      <c r="Q876" s="1575"/>
      <c r="R876" s="1575"/>
      <c r="S876" s="1575"/>
      <c r="T876" s="1575"/>
      <c r="U876" s="1575"/>
      <c r="V876" s="1576"/>
      <c r="W876" s="1499"/>
      <c r="X876" s="1500"/>
      <c r="Y876" s="1500"/>
      <c r="Z876" s="1500"/>
      <c r="AA876" s="1500"/>
      <c r="AB876" s="1500"/>
      <c r="AC876" s="1501"/>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544" t="s">
        <v>335</v>
      </c>
      <c r="N877" s="1575"/>
      <c r="O877" s="1575"/>
      <c r="P877" s="1575"/>
      <c r="Q877" s="1575"/>
      <c r="R877" s="1575"/>
      <c r="S877" s="1575"/>
      <c r="T877" s="1575"/>
      <c r="U877" s="1575"/>
      <c r="V877" s="1576"/>
      <c r="W877" s="1499"/>
      <c r="X877" s="1500"/>
      <c r="Y877" s="1500"/>
      <c r="Z877" s="1500"/>
      <c r="AA877" s="1500"/>
      <c r="AB877" s="1500"/>
      <c r="AC877" s="1501"/>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544" t="s">
        <v>335</v>
      </c>
      <c r="N878" s="1575"/>
      <c r="O878" s="1575"/>
      <c r="P878" s="1575"/>
      <c r="Q878" s="1575"/>
      <c r="R878" s="1575"/>
      <c r="S878" s="1575"/>
      <c r="T878" s="1575"/>
      <c r="U878" s="1575"/>
      <c r="V878" s="1576"/>
      <c r="W878" s="1499"/>
      <c r="X878" s="1500"/>
      <c r="Y878" s="1500"/>
      <c r="Z878" s="1500"/>
      <c r="AA878" s="1500"/>
      <c r="AB878" s="1500"/>
      <c r="AC878" s="1501"/>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411">
        <f>SUM(W874:AC878)</f>
        <v>0</v>
      </c>
      <c r="X879" s="1412"/>
      <c r="Y879" s="1412"/>
      <c r="Z879" s="1412"/>
      <c r="AA879" s="1412"/>
      <c r="AB879" s="1412"/>
      <c r="AC879" s="1413"/>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412">
        <f>W847+W855+W862+W863+W872+W879+W849</f>
        <v>1303734.5919999999</v>
      </c>
      <c r="AD883" s="1412"/>
      <c r="AE883" s="1412"/>
      <c r="AF883" s="1412"/>
      <c r="AG883" s="1412"/>
      <c r="AH883" s="1413"/>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755">
        <f>O797+O777+G753</f>
        <v>160</v>
      </c>
      <c r="AD884" s="1755"/>
      <c r="AE884" s="1755"/>
      <c r="AF884" s="1755"/>
      <c r="AG884" s="1755"/>
      <c r="AH884" s="1756"/>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28" t="s">
        <v>32</v>
      </c>
      <c r="F885" s="1628"/>
      <c r="G885" s="1628"/>
      <c r="H885" s="1628"/>
      <c r="I885" s="1628"/>
      <c r="J885" s="1628"/>
      <c r="K885" s="1628"/>
      <c r="L885" s="1628"/>
      <c r="M885" s="1628"/>
      <c r="N885" s="1628"/>
      <c r="O885" s="1628"/>
      <c r="P885" s="1628"/>
      <c r="Q885" s="1628"/>
      <c r="R885" s="1628"/>
      <c r="S885" s="1628"/>
      <c r="T885" s="1628"/>
      <c r="U885" s="1628"/>
      <c r="V885" s="1628"/>
      <c r="W885" s="1628"/>
      <c r="X885" s="1628"/>
      <c r="Y885" s="1628"/>
      <c r="Z885" s="1628"/>
      <c r="AA885" s="1628"/>
      <c r="AB885" s="1629"/>
      <c r="AC885" s="1643">
        <f>IF(ISERROR((ROUNDDOWN(AC883/AC884,0))),0,(ROUNDDOWN(AC883/AC884,0)))</f>
        <v>8148</v>
      </c>
      <c r="AD885" s="1643"/>
      <c r="AE885" s="1643"/>
      <c r="AF885" s="1643"/>
      <c r="AG885" s="1643"/>
      <c r="AH885" s="1643"/>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651">
        <v>906175.5834271214</v>
      </c>
      <c r="AD886" s="1652"/>
      <c r="AE886" s="1652"/>
      <c r="AF886" s="1652"/>
      <c r="AG886" s="1652"/>
      <c r="AH886" s="1652"/>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501"/>
      <c r="AD887" s="1632"/>
      <c r="AE887" s="1632"/>
      <c r="AF887" s="1632"/>
      <c r="AG887" s="1632"/>
      <c r="AH887" s="1632"/>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00">
        <v>144095</v>
      </c>
      <c r="AD888" s="1500"/>
      <c r="AE888" s="1500"/>
      <c r="AF888" s="1500"/>
      <c r="AG888" s="1500"/>
      <c r="AH888" s="1501"/>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00">
        <v>56000</v>
      </c>
      <c r="AD889" s="1500"/>
      <c r="AE889" s="1500"/>
      <c r="AF889" s="1500"/>
      <c r="AG889" s="1500"/>
      <c r="AH889" s="1501"/>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1867</v>
      </c>
      <c r="AC890" s="1414">
        <v>125364</v>
      </c>
      <c r="AD890" s="1415"/>
      <c r="AE890" s="1415"/>
      <c r="AF890" s="1415"/>
      <c r="AG890" s="1415"/>
      <c r="AH890" s="1416"/>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00">
        <v>5000</v>
      </c>
      <c r="AD891" s="1500"/>
      <c r="AE891" s="1500"/>
      <c r="AF891" s="1500"/>
      <c r="AG891" s="1500"/>
      <c r="AH891" s="1501"/>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1770</v>
      </c>
      <c r="AC892" s="1500">
        <v>57080</v>
      </c>
      <c r="AD892" s="1500"/>
      <c r="AE892" s="1500"/>
      <c r="AF892" s="1500"/>
      <c r="AG892" s="1500"/>
      <c r="AH892" s="1501"/>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746" t="s">
        <v>975</v>
      </c>
      <c r="D893" s="1747"/>
      <c r="E893" s="1747"/>
      <c r="F893" s="1747"/>
      <c r="G893" s="1747"/>
      <c r="H893" s="1747"/>
      <c r="I893" s="1747"/>
      <c r="J893" s="1747"/>
      <c r="K893" s="1747"/>
      <c r="L893" s="1747"/>
      <c r="M893" s="1747"/>
      <c r="N893" s="1747"/>
      <c r="O893" s="1747"/>
      <c r="P893" s="1747"/>
      <c r="Q893" s="1747"/>
      <c r="R893" s="1747"/>
      <c r="S893" s="1747"/>
      <c r="T893" s="1747"/>
      <c r="U893" s="1747"/>
      <c r="V893" s="1747"/>
      <c r="W893" s="1747"/>
      <c r="X893" s="1747"/>
      <c r="Y893" s="1747"/>
      <c r="Z893" s="1747"/>
      <c r="AA893" s="1747"/>
      <c r="AB893" s="1748"/>
      <c r="AC893" s="1632"/>
      <c r="AD893" s="1632"/>
      <c r="AE893" s="1632"/>
      <c r="AF893" s="1632"/>
      <c r="AG893" s="1632"/>
      <c r="AH893" s="1632"/>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746" t="s">
        <v>975</v>
      </c>
      <c r="D894" s="1747"/>
      <c r="E894" s="1747"/>
      <c r="F894" s="1747"/>
      <c r="G894" s="1747"/>
      <c r="H894" s="1747"/>
      <c r="I894" s="1747"/>
      <c r="J894" s="1747"/>
      <c r="K894" s="1747"/>
      <c r="L894" s="1747"/>
      <c r="M894" s="1747"/>
      <c r="N894" s="1747"/>
      <c r="O894" s="1747"/>
      <c r="P894" s="1747"/>
      <c r="Q894" s="1747"/>
      <c r="R894" s="1747"/>
      <c r="S894" s="1747"/>
      <c r="T894" s="1747"/>
      <c r="U894" s="1747"/>
      <c r="V894" s="1747"/>
      <c r="W894" s="1747"/>
      <c r="X894" s="1747"/>
      <c r="Y894" s="1747"/>
      <c r="Z894" s="1747"/>
      <c r="AA894" s="1747"/>
      <c r="AB894" s="1748"/>
      <c r="AC894" s="1632"/>
      <c r="AD894" s="1632"/>
      <c r="AE894" s="1632"/>
      <c r="AF894" s="1632"/>
      <c r="AG894" s="1632"/>
      <c r="AH894" s="1632"/>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499"/>
      <c r="AA898" s="1500"/>
      <c r="AB898" s="1500"/>
      <c r="AC898" s="1500"/>
      <c r="AD898" s="1500"/>
      <c r="AE898" s="1501"/>
      <c r="AF898" s="567"/>
      <c r="AZ898" s="34"/>
      <c r="BB898" s="30"/>
      <c r="BC898" s="850"/>
      <c r="BD898" s="1649"/>
      <c r="BE898" s="1649"/>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499"/>
      <c r="AA899" s="1500"/>
      <c r="AB899" s="1500"/>
      <c r="AC899" s="1500"/>
      <c r="AD899" s="1500"/>
      <c r="AE899" s="1501"/>
      <c r="AZ899" s="34"/>
      <c r="BB899" s="30"/>
      <c r="BC899" s="850"/>
      <c r="BD899" s="1649"/>
      <c r="BE899" s="1649"/>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499"/>
      <c r="AA900" s="1500"/>
      <c r="AB900" s="1500"/>
      <c r="AC900" s="1500"/>
      <c r="AD900" s="1500"/>
      <c r="AE900" s="1501"/>
      <c r="AZ900" s="34"/>
      <c r="BB900" s="30"/>
      <c r="BC900" s="850"/>
      <c r="BD900" s="1633"/>
      <c r="BE900" s="1633"/>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411">
        <f>Z898-(Z899+Z900)</f>
        <v>0</v>
      </c>
      <c r="AA901" s="1412"/>
      <c r="AB901" s="1412"/>
      <c r="AC901" s="1412"/>
      <c r="AD901" s="1412"/>
      <c r="AE901" s="1413"/>
      <c r="AZ901" s="34"/>
      <c r="BB901" s="30"/>
      <c r="BC901" s="850"/>
      <c r="BD901" s="1633"/>
      <c r="BE901" s="1633"/>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33"/>
      <c r="BE902" s="1633"/>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49"/>
      <c r="BE903" s="1633"/>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43"/>
      <c r="BE904" s="1743"/>
      <c r="BF904" s="1743"/>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48"/>
      <c r="BE905" s="1648"/>
      <c r="BF905" s="1648"/>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33"/>
      <c r="BE906" s="1633"/>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49"/>
      <c r="BE907" s="1633"/>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56" t="s">
        <v>96</v>
      </c>
      <c r="B909" s="1456"/>
      <c r="C909" s="1456"/>
      <c r="D909" s="1456"/>
      <c r="E909" s="1456"/>
      <c r="F909" s="1456"/>
      <c r="G909" s="1456"/>
      <c r="H909" s="1456"/>
      <c r="I909" s="1456"/>
      <c r="J909" s="1456"/>
      <c r="K909" s="1456"/>
      <c r="L909" s="1456"/>
      <c r="M909" s="1456"/>
      <c r="N909" s="1456"/>
      <c r="O909" s="1456"/>
      <c r="P909" s="1456"/>
      <c r="Q909" s="1456"/>
      <c r="R909" s="1456"/>
      <c r="S909" s="1456"/>
      <c r="T909" s="1456"/>
      <c r="U909" s="1456"/>
      <c r="V909" s="1456"/>
      <c r="W909" s="1456"/>
      <c r="X909" s="1456"/>
      <c r="Y909" s="1456"/>
      <c r="Z909" s="1456"/>
      <c r="AA909" s="1456"/>
      <c r="AB909" s="1456"/>
      <c r="AC909" s="1456"/>
      <c r="AD909" s="1456"/>
      <c r="AE909" s="1456"/>
      <c r="AF909" s="1456"/>
      <c r="AG909" s="1456"/>
      <c r="AH909" s="1456"/>
      <c r="AI909" s="1456"/>
      <c r="AJ909" s="1456"/>
      <c r="AK909" s="1456"/>
      <c r="AL909" s="1456"/>
      <c r="AM909" s="1456"/>
      <c r="AN909" s="1456"/>
      <c r="AO909" s="1456"/>
      <c r="AP909" s="1456"/>
      <c r="AQ909" s="1456"/>
      <c r="AR909" s="1456"/>
      <c r="AS909" s="1456"/>
      <c r="AT909" s="1456"/>
      <c r="AZ909" s="34"/>
      <c r="BA909" s="34"/>
      <c r="BB909" s="30"/>
      <c r="BC909" s="30"/>
      <c r="BD909" s="1649"/>
      <c r="BE909" s="1633"/>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56"/>
      <c r="B910" s="1456"/>
      <c r="C910" s="1456"/>
      <c r="D910" s="1456"/>
      <c r="E910" s="1456"/>
      <c r="F910" s="1456"/>
      <c r="G910" s="1456"/>
      <c r="H910" s="1456"/>
      <c r="I910" s="1456"/>
      <c r="J910" s="1456"/>
      <c r="K910" s="1456"/>
      <c r="L910" s="1456"/>
      <c r="M910" s="1456"/>
      <c r="N910" s="1456"/>
      <c r="O910" s="1456"/>
      <c r="P910" s="1456"/>
      <c r="Q910" s="1456"/>
      <c r="R910" s="1456"/>
      <c r="S910" s="1456"/>
      <c r="T910" s="1456"/>
      <c r="U910" s="1456"/>
      <c r="V910" s="1456"/>
      <c r="W910" s="1456"/>
      <c r="X910" s="1456"/>
      <c r="Y910" s="1456"/>
      <c r="Z910" s="1456"/>
      <c r="AA910" s="1456"/>
      <c r="AB910" s="1456"/>
      <c r="AC910" s="1456"/>
      <c r="AD910" s="1456"/>
      <c r="AE910" s="1456"/>
      <c r="AF910" s="1456"/>
      <c r="AG910" s="1456"/>
      <c r="AH910" s="1456"/>
      <c r="AI910" s="1456"/>
      <c r="AJ910" s="1456"/>
      <c r="AK910" s="1456"/>
      <c r="AL910" s="1456"/>
      <c r="AM910" s="1456"/>
      <c r="AN910" s="1456"/>
      <c r="AO910" s="1456"/>
      <c r="AP910" s="1456"/>
      <c r="AQ910" s="1456"/>
      <c r="AR910" s="1456"/>
      <c r="AS910" s="1456"/>
      <c r="AT910" s="1456"/>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41" t="s">
        <v>801</v>
      </c>
      <c r="G914" s="1542"/>
      <c r="H914" s="1542"/>
      <c r="I914" s="1542"/>
      <c r="J914" s="1542"/>
      <c r="K914" s="1542"/>
      <c r="L914" s="1542"/>
      <c r="M914" s="1542"/>
      <c r="N914" s="1542"/>
      <c r="O914" s="1542"/>
      <c r="P914" s="1542"/>
      <c r="Q914" s="1542"/>
      <c r="R914" s="1542"/>
      <c r="S914" s="1542"/>
      <c r="T914" s="1543"/>
      <c r="U914" s="1744" t="s">
        <v>31</v>
      </c>
      <c r="V914" s="1745"/>
      <c r="W914" s="1745"/>
      <c r="X914" s="1745"/>
      <c r="Y914" s="1745"/>
      <c r="Z914" s="1745"/>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33" t="s">
        <v>827</v>
      </c>
      <c r="G915" s="1734"/>
      <c r="H915" s="1734"/>
      <c r="I915" s="1734"/>
      <c r="J915" s="1734"/>
      <c r="K915" s="1734"/>
      <c r="L915" s="1734"/>
      <c r="M915" s="1734"/>
      <c r="N915" s="1734"/>
      <c r="O915" s="1734"/>
      <c r="P915" s="1734"/>
      <c r="Q915" s="1734"/>
      <c r="R915" s="1734"/>
      <c r="S915" s="1734"/>
      <c r="T915" s="1735"/>
      <c r="U915" s="1733"/>
      <c r="V915" s="1734"/>
      <c r="W915" s="1734"/>
      <c r="X915" s="1734"/>
      <c r="Y915" s="1734"/>
      <c r="Z915" s="1734"/>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36"/>
      <c r="G916" s="1737"/>
      <c r="H916" s="1737"/>
      <c r="I916" s="1737"/>
      <c r="J916" s="1737"/>
      <c r="K916" s="1737"/>
      <c r="L916" s="1737"/>
      <c r="M916" s="1737"/>
      <c r="N916" s="1737"/>
      <c r="O916" s="1737"/>
      <c r="P916" s="1737"/>
      <c r="Q916" s="1737"/>
      <c r="R916" s="1737"/>
      <c r="S916" s="1737"/>
      <c r="T916" s="1738"/>
      <c r="U916" s="1736"/>
      <c r="V916" s="1737"/>
      <c r="W916" s="1737"/>
      <c r="X916" s="1737"/>
      <c r="Y916" s="1737"/>
      <c r="Z916" s="1737"/>
      <c r="AA916" s="108"/>
      <c r="AB916" s="1630" t="s">
        <v>392</v>
      </c>
      <c r="AC916" s="1630"/>
      <c r="AD916" s="1630"/>
      <c r="AE916" s="1630"/>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441" t="s">
        <v>553</v>
      </c>
      <c r="V917" s="1442"/>
      <c r="W917" s="1442"/>
      <c r="X917" s="1442"/>
      <c r="Y917" s="1442"/>
      <c r="Z917" s="1443"/>
      <c r="AA917" s="1444">
        <v>63600000</v>
      </c>
      <c r="AB917" s="1445"/>
      <c r="AC917" s="1445"/>
      <c r="AD917" s="1445"/>
      <c r="AE917" s="1445"/>
      <c r="AF917" s="1446"/>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441" t="s">
        <v>553</v>
      </c>
      <c r="V918" s="1442"/>
      <c r="W918" s="1442"/>
      <c r="X918" s="1442"/>
      <c r="Y918" s="1442"/>
      <c r="Z918" s="1443"/>
      <c r="AA918" s="1444">
        <v>10977731.933579072</v>
      </c>
      <c r="AB918" s="1445"/>
      <c r="AC918" s="1445"/>
      <c r="AD918" s="1445"/>
      <c r="AE918" s="1445"/>
      <c r="AF918" s="1446"/>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441" t="s">
        <v>599</v>
      </c>
      <c r="V919" s="1442"/>
      <c r="W919" s="1442"/>
      <c r="X919" s="1442"/>
      <c r="Y919" s="1442"/>
      <c r="Z919" s="1443"/>
      <c r="AA919" s="1444"/>
      <c r="AB919" s="1445"/>
      <c r="AC919" s="1445"/>
      <c r="AD919" s="1445"/>
      <c r="AE919" s="1445"/>
      <c r="AF919" s="1446"/>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441" t="s">
        <v>599</v>
      </c>
      <c r="V920" s="1442"/>
      <c r="W920" s="1442"/>
      <c r="X920" s="1442"/>
      <c r="Y920" s="1442"/>
      <c r="Z920" s="1443"/>
      <c r="AA920" s="1444"/>
      <c r="AB920" s="1445"/>
      <c r="AC920" s="1445"/>
      <c r="AD920" s="1445"/>
      <c r="AE920" s="1445"/>
      <c r="AF920" s="1446"/>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441" t="s">
        <v>599</v>
      </c>
      <c r="V921" s="1442"/>
      <c r="W921" s="1442"/>
      <c r="X921" s="1442"/>
      <c r="Y921" s="1442"/>
      <c r="Z921" s="1443"/>
      <c r="AA921" s="1444"/>
      <c r="AB921" s="1445"/>
      <c r="AC921" s="1445"/>
      <c r="AD921" s="1445"/>
      <c r="AE921" s="1445"/>
      <c r="AF921" s="1446"/>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441" t="s">
        <v>599</v>
      </c>
      <c r="V922" s="1442"/>
      <c r="W922" s="1442"/>
      <c r="X922" s="1442"/>
      <c r="Y922" s="1442"/>
      <c r="Z922" s="1443"/>
      <c r="AA922" s="1444"/>
      <c r="AB922" s="1445"/>
      <c r="AC922" s="1445"/>
      <c r="AD922" s="1445"/>
      <c r="AE922" s="1445"/>
      <c r="AF922" s="1446"/>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441" t="s">
        <v>599</v>
      </c>
      <c r="V923" s="1442"/>
      <c r="W923" s="1442"/>
      <c r="X923" s="1442"/>
      <c r="Y923" s="1442"/>
      <c r="Z923" s="1443"/>
      <c r="AA923" s="1444"/>
      <c r="AB923" s="1445"/>
      <c r="AC923" s="1445"/>
      <c r="AD923" s="1445"/>
      <c r="AE923" s="1445"/>
      <c r="AF923" s="1446"/>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441" t="s">
        <v>599</v>
      </c>
      <c r="V924" s="1442"/>
      <c r="W924" s="1442"/>
      <c r="X924" s="1442"/>
      <c r="Y924" s="1442"/>
      <c r="Z924" s="1443"/>
      <c r="AA924" s="1444"/>
      <c r="AB924" s="1445"/>
      <c r="AC924" s="1445"/>
      <c r="AD924" s="1445"/>
      <c r="AE924" s="1445"/>
      <c r="AF924" s="1446"/>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587" t="s">
        <v>2557</v>
      </c>
      <c r="G925" s="1588"/>
      <c r="H925" s="1588"/>
      <c r="I925" s="1588"/>
      <c r="J925" s="1588"/>
      <c r="K925" s="1588"/>
      <c r="L925" s="1588"/>
      <c r="M925" s="1588"/>
      <c r="N925" s="1588"/>
      <c r="O925" s="1588"/>
      <c r="P925" s="1588"/>
      <c r="Q925" s="1588"/>
      <c r="R925" s="1588"/>
      <c r="S925" s="1588"/>
      <c r="T925" s="1589"/>
      <c r="U925" s="1441" t="s">
        <v>599</v>
      </c>
      <c r="V925" s="1442"/>
      <c r="W925" s="1442"/>
      <c r="X925" s="1442"/>
      <c r="Y925" s="1442"/>
      <c r="Z925" s="1443"/>
      <c r="AA925" s="1444"/>
      <c r="AB925" s="1445"/>
      <c r="AC925" s="1445"/>
      <c r="AD925" s="1445"/>
      <c r="AE925" s="1445"/>
      <c r="AF925" s="1446"/>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587" t="s">
        <v>687</v>
      </c>
      <c r="G926" s="1588"/>
      <c r="H926" s="1588"/>
      <c r="I926" s="1588"/>
      <c r="J926" s="1588"/>
      <c r="K926" s="1588"/>
      <c r="L926" s="1588"/>
      <c r="M926" s="1588"/>
      <c r="N926" s="1588"/>
      <c r="O926" s="1588"/>
      <c r="P926" s="1588"/>
      <c r="Q926" s="1588"/>
      <c r="R926" s="1588"/>
      <c r="S926" s="1588"/>
      <c r="T926" s="1589"/>
      <c r="U926" s="1441" t="s">
        <v>599</v>
      </c>
      <c r="V926" s="1442"/>
      <c r="W926" s="1442"/>
      <c r="X926" s="1442"/>
      <c r="Y926" s="1442"/>
      <c r="Z926" s="1443"/>
      <c r="AA926" s="1444"/>
      <c r="AB926" s="1445"/>
      <c r="AC926" s="1445"/>
      <c r="AD926" s="1445"/>
      <c r="AE926" s="1445"/>
      <c r="AF926" s="1446"/>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587" t="s">
        <v>2558</v>
      </c>
      <c r="G927" s="1588"/>
      <c r="H927" s="1588"/>
      <c r="I927" s="1588"/>
      <c r="J927" s="1588"/>
      <c r="K927" s="1588"/>
      <c r="L927" s="1588"/>
      <c r="M927" s="1588"/>
      <c r="N927" s="1588"/>
      <c r="O927" s="1588"/>
      <c r="P927" s="1588"/>
      <c r="Q927" s="1588"/>
      <c r="R927" s="1588"/>
      <c r="S927" s="1588"/>
      <c r="T927" s="1589"/>
      <c r="U927" s="1441" t="s">
        <v>599</v>
      </c>
      <c r="V927" s="1442"/>
      <c r="W927" s="1442"/>
      <c r="X927" s="1442"/>
      <c r="Y927" s="1442"/>
      <c r="Z927" s="1443"/>
      <c r="AA927" s="1444"/>
      <c r="AB927" s="1445"/>
      <c r="AC927" s="1445"/>
      <c r="AD927" s="1445"/>
      <c r="AE927" s="1445"/>
      <c r="AF927" s="1446"/>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587" t="s">
        <v>2559</v>
      </c>
      <c r="G928" s="1588"/>
      <c r="H928" s="1588"/>
      <c r="I928" s="1588"/>
      <c r="J928" s="1588"/>
      <c r="K928" s="1588"/>
      <c r="L928" s="1588"/>
      <c r="M928" s="1588"/>
      <c r="N928" s="1588"/>
      <c r="O928" s="1588"/>
      <c r="P928" s="1588"/>
      <c r="Q928" s="1588"/>
      <c r="R928" s="1588"/>
      <c r="S928" s="1588"/>
      <c r="T928" s="1589"/>
      <c r="U928" s="1441" t="s">
        <v>599</v>
      </c>
      <c r="V928" s="1442"/>
      <c r="W928" s="1442"/>
      <c r="X928" s="1442"/>
      <c r="Y928" s="1442"/>
      <c r="Z928" s="1443"/>
      <c r="AA928" s="1444"/>
      <c r="AB928" s="1445"/>
      <c r="AC928" s="1445"/>
      <c r="AD928" s="1445"/>
      <c r="AE928" s="1445"/>
      <c r="AF928" s="1446"/>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587" t="s">
        <v>2560</v>
      </c>
      <c r="G929" s="1588"/>
      <c r="H929" s="1588"/>
      <c r="I929" s="1588"/>
      <c r="J929" s="1588"/>
      <c r="K929" s="1588"/>
      <c r="L929" s="1588"/>
      <c r="M929" s="1588"/>
      <c r="N929" s="1588"/>
      <c r="O929" s="1588"/>
      <c r="P929" s="1588"/>
      <c r="Q929" s="1588"/>
      <c r="R929" s="1588"/>
      <c r="S929" s="1588"/>
      <c r="T929" s="1589"/>
      <c r="U929" s="1441" t="s">
        <v>599</v>
      </c>
      <c r="V929" s="1442"/>
      <c r="W929" s="1442"/>
      <c r="X929" s="1442"/>
      <c r="Y929" s="1442"/>
      <c r="Z929" s="1443"/>
      <c r="AA929" s="1444"/>
      <c r="AB929" s="1445"/>
      <c r="AC929" s="1445"/>
      <c r="AD929" s="1445"/>
      <c r="AE929" s="1445"/>
      <c r="AF929" s="1446"/>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587" t="s">
        <v>2561</v>
      </c>
      <c r="G930" s="1588"/>
      <c r="H930" s="1588"/>
      <c r="I930" s="1588"/>
      <c r="J930" s="1588"/>
      <c r="K930" s="1588"/>
      <c r="L930" s="1588"/>
      <c r="M930" s="1588"/>
      <c r="N930" s="1588"/>
      <c r="O930" s="1588"/>
      <c r="P930" s="1588"/>
      <c r="Q930" s="1588"/>
      <c r="R930" s="1588"/>
      <c r="S930" s="1588"/>
      <c r="T930" s="1589"/>
      <c r="U930" s="1441" t="s">
        <v>599</v>
      </c>
      <c r="V930" s="1442"/>
      <c r="W930" s="1442"/>
      <c r="X930" s="1442"/>
      <c r="Y930" s="1442"/>
      <c r="Z930" s="1443"/>
      <c r="AA930" s="1444"/>
      <c r="AB930" s="1445"/>
      <c r="AC930" s="1445"/>
      <c r="AD930" s="1445"/>
      <c r="AE930" s="1445"/>
      <c r="AF930" s="1446"/>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587" t="s">
        <v>2562</v>
      </c>
      <c r="G931" s="1588"/>
      <c r="H931" s="1588"/>
      <c r="I931" s="1588"/>
      <c r="J931" s="1588"/>
      <c r="K931" s="1588"/>
      <c r="L931" s="1588"/>
      <c r="M931" s="1588"/>
      <c r="N931" s="1588"/>
      <c r="O931" s="1588"/>
      <c r="P931" s="1588"/>
      <c r="Q931" s="1588"/>
      <c r="R931" s="1588"/>
      <c r="S931" s="1588"/>
      <c r="T931" s="1589"/>
      <c r="U931" s="1441" t="s">
        <v>599</v>
      </c>
      <c r="V931" s="1442"/>
      <c r="W931" s="1442"/>
      <c r="X931" s="1442"/>
      <c r="Y931" s="1442"/>
      <c r="Z931" s="1443"/>
      <c r="AA931" s="1444"/>
      <c r="AB931" s="1445"/>
      <c r="AC931" s="1445"/>
      <c r="AD931" s="1445"/>
      <c r="AE931" s="1445"/>
      <c r="AF931" s="1446"/>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441" t="s">
        <v>599</v>
      </c>
      <c r="V932" s="1442"/>
      <c r="W932" s="1442"/>
      <c r="X932" s="1442"/>
      <c r="Y932" s="1442"/>
      <c r="Z932" s="1443"/>
      <c r="AA932" s="1444"/>
      <c r="AB932" s="1445"/>
      <c r="AC932" s="1445"/>
      <c r="AD932" s="1445"/>
      <c r="AE932" s="1445"/>
      <c r="AF932" s="1446"/>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1387</v>
      </c>
      <c r="G933" s="5"/>
      <c r="H933" s="5"/>
      <c r="I933" s="5"/>
      <c r="J933" s="5"/>
      <c r="K933" s="5"/>
      <c r="L933" s="5"/>
      <c r="M933" s="5"/>
      <c r="N933" s="5"/>
      <c r="O933" s="5"/>
      <c r="P933" s="5"/>
      <c r="Q933" s="5"/>
      <c r="R933" s="5"/>
      <c r="S933" s="5"/>
      <c r="T933" s="46"/>
      <c r="U933" s="1441" t="s">
        <v>599</v>
      </c>
      <c r="V933" s="1442"/>
      <c r="W933" s="1442"/>
      <c r="X933" s="1442"/>
      <c r="Y933" s="1442"/>
      <c r="Z933" s="1443"/>
      <c r="AA933" s="1444"/>
      <c r="AB933" s="1445"/>
      <c r="AC933" s="1445"/>
      <c r="AD933" s="1445"/>
      <c r="AE933" s="1445"/>
      <c r="AF933" s="1446"/>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441" t="s">
        <v>599</v>
      </c>
      <c r="V934" s="1442"/>
      <c r="W934" s="1442"/>
      <c r="X934" s="1442"/>
      <c r="Y934" s="1442"/>
      <c r="Z934" s="1443"/>
      <c r="AA934" s="1444"/>
      <c r="AB934" s="1445"/>
      <c r="AC934" s="1445"/>
      <c r="AD934" s="1445"/>
      <c r="AE934" s="1445"/>
      <c r="AF934" s="1446"/>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730" t="s">
        <v>2566</v>
      </c>
      <c r="G935" s="1731"/>
      <c r="H935" s="1731"/>
      <c r="I935" s="1731"/>
      <c r="J935" s="1731"/>
      <c r="K935" s="1731"/>
      <c r="L935" s="1731"/>
      <c r="M935" s="1731"/>
      <c r="N935" s="1731"/>
      <c r="O935" s="1731"/>
      <c r="P935" s="1731"/>
      <c r="Q935" s="1731"/>
      <c r="R935" s="1731"/>
      <c r="S935" s="1731"/>
      <c r="T935" s="1732"/>
      <c r="U935" s="1441" t="s">
        <v>599</v>
      </c>
      <c r="V935" s="1442"/>
      <c r="W935" s="1442"/>
      <c r="X935" s="1442"/>
      <c r="Y935" s="1442"/>
      <c r="Z935" s="1443"/>
      <c r="AA935" s="1444"/>
      <c r="AB935" s="1445"/>
      <c r="AC935" s="1445"/>
      <c r="AD935" s="1445"/>
      <c r="AE935" s="1445"/>
      <c r="AF935" s="1446"/>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730" t="s">
        <v>2567</v>
      </c>
      <c r="G936" s="1731"/>
      <c r="H936" s="1731"/>
      <c r="I936" s="1731"/>
      <c r="J936" s="1731"/>
      <c r="K936" s="1731"/>
      <c r="L936" s="1731"/>
      <c r="M936" s="1731"/>
      <c r="N936" s="1731"/>
      <c r="O936" s="1731"/>
      <c r="P936" s="1731"/>
      <c r="Q936" s="1731"/>
      <c r="R936" s="1731"/>
      <c r="S936" s="1731"/>
      <c r="T936" s="1732"/>
      <c r="U936" s="1441" t="s">
        <v>599</v>
      </c>
      <c r="V936" s="1442"/>
      <c r="W936" s="1442"/>
      <c r="X936" s="1442"/>
      <c r="Y936" s="1442"/>
      <c r="Z936" s="1443"/>
      <c r="AA936" s="1444"/>
      <c r="AB936" s="1445"/>
      <c r="AC936" s="1445"/>
      <c r="AD936" s="1445"/>
      <c r="AE936" s="1445"/>
      <c r="AF936" s="1446"/>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587" t="s">
        <v>2563</v>
      </c>
      <c r="G937" s="1588"/>
      <c r="H937" s="1588"/>
      <c r="I937" s="1588"/>
      <c r="J937" s="1588"/>
      <c r="K937" s="1588"/>
      <c r="L937" s="1588"/>
      <c r="M937" s="1588"/>
      <c r="N937" s="1588"/>
      <c r="O937" s="1588"/>
      <c r="P937" s="1588"/>
      <c r="Q937" s="1588"/>
      <c r="R937" s="1588"/>
      <c r="S937" s="1588"/>
      <c r="T937" s="1589"/>
      <c r="U937" s="1441" t="s">
        <v>599</v>
      </c>
      <c r="V937" s="1442"/>
      <c r="W937" s="1442"/>
      <c r="X937" s="1442"/>
      <c r="Y937" s="1442"/>
      <c r="Z937" s="1443"/>
      <c r="AA937" s="1444"/>
      <c r="AB937" s="1445"/>
      <c r="AC937" s="1445"/>
      <c r="AD937" s="1445"/>
      <c r="AE937" s="1445"/>
      <c r="AF937" s="1446"/>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587" t="s">
        <v>2564</v>
      </c>
      <c r="G938" s="1588"/>
      <c r="H938" s="1588"/>
      <c r="I938" s="1588"/>
      <c r="J938" s="1588"/>
      <c r="K938" s="1588"/>
      <c r="L938" s="1588"/>
      <c r="M938" s="1588"/>
      <c r="N938" s="1588"/>
      <c r="O938" s="1588"/>
      <c r="P938" s="1588"/>
      <c r="Q938" s="1588"/>
      <c r="R938" s="1588"/>
      <c r="S938" s="1588"/>
      <c r="T938" s="1589"/>
      <c r="U938" s="1441" t="s">
        <v>599</v>
      </c>
      <c r="V938" s="1442"/>
      <c r="W938" s="1442"/>
      <c r="X938" s="1442"/>
      <c r="Y938" s="1442"/>
      <c r="Z938" s="1443"/>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587" t="s">
        <v>2565</v>
      </c>
      <c r="G939" s="1588"/>
      <c r="H939" s="1588"/>
      <c r="I939" s="1588"/>
      <c r="J939" s="1588"/>
      <c r="K939" s="1588"/>
      <c r="L939" s="1588"/>
      <c r="M939" s="1588"/>
      <c r="N939" s="1588"/>
      <c r="O939" s="1588"/>
      <c r="P939" s="1588"/>
      <c r="Q939" s="1588"/>
      <c r="R939" s="1588"/>
      <c r="S939" s="1588"/>
      <c r="T939" s="1589"/>
      <c r="U939" s="1441" t="s">
        <v>599</v>
      </c>
      <c r="V939" s="1442"/>
      <c r="W939" s="1442"/>
      <c r="X939" s="1442"/>
      <c r="Y939" s="1442"/>
      <c r="Z939" s="1443"/>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1371</v>
      </c>
      <c r="G940" s="5"/>
      <c r="H940" s="5"/>
      <c r="I940" s="5"/>
      <c r="J940" s="5"/>
      <c r="K940" s="5"/>
      <c r="L940" s="5"/>
      <c r="M940" s="5"/>
      <c r="N940" s="5"/>
      <c r="O940" s="5"/>
      <c r="P940" s="5"/>
      <c r="Q940" s="5"/>
      <c r="R940" s="5"/>
      <c r="S940" s="5"/>
      <c r="T940" s="46"/>
      <c r="U940" s="1441" t="s">
        <v>599</v>
      </c>
      <c r="V940" s="1442"/>
      <c r="W940" s="1442"/>
      <c r="X940" s="1442"/>
      <c r="Y940" s="1442"/>
      <c r="Z940" s="1443"/>
      <c r="AA940" s="1444"/>
      <c r="AB940" s="1445"/>
      <c r="AC940" s="1445"/>
      <c r="AD940" s="1445"/>
      <c r="AE940" s="1445"/>
      <c r="AF940" s="1446"/>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730" t="s">
        <v>2568</v>
      </c>
      <c r="G941" s="1731"/>
      <c r="H941" s="1731"/>
      <c r="I941" s="1731"/>
      <c r="J941" s="1731"/>
      <c r="K941" s="1731"/>
      <c r="L941" s="1731"/>
      <c r="M941" s="1731"/>
      <c r="N941" s="1731"/>
      <c r="O941" s="1731"/>
      <c r="P941" s="1731"/>
      <c r="Q941" s="1731"/>
      <c r="R941" s="1731"/>
      <c r="S941" s="1731"/>
      <c r="T941" s="1732"/>
      <c r="U941" s="1441" t="s">
        <v>599</v>
      </c>
      <c r="V941" s="1442"/>
      <c r="W941" s="1442"/>
      <c r="X941" s="1442"/>
      <c r="Y941" s="1442"/>
      <c r="Z941" s="1443"/>
      <c r="AA941" s="1444"/>
      <c r="AB941" s="1445"/>
      <c r="AC941" s="1445"/>
      <c r="AD941" s="1445"/>
      <c r="AE941" s="1445"/>
      <c r="AF941" s="1446"/>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1372</v>
      </c>
      <c r="G942" s="5"/>
      <c r="H942" s="5"/>
      <c r="I942" s="5"/>
      <c r="J942" s="5"/>
      <c r="K942" s="5"/>
      <c r="L942" s="5"/>
      <c r="M942" s="5"/>
      <c r="N942" s="5"/>
      <c r="O942" s="5"/>
      <c r="P942" s="5"/>
      <c r="Q942" s="5"/>
      <c r="R942" s="5"/>
      <c r="S942" s="5"/>
      <c r="T942" s="46"/>
      <c r="U942" s="1441" t="s">
        <v>599</v>
      </c>
      <c r="V942" s="1442"/>
      <c r="W942" s="1442"/>
      <c r="X942" s="1442"/>
      <c r="Y942" s="1442"/>
      <c r="Z942" s="1443"/>
      <c r="AA942" s="1444"/>
      <c r="AB942" s="1445"/>
      <c r="AC942" s="1445"/>
      <c r="AD942" s="1445"/>
      <c r="AE942" s="1445"/>
      <c r="AF942" s="1446"/>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730" t="s">
        <v>2569</v>
      </c>
      <c r="G943" s="1731"/>
      <c r="H943" s="1731"/>
      <c r="I943" s="1731"/>
      <c r="J943" s="1731"/>
      <c r="K943" s="1731"/>
      <c r="L943" s="1731"/>
      <c r="M943" s="1731"/>
      <c r="N943" s="1731"/>
      <c r="O943" s="1731"/>
      <c r="P943" s="1731"/>
      <c r="Q943" s="1731"/>
      <c r="R943" s="1731"/>
      <c r="S943" s="1731"/>
      <c r="T943" s="1732"/>
      <c r="U943" s="1441" t="s">
        <v>599</v>
      </c>
      <c r="V943" s="1442"/>
      <c r="W943" s="1442"/>
      <c r="X943" s="1442"/>
      <c r="Y943" s="1442"/>
      <c r="Z943" s="1443"/>
      <c r="AA943" s="1444"/>
      <c r="AB943" s="1445"/>
      <c r="AC943" s="1445"/>
      <c r="AD943" s="1445"/>
      <c r="AE943" s="1445"/>
      <c r="AF943" s="1446"/>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441" t="s">
        <v>677</v>
      </c>
      <c r="Q944" s="1442"/>
      <c r="R944" s="1442"/>
      <c r="S944" s="1442"/>
      <c r="T944" s="1443"/>
      <c r="U944" s="1441" t="s">
        <v>599</v>
      </c>
      <c r="V944" s="1442"/>
      <c r="W944" s="1442"/>
      <c r="X944" s="1442"/>
      <c r="Y944" s="1442"/>
      <c r="Z944" s="1443"/>
      <c r="AA944" s="1444"/>
      <c r="AB944" s="1445"/>
      <c r="AC944" s="1445"/>
      <c r="AD944" s="1445"/>
      <c r="AE944" s="1445"/>
      <c r="AF944" s="1446"/>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587" t="s">
        <v>2556</v>
      </c>
      <c r="G945" s="1588"/>
      <c r="H945" s="1589"/>
      <c r="I945" s="1544" t="s">
        <v>335</v>
      </c>
      <c r="J945" s="1575"/>
      <c r="K945" s="1575"/>
      <c r="L945" s="1575"/>
      <c r="M945" s="1575"/>
      <c r="N945" s="1575"/>
      <c r="O945" s="1575"/>
      <c r="P945" s="1575"/>
      <c r="Q945" s="1575"/>
      <c r="R945" s="1575"/>
      <c r="S945" s="1575"/>
      <c r="T945" s="1576"/>
      <c r="U945" s="1441" t="s">
        <v>599</v>
      </c>
      <c r="V945" s="1442"/>
      <c r="W945" s="1442"/>
      <c r="X945" s="1442"/>
      <c r="Y945" s="1442"/>
      <c r="Z945" s="1443"/>
      <c r="AA945" s="1444"/>
      <c r="AB945" s="1445"/>
      <c r="AC945" s="1445"/>
      <c r="AD945" s="1445"/>
      <c r="AE945" s="1445"/>
      <c r="AF945" s="1446"/>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544" t="s">
        <v>2687</v>
      </c>
      <c r="J946" s="1575"/>
      <c r="K946" s="1575"/>
      <c r="L946" s="1575"/>
      <c r="M946" s="1575"/>
      <c r="N946" s="1575"/>
      <c r="O946" s="1575"/>
      <c r="P946" s="1575"/>
      <c r="Q946" s="1575"/>
      <c r="R946" s="1575"/>
      <c r="S946" s="1575"/>
      <c r="T946" s="1576"/>
      <c r="U946" s="1441" t="s">
        <v>553</v>
      </c>
      <c r="V946" s="1442"/>
      <c r="W946" s="1442"/>
      <c r="X946" s="1442"/>
      <c r="Y946" s="1442"/>
      <c r="Z946" s="1443"/>
      <c r="AA946" s="1444">
        <v>4000000</v>
      </c>
      <c r="AB946" s="1445"/>
      <c r="AC946" s="1445"/>
      <c r="AD946" s="1445"/>
      <c r="AE946" s="1445"/>
      <c r="AF946" s="1446"/>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544" t="s">
        <v>2639</v>
      </c>
      <c r="J947" s="1545"/>
      <c r="K947" s="1545"/>
      <c r="L947" s="1545"/>
      <c r="M947" s="1545"/>
      <c r="N947" s="1545"/>
      <c r="O947" s="1545"/>
      <c r="P947" s="1545"/>
      <c r="Q947" s="1545"/>
      <c r="R947" s="1545"/>
      <c r="S947" s="1545"/>
      <c r="T947" s="1546"/>
      <c r="U947" s="1441" t="s">
        <v>553</v>
      </c>
      <c r="V947" s="1442"/>
      <c r="W947" s="1442"/>
      <c r="X947" s="1442"/>
      <c r="Y947" s="1442"/>
      <c r="Z947" s="1443"/>
      <c r="AA947" s="1444">
        <v>26500000</v>
      </c>
      <c r="AB947" s="1445"/>
      <c r="AC947" s="1445"/>
      <c r="AD947" s="1445"/>
      <c r="AE947" s="1445"/>
      <c r="AF947" s="1446"/>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544" t="s">
        <v>2688</v>
      </c>
      <c r="J948" s="1545"/>
      <c r="K948" s="1545"/>
      <c r="L948" s="1545"/>
      <c r="M948" s="1545"/>
      <c r="N948" s="1545"/>
      <c r="O948" s="1545"/>
      <c r="P948" s="1545"/>
      <c r="Q948" s="1545"/>
      <c r="R948" s="1545"/>
      <c r="S948" s="1545"/>
      <c r="T948" s="1546"/>
      <c r="U948" s="1441" t="s">
        <v>553</v>
      </c>
      <c r="V948" s="1442"/>
      <c r="W948" s="1442"/>
      <c r="X948" s="1442"/>
      <c r="Y948" s="1442"/>
      <c r="Z948" s="1443"/>
      <c r="AA948" s="1444">
        <v>8000000</v>
      </c>
      <c r="AB948" s="1445"/>
      <c r="AC948" s="1445"/>
      <c r="AD948" s="1445"/>
      <c r="AE948" s="1445"/>
      <c r="AF948" s="1446"/>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571" t="s">
        <v>335</v>
      </c>
      <c r="J949" s="1545"/>
      <c r="K949" s="1545"/>
      <c r="L949" s="1545"/>
      <c r="M949" s="1545"/>
      <c r="N949" s="1545"/>
      <c r="O949" s="1545"/>
      <c r="P949" s="1545"/>
      <c r="Q949" s="1545"/>
      <c r="R949" s="1545"/>
      <c r="S949" s="1545"/>
      <c r="T949" s="1546"/>
      <c r="U949" s="1441" t="s">
        <v>599</v>
      </c>
      <c r="V949" s="1442"/>
      <c r="W949" s="1442"/>
      <c r="X949" s="1442"/>
      <c r="Y949" s="1442"/>
      <c r="Z949" s="1443"/>
      <c r="AA949" s="1444"/>
      <c r="AB949" s="1445"/>
      <c r="AC949" s="1445"/>
      <c r="AD949" s="1445"/>
      <c r="AE949" s="1445"/>
      <c r="AF949" s="1446"/>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720">
        <v>45393</v>
      </c>
      <c r="N954" s="1609"/>
      <c r="O954" s="1609"/>
      <c r="P954" s="1609"/>
      <c r="Q954" s="1609"/>
      <c r="R954" s="1609"/>
      <c r="S954" s="1610"/>
      <c r="U954" s="66" t="s">
        <v>11</v>
      </c>
      <c r="V954" s="5"/>
      <c r="W954" s="5"/>
      <c r="X954" s="5"/>
      <c r="Y954" s="5"/>
      <c r="Z954" s="5"/>
      <c r="AA954" s="5"/>
      <c r="AB954" s="5"/>
      <c r="AC954" s="5"/>
      <c r="AD954" s="46"/>
      <c r="AE954" s="1720"/>
      <c r="AF954" s="1609"/>
      <c r="AG954" s="1609"/>
      <c r="AH954" s="1609"/>
      <c r="AI954" s="1609"/>
      <c r="AJ954" s="1609"/>
      <c r="AK954" s="1610"/>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581" t="s">
        <v>2686</v>
      </c>
      <c r="N955" s="1582"/>
      <c r="O955" s="1582"/>
      <c r="P955" s="1582"/>
      <c r="Q955" s="1582"/>
      <c r="R955" s="1582"/>
      <c r="S955" s="1583"/>
      <c r="U955" s="66" t="s">
        <v>12</v>
      </c>
      <c r="V955" s="5"/>
      <c r="W955" s="5"/>
      <c r="X955" s="5"/>
      <c r="Y955" s="5"/>
      <c r="Z955" s="5"/>
      <c r="AA955" s="5"/>
      <c r="AB955" s="5"/>
      <c r="AC955" s="5"/>
      <c r="AD955" s="46"/>
      <c r="AE955" s="1581"/>
      <c r="AF955" s="1582"/>
      <c r="AG955" s="1582"/>
      <c r="AH955" s="1582"/>
      <c r="AI955" s="1582"/>
      <c r="AJ955" s="1582"/>
      <c r="AK955" s="1583"/>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568" t="s">
        <v>2787</v>
      </c>
      <c r="K956" s="1569"/>
      <c r="L956" s="1569"/>
      <c r="M956" s="1569"/>
      <c r="N956" s="1569"/>
      <c r="O956" s="1569"/>
      <c r="P956" s="1569"/>
      <c r="Q956" s="1569"/>
      <c r="R956" s="1569"/>
      <c r="S956" s="1570"/>
      <c r="U956" s="66" t="s">
        <v>892</v>
      </c>
      <c r="V956" s="5"/>
      <c r="W956" s="5"/>
      <c r="AB956" s="1568" t="s">
        <v>308</v>
      </c>
      <c r="AC956" s="1569"/>
      <c r="AD956" s="1569"/>
      <c r="AE956" s="1569"/>
      <c r="AF956" s="1569"/>
      <c r="AG956" s="1569"/>
      <c r="AH956" s="1569"/>
      <c r="AI956" s="1569"/>
      <c r="AJ956" s="1569"/>
      <c r="AK956" s="1570"/>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506">
        <v>1.1000000000000001</v>
      </c>
      <c r="N957" s="1507"/>
      <c r="O957" s="1507"/>
      <c r="P957" s="1507"/>
      <c r="Q957" s="1507"/>
      <c r="R957" s="1507"/>
      <c r="S957" s="1508"/>
      <c r="U957" s="66" t="s">
        <v>13</v>
      </c>
      <c r="V957" s="5"/>
      <c r="W957" s="5"/>
      <c r="X957" s="5"/>
      <c r="Y957" s="5"/>
      <c r="Z957" s="5"/>
      <c r="AA957" s="5"/>
      <c r="AB957" s="5"/>
      <c r="AC957" s="5"/>
      <c r="AD957" s="46"/>
      <c r="AE957" s="1647"/>
      <c r="AF957" s="1507"/>
      <c r="AG957" s="1507"/>
      <c r="AH957" s="1507"/>
      <c r="AI957" s="1507"/>
      <c r="AJ957" s="1507"/>
      <c r="AK957" s="1508"/>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613">
        <v>65</v>
      </c>
      <c r="N958" s="1614"/>
      <c r="O958" s="1614"/>
      <c r="P958" s="1614"/>
      <c r="Q958" s="1614"/>
      <c r="R958" s="1614"/>
      <c r="S958" s="1615"/>
      <c r="U958" s="66" t="s">
        <v>14</v>
      </c>
      <c r="V958" s="5"/>
      <c r="W958" s="5"/>
      <c r="X958" s="5"/>
      <c r="Y958" s="5"/>
      <c r="Z958" s="5"/>
      <c r="AA958" s="5"/>
      <c r="AB958" s="5"/>
      <c r="AC958" s="5"/>
      <c r="AD958" s="46"/>
      <c r="AE958" s="1613"/>
      <c r="AF958" s="1614"/>
      <c r="AG958" s="1614"/>
      <c r="AH958" s="1614"/>
      <c r="AI958" s="1614"/>
      <c r="AJ958" s="1614"/>
      <c r="AK958" s="1615"/>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444">
        <v>1283040</v>
      </c>
      <c r="N959" s="1445"/>
      <c r="O959" s="1445"/>
      <c r="P959" s="1445"/>
      <c r="Q959" s="1445"/>
      <c r="R959" s="1445"/>
      <c r="S959" s="1446"/>
      <c r="U959" s="66" t="s">
        <v>15</v>
      </c>
      <c r="V959" s="5"/>
      <c r="W959" s="5"/>
      <c r="X959" s="5"/>
      <c r="Y959" s="5"/>
      <c r="Z959" s="5"/>
      <c r="AA959" s="5"/>
      <c r="AB959" s="5"/>
      <c r="AC959" s="5"/>
      <c r="AD959" s="46"/>
      <c r="AE959" s="1444"/>
      <c r="AF959" s="1445"/>
      <c r="AG959" s="1445"/>
      <c r="AH959" s="1445"/>
      <c r="AI959" s="1445"/>
      <c r="AJ959" s="1445"/>
      <c r="AK959" s="1446"/>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444">
        <v>25660800</v>
      </c>
      <c r="N960" s="1445"/>
      <c r="O960" s="1445"/>
      <c r="P960" s="1445"/>
      <c r="Q960" s="1445"/>
      <c r="R960" s="1445"/>
      <c r="S960" s="1446"/>
      <c r="U960" s="66" t="s">
        <v>16</v>
      </c>
      <c r="V960" s="5"/>
      <c r="W960" s="5"/>
      <c r="X960" s="5"/>
      <c r="Y960" s="5"/>
      <c r="Z960" s="5"/>
      <c r="AA960" s="5"/>
      <c r="AB960" s="5"/>
      <c r="AC960" s="5"/>
      <c r="AD960" s="46"/>
      <c r="AE960" s="1444"/>
      <c r="AF960" s="1445"/>
      <c r="AG960" s="1445"/>
      <c r="AH960" s="1445"/>
      <c r="AI960" s="1445"/>
      <c r="AJ960" s="1445"/>
      <c r="AK960" s="1446"/>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1775</v>
      </c>
      <c r="D961" s="5"/>
      <c r="E961" s="5"/>
      <c r="F961" s="5"/>
      <c r="G961" s="5"/>
      <c r="H961" s="5"/>
      <c r="I961" s="5"/>
      <c r="J961" s="5"/>
      <c r="K961" s="5"/>
      <c r="L961" s="46"/>
      <c r="M961" s="1503">
        <v>20</v>
      </c>
      <c r="N961" s="1504"/>
      <c r="O961" s="1504"/>
      <c r="P961" s="1504"/>
      <c r="Q961" s="1504"/>
      <c r="R961" s="1504"/>
      <c r="S961" s="1505"/>
      <c r="U961" s="121" t="s">
        <v>1775</v>
      </c>
      <c r="V961" s="5"/>
      <c r="W961" s="5"/>
      <c r="X961" s="5"/>
      <c r="Y961" s="5"/>
      <c r="Z961" s="5"/>
      <c r="AA961" s="5"/>
      <c r="AB961" s="5"/>
      <c r="AC961" s="5"/>
      <c r="AD961" s="46"/>
      <c r="AE961" s="1503"/>
      <c r="AF961" s="1504"/>
      <c r="AG961" s="1504"/>
      <c r="AH961" s="1504"/>
      <c r="AI961" s="1504"/>
      <c r="AJ961" s="1504"/>
      <c r="AK961" s="1505"/>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493"/>
      <c r="N966" s="1494"/>
      <c r="O966" s="1494"/>
      <c r="P966" s="1494"/>
      <c r="Q966" s="1494"/>
      <c r="R966" s="1494"/>
      <c r="S966" s="1495"/>
      <c r="T966" s="66" t="s">
        <v>799</v>
      </c>
      <c r="U966" s="5"/>
      <c r="V966" s="5"/>
      <c r="W966" s="5"/>
      <c r="X966" s="5"/>
      <c r="Y966" s="5"/>
      <c r="Z966" s="46"/>
      <c r="AA966" s="1493"/>
      <c r="AB966" s="1494"/>
      <c r="AC966" s="1494"/>
      <c r="AD966" s="1494"/>
      <c r="AE966" s="1494"/>
      <c r="AF966" s="1494"/>
      <c r="AG966" s="1495"/>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493"/>
      <c r="N967" s="1494"/>
      <c r="O967" s="1494"/>
      <c r="P967" s="1494"/>
      <c r="Q967" s="1494"/>
      <c r="R967" s="1494"/>
      <c r="S967" s="1495"/>
      <c r="T967" s="66" t="s">
        <v>798</v>
      </c>
      <c r="U967" s="5"/>
      <c r="V967" s="5"/>
      <c r="W967" s="5"/>
      <c r="X967" s="5"/>
      <c r="Y967" s="5"/>
      <c r="Z967" s="46"/>
      <c r="AA967" s="1493"/>
      <c r="AB967" s="1494"/>
      <c r="AC967" s="1494"/>
      <c r="AD967" s="1494"/>
      <c r="AE967" s="1494"/>
      <c r="AF967" s="1494"/>
      <c r="AG967" s="1495"/>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634" t="s">
        <v>599</v>
      </c>
      <c r="N968" s="1635"/>
      <c r="O968" s="1635"/>
      <c r="P968" s="1635"/>
      <c r="Q968" s="1635"/>
      <c r="R968" s="1635"/>
      <c r="S968" s="1636"/>
      <c r="T968" s="45" t="s">
        <v>338</v>
      </c>
      <c r="U968" s="5"/>
      <c r="V968" s="5"/>
      <c r="W968" s="5"/>
      <c r="X968" s="5"/>
      <c r="Y968" s="5"/>
      <c r="Z968" s="46"/>
      <c r="AA968" s="1493"/>
      <c r="AB968" s="1494"/>
      <c r="AC968" s="1494"/>
      <c r="AD968" s="1494"/>
      <c r="AE968" s="1494"/>
      <c r="AF968" s="1494"/>
      <c r="AG968" s="1495"/>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493"/>
      <c r="N969" s="1494"/>
      <c r="O969" s="1494"/>
      <c r="P969" s="1494"/>
      <c r="Q969" s="1494"/>
      <c r="R969" s="1494"/>
      <c r="S969" s="1495"/>
      <c r="T969" s="45" t="s">
        <v>339</v>
      </c>
      <c r="U969" s="5"/>
      <c r="V969" s="5"/>
      <c r="W969" s="5"/>
      <c r="X969" s="5"/>
      <c r="Y969" s="5"/>
      <c r="Z969" s="46"/>
      <c r="AA969" s="1493"/>
      <c r="AB969" s="1494"/>
      <c r="AC969" s="1494"/>
      <c r="AD969" s="1494"/>
      <c r="AE969" s="1494"/>
      <c r="AF969" s="1494"/>
      <c r="AG969" s="1495"/>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493"/>
      <c r="N970" s="1494"/>
      <c r="O970" s="1494"/>
      <c r="P970" s="1494"/>
      <c r="Q970" s="1494"/>
      <c r="R970" s="1494"/>
      <c r="S970" s="1495"/>
      <c r="T970" s="45" t="s">
        <v>377</v>
      </c>
      <c r="U970" s="5"/>
      <c r="V970" s="5"/>
      <c r="W970" s="5"/>
      <c r="X970" s="5"/>
      <c r="Y970" s="5"/>
      <c r="Z970" s="46"/>
      <c r="AA970" s="1493"/>
      <c r="AB970" s="1494"/>
      <c r="AC970" s="1494"/>
      <c r="AD970" s="1494"/>
      <c r="AE970" s="1494"/>
      <c r="AF970" s="1494"/>
      <c r="AG970" s="1495"/>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892</v>
      </c>
      <c r="G971" s="42"/>
      <c r="H971" s="42"/>
      <c r="I971" s="42"/>
      <c r="J971" s="42"/>
      <c r="K971" s="42"/>
      <c r="L971" s="58"/>
      <c r="M971" s="1625" t="s">
        <v>308</v>
      </c>
      <c r="N971" s="1626"/>
      <c r="O971" s="1626"/>
      <c r="P971" s="1626"/>
      <c r="Q971" s="1626"/>
      <c r="R971" s="1626"/>
      <c r="S971" s="1627"/>
      <c r="T971" s="1572"/>
      <c r="U971" s="1573"/>
      <c r="V971" s="1573"/>
      <c r="W971" s="1573"/>
      <c r="X971" s="1573"/>
      <c r="Y971" s="1573"/>
      <c r="Z971" s="1574"/>
      <c r="AA971" s="1493"/>
      <c r="AB971" s="1494"/>
      <c r="AC971" s="1494"/>
      <c r="AD971" s="1494"/>
      <c r="AE971" s="1494"/>
      <c r="AF971" s="1494"/>
      <c r="AG971" s="1495"/>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493"/>
      <c r="N972" s="1494"/>
      <c r="O972" s="1494"/>
      <c r="P972" s="1494"/>
      <c r="Q972" s="1494"/>
      <c r="R972" s="1494"/>
      <c r="S972" s="1495"/>
      <c r="T972" s="1572"/>
      <c r="U972" s="1573"/>
      <c r="V972" s="1573"/>
      <c r="W972" s="1573"/>
      <c r="X972" s="1573"/>
      <c r="Y972" s="1573"/>
      <c r="Z972" s="1574"/>
      <c r="AA972" s="1493"/>
      <c r="AB972" s="1494"/>
      <c r="AC972" s="1494"/>
      <c r="AD972" s="1494"/>
      <c r="AE972" s="1494"/>
      <c r="AF972" s="1494"/>
      <c r="AG972" s="1495"/>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698" t="s">
        <v>677</v>
      </c>
      <c r="P973" s="1699"/>
      <c r="Q973" s="92"/>
      <c r="R973" s="92"/>
      <c r="S973" s="93"/>
      <c r="T973" s="41" t="s">
        <v>170</v>
      </c>
      <c r="U973" s="42"/>
      <c r="V973" s="42"/>
      <c r="W973" s="1622" t="s">
        <v>335</v>
      </c>
      <c r="X973" s="1623"/>
      <c r="Y973" s="1623"/>
      <c r="Z973" s="1623"/>
      <c r="AA973" s="1623"/>
      <c r="AB973" s="1623"/>
      <c r="AC973" s="1623"/>
      <c r="AD973" s="1623"/>
      <c r="AE973" s="1623"/>
      <c r="AF973" s="1623"/>
      <c r="AG973" s="1624"/>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21" t="s">
        <v>33</v>
      </c>
      <c r="G974" s="1457"/>
      <c r="H974" s="1457"/>
      <c r="I974" s="1457"/>
      <c r="J974" s="1457"/>
      <c r="K974" s="1457"/>
      <c r="L974" s="1457"/>
      <c r="M974" s="1493"/>
      <c r="N974" s="1494"/>
      <c r="O974" s="1494"/>
      <c r="P974" s="1494"/>
      <c r="Q974" s="1494"/>
      <c r="R974" s="1494"/>
      <c r="S974" s="1495"/>
      <c r="T974" s="47"/>
      <c r="U974" s="48"/>
      <c r="V974" s="48"/>
      <c r="W974" s="48"/>
      <c r="X974" s="48"/>
      <c r="Y974" s="48"/>
      <c r="Z974" s="124" t="s">
        <v>134</v>
      </c>
      <c r="AA974" s="1724"/>
      <c r="AB974" s="1725"/>
      <c r="AC974" s="1725"/>
      <c r="AD974" s="1725"/>
      <c r="AE974" s="1725"/>
      <c r="AF974" s="1725"/>
      <c r="AG974" s="1726"/>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33"/>
      <c r="BH975" s="1633"/>
      <c r="BI975" s="1633"/>
      <c r="BJ975" s="1633"/>
      <c r="BK975" s="1633"/>
      <c r="BL975" s="1633"/>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56" t="s">
        <v>556</v>
      </c>
      <c r="B978" s="1456"/>
      <c r="C978" s="1456"/>
      <c r="D978" s="1456"/>
      <c r="E978" s="1456"/>
      <c r="F978" s="1456"/>
      <c r="G978" s="1456"/>
      <c r="H978" s="1456"/>
      <c r="I978" s="1456"/>
      <c r="J978" s="1456"/>
      <c r="K978" s="1456"/>
      <c r="L978" s="1456"/>
      <c r="M978" s="1456"/>
      <c r="N978" s="1456"/>
      <c r="O978" s="1456"/>
      <c r="P978" s="1456"/>
      <c r="Q978" s="1456"/>
      <c r="R978" s="1456"/>
      <c r="S978" s="1456"/>
      <c r="T978" s="1456"/>
      <c r="U978" s="1456"/>
      <c r="V978" s="1456"/>
      <c r="W978" s="1456"/>
      <c r="X978" s="1456"/>
      <c r="Y978" s="1456"/>
      <c r="Z978" s="1456"/>
      <c r="AA978" s="1456"/>
      <c r="AB978" s="1456"/>
      <c r="AC978" s="1456"/>
      <c r="AD978" s="1456"/>
      <c r="AE978" s="1456"/>
      <c r="AF978" s="1456"/>
      <c r="AG978" s="1456"/>
      <c r="AH978" s="1456"/>
      <c r="AI978" s="1456"/>
      <c r="AJ978" s="1456"/>
      <c r="AK978" s="1456"/>
      <c r="AL978" s="1456"/>
      <c r="AM978" s="1456"/>
      <c r="AN978" s="1456"/>
      <c r="AO978" s="1456"/>
      <c r="AP978" s="1456"/>
      <c r="AQ978" s="1456"/>
      <c r="AR978" s="1456"/>
      <c r="AS978" s="1456"/>
      <c r="AT978" s="1456"/>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56"/>
      <c r="B979" s="1456"/>
      <c r="C979" s="1456"/>
      <c r="D979" s="1456"/>
      <c r="E979" s="1456"/>
      <c r="F979" s="1456"/>
      <c r="G979" s="1456"/>
      <c r="H979" s="1456"/>
      <c r="I979" s="1456"/>
      <c r="J979" s="1456"/>
      <c r="K979" s="1456"/>
      <c r="L979" s="1456"/>
      <c r="M979" s="1456"/>
      <c r="N979" s="1456"/>
      <c r="O979" s="1456"/>
      <c r="P979" s="1456"/>
      <c r="Q979" s="1456"/>
      <c r="R979" s="1456"/>
      <c r="S979" s="1456"/>
      <c r="T979" s="1456"/>
      <c r="U979" s="1456"/>
      <c r="V979" s="1456"/>
      <c r="W979" s="1456"/>
      <c r="X979" s="1456"/>
      <c r="Y979" s="1456"/>
      <c r="Z979" s="1456"/>
      <c r="AA979" s="1456"/>
      <c r="AB979" s="1456"/>
      <c r="AC979" s="1456"/>
      <c r="AD979" s="1456"/>
      <c r="AE979" s="1456"/>
      <c r="AF979" s="1456"/>
      <c r="AG979" s="1456"/>
      <c r="AH979" s="1456"/>
      <c r="AI979" s="1456"/>
      <c r="AJ979" s="1456"/>
      <c r="AK979" s="1456"/>
      <c r="AL979" s="1456"/>
      <c r="AM979" s="1456"/>
      <c r="AN979" s="1456"/>
      <c r="AO979" s="1456"/>
      <c r="AP979" s="1456"/>
      <c r="AQ979" s="1456"/>
      <c r="AR979" s="1456"/>
      <c r="AS979" s="1456"/>
      <c r="AT979" s="1456"/>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56"/>
      <c r="B980" s="1456"/>
      <c r="C980" s="1456"/>
      <c r="D980" s="1456"/>
      <c r="E980" s="1456"/>
      <c r="F980" s="1456"/>
      <c r="G980" s="1456"/>
      <c r="H980" s="1456"/>
      <c r="I980" s="1456"/>
      <c r="J980" s="1456"/>
      <c r="K980" s="1456"/>
      <c r="L980" s="1456"/>
      <c r="M980" s="1456"/>
      <c r="N980" s="1456"/>
      <c r="O980" s="1456"/>
      <c r="P980" s="1456"/>
      <c r="Q980" s="1456"/>
      <c r="R980" s="1456"/>
      <c r="S980" s="1456"/>
      <c r="T980" s="1456"/>
      <c r="U980" s="1456"/>
      <c r="V980" s="1456"/>
      <c r="W980" s="1456"/>
      <c r="X980" s="1456"/>
      <c r="Y980" s="1456"/>
      <c r="Z980" s="1456"/>
      <c r="AA980" s="1456"/>
      <c r="AB980" s="1456"/>
      <c r="AC980" s="1456"/>
      <c r="AD980" s="1456"/>
      <c r="AE980" s="1456"/>
      <c r="AF980" s="1456"/>
      <c r="AG980" s="1456"/>
      <c r="AH980" s="1456"/>
      <c r="AI980" s="1456"/>
      <c r="AJ980" s="1456"/>
      <c r="AK980" s="1456"/>
      <c r="AL980" s="1456"/>
      <c r="AM980" s="1456"/>
      <c r="AN980" s="1456"/>
      <c r="AO980" s="1456"/>
      <c r="AP980" s="1456"/>
      <c r="AQ980" s="1456"/>
      <c r="AR980" s="1456"/>
      <c r="AS980" s="1456"/>
      <c r="AT980" s="1456"/>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496" t="s">
        <v>646</v>
      </c>
      <c r="E984" s="1497"/>
      <c r="F984" s="1497"/>
      <c r="G984" s="1497"/>
      <c r="H984" s="1497"/>
      <c r="I984" s="1497"/>
      <c r="J984" s="1497"/>
      <c r="K984" s="1497"/>
      <c r="L984" s="1497"/>
      <c r="M984" s="1497"/>
      <c r="N984" s="1497"/>
      <c r="O984" s="1497"/>
      <c r="P984" s="1497"/>
      <c r="Q984" s="1498"/>
      <c r="R984" s="1496" t="s">
        <v>647</v>
      </c>
      <c r="S984" s="1497"/>
      <c r="T984" s="1497"/>
      <c r="U984" s="1497"/>
      <c r="V984" s="1497"/>
      <c r="W984" s="1497"/>
      <c r="X984" s="1497"/>
      <c r="Y984" s="1497"/>
      <c r="Z984" s="1497"/>
      <c r="AA984" s="1498"/>
      <c r="AB984" s="1496" t="s">
        <v>648</v>
      </c>
      <c r="AC984" s="1497"/>
      <c r="AD984" s="1497"/>
      <c r="AE984" s="1497"/>
      <c r="AF984" s="1497"/>
      <c r="AG984" s="1497"/>
      <c r="AH984" s="1497"/>
      <c r="AI984" s="1498"/>
      <c r="AJ984" s="1496" t="s">
        <v>649</v>
      </c>
      <c r="AK984" s="1497"/>
      <c r="AL984" s="1497"/>
      <c r="AM984" s="1497"/>
      <c r="AN984" s="1497"/>
      <c r="AO984" s="1497"/>
      <c r="AP984" s="1497"/>
      <c r="AQ984" s="1498"/>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05" t="s">
        <v>641</v>
      </c>
      <c r="E985" s="1406"/>
      <c r="F985" s="1406"/>
      <c r="G985" s="1406"/>
      <c r="H985" s="1406"/>
      <c r="I985" s="1406"/>
      <c r="J985" s="1406"/>
      <c r="K985" s="1406"/>
      <c r="L985" s="1406"/>
      <c r="M985" s="1406"/>
      <c r="N985" s="1406"/>
      <c r="O985" s="1406"/>
      <c r="P985" s="1406"/>
      <c r="Q985" s="1407"/>
      <c r="R985" s="1580">
        <f>IF(ISNA(IF($BN$796="4%",(INDEX($BP$806:$BT$863,MATCH($CB$796,$BO$806:$BO$863,0),MATCH(D985,$BP$805:$BT$805,0))),(INDEX($BW$806:$CA$863,MATCH($CB$796,$BV$806:$BV$863,0),MATCH(D985,$BW$805:$CA$805,0))))),0,IF($BN$796="4%",(INDEX($BP$806:$BT$863,MATCH($CB$796,$BO$806:$BO$863,0),MATCH(D985,$BP$805:$BT$805,0))),(INDEX($BW$806:$CA$863,MATCH($CB$796,$BV$806:$BV$863,0),MATCH(D985,$BW$805:$CA$805,0)))))</f>
        <v>532060</v>
      </c>
      <c r="S985" s="1580"/>
      <c r="T985" s="1580"/>
      <c r="U985" s="1580"/>
      <c r="V985" s="1580"/>
      <c r="W985" s="1580"/>
      <c r="X985" s="1580"/>
      <c r="Y985" s="1580"/>
      <c r="Z985" s="1580"/>
      <c r="AA985" s="1580"/>
      <c r="AB985" s="1408">
        <f>BN660</f>
        <v>60</v>
      </c>
      <c r="AC985" s="1409"/>
      <c r="AD985" s="1409"/>
      <c r="AE985" s="1409"/>
      <c r="AF985" s="1409"/>
      <c r="AG985" s="1409"/>
      <c r="AH985" s="1409"/>
      <c r="AI985" s="1410"/>
      <c r="AJ985" s="1515">
        <f>IF(ISERROR((R985*AB985)),0,(R985*AB985))</f>
        <v>31923600</v>
      </c>
      <c r="AK985" s="1516"/>
      <c r="AL985" s="1516"/>
      <c r="AM985" s="1516"/>
      <c r="AN985" s="1516"/>
      <c r="AO985" s="1516"/>
      <c r="AP985" s="1516"/>
      <c r="AQ985" s="1517"/>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05" t="s">
        <v>326</v>
      </c>
      <c r="E986" s="1406"/>
      <c r="F986" s="1406"/>
      <c r="G986" s="1406"/>
      <c r="H986" s="1406"/>
      <c r="I986" s="1406"/>
      <c r="J986" s="1406"/>
      <c r="K986" s="1406"/>
      <c r="L986" s="1406"/>
      <c r="M986" s="1406"/>
      <c r="N986" s="1406"/>
      <c r="O986" s="1406"/>
      <c r="P986" s="1406"/>
      <c r="Q986" s="1407"/>
      <c r="R986" s="1580">
        <f>IF(ISNA(IF($BN$796="4%",(INDEX($BP$806:$BT$863,MATCH($CB$796,$BO$806:$BO$863,0),MATCH(D986,$BP$805:$BT$805,0))),(INDEX($BW$806:$CA$863,MATCH($CB$796,$BV$806:$BV$863,0),MATCH(D986,$BW$805:$CA$805,0))))),0,IF($BN$796="4%",(INDEX($BP$806:$BT$863,MATCH($CB$796,$BO$806:$BO$863,0),MATCH(D986,$BP$805:$BT$805,0))),(INDEX($BW$806:$CA$863,MATCH($CB$796,$BV$806:$BV$863,0),MATCH(D986,$BW$805:$CA$805,0)))))</f>
        <v>613460</v>
      </c>
      <c r="S986" s="1580"/>
      <c r="T986" s="1580"/>
      <c r="U986" s="1580"/>
      <c r="V986" s="1580"/>
      <c r="W986" s="1580"/>
      <c r="X986" s="1580"/>
      <c r="Y986" s="1580"/>
      <c r="Z986" s="1580"/>
      <c r="AA986" s="1580"/>
      <c r="AB986" s="1408">
        <f>BS660</f>
        <v>64</v>
      </c>
      <c r="AC986" s="1409"/>
      <c r="AD986" s="1409"/>
      <c r="AE986" s="1409"/>
      <c r="AF986" s="1409"/>
      <c r="AG986" s="1409"/>
      <c r="AH986" s="1409"/>
      <c r="AI986" s="1410"/>
      <c r="AJ986" s="1515">
        <f>IF(ISERROR((R986*AB986)),0,(R986*AB986))</f>
        <v>39261440</v>
      </c>
      <c r="AK986" s="1516"/>
      <c r="AL986" s="1516"/>
      <c r="AM986" s="1516"/>
      <c r="AN986" s="1516"/>
      <c r="AO986" s="1516"/>
      <c r="AP986" s="1516"/>
      <c r="AQ986" s="1517"/>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05" t="s">
        <v>163</v>
      </c>
      <c r="E987" s="1406"/>
      <c r="F987" s="1406"/>
      <c r="G987" s="1406"/>
      <c r="H987" s="1406"/>
      <c r="I987" s="1406"/>
      <c r="J987" s="1406"/>
      <c r="K987" s="1406"/>
      <c r="L987" s="1406"/>
      <c r="M987" s="1406"/>
      <c r="N987" s="1406"/>
      <c r="O987" s="1406"/>
      <c r="P987" s="1406"/>
      <c r="Q987" s="1407"/>
      <c r="R987" s="1580">
        <f>IF(ISNA(IF($BN$796="4%",(INDEX($BP$806:$BT$863,MATCH($CB$796,$BO$806:$BO$863,0),MATCH(D987,$BP$805:$BT$805,0))),(INDEX($BW$806:$CA$863,MATCH($CB$796,$BV$806:$BV$863,0),MATCH(D987,$BW$805:$CA$805,0))))),0,IF($BN$796="4%",(INDEX($BP$806:$BT$863,MATCH($CB$796,$BO$806:$BO$863,0),MATCH(D987,$BP$805:$BT$805,0))),(INDEX($BW$806:$CA$863,MATCH($CB$796,$BV$806:$BV$863,0),MATCH(D987,$BW$805:$CA$805,0)))))</f>
        <v>740000</v>
      </c>
      <c r="S987" s="1580"/>
      <c r="T987" s="1580"/>
      <c r="U987" s="1580"/>
      <c r="V987" s="1580"/>
      <c r="W987" s="1580"/>
      <c r="X987" s="1580"/>
      <c r="Y987" s="1580"/>
      <c r="Z987" s="1580"/>
      <c r="AA987" s="1580"/>
      <c r="AB987" s="1408">
        <f>BX660</f>
        <v>28</v>
      </c>
      <c r="AC987" s="1409"/>
      <c r="AD987" s="1409"/>
      <c r="AE987" s="1409"/>
      <c r="AF987" s="1409"/>
      <c r="AG987" s="1409"/>
      <c r="AH987" s="1409"/>
      <c r="AI987" s="1410"/>
      <c r="AJ987" s="1515">
        <f>IF(ISERROR((R987*AB987)),0,(R987*AB987))</f>
        <v>20720000</v>
      </c>
      <c r="AK987" s="1516"/>
      <c r="AL987" s="1516"/>
      <c r="AM987" s="1516"/>
      <c r="AN987" s="1516"/>
      <c r="AO987" s="1516"/>
      <c r="AP987" s="1516"/>
      <c r="AQ987" s="1517"/>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05" t="s">
        <v>164</v>
      </c>
      <c r="E988" s="1406"/>
      <c r="F988" s="1406"/>
      <c r="G988" s="1406"/>
      <c r="H988" s="1406"/>
      <c r="I988" s="1406"/>
      <c r="J988" s="1406"/>
      <c r="K988" s="1406"/>
      <c r="L988" s="1406"/>
      <c r="M988" s="1406"/>
      <c r="N988" s="1406"/>
      <c r="O988" s="1406"/>
      <c r="P988" s="1406"/>
      <c r="Q988" s="1407"/>
      <c r="R988" s="1580">
        <f>IF(ISNA(IF($BN$796="4%",(INDEX($BP$806:$BT$863,MATCH($CB$796,$BO$806:$BO$863,0),MATCH(D988,$BP$805:$BT$805,0))),(INDEX($BW$806:$CA$863,MATCH($CB$796,$BV$806:$BV$863,0),MATCH(D988,$BW$805:$CA$805,0))))),0,IF($BN$796="4%",(INDEX($BP$806:$BT$863,MATCH($CB$796,$BO$806:$BO$863,0),MATCH(D988,$BP$805:$BT$805,0))),(INDEX($BW$806:$CA$863,MATCH($CB$796,$BV$806:$BV$863,0),MATCH(D988,$BW$805:$CA$805,0)))))</f>
        <v>947200</v>
      </c>
      <c r="S988" s="1580"/>
      <c r="T988" s="1580"/>
      <c r="U988" s="1580"/>
      <c r="V988" s="1580"/>
      <c r="W988" s="1580"/>
      <c r="X988" s="1580"/>
      <c r="Y988" s="1580"/>
      <c r="Z988" s="1580"/>
      <c r="AA988" s="1580"/>
      <c r="AB988" s="1408">
        <f>CC660</f>
        <v>8</v>
      </c>
      <c r="AC988" s="1409"/>
      <c r="AD988" s="1409"/>
      <c r="AE988" s="1409"/>
      <c r="AF988" s="1409"/>
      <c r="AG988" s="1409"/>
      <c r="AH988" s="1409"/>
      <c r="AI988" s="1410"/>
      <c r="AJ988" s="1515">
        <f>IF(ISERROR((R988*AB988)),0,(R988*AB988))</f>
        <v>7577600</v>
      </c>
      <c r="AK988" s="1516"/>
      <c r="AL988" s="1516"/>
      <c r="AM988" s="1516"/>
      <c r="AN988" s="1516"/>
      <c r="AO988" s="1516"/>
      <c r="AP988" s="1516"/>
      <c r="AQ988" s="1517"/>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05" t="s">
        <v>468</v>
      </c>
      <c r="E989" s="1406"/>
      <c r="F989" s="1406"/>
      <c r="G989" s="1406"/>
      <c r="H989" s="1406"/>
      <c r="I989" s="1406"/>
      <c r="J989" s="1406"/>
      <c r="K989" s="1406"/>
      <c r="L989" s="1406"/>
      <c r="M989" s="1406"/>
      <c r="N989" s="1406"/>
      <c r="O989" s="1406"/>
      <c r="P989" s="1406"/>
      <c r="Q989" s="1407"/>
      <c r="R989" s="1580">
        <f>IF(ISNA(IF($BN$796="4%",(INDEX($BP$806:$BT$863,MATCH($CB$796,$BO$806:$BO$863,0),MATCH(D989,$BP$805:$BT$805,0))),(INDEX($BW$806:$CA$863,MATCH($CB$796,$BV$806:$BV$863,0),MATCH(D989,$BW$805:$CA$805,0))))),0,IF($BN$796="4%",(INDEX($BP$806:$BT$863,MATCH($CB$796,$BO$806:$BO$863,0),MATCH(D989,$BP$805:$BT$805,0))),(INDEX($BW$806:$CA$863,MATCH($CB$796,$BV$806:$BV$863,0),MATCH(D989,$BW$805:$CA$805,0)))))</f>
        <v>1055240</v>
      </c>
      <c r="S989" s="1580"/>
      <c r="T989" s="1580"/>
      <c r="U989" s="1580"/>
      <c r="V989" s="1580"/>
      <c r="W989" s="1580"/>
      <c r="X989" s="1580"/>
      <c r="Y989" s="1580"/>
      <c r="Z989" s="1580"/>
      <c r="AA989" s="1580"/>
      <c r="AB989" s="1408">
        <f>CM660+CH660</f>
        <v>0</v>
      </c>
      <c r="AC989" s="1409"/>
      <c r="AD989" s="1409"/>
      <c r="AE989" s="1409"/>
      <c r="AF989" s="1409"/>
      <c r="AG989" s="1409"/>
      <c r="AH989" s="1409"/>
      <c r="AI989" s="1410"/>
      <c r="AJ989" s="1515">
        <f>IF(ISERROR((R989*AB989)),0,(R989*AB989))</f>
        <v>0</v>
      </c>
      <c r="AK989" s="1516"/>
      <c r="AL989" s="1516"/>
      <c r="AM989" s="1516"/>
      <c r="AN989" s="1516"/>
      <c r="AO989" s="1516"/>
      <c r="AP989" s="1516"/>
      <c r="AQ989" s="1517"/>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49" t="s">
        <v>800</v>
      </c>
      <c r="C990" s="1750"/>
      <c r="D990" s="1750"/>
      <c r="E990" s="1750"/>
      <c r="F990" s="1750"/>
      <c r="G990" s="1750"/>
      <c r="H990" s="1750"/>
      <c r="I990" s="1750"/>
      <c r="J990" s="1750"/>
      <c r="K990" s="1750"/>
      <c r="L990" s="1750"/>
      <c r="M990" s="1750"/>
      <c r="N990" s="1750"/>
      <c r="O990" s="1750"/>
      <c r="P990" s="1750"/>
      <c r="Q990" s="1750"/>
      <c r="R990" s="1750"/>
      <c r="S990" s="1750"/>
      <c r="T990" s="1750"/>
      <c r="U990" s="1750"/>
      <c r="V990" s="1750"/>
      <c r="W990" s="1750"/>
      <c r="X990" s="1750"/>
      <c r="Y990" s="1750"/>
      <c r="Z990" s="1750"/>
      <c r="AA990" s="1751"/>
      <c r="AB990" s="1408">
        <f>SUM(AB985:AI989)</f>
        <v>160</v>
      </c>
      <c r="AC990" s="1409"/>
      <c r="AD990" s="1409"/>
      <c r="AE990" s="1409"/>
      <c r="AF990" s="1409"/>
      <c r="AG990" s="1409"/>
      <c r="AH990" s="1409"/>
      <c r="AI990" s="1410"/>
      <c r="AJ990" s="1515"/>
      <c r="AK990" s="1516"/>
      <c r="AL990" s="1516"/>
      <c r="AM990" s="1516"/>
      <c r="AN990" s="1516"/>
      <c r="AO990" s="1516"/>
      <c r="AP990" s="1516"/>
      <c r="AQ990" s="1517"/>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590" t="s">
        <v>520</v>
      </c>
      <c r="C991" s="1591"/>
      <c r="D991" s="1591"/>
      <c r="E991" s="1591"/>
      <c r="F991" s="1591"/>
      <c r="G991" s="1591"/>
      <c r="H991" s="1591"/>
      <c r="I991" s="1591"/>
      <c r="J991" s="1591"/>
      <c r="K991" s="1591"/>
      <c r="L991" s="1591"/>
      <c r="M991" s="1591"/>
      <c r="N991" s="1591"/>
      <c r="O991" s="1591"/>
      <c r="P991" s="1591"/>
      <c r="Q991" s="1591"/>
      <c r="R991" s="1591"/>
      <c r="S991" s="1591"/>
      <c r="T991" s="1591"/>
      <c r="U991" s="1591"/>
      <c r="V991" s="1591"/>
      <c r="W991" s="1591"/>
      <c r="X991" s="1591"/>
      <c r="Y991" s="1591"/>
      <c r="Z991" s="1591"/>
      <c r="AA991" s="1591"/>
      <c r="AB991" s="1591"/>
      <c r="AC991" s="1591"/>
      <c r="AD991" s="1591"/>
      <c r="AE991" s="1591"/>
      <c r="AF991" s="1591"/>
      <c r="AG991" s="1591"/>
      <c r="AH991" s="1591"/>
      <c r="AI991" s="1592"/>
      <c r="AJ991" s="1515">
        <f>SUM(AJ985:AQ989)</f>
        <v>99482640</v>
      </c>
      <c r="AK991" s="1516"/>
      <c r="AL991" s="1516"/>
      <c r="AM991" s="1516"/>
      <c r="AN991" s="1516"/>
      <c r="AO991" s="1516"/>
      <c r="AP991" s="1516"/>
      <c r="AQ991" s="1517"/>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18"/>
      <c r="C992" s="1519"/>
      <c r="D992" s="1519"/>
      <c r="E992" s="1519"/>
      <c r="F992" s="1519"/>
      <c r="G992" s="1519"/>
      <c r="H992" s="1519"/>
      <c r="I992" s="1519"/>
      <c r="J992" s="1519"/>
      <c r="K992" s="1519"/>
      <c r="L992" s="1519"/>
      <c r="M992" s="1519"/>
      <c r="N992" s="1519"/>
      <c r="O992" s="1519"/>
      <c r="P992" s="1519"/>
      <c r="Q992" s="1519"/>
      <c r="R992" s="1519"/>
      <c r="S992" s="1519"/>
      <c r="T992" s="1519"/>
      <c r="U992" s="1519"/>
      <c r="V992" s="1519"/>
      <c r="W992" s="1519"/>
      <c r="X992" s="1519"/>
      <c r="Y992" s="1519"/>
      <c r="Z992" s="1519"/>
      <c r="AA992" s="1519"/>
      <c r="AB992" s="1519"/>
      <c r="AC992" s="1519"/>
      <c r="AD992" s="1519"/>
      <c r="AE992" s="1520"/>
      <c r="AF992" s="1524" t="s">
        <v>674</v>
      </c>
      <c r="AG992" s="1525"/>
      <c r="AH992" s="1525"/>
      <c r="AI992" s="1526"/>
      <c r="AJ992" s="1518"/>
      <c r="AK992" s="1519"/>
      <c r="AL992" s="1519"/>
      <c r="AM992" s="1519"/>
      <c r="AN992" s="1519"/>
      <c r="AO992" s="1519"/>
      <c r="AP992" s="1519"/>
      <c r="AQ992" s="1520"/>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676</v>
      </c>
      <c r="D993" s="1531" t="s">
        <v>1326</v>
      </c>
      <c r="E993" s="1532"/>
      <c r="F993" s="1532"/>
      <c r="G993" s="1532"/>
      <c r="H993" s="1532"/>
      <c r="I993" s="1532"/>
      <c r="J993" s="1532"/>
      <c r="K993" s="1532"/>
      <c r="L993" s="1532"/>
      <c r="M993" s="1532"/>
      <c r="N993" s="1532"/>
      <c r="O993" s="1532"/>
      <c r="P993" s="1532"/>
      <c r="Q993" s="1532"/>
      <c r="R993" s="1532"/>
      <c r="S993" s="1532"/>
      <c r="T993" s="1532"/>
      <c r="U993" s="1532"/>
      <c r="V993" s="1532"/>
      <c r="W993" s="1532"/>
      <c r="X993" s="1532"/>
      <c r="Y993" s="1532"/>
      <c r="Z993" s="1532"/>
      <c r="AA993" s="1532"/>
      <c r="AB993" s="1532"/>
      <c r="AC993" s="1532"/>
      <c r="AD993" s="1532"/>
      <c r="AE993" s="1533"/>
      <c r="AF993" s="79"/>
      <c r="AG993" s="1527" t="s">
        <v>553</v>
      </c>
      <c r="AH993" s="1528"/>
      <c r="AI993" s="87"/>
      <c r="AJ993" s="1547">
        <f>ROUND(IF(AND(AG993="yes",D999&gt;0),AJ991*0.2,0),0)</f>
        <v>19896528</v>
      </c>
      <c r="AK993" s="1548"/>
      <c r="AL993" s="1548"/>
      <c r="AM993" s="1548"/>
      <c r="AN993" s="1548"/>
      <c r="AO993" s="1548"/>
      <c r="AP993" s="1548"/>
      <c r="AQ993" s="1549"/>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565" t="s">
        <v>2570</v>
      </c>
      <c r="E994" s="1566"/>
      <c r="F994" s="1566"/>
      <c r="G994" s="1566"/>
      <c r="H994" s="1566"/>
      <c r="I994" s="1566"/>
      <c r="J994" s="1566"/>
      <c r="K994" s="1566"/>
      <c r="L994" s="1566"/>
      <c r="M994" s="1566"/>
      <c r="N994" s="1566"/>
      <c r="O994" s="1566"/>
      <c r="P994" s="1566"/>
      <c r="Q994" s="1566"/>
      <c r="R994" s="1566"/>
      <c r="S994" s="1566"/>
      <c r="T994" s="1566"/>
      <c r="U994" s="1566"/>
      <c r="V994" s="1566"/>
      <c r="W994" s="1566"/>
      <c r="X994" s="1566"/>
      <c r="Y994" s="1566"/>
      <c r="Z994" s="1566"/>
      <c r="AA994" s="1566"/>
      <c r="AB994" s="1566"/>
      <c r="AC994" s="1566"/>
      <c r="AD994" s="1566"/>
      <c r="AE994" s="1567"/>
      <c r="AF994" s="73"/>
      <c r="AG994" s="14"/>
      <c r="AH994" s="14"/>
      <c r="AI994" s="83"/>
      <c r="AJ994" s="1550"/>
      <c r="AK994" s="1551"/>
      <c r="AL994" s="1551"/>
      <c r="AM994" s="1551"/>
      <c r="AN994" s="1551"/>
      <c r="AO994" s="1551"/>
      <c r="AP994" s="1551"/>
      <c r="AQ994" s="1552"/>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565"/>
      <c r="E995" s="1566"/>
      <c r="F995" s="1566"/>
      <c r="G995" s="1566"/>
      <c r="H995" s="1566"/>
      <c r="I995" s="1566"/>
      <c r="J995" s="1566"/>
      <c r="K995" s="1566"/>
      <c r="L995" s="1566"/>
      <c r="M995" s="1566"/>
      <c r="N995" s="1566"/>
      <c r="O995" s="1566"/>
      <c r="P995" s="1566"/>
      <c r="Q995" s="1566"/>
      <c r="R995" s="1566"/>
      <c r="S995" s="1566"/>
      <c r="T995" s="1566"/>
      <c r="U995" s="1566"/>
      <c r="V995" s="1566"/>
      <c r="W995" s="1566"/>
      <c r="X995" s="1566"/>
      <c r="Y995" s="1566"/>
      <c r="Z995" s="1566"/>
      <c r="AA995" s="1566"/>
      <c r="AB995" s="1566"/>
      <c r="AC995" s="1566"/>
      <c r="AD995" s="1566"/>
      <c r="AE995" s="1567"/>
      <c r="AF995" s="73"/>
      <c r="AG995" s="14"/>
      <c r="AH995" s="14"/>
      <c r="AI995" s="83"/>
      <c r="AJ995" s="1550"/>
      <c r="AK995" s="1551"/>
      <c r="AL995" s="1551"/>
      <c r="AM995" s="1551"/>
      <c r="AN995" s="1551"/>
      <c r="AO995" s="1551"/>
      <c r="AP995" s="1551"/>
      <c r="AQ995" s="1552"/>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565"/>
      <c r="E996" s="1566"/>
      <c r="F996" s="1566"/>
      <c r="G996" s="1566"/>
      <c r="H996" s="1566"/>
      <c r="I996" s="1566"/>
      <c r="J996" s="1566"/>
      <c r="K996" s="1566"/>
      <c r="L996" s="1566"/>
      <c r="M996" s="1566"/>
      <c r="N996" s="1566"/>
      <c r="O996" s="1566"/>
      <c r="P996" s="1566"/>
      <c r="Q996" s="1566"/>
      <c r="R996" s="1566"/>
      <c r="S996" s="1566"/>
      <c r="T996" s="1566"/>
      <c r="U996" s="1566"/>
      <c r="V996" s="1566"/>
      <c r="W996" s="1566"/>
      <c r="X996" s="1566"/>
      <c r="Y996" s="1566"/>
      <c r="Z996" s="1566"/>
      <c r="AA996" s="1566"/>
      <c r="AB996" s="1566"/>
      <c r="AC996" s="1566"/>
      <c r="AD996" s="1566"/>
      <c r="AE996" s="1567"/>
      <c r="AF996" s="73"/>
      <c r="AG996" s="14"/>
      <c r="AH996" s="14"/>
      <c r="AI996" s="83"/>
      <c r="AJ996" s="1550"/>
      <c r="AK996" s="1551"/>
      <c r="AL996" s="1551"/>
      <c r="AM996" s="1551"/>
      <c r="AN996" s="1551"/>
      <c r="AO996" s="1551"/>
      <c r="AP996" s="1551"/>
      <c r="AQ996" s="1552"/>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565"/>
      <c r="E997" s="1566"/>
      <c r="F997" s="1566"/>
      <c r="G997" s="1566"/>
      <c r="H997" s="1566"/>
      <c r="I997" s="1566"/>
      <c r="J997" s="1566"/>
      <c r="K997" s="1566"/>
      <c r="L997" s="1566"/>
      <c r="M997" s="1566"/>
      <c r="N997" s="1566"/>
      <c r="O997" s="1566"/>
      <c r="P997" s="1566"/>
      <c r="Q997" s="1566"/>
      <c r="R997" s="1566"/>
      <c r="S997" s="1566"/>
      <c r="T997" s="1566"/>
      <c r="U997" s="1566"/>
      <c r="V997" s="1566"/>
      <c r="W997" s="1566"/>
      <c r="X997" s="1566"/>
      <c r="Y997" s="1566"/>
      <c r="Z997" s="1566"/>
      <c r="AA997" s="1566"/>
      <c r="AB997" s="1566"/>
      <c r="AC997" s="1566"/>
      <c r="AD997" s="1566"/>
      <c r="AE997" s="1567"/>
      <c r="AF997" s="73"/>
      <c r="AG997" s="14"/>
      <c r="AH997" s="14"/>
      <c r="AI997" s="83"/>
      <c r="AJ997" s="1550"/>
      <c r="AK997" s="1551"/>
      <c r="AL997" s="1551"/>
      <c r="AM997" s="1551"/>
      <c r="AN997" s="1551"/>
      <c r="AO997" s="1551"/>
      <c r="AP997" s="1551"/>
      <c r="AQ997" s="1552"/>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577" t="s">
        <v>2571</v>
      </c>
      <c r="E998" s="1578"/>
      <c r="F998" s="1578"/>
      <c r="G998" s="1578"/>
      <c r="H998" s="1578"/>
      <c r="I998" s="1578"/>
      <c r="J998" s="1578"/>
      <c r="K998" s="1578"/>
      <c r="L998" s="1578"/>
      <c r="M998" s="1578"/>
      <c r="N998" s="1578"/>
      <c r="O998" s="1578"/>
      <c r="P998" s="1578"/>
      <c r="Q998" s="1578"/>
      <c r="R998" s="1578"/>
      <c r="S998" s="1578"/>
      <c r="T998" s="1578"/>
      <c r="U998" s="1578"/>
      <c r="V998" s="1578"/>
      <c r="W998" s="1578"/>
      <c r="X998" s="1578"/>
      <c r="Y998" s="1578"/>
      <c r="Z998" s="1578"/>
      <c r="AA998" s="1578"/>
      <c r="AB998" s="1578"/>
      <c r="AC998" s="1578"/>
      <c r="AD998" s="1578"/>
      <c r="AE998" s="1579"/>
      <c r="AF998" s="73"/>
      <c r="AG998" s="14"/>
      <c r="AH998" s="14"/>
      <c r="AI998" s="83"/>
      <c r="AJ998" s="1550"/>
      <c r="AK998" s="1551"/>
      <c r="AL998" s="1551"/>
      <c r="AM998" s="1551"/>
      <c r="AN998" s="1551"/>
      <c r="AO998" s="1551"/>
      <c r="AP998" s="1551"/>
      <c r="AQ998" s="1552"/>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19" t="s">
        <v>2689</v>
      </c>
      <c r="E999" s="1620"/>
      <c r="F999" s="1620"/>
      <c r="G999" s="1620"/>
      <c r="H999" s="1620"/>
      <c r="I999" s="1620"/>
      <c r="J999" s="1620"/>
      <c r="K999" s="1620"/>
      <c r="L999" s="1620"/>
      <c r="M999" s="1620"/>
      <c r="N999" s="1620"/>
      <c r="O999" s="1620"/>
      <c r="P999" s="1620"/>
      <c r="Q999" s="1620"/>
      <c r="R999" s="1620"/>
      <c r="S999" s="1620"/>
      <c r="T999" s="1620"/>
      <c r="U999" s="1620"/>
      <c r="V999" s="1620"/>
      <c r="W999" s="1620"/>
      <c r="X999" s="1620"/>
      <c r="Y999" s="1620"/>
      <c r="Z999" s="1620"/>
      <c r="AA999" s="1620"/>
      <c r="AB999" s="1620"/>
      <c r="AC999" s="1620"/>
      <c r="AD999" s="1620"/>
      <c r="AE999" s="1621"/>
      <c r="AF999" s="77"/>
      <c r="AG999" s="7"/>
      <c r="AH999" s="7"/>
      <c r="AI999" s="78"/>
      <c r="AJ999" s="1553"/>
      <c r="AK999" s="1554"/>
      <c r="AL999" s="1554"/>
      <c r="AM999" s="1554"/>
      <c r="AN999" s="1554"/>
      <c r="AO999" s="1554"/>
      <c r="AP999" s="1554"/>
      <c r="AQ999" s="1555"/>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521" t="s">
        <v>1396</v>
      </c>
      <c r="E1000" s="1522"/>
      <c r="F1000" s="1522"/>
      <c r="G1000" s="1522"/>
      <c r="H1000" s="1522"/>
      <c r="I1000" s="1522"/>
      <c r="J1000" s="1522"/>
      <c r="K1000" s="1522"/>
      <c r="L1000" s="1522"/>
      <c r="M1000" s="1522"/>
      <c r="N1000" s="1522"/>
      <c r="O1000" s="1522"/>
      <c r="P1000" s="1522"/>
      <c r="Q1000" s="1522"/>
      <c r="R1000" s="1522"/>
      <c r="S1000" s="1522"/>
      <c r="T1000" s="1522"/>
      <c r="U1000" s="1522"/>
      <c r="V1000" s="1522"/>
      <c r="W1000" s="1522"/>
      <c r="X1000" s="1522"/>
      <c r="Y1000" s="1522"/>
      <c r="Z1000" s="1522"/>
      <c r="AA1000" s="1522"/>
      <c r="AB1000" s="1522"/>
      <c r="AC1000" s="1522"/>
      <c r="AD1000" s="1522"/>
      <c r="AE1000" s="1523"/>
      <c r="AF1000" s="79"/>
      <c r="AG1000" s="1529" t="s">
        <v>677</v>
      </c>
      <c r="AH1000" s="1530"/>
      <c r="AI1000" s="87"/>
      <c r="AJ1000" s="1547">
        <f>ROUND(IF(AG1000="yes",AJ991*0.05,0),0)</f>
        <v>0</v>
      </c>
      <c r="AK1000" s="1548"/>
      <c r="AL1000" s="1548"/>
      <c r="AM1000" s="1548"/>
      <c r="AN1000" s="1548"/>
      <c r="AO1000" s="1548"/>
      <c r="AP1000" s="1548"/>
      <c r="AQ1000" s="1549"/>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565" t="s">
        <v>1394</v>
      </c>
      <c r="E1001" s="1566"/>
      <c r="F1001" s="1566"/>
      <c r="G1001" s="1566"/>
      <c r="H1001" s="1566"/>
      <c r="I1001" s="1566"/>
      <c r="J1001" s="1566"/>
      <c r="K1001" s="1566"/>
      <c r="L1001" s="1566"/>
      <c r="M1001" s="1566"/>
      <c r="N1001" s="1566"/>
      <c r="O1001" s="1566"/>
      <c r="P1001" s="1566"/>
      <c r="Q1001" s="1566"/>
      <c r="R1001" s="1566"/>
      <c r="S1001" s="1566"/>
      <c r="T1001" s="1566"/>
      <c r="U1001" s="1566"/>
      <c r="V1001" s="1566"/>
      <c r="W1001" s="1566"/>
      <c r="X1001" s="1566"/>
      <c r="Y1001" s="1566"/>
      <c r="Z1001" s="1566"/>
      <c r="AA1001" s="1566"/>
      <c r="AB1001" s="1566"/>
      <c r="AC1001" s="1566"/>
      <c r="AD1001" s="1566"/>
      <c r="AE1001" s="1567"/>
      <c r="AF1001" s="73"/>
      <c r="AG1001" s="14"/>
      <c r="AH1001" s="14"/>
      <c r="AI1001" s="83"/>
      <c r="AJ1001" s="1550"/>
      <c r="AK1001" s="1551"/>
      <c r="AL1001" s="1551"/>
      <c r="AM1001" s="1551"/>
      <c r="AN1001" s="1551"/>
      <c r="AO1001" s="1551"/>
      <c r="AP1001" s="1551"/>
      <c r="AQ1001" s="1552"/>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565"/>
      <c r="E1002" s="1566"/>
      <c r="F1002" s="1566"/>
      <c r="G1002" s="1566"/>
      <c r="H1002" s="1566"/>
      <c r="I1002" s="1566"/>
      <c r="J1002" s="1566"/>
      <c r="K1002" s="1566"/>
      <c r="L1002" s="1566"/>
      <c r="M1002" s="1566"/>
      <c r="N1002" s="1566"/>
      <c r="O1002" s="1566"/>
      <c r="P1002" s="1566"/>
      <c r="Q1002" s="1566"/>
      <c r="R1002" s="1566"/>
      <c r="S1002" s="1566"/>
      <c r="T1002" s="1566"/>
      <c r="U1002" s="1566"/>
      <c r="V1002" s="1566"/>
      <c r="W1002" s="1566"/>
      <c r="X1002" s="1566"/>
      <c r="Y1002" s="1566"/>
      <c r="Z1002" s="1566"/>
      <c r="AA1002" s="1566"/>
      <c r="AB1002" s="1566"/>
      <c r="AC1002" s="1566"/>
      <c r="AD1002" s="1566"/>
      <c r="AE1002" s="1567"/>
      <c r="AF1002" s="73"/>
      <c r="AG1002" s="14"/>
      <c r="AH1002" s="14"/>
      <c r="AI1002" s="83"/>
      <c r="AJ1002" s="1550"/>
      <c r="AK1002" s="1551"/>
      <c r="AL1002" s="1551"/>
      <c r="AM1002" s="1551"/>
      <c r="AN1002" s="1551"/>
      <c r="AO1002" s="1551"/>
      <c r="AP1002" s="1551"/>
      <c r="AQ1002" s="1552"/>
      <c r="AR1002" s="68"/>
      <c r="AS1002" s="68"/>
      <c r="AT1002" s="68"/>
      <c r="AU1002" s="68"/>
      <c r="AV1002" s="68"/>
      <c r="AW1002" s="68"/>
      <c r="AX1002" s="68"/>
      <c r="AY1002" s="949">
        <f>G753+O797</f>
        <v>158</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565"/>
      <c r="E1003" s="1566"/>
      <c r="F1003" s="1566"/>
      <c r="G1003" s="1566"/>
      <c r="H1003" s="1566"/>
      <c r="I1003" s="1566"/>
      <c r="J1003" s="1566"/>
      <c r="K1003" s="1566"/>
      <c r="L1003" s="1566"/>
      <c r="M1003" s="1566"/>
      <c r="N1003" s="1566"/>
      <c r="O1003" s="1566"/>
      <c r="P1003" s="1566"/>
      <c r="Q1003" s="1566"/>
      <c r="R1003" s="1566"/>
      <c r="S1003" s="1566"/>
      <c r="T1003" s="1566"/>
      <c r="U1003" s="1566"/>
      <c r="V1003" s="1566"/>
      <c r="W1003" s="1566"/>
      <c r="X1003" s="1566"/>
      <c r="Y1003" s="1566"/>
      <c r="Z1003" s="1566"/>
      <c r="AA1003" s="1566"/>
      <c r="AB1003" s="1566"/>
      <c r="AC1003" s="1566"/>
      <c r="AD1003" s="1566"/>
      <c r="AE1003" s="1567"/>
      <c r="AF1003" s="73"/>
      <c r="AG1003" s="14"/>
      <c r="AH1003" s="14"/>
      <c r="AI1003" s="83"/>
      <c r="AJ1003" s="1550"/>
      <c r="AK1003" s="1551"/>
      <c r="AL1003" s="1551"/>
      <c r="AM1003" s="1551"/>
      <c r="AN1003" s="1551"/>
      <c r="AO1003" s="1551"/>
      <c r="AP1003" s="1551"/>
      <c r="AQ1003" s="1552"/>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565"/>
      <c r="E1004" s="1566"/>
      <c r="F1004" s="1566"/>
      <c r="G1004" s="1566"/>
      <c r="H1004" s="1566"/>
      <c r="I1004" s="1566"/>
      <c r="J1004" s="1566"/>
      <c r="K1004" s="1566"/>
      <c r="L1004" s="1566"/>
      <c r="M1004" s="1566"/>
      <c r="N1004" s="1566"/>
      <c r="O1004" s="1566"/>
      <c r="P1004" s="1566"/>
      <c r="Q1004" s="1566"/>
      <c r="R1004" s="1566"/>
      <c r="S1004" s="1566"/>
      <c r="T1004" s="1566"/>
      <c r="U1004" s="1566"/>
      <c r="V1004" s="1566"/>
      <c r="W1004" s="1566"/>
      <c r="X1004" s="1566"/>
      <c r="Y1004" s="1566"/>
      <c r="Z1004" s="1566"/>
      <c r="AA1004" s="1566"/>
      <c r="AB1004" s="1566"/>
      <c r="AC1004" s="1566"/>
      <c r="AD1004" s="1566"/>
      <c r="AE1004" s="1567"/>
      <c r="AF1004" s="73"/>
      <c r="AG1004" s="14"/>
      <c r="AH1004" s="14"/>
      <c r="AI1004" s="83"/>
      <c r="AJ1004" s="1550"/>
      <c r="AK1004" s="1551"/>
      <c r="AL1004" s="1551"/>
      <c r="AM1004" s="1551"/>
      <c r="AN1004" s="1551"/>
      <c r="AO1004" s="1551"/>
      <c r="AP1004" s="1551"/>
      <c r="AQ1004" s="1552"/>
      <c r="AR1004" s="68"/>
      <c r="AS1004" s="68"/>
      <c r="AT1004" s="68"/>
      <c r="AU1004" s="68"/>
      <c r="AV1004" s="68"/>
      <c r="AW1004" s="68"/>
      <c r="AX1004" s="68"/>
      <c r="AY1004" s="948">
        <f>ROUNDDOWN(X1047/I1047,2)</f>
        <v>0.15</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77"/>
      <c r="E1005" s="1578"/>
      <c r="F1005" s="1578"/>
      <c r="G1005" s="1578"/>
      <c r="H1005" s="1578"/>
      <c r="I1005" s="1578"/>
      <c r="J1005" s="1578"/>
      <c r="K1005" s="1578"/>
      <c r="L1005" s="1578"/>
      <c r="M1005" s="1578"/>
      <c r="N1005" s="1578"/>
      <c r="O1005" s="1578"/>
      <c r="P1005" s="1578"/>
      <c r="Q1005" s="1578"/>
      <c r="R1005" s="1578"/>
      <c r="S1005" s="1578"/>
      <c r="T1005" s="1578"/>
      <c r="U1005" s="1578"/>
      <c r="V1005" s="1578"/>
      <c r="W1005" s="1578"/>
      <c r="X1005" s="1578"/>
      <c r="Y1005" s="1578"/>
      <c r="Z1005" s="1578"/>
      <c r="AA1005" s="1578"/>
      <c r="AB1005" s="1578"/>
      <c r="AC1005" s="1578"/>
      <c r="AD1005" s="1578"/>
      <c r="AE1005" s="1579"/>
      <c r="AF1005" s="77"/>
      <c r="AG1005" s="7"/>
      <c r="AH1005" s="7"/>
      <c r="AI1005" s="78"/>
      <c r="AJ1005" s="1553"/>
      <c r="AK1005" s="1554"/>
      <c r="AL1005" s="1554"/>
      <c r="AM1005" s="1554"/>
      <c r="AN1005" s="1554"/>
      <c r="AO1005" s="1554"/>
      <c r="AP1005" s="1554"/>
      <c r="AQ1005" s="1555"/>
      <c r="AR1005" s="68"/>
      <c r="AS1005" s="68"/>
      <c r="AT1005" s="68"/>
      <c r="AU1005" s="68"/>
      <c r="AV1005" s="68"/>
      <c r="AW1005" s="68"/>
      <c r="AX1005" s="68"/>
      <c r="AY1005" s="948">
        <f>ROUNDDOWN(X1051/I1051,2)</f>
        <v>0.44</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680</v>
      </c>
      <c r="D1006" s="1521" t="s">
        <v>1873</v>
      </c>
      <c r="E1006" s="1522"/>
      <c r="F1006" s="1522"/>
      <c r="G1006" s="1522"/>
      <c r="H1006" s="1522"/>
      <c r="I1006" s="1522"/>
      <c r="J1006" s="1522"/>
      <c r="K1006" s="1522"/>
      <c r="L1006" s="1522"/>
      <c r="M1006" s="1522"/>
      <c r="N1006" s="1522"/>
      <c r="O1006" s="1522"/>
      <c r="P1006" s="1522"/>
      <c r="Q1006" s="1522"/>
      <c r="R1006" s="1522"/>
      <c r="S1006" s="1522"/>
      <c r="T1006" s="1522"/>
      <c r="U1006" s="1522"/>
      <c r="V1006" s="1522"/>
      <c r="W1006" s="1522"/>
      <c r="X1006" s="1522"/>
      <c r="Y1006" s="1522"/>
      <c r="Z1006" s="1522"/>
      <c r="AA1006" s="1522"/>
      <c r="AB1006" s="1522"/>
      <c r="AC1006" s="1522"/>
      <c r="AD1006" s="1522"/>
      <c r="AE1006" s="1523"/>
      <c r="AF1006" s="86"/>
      <c r="AG1006" s="1529" t="s">
        <v>677</v>
      </c>
      <c r="AH1006" s="1530"/>
      <c r="AI1006" s="87"/>
      <c r="AJ1006" s="1547">
        <f>ROUND(IF(AG1006="yes",AJ991*0.1,0),0)</f>
        <v>0</v>
      </c>
      <c r="AK1006" s="1548"/>
      <c r="AL1006" s="1548"/>
      <c r="AM1006" s="1548"/>
      <c r="AN1006" s="1548"/>
      <c r="AO1006" s="1548"/>
      <c r="AP1006" s="1548"/>
      <c r="AQ1006" s="1549"/>
      <c r="AR1006" s="68"/>
      <c r="AS1006" s="68"/>
      <c r="AT1006" s="68"/>
      <c r="AU1006" s="68"/>
      <c r="AV1006" s="68"/>
      <c r="AW1006" s="68"/>
      <c r="AX1006" s="68"/>
      <c r="BB1006" s="34"/>
      <c r="BD1006" s="34"/>
      <c r="BE1006" s="34"/>
      <c r="BF1006" s="34"/>
    </row>
    <row r="1007" spans="1:157" ht="12.95" customHeight="1">
      <c r="A1007" s="14"/>
      <c r="B1007" s="73"/>
      <c r="C1007" s="74"/>
      <c r="D1007" s="1509" t="s">
        <v>1395</v>
      </c>
      <c r="E1007" s="1510"/>
      <c r="F1007" s="1510"/>
      <c r="G1007" s="1510"/>
      <c r="H1007" s="1510"/>
      <c r="I1007" s="1510"/>
      <c r="J1007" s="1510"/>
      <c r="K1007" s="1510"/>
      <c r="L1007" s="1510"/>
      <c r="M1007" s="1510"/>
      <c r="N1007" s="1510"/>
      <c r="O1007" s="1510"/>
      <c r="P1007" s="1510"/>
      <c r="Q1007" s="1510"/>
      <c r="R1007" s="1510"/>
      <c r="S1007" s="1510"/>
      <c r="T1007" s="1510"/>
      <c r="U1007" s="1510"/>
      <c r="V1007" s="1510"/>
      <c r="W1007" s="1510"/>
      <c r="X1007" s="1510"/>
      <c r="Y1007" s="1510"/>
      <c r="Z1007" s="1510"/>
      <c r="AA1007" s="1510"/>
      <c r="AB1007" s="1510"/>
      <c r="AC1007" s="1510"/>
      <c r="AD1007" s="1510"/>
      <c r="AE1007" s="1511"/>
      <c r="AF1007" s="73"/>
      <c r="AI1007" s="83"/>
      <c r="AJ1007" s="1550"/>
      <c r="AK1007" s="1551"/>
      <c r="AL1007" s="1551"/>
      <c r="AM1007" s="1551"/>
      <c r="AN1007" s="1551"/>
      <c r="AO1007" s="1551"/>
      <c r="AP1007" s="1551"/>
      <c r="AQ1007" s="1552"/>
      <c r="AR1007" s="68"/>
      <c r="AS1007" s="68"/>
      <c r="AT1007" s="68"/>
      <c r="AU1007" s="68"/>
      <c r="AV1007" s="68"/>
      <c r="AW1007" s="68"/>
      <c r="AX1007" s="68"/>
    </row>
    <row r="1008" spans="1:157" ht="12.95" customHeight="1">
      <c r="A1008" s="14"/>
      <c r="B1008" s="73"/>
      <c r="C1008" s="74"/>
      <c r="D1008" s="1509"/>
      <c r="E1008" s="1510"/>
      <c r="F1008" s="1510"/>
      <c r="G1008" s="1510"/>
      <c r="H1008" s="1510"/>
      <c r="I1008" s="1510"/>
      <c r="J1008" s="1510"/>
      <c r="K1008" s="1510"/>
      <c r="L1008" s="1510"/>
      <c r="M1008" s="1510"/>
      <c r="N1008" s="1510"/>
      <c r="O1008" s="1510"/>
      <c r="P1008" s="1510"/>
      <c r="Q1008" s="1510"/>
      <c r="R1008" s="1510"/>
      <c r="S1008" s="1510"/>
      <c r="T1008" s="1510"/>
      <c r="U1008" s="1510"/>
      <c r="V1008" s="1510"/>
      <c r="W1008" s="1510"/>
      <c r="X1008" s="1510"/>
      <c r="Y1008" s="1510"/>
      <c r="Z1008" s="1510"/>
      <c r="AA1008" s="1510"/>
      <c r="AB1008" s="1510"/>
      <c r="AC1008" s="1510"/>
      <c r="AD1008" s="1510"/>
      <c r="AE1008" s="1511"/>
      <c r="AF1008" s="73"/>
      <c r="AG1008" s="14"/>
      <c r="AH1008" s="14"/>
      <c r="AI1008" s="83"/>
      <c r="AJ1008" s="1550"/>
      <c r="AK1008" s="1551"/>
      <c r="AL1008" s="1551"/>
      <c r="AM1008" s="1551"/>
      <c r="AN1008" s="1551"/>
      <c r="AO1008" s="1551"/>
      <c r="AP1008" s="1551"/>
      <c r="AQ1008" s="1552"/>
      <c r="AR1008" s="68"/>
      <c r="AS1008" s="68"/>
      <c r="AT1008" s="68"/>
      <c r="AU1008" s="68"/>
      <c r="AV1008" s="68"/>
      <c r="AW1008" s="68"/>
      <c r="AX1008" s="68"/>
    </row>
    <row r="1009" spans="1:51" ht="12.95" customHeight="1">
      <c r="A1009" s="14"/>
      <c r="B1009" s="85"/>
      <c r="C1009" s="76"/>
      <c r="D1009" s="1534"/>
      <c r="E1009" s="1535"/>
      <c r="F1009" s="1535"/>
      <c r="G1009" s="1535"/>
      <c r="H1009" s="1535"/>
      <c r="I1009" s="1535"/>
      <c r="J1009" s="1535"/>
      <c r="K1009" s="1535"/>
      <c r="L1009" s="1535"/>
      <c r="M1009" s="1535"/>
      <c r="N1009" s="1535"/>
      <c r="O1009" s="1535"/>
      <c r="P1009" s="1535"/>
      <c r="Q1009" s="1535"/>
      <c r="R1009" s="1535"/>
      <c r="S1009" s="1535"/>
      <c r="T1009" s="1535"/>
      <c r="U1009" s="1535"/>
      <c r="V1009" s="1535"/>
      <c r="W1009" s="1535"/>
      <c r="X1009" s="1535"/>
      <c r="Y1009" s="1535"/>
      <c r="Z1009" s="1535"/>
      <c r="AA1009" s="1535"/>
      <c r="AB1009" s="1535"/>
      <c r="AC1009" s="1535"/>
      <c r="AD1009" s="1535"/>
      <c r="AE1009" s="1536"/>
      <c r="AF1009" s="77"/>
      <c r="AG1009" s="7"/>
      <c r="AH1009" s="7"/>
      <c r="AI1009" s="78"/>
      <c r="AJ1009" s="1553"/>
      <c r="AK1009" s="1554"/>
      <c r="AL1009" s="1554"/>
      <c r="AM1009" s="1554"/>
      <c r="AN1009" s="1554"/>
      <c r="AO1009" s="1554"/>
      <c r="AP1009" s="1554"/>
      <c r="AQ1009" s="1555"/>
      <c r="AR1009" s="68"/>
      <c r="AS1009" s="68"/>
      <c r="AT1009" s="68"/>
      <c r="AU1009" s="68"/>
      <c r="AV1009" s="68"/>
      <c r="AW1009" s="68"/>
      <c r="AX1009" s="68"/>
    </row>
    <row r="1010" spans="1:51" ht="12.95" customHeight="1">
      <c r="A1010" s="14"/>
      <c r="B1010" s="79"/>
      <c r="C1010" s="80" t="s">
        <v>213</v>
      </c>
      <c r="D1010" s="1521" t="s">
        <v>1397</v>
      </c>
      <c r="E1010" s="1522"/>
      <c r="F1010" s="1522"/>
      <c r="G1010" s="1522"/>
      <c r="H1010" s="1522"/>
      <c r="I1010" s="1522"/>
      <c r="J1010" s="1522"/>
      <c r="K1010" s="1522"/>
      <c r="L1010" s="1522"/>
      <c r="M1010" s="1522"/>
      <c r="N1010" s="1522"/>
      <c r="O1010" s="1522"/>
      <c r="P1010" s="1522"/>
      <c r="Q1010" s="1522"/>
      <c r="R1010" s="1522"/>
      <c r="S1010" s="1522"/>
      <c r="T1010" s="1522"/>
      <c r="U1010" s="1522"/>
      <c r="V1010" s="1522"/>
      <c r="W1010" s="1522"/>
      <c r="X1010" s="1522"/>
      <c r="Y1010" s="1522"/>
      <c r="Z1010" s="1522"/>
      <c r="AA1010" s="1522"/>
      <c r="AB1010" s="1522"/>
      <c r="AC1010" s="1522"/>
      <c r="AD1010" s="1522"/>
      <c r="AE1010" s="1523"/>
      <c r="AF1010" s="79"/>
      <c r="AG1010" s="1529" t="s">
        <v>677</v>
      </c>
      <c r="AH1010" s="1530"/>
      <c r="AI1010" s="87"/>
      <c r="AJ1010" s="1547">
        <f>ROUND(IF(AG1010="yes",AJ991*0.02,0),0)</f>
        <v>0</v>
      </c>
      <c r="AK1010" s="1548"/>
      <c r="AL1010" s="1548"/>
      <c r="AM1010" s="1548"/>
      <c r="AN1010" s="1548"/>
      <c r="AO1010" s="1548"/>
      <c r="AP1010" s="1548"/>
      <c r="AQ1010" s="1549"/>
      <c r="AR1010" s="68"/>
      <c r="AS1010" s="68"/>
      <c r="AT1010" s="68"/>
      <c r="AU1010" s="68"/>
      <c r="AV1010" s="68"/>
      <c r="AW1010" s="68"/>
      <c r="AX1010" s="68"/>
      <c r="AY1010" s="215">
        <f>IF(SUM(AY1012:AY1020)&lt;=0.1,SUM(AY1012:AY1020),0.1)</f>
        <v>0</v>
      </c>
    </row>
    <row r="1011" spans="1:51" ht="14.25" customHeight="1">
      <c r="A1011" s="14"/>
      <c r="B1011" s="73"/>
      <c r="C1011" s="74"/>
      <c r="D1011" s="1534" t="s">
        <v>1398</v>
      </c>
      <c r="E1011" s="1535"/>
      <c r="F1011" s="1535"/>
      <c r="G1011" s="1535"/>
      <c r="H1011" s="1535"/>
      <c r="I1011" s="1535"/>
      <c r="J1011" s="1535"/>
      <c r="K1011" s="1535"/>
      <c r="L1011" s="1535"/>
      <c r="M1011" s="1535"/>
      <c r="N1011" s="1535"/>
      <c r="O1011" s="1535"/>
      <c r="P1011" s="1535"/>
      <c r="Q1011" s="1535"/>
      <c r="R1011" s="1535"/>
      <c r="S1011" s="1535"/>
      <c r="T1011" s="1535"/>
      <c r="U1011" s="1535"/>
      <c r="V1011" s="1535"/>
      <c r="W1011" s="1535"/>
      <c r="X1011" s="1535"/>
      <c r="Y1011" s="1535"/>
      <c r="Z1011" s="1535"/>
      <c r="AA1011" s="1535"/>
      <c r="AB1011" s="1535"/>
      <c r="AC1011" s="1535"/>
      <c r="AD1011" s="1535"/>
      <c r="AE1011" s="1536"/>
      <c r="AF1011" s="77"/>
      <c r="AG1011" s="7"/>
      <c r="AH1011" s="7"/>
      <c r="AI1011" s="78"/>
      <c r="AJ1011" s="1553"/>
      <c r="AK1011" s="1554"/>
      <c r="AL1011" s="1554"/>
      <c r="AM1011" s="1554"/>
      <c r="AN1011" s="1554"/>
      <c r="AO1011" s="1554"/>
      <c r="AP1011" s="1554"/>
      <c r="AQ1011" s="1555"/>
      <c r="AR1011" s="68"/>
      <c r="AS1011" s="68"/>
      <c r="AT1011" s="68"/>
      <c r="AU1011" s="68"/>
      <c r="AV1011" s="68"/>
      <c r="AW1011" s="68"/>
      <c r="AX1011" s="68"/>
    </row>
    <row r="1012" spans="1:51" ht="12.95" customHeight="1">
      <c r="A1012" s="14"/>
      <c r="B1012" s="79"/>
      <c r="C1012" s="80" t="s">
        <v>216</v>
      </c>
      <c r="D1012" s="1521" t="s">
        <v>1399</v>
      </c>
      <c r="E1012" s="1522"/>
      <c r="F1012" s="1522"/>
      <c r="G1012" s="1522"/>
      <c r="H1012" s="1522"/>
      <c r="I1012" s="1522"/>
      <c r="J1012" s="1522"/>
      <c r="K1012" s="1522"/>
      <c r="L1012" s="1522"/>
      <c r="M1012" s="1522"/>
      <c r="N1012" s="1522"/>
      <c r="O1012" s="1522"/>
      <c r="P1012" s="1522"/>
      <c r="Q1012" s="1522"/>
      <c r="R1012" s="1522"/>
      <c r="S1012" s="1522"/>
      <c r="T1012" s="1522"/>
      <c r="U1012" s="1522"/>
      <c r="V1012" s="1522"/>
      <c r="W1012" s="1522"/>
      <c r="X1012" s="1522"/>
      <c r="Y1012" s="1522"/>
      <c r="Z1012" s="1522"/>
      <c r="AA1012" s="1522"/>
      <c r="AB1012" s="1522"/>
      <c r="AC1012" s="1522"/>
      <c r="AD1012" s="1522"/>
      <c r="AE1012" s="1523"/>
      <c r="AF1012" s="79"/>
      <c r="AG1012" s="1529" t="s">
        <v>677</v>
      </c>
      <c r="AH1012" s="1530"/>
      <c r="AI1012" s="79"/>
      <c r="AJ1012" s="1547">
        <f>ROUND(IF(AG1012="yes",AJ991*0.02,0),0)</f>
        <v>0</v>
      </c>
      <c r="AK1012" s="1548"/>
      <c r="AL1012" s="1548"/>
      <c r="AM1012" s="1548"/>
      <c r="AN1012" s="1548"/>
      <c r="AO1012" s="1548"/>
      <c r="AP1012" s="1548"/>
      <c r="AQ1012" s="1549"/>
      <c r="AR1012" s="68"/>
      <c r="AS1012" s="68"/>
      <c r="AT1012" s="68"/>
      <c r="AU1012" s="68"/>
      <c r="AV1012" s="68"/>
      <c r="AW1012" s="68"/>
      <c r="AX1012" s="68"/>
      <c r="AY1012" s="213">
        <f>IF(A1064="Yes",0.05,0)</f>
        <v>0</v>
      </c>
    </row>
    <row r="1013" spans="1:51" ht="12.95" customHeight="1">
      <c r="A1013" s="14"/>
      <c r="B1013" s="73"/>
      <c r="C1013" s="74"/>
      <c r="D1013" s="1509" t="s">
        <v>1400</v>
      </c>
      <c r="E1013" s="1510"/>
      <c r="F1013" s="1510"/>
      <c r="G1013" s="1510"/>
      <c r="H1013" s="1510"/>
      <c r="I1013" s="1510"/>
      <c r="J1013" s="1510"/>
      <c r="K1013" s="1510"/>
      <c r="L1013" s="1510"/>
      <c r="M1013" s="1510"/>
      <c r="N1013" s="1510"/>
      <c r="O1013" s="1510"/>
      <c r="P1013" s="1510"/>
      <c r="Q1013" s="1510"/>
      <c r="R1013" s="1510"/>
      <c r="S1013" s="1510"/>
      <c r="T1013" s="1510"/>
      <c r="U1013" s="1510"/>
      <c r="V1013" s="1510"/>
      <c r="W1013" s="1510"/>
      <c r="X1013" s="1510"/>
      <c r="Y1013" s="1510"/>
      <c r="Z1013" s="1510"/>
      <c r="AA1013" s="1510"/>
      <c r="AB1013" s="1510"/>
      <c r="AC1013" s="1510"/>
      <c r="AD1013" s="1510"/>
      <c r="AE1013" s="1511"/>
      <c r="AF1013" s="1398" t="str">
        <f>IF(AND(AG1012="yes",AB212&lt;&gt;1),"The project may not be eligible for this boost","")</f>
        <v/>
      </c>
      <c r="AG1013" s="1399"/>
      <c r="AH1013" s="1399"/>
      <c r="AI1013" s="1400"/>
      <c r="AJ1013" s="1550"/>
      <c r="AK1013" s="1551"/>
      <c r="AL1013" s="1551"/>
      <c r="AM1013" s="1551"/>
      <c r="AN1013" s="1551"/>
      <c r="AO1013" s="1551"/>
      <c r="AP1013" s="1551"/>
      <c r="AQ1013" s="1552"/>
      <c r="AR1013" s="68"/>
      <c r="AS1013" s="68"/>
      <c r="AT1013" s="68"/>
      <c r="AU1013" s="68"/>
      <c r="AV1013" s="68"/>
      <c r="AW1013" s="68"/>
      <c r="AX1013" s="68"/>
      <c r="AY1013" s="213">
        <f>IF(A1070="Yes",0.02,0)</f>
        <v>0</v>
      </c>
    </row>
    <row r="1014" spans="1:51" ht="12.95" customHeight="1">
      <c r="A1014" s="14"/>
      <c r="B1014" s="75"/>
      <c r="C1014" s="76"/>
      <c r="D1014" s="1534"/>
      <c r="E1014" s="1535"/>
      <c r="F1014" s="1535"/>
      <c r="G1014" s="1535"/>
      <c r="H1014" s="1535"/>
      <c r="I1014" s="1535"/>
      <c r="J1014" s="1535"/>
      <c r="K1014" s="1535"/>
      <c r="L1014" s="1535"/>
      <c r="M1014" s="1535"/>
      <c r="N1014" s="1535"/>
      <c r="O1014" s="1535"/>
      <c r="P1014" s="1535"/>
      <c r="Q1014" s="1535"/>
      <c r="R1014" s="1535"/>
      <c r="S1014" s="1535"/>
      <c r="T1014" s="1535"/>
      <c r="U1014" s="1535"/>
      <c r="V1014" s="1535"/>
      <c r="W1014" s="1535"/>
      <c r="X1014" s="1535"/>
      <c r="Y1014" s="1535"/>
      <c r="Z1014" s="1535"/>
      <c r="AA1014" s="1535"/>
      <c r="AB1014" s="1535"/>
      <c r="AC1014" s="1535"/>
      <c r="AD1014" s="1535"/>
      <c r="AE1014" s="1536"/>
      <c r="AF1014" s="1401"/>
      <c r="AG1014" s="1402"/>
      <c r="AH1014" s="1402"/>
      <c r="AI1014" s="1403"/>
      <c r="AJ1014" s="1553"/>
      <c r="AK1014" s="1554"/>
      <c r="AL1014" s="1554"/>
      <c r="AM1014" s="1554"/>
      <c r="AN1014" s="1554"/>
      <c r="AO1014" s="1554"/>
      <c r="AP1014" s="1554"/>
      <c r="AQ1014" s="1555"/>
      <c r="AR1014" s="68"/>
      <c r="AS1014" s="68"/>
      <c r="AT1014" s="68"/>
      <c r="AU1014" s="68"/>
      <c r="AV1014" s="68"/>
      <c r="AW1014" s="68"/>
      <c r="AX1014" s="68"/>
      <c r="AY1014" s="213">
        <f>IF(A1076="Yes",0.04,0)</f>
        <v>0</v>
      </c>
    </row>
    <row r="1015" spans="1:51" ht="12.95" customHeight="1">
      <c r="A1015" s="14"/>
      <c r="B1015" s="79"/>
      <c r="C1015" s="80" t="s">
        <v>219</v>
      </c>
      <c r="D1015" s="1531" t="s">
        <v>1401</v>
      </c>
      <c r="E1015" s="1532"/>
      <c r="F1015" s="1532"/>
      <c r="G1015" s="1532"/>
      <c r="H1015" s="1532"/>
      <c r="I1015" s="1532"/>
      <c r="J1015" s="1532"/>
      <c r="K1015" s="1532"/>
      <c r="L1015" s="1532"/>
      <c r="M1015" s="1532"/>
      <c r="N1015" s="1532"/>
      <c r="O1015" s="1532"/>
      <c r="P1015" s="1532"/>
      <c r="Q1015" s="1532"/>
      <c r="R1015" s="1532"/>
      <c r="S1015" s="1532"/>
      <c r="T1015" s="1532"/>
      <c r="U1015" s="1532"/>
      <c r="V1015" s="1532"/>
      <c r="W1015" s="1532"/>
      <c r="X1015" s="1532"/>
      <c r="Y1015" s="1532"/>
      <c r="Z1015" s="1532"/>
      <c r="AA1015" s="1532"/>
      <c r="AB1015" s="1532"/>
      <c r="AC1015" s="1532"/>
      <c r="AD1015" s="1532"/>
      <c r="AE1015" s="1533"/>
      <c r="AF1015" s="79"/>
      <c r="AG1015" s="1529" t="s">
        <v>677</v>
      </c>
      <c r="AH1015" s="1530"/>
      <c r="AI1015" s="87"/>
      <c r="AJ1015" s="1547">
        <f>IF(AG1015="yes",AJ991*AY1010,0)</f>
        <v>0</v>
      </c>
      <c r="AK1015" s="1548"/>
      <c r="AL1015" s="1548"/>
      <c r="AM1015" s="1548"/>
      <c r="AN1015" s="1548"/>
      <c r="AO1015" s="1548"/>
      <c r="AP1015" s="1548"/>
      <c r="AQ1015" s="1549"/>
      <c r="AR1015" s="68"/>
      <c r="AS1015" s="68"/>
      <c r="AT1015" s="68"/>
      <c r="AU1015" s="68"/>
      <c r="AV1015" s="68"/>
      <c r="AW1015" s="68"/>
      <c r="AX1015" s="68"/>
      <c r="AY1015" s="213">
        <f>IF(A1083="Yes",0.04,0)</f>
        <v>0</v>
      </c>
    </row>
    <row r="1016" spans="1:51" ht="12.95" customHeight="1">
      <c r="A1016" s="14"/>
      <c r="B1016" s="73"/>
      <c r="C1016" s="74"/>
      <c r="D1016" s="1509" t="s">
        <v>1402</v>
      </c>
      <c r="E1016" s="1510"/>
      <c r="F1016" s="1510"/>
      <c r="G1016" s="1510"/>
      <c r="H1016" s="1510"/>
      <c r="I1016" s="1510"/>
      <c r="J1016" s="1510"/>
      <c r="K1016" s="1510"/>
      <c r="L1016" s="1510"/>
      <c r="M1016" s="1510"/>
      <c r="N1016" s="1510"/>
      <c r="O1016" s="1510"/>
      <c r="P1016" s="1510"/>
      <c r="Q1016" s="1510"/>
      <c r="R1016" s="1510"/>
      <c r="S1016" s="1510"/>
      <c r="T1016" s="1510"/>
      <c r="U1016" s="1510"/>
      <c r="V1016" s="1510"/>
      <c r="W1016" s="1510"/>
      <c r="X1016" s="1510"/>
      <c r="Y1016" s="1510"/>
      <c r="Z1016" s="1510"/>
      <c r="AA1016" s="1510"/>
      <c r="AB1016" s="1510"/>
      <c r="AC1016" s="1510"/>
      <c r="AD1016" s="1510"/>
      <c r="AE1016" s="1511"/>
      <c r="AF1016" s="1392" t="str">
        <f>IF(AND(AG1015="Yes",AY1010=0),AY1022,"")</f>
        <v/>
      </c>
      <c r="AG1016" s="1393"/>
      <c r="AH1016" s="1393"/>
      <c r="AI1016" s="1394"/>
      <c r="AJ1016" s="1550"/>
      <c r="AK1016" s="1551"/>
      <c r="AL1016" s="1551"/>
      <c r="AM1016" s="1551"/>
      <c r="AN1016" s="1551"/>
      <c r="AO1016" s="1551"/>
      <c r="AP1016" s="1551"/>
      <c r="AQ1016" s="1552"/>
      <c r="AR1016" s="68"/>
      <c r="AS1016" s="68"/>
      <c r="AT1016" s="68"/>
      <c r="AU1016" s="68"/>
      <c r="AV1016" s="68"/>
      <c r="AW1016" s="68"/>
      <c r="AX1016" s="68"/>
      <c r="AY1016" s="213">
        <f>IF(A1086="Yes",0.01,0)</f>
        <v>0</v>
      </c>
    </row>
    <row r="1017" spans="1:51" ht="12.95" customHeight="1">
      <c r="A1017" s="14"/>
      <c r="B1017" s="73"/>
      <c r="C1017" s="74"/>
      <c r="D1017" s="1509"/>
      <c r="E1017" s="1510"/>
      <c r="F1017" s="1510"/>
      <c r="G1017" s="1510"/>
      <c r="H1017" s="1510"/>
      <c r="I1017" s="1510"/>
      <c r="J1017" s="1510"/>
      <c r="K1017" s="1510"/>
      <c r="L1017" s="1510"/>
      <c r="M1017" s="1510"/>
      <c r="N1017" s="1510"/>
      <c r="O1017" s="1510"/>
      <c r="P1017" s="1510"/>
      <c r="Q1017" s="1510"/>
      <c r="R1017" s="1510"/>
      <c r="S1017" s="1510"/>
      <c r="T1017" s="1510"/>
      <c r="U1017" s="1510"/>
      <c r="V1017" s="1510"/>
      <c r="W1017" s="1510"/>
      <c r="X1017" s="1510"/>
      <c r="Y1017" s="1510"/>
      <c r="Z1017" s="1510"/>
      <c r="AA1017" s="1510"/>
      <c r="AB1017" s="1510"/>
      <c r="AC1017" s="1510"/>
      <c r="AD1017" s="1510"/>
      <c r="AE1017" s="1511"/>
      <c r="AF1017" s="1392"/>
      <c r="AG1017" s="1393"/>
      <c r="AH1017" s="1393"/>
      <c r="AI1017" s="1394"/>
      <c r="AJ1017" s="1550"/>
      <c r="AK1017" s="1551"/>
      <c r="AL1017" s="1551"/>
      <c r="AM1017" s="1551"/>
      <c r="AN1017" s="1551"/>
      <c r="AO1017" s="1551"/>
      <c r="AP1017" s="1551"/>
      <c r="AQ1017" s="1552"/>
      <c r="AR1017" s="68"/>
      <c r="AS1017" s="68"/>
      <c r="AT1017" s="68"/>
      <c r="AU1017" s="68"/>
      <c r="AV1017" s="68"/>
      <c r="AW1017" s="68"/>
      <c r="AX1017" s="68"/>
      <c r="AY1017" s="213">
        <f>IF(A1091="Yes",0.01,0)</f>
        <v>0</v>
      </c>
    </row>
    <row r="1018" spans="1:51" ht="12.95" customHeight="1">
      <c r="A1018" s="14"/>
      <c r="B1018" s="81"/>
      <c r="C1018" s="82"/>
      <c r="D1018" s="1534"/>
      <c r="E1018" s="1535"/>
      <c r="F1018" s="1535"/>
      <c r="G1018" s="1535"/>
      <c r="H1018" s="1535"/>
      <c r="I1018" s="1535"/>
      <c r="J1018" s="1535"/>
      <c r="K1018" s="1535"/>
      <c r="L1018" s="1535"/>
      <c r="M1018" s="1535"/>
      <c r="N1018" s="1535"/>
      <c r="O1018" s="1535"/>
      <c r="P1018" s="1535"/>
      <c r="Q1018" s="1535"/>
      <c r="R1018" s="1535"/>
      <c r="S1018" s="1535"/>
      <c r="T1018" s="1535"/>
      <c r="U1018" s="1535"/>
      <c r="V1018" s="1535"/>
      <c r="W1018" s="1535"/>
      <c r="X1018" s="1535"/>
      <c r="Y1018" s="1535"/>
      <c r="Z1018" s="1535"/>
      <c r="AA1018" s="1535"/>
      <c r="AB1018" s="1535"/>
      <c r="AC1018" s="1535"/>
      <c r="AD1018" s="1535"/>
      <c r="AE1018" s="1536"/>
      <c r="AF1018" s="1395"/>
      <c r="AG1018" s="1396"/>
      <c r="AH1018" s="1396"/>
      <c r="AI1018" s="1397"/>
      <c r="AJ1018" s="1553"/>
      <c r="AK1018" s="1554"/>
      <c r="AL1018" s="1554"/>
      <c r="AM1018" s="1554"/>
      <c r="AN1018" s="1554"/>
      <c r="AO1018" s="1554"/>
      <c r="AP1018" s="1554"/>
      <c r="AQ1018" s="1555"/>
      <c r="AR1018" s="68"/>
      <c r="AS1018" s="68"/>
      <c r="AT1018" s="68"/>
      <c r="AU1018" s="68"/>
      <c r="AV1018" s="68"/>
      <c r="AW1018" s="68"/>
      <c r="AX1018" s="68"/>
      <c r="AY1018" s="213">
        <f>IF(A1094="Yes",0.01,0)</f>
        <v>0</v>
      </c>
    </row>
    <row r="1019" spans="1:51" ht="12.95" customHeight="1">
      <c r="A1019" s="14"/>
      <c r="B1019" s="79"/>
      <c r="C1019" s="80" t="s">
        <v>224</v>
      </c>
      <c r="D1019" s="1556" t="s">
        <v>1403</v>
      </c>
      <c r="E1019" s="1557"/>
      <c r="F1019" s="1557"/>
      <c r="G1019" s="1557"/>
      <c r="H1019" s="1557"/>
      <c r="I1019" s="1557"/>
      <c r="J1019" s="1557"/>
      <c r="K1019" s="1557"/>
      <c r="L1019" s="1557"/>
      <c r="M1019" s="1557"/>
      <c r="N1019" s="1557"/>
      <c r="O1019" s="1557"/>
      <c r="P1019" s="1557"/>
      <c r="Q1019" s="1557"/>
      <c r="R1019" s="1557"/>
      <c r="S1019" s="1557"/>
      <c r="T1019" s="1557"/>
      <c r="U1019" s="1557"/>
      <c r="V1019" s="1557"/>
      <c r="W1019" s="1557"/>
      <c r="X1019" s="1557"/>
      <c r="Y1019" s="1557"/>
      <c r="Z1019" s="1557"/>
      <c r="AA1019" s="1557"/>
      <c r="AB1019" s="1557"/>
      <c r="AC1019" s="1557"/>
      <c r="AD1019" s="1557"/>
      <c r="AE1019" s="1558"/>
      <c r="AF1019" s="79"/>
      <c r="AG1019" s="1529" t="s">
        <v>677</v>
      </c>
      <c r="AH1019" s="1530"/>
      <c r="AI1019" s="87"/>
      <c r="AJ1019" s="1547">
        <f>ROUND(IF(AND(AG1019="Yes",J1023&lt;&gt;"N/A",AF1022&lt;&gt;""),MIN(AF1022,(0.15*AJ991)),0),0)</f>
        <v>0</v>
      </c>
      <c r="AK1019" s="1548"/>
      <c r="AL1019" s="1548"/>
      <c r="AM1019" s="1548"/>
      <c r="AN1019" s="1548"/>
      <c r="AO1019" s="1548"/>
      <c r="AP1019" s="1548"/>
      <c r="AQ1019" s="1549"/>
      <c r="AR1019" s="68"/>
      <c r="AS1019" s="68"/>
      <c r="AT1019" s="68"/>
      <c r="AU1019" s="68"/>
      <c r="AV1019" s="68"/>
      <c r="AW1019" s="68"/>
      <c r="AX1019" s="68"/>
      <c r="AY1019" s="213">
        <f>IF(A1098="Yes",0.02,0)</f>
        <v>0</v>
      </c>
    </row>
    <row r="1020" spans="1:51" ht="12.95" customHeight="1">
      <c r="A1020" s="14"/>
      <c r="B1020" s="81"/>
      <c r="C1020" s="84"/>
      <c r="D1020" s="1559"/>
      <c r="E1020" s="1560"/>
      <c r="F1020" s="1560"/>
      <c r="G1020" s="1560"/>
      <c r="H1020" s="1560"/>
      <c r="I1020" s="1560"/>
      <c r="J1020" s="1560"/>
      <c r="K1020" s="1560"/>
      <c r="L1020" s="1560"/>
      <c r="M1020" s="1560"/>
      <c r="N1020" s="1560"/>
      <c r="O1020" s="1560"/>
      <c r="P1020" s="1560"/>
      <c r="Q1020" s="1560"/>
      <c r="R1020" s="1560"/>
      <c r="S1020" s="1560"/>
      <c r="T1020" s="1560"/>
      <c r="U1020" s="1560"/>
      <c r="V1020" s="1560"/>
      <c r="W1020" s="1560"/>
      <c r="X1020" s="1560"/>
      <c r="Y1020" s="1560"/>
      <c r="Z1020" s="1560"/>
      <c r="AA1020" s="1560"/>
      <c r="AB1020" s="1560"/>
      <c r="AC1020" s="1560"/>
      <c r="AD1020" s="1560"/>
      <c r="AE1020" s="1561"/>
      <c r="AF1020" s="1537" t="str">
        <f>IF(AG1019="yes","Please Select Type and Enter Amount:","")</f>
        <v/>
      </c>
      <c r="AG1020" s="1538"/>
      <c r="AH1020" s="1538"/>
      <c r="AI1020" s="1539"/>
      <c r="AJ1020" s="1550"/>
      <c r="AK1020" s="1551"/>
      <c r="AL1020" s="1551"/>
      <c r="AM1020" s="1551"/>
      <c r="AN1020" s="1551"/>
      <c r="AO1020" s="1551"/>
      <c r="AP1020" s="1551"/>
      <c r="AQ1020" s="1552"/>
      <c r="AR1020" s="68"/>
      <c r="AS1020" s="68"/>
      <c r="AT1020" s="68"/>
      <c r="AU1020" s="68"/>
      <c r="AV1020" s="68"/>
      <c r="AW1020" s="68"/>
      <c r="AX1020" s="68"/>
      <c r="AY1020" s="214">
        <f>IF(A1103="Yes",0.02,0)</f>
        <v>0</v>
      </c>
    </row>
    <row r="1021" spans="1:51" ht="12.95" customHeight="1">
      <c r="A1021" s="14"/>
      <c r="B1021" s="81"/>
      <c r="C1021" s="84"/>
      <c r="D1021" s="1509" t="s">
        <v>1404</v>
      </c>
      <c r="E1021" s="1510"/>
      <c r="F1021" s="1510"/>
      <c r="G1021" s="1510"/>
      <c r="H1021" s="1510"/>
      <c r="I1021" s="1510"/>
      <c r="J1021" s="1510"/>
      <c r="K1021" s="1510"/>
      <c r="L1021" s="1510"/>
      <c r="M1021" s="1510"/>
      <c r="N1021" s="1510"/>
      <c r="O1021" s="1510"/>
      <c r="P1021" s="1510"/>
      <c r="Q1021" s="1510"/>
      <c r="R1021" s="1510"/>
      <c r="S1021" s="1510"/>
      <c r="T1021" s="1510"/>
      <c r="U1021" s="1510"/>
      <c r="V1021" s="1510"/>
      <c r="W1021" s="1510"/>
      <c r="X1021" s="1510"/>
      <c r="Y1021" s="1510"/>
      <c r="Z1021" s="1510"/>
      <c r="AA1021" s="1510"/>
      <c r="AB1021" s="1510"/>
      <c r="AC1021" s="1510"/>
      <c r="AD1021" s="1510"/>
      <c r="AE1021" s="1511"/>
      <c r="AF1021" s="1537"/>
      <c r="AG1021" s="1538"/>
      <c r="AH1021" s="1538"/>
      <c r="AI1021" s="1539"/>
      <c r="AJ1021" s="1550"/>
      <c r="AK1021" s="1551"/>
      <c r="AL1021" s="1551"/>
      <c r="AM1021" s="1551"/>
      <c r="AN1021" s="1551"/>
      <c r="AO1021" s="1551"/>
      <c r="AP1021" s="1551"/>
      <c r="AQ1021" s="1552"/>
      <c r="AR1021" s="68"/>
      <c r="AS1021" s="68"/>
      <c r="AT1021" s="68"/>
      <c r="AU1021" s="68"/>
      <c r="AV1021" s="68"/>
      <c r="AW1021" s="68"/>
      <c r="AX1021" s="68"/>
      <c r="AY1021" s="68"/>
    </row>
    <row r="1022" spans="1:51" ht="12.95" customHeight="1">
      <c r="A1022" s="14"/>
      <c r="B1022" s="81"/>
      <c r="C1022" s="84"/>
      <c r="D1022" s="1509"/>
      <c r="E1022" s="1510"/>
      <c r="F1022" s="1510"/>
      <c r="G1022" s="1510"/>
      <c r="H1022" s="1510"/>
      <c r="I1022" s="1510"/>
      <c r="J1022" s="1510"/>
      <c r="K1022" s="1510"/>
      <c r="L1022" s="1510"/>
      <c r="M1022" s="1510"/>
      <c r="N1022" s="1510"/>
      <c r="O1022" s="1510"/>
      <c r="P1022" s="1510"/>
      <c r="Q1022" s="1510"/>
      <c r="R1022" s="1510"/>
      <c r="S1022" s="1510"/>
      <c r="T1022" s="1510"/>
      <c r="U1022" s="1510"/>
      <c r="V1022" s="1510"/>
      <c r="W1022" s="1510"/>
      <c r="X1022" s="1510"/>
      <c r="Y1022" s="1510"/>
      <c r="Z1022" s="1510"/>
      <c r="AA1022" s="1510"/>
      <c r="AB1022" s="1510"/>
      <c r="AC1022" s="1510"/>
      <c r="AD1022" s="1510"/>
      <c r="AE1022" s="1511"/>
      <c r="AF1022" s="1540"/>
      <c r="AG1022" s="1540"/>
      <c r="AH1022" s="1540"/>
      <c r="AI1022" s="1540"/>
      <c r="AJ1022" s="1550"/>
      <c r="AK1022" s="1551"/>
      <c r="AL1022" s="1551"/>
      <c r="AM1022" s="1551"/>
      <c r="AN1022" s="1551"/>
      <c r="AO1022" s="1551"/>
      <c r="AP1022" s="1551"/>
      <c r="AQ1022" s="1552"/>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512" t="s">
        <v>599</v>
      </c>
      <c r="K1023" s="1513"/>
      <c r="L1023" s="1513"/>
      <c r="M1023" s="1513"/>
      <c r="N1023" s="1513"/>
      <c r="O1023" s="1513"/>
      <c r="P1023" s="1513"/>
      <c r="Q1023" s="1513"/>
      <c r="R1023" s="1513"/>
      <c r="S1023" s="1513"/>
      <c r="T1023" s="1513"/>
      <c r="U1023" s="1513"/>
      <c r="V1023" s="1513"/>
      <c r="W1023" s="1513"/>
      <c r="X1023" s="1513"/>
      <c r="Y1023" s="1513"/>
      <c r="Z1023" s="1513"/>
      <c r="AA1023" s="1513"/>
      <c r="AB1023" s="1513"/>
      <c r="AC1023" s="1513"/>
      <c r="AD1023" s="1513"/>
      <c r="AE1023" s="1514"/>
      <c r="AF1023" s="1540"/>
      <c r="AG1023" s="1540"/>
      <c r="AH1023" s="1540"/>
      <c r="AI1023" s="1540"/>
      <c r="AJ1023" s="1553"/>
      <c r="AK1023" s="1554"/>
      <c r="AL1023" s="1554"/>
      <c r="AM1023" s="1554"/>
      <c r="AN1023" s="1554"/>
      <c r="AO1023" s="1554"/>
      <c r="AP1023" s="1554"/>
      <c r="AQ1023" s="1555"/>
      <c r="AR1023" s="68"/>
      <c r="AS1023" s="68"/>
      <c r="AT1023" s="68"/>
      <c r="AU1023" s="68"/>
      <c r="AV1023" s="68"/>
      <c r="AW1023" s="68"/>
      <c r="AX1023" s="68"/>
      <c r="AY1023" s="68"/>
    </row>
    <row r="1024" spans="1:51" ht="12.95" customHeight="1">
      <c r="A1024" s="14"/>
      <c r="B1024" s="79"/>
      <c r="C1024" s="80" t="s">
        <v>230</v>
      </c>
      <c r="D1024" s="1521" t="s">
        <v>1405</v>
      </c>
      <c r="E1024" s="1522"/>
      <c r="F1024" s="1522"/>
      <c r="G1024" s="1522"/>
      <c r="H1024" s="1522"/>
      <c r="I1024" s="1522"/>
      <c r="J1024" s="1522"/>
      <c r="K1024" s="1522"/>
      <c r="L1024" s="1522"/>
      <c r="M1024" s="1522"/>
      <c r="N1024" s="1522"/>
      <c r="O1024" s="1522"/>
      <c r="P1024" s="1522"/>
      <c r="Q1024" s="1522"/>
      <c r="R1024" s="1522"/>
      <c r="S1024" s="1522"/>
      <c r="T1024" s="1522"/>
      <c r="U1024" s="1522"/>
      <c r="V1024" s="1522"/>
      <c r="W1024" s="1522"/>
      <c r="X1024" s="1522"/>
      <c r="Y1024" s="1522"/>
      <c r="Z1024" s="1522"/>
      <c r="AA1024" s="1522"/>
      <c r="AB1024" s="1522"/>
      <c r="AC1024" s="1522"/>
      <c r="AD1024" s="1522"/>
      <c r="AE1024" s="1523"/>
      <c r="AF1024" s="79"/>
      <c r="AG1024" s="1529" t="s">
        <v>553</v>
      </c>
      <c r="AH1024" s="1530"/>
      <c r="AI1024" s="87"/>
      <c r="AJ1024" s="1547">
        <f>ROUND(IF(AG1024="Yes",AF1026,0),0)</f>
        <v>1375976</v>
      </c>
      <c r="AK1024" s="1548"/>
      <c r="AL1024" s="1548"/>
      <c r="AM1024" s="1548"/>
      <c r="AN1024" s="1548"/>
      <c r="AO1024" s="1548"/>
      <c r="AP1024" s="1548"/>
      <c r="AQ1024" s="1549"/>
      <c r="AR1024" s="68"/>
      <c r="AS1024" s="68"/>
      <c r="AT1024" s="68"/>
      <c r="AU1024" s="68"/>
      <c r="AV1024" s="68"/>
      <c r="AW1024" s="68"/>
      <c r="AX1024" s="68"/>
      <c r="AY1024" s="68"/>
    </row>
    <row r="1025" spans="1:51" ht="12.95" customHeight="1">
      <c r="A1025" s="14"/>
      <c r="B1025" s="73"/>
      <c r="C1025" s="74"/>
      <c r="D1025" s="1509" t="s">
        <v>1880</v>
      </c>
      <c r="E1025" s="1510"/>
      <c r="F1025" s="1510"/>
      <c r="G1025" s="1510"/>
      <c r="H1025" s="1510"/>
      <c r="I1025" s="1510"/>
      <c r="J1025" s="1510"/>
      <c r="K1025" s="1510"/>
      <c r="L1025" s="1510"/>
      <c r="M1025" s="1510"/>
      <c r="N1025" s="1510"/>
      <c r="O1025" s="1510"/>
      <c r="P1025" s="1510"/>
      <c r="Q1025" s="1510"/>
      <c r="R1025" s="1510"/>
      <c r="S1025" s="1510"/>
      <c r="T1025" s="1510"/>
      <c r="U1025" s="1510"/>
      <c r="V1025" s="1510"/>
      <c r="W1025" s="1510"/>
      <c r="X1025" s="1510"/>
      <c r="Y1025" s="1510"/>
      <c r="Z1025" s="1510"/>
      <c r="AA1025" s="1510"/>
      <c r="AB1025" s="1510"/>
      <c r="AC1025" s="1510"/>
      <c r="AD1025" s="1510"/>
      <c r="AE1025" s="1511"/>
      <c r="AF1025" s="1562" t="str">
        <f>IF(AG1024="yes","Enter Amount:","")</f>
        <v>Enter Amount:</v>
      </c>
      <c r="AG1025" s="1563"/>
      <c r="AH1025" s="1563"/>
      <c r="AI1025" s="1564"/>
      <c r="AJ1025" s="1550"/>
      <c r="AK1025" s="1551"/>
      <c r="AL1025" s="1551"/>
      <c r="AM1025" s="1551"/>
      <c r="AN1025" s="1551"/>
      <c r="AO1025" s="1551"/>
      <c r="AP1025" s="1551"/>
      <c r="AQ1025" s="1552"/>
      <c r="AR1025" s="68"/>
      <c r="AS1025" s="68"/>
      <c r="AT1025" s="68"/>
      <c r="AU1025" s="68"/>
      <c r="AV1025" s="68"/>
      <c r="AW1025" s="68"/>
      <c r="AX1025" s="68"/>
      <c r="AY1025" s="68"/>
    </row>
    <row r="1026" spans="1:51" ht="12.95" customHeight="1">
      <c r="A1026" s="14"/>
      <c r="B1026" s="73"/>
      <c r="C1026" s="74"/>
      <c r="D1026" s="1509"/>
      <c r="E1026" s="1510"/>
      <c r="F1026" s="1510"/>
      <c r="G1026" s="1510"/>
      <c r="H1026" s="1510"/>
      <c r="I1026" s="1510"/>
      <c r="J1026" s="1510"/>
      <c r="K1026" s="1510"/>
      <c r="L1026" s="1510"/>
      <c r="M1026" s="1510"/>
      <c r="N1026" s="1510"/>
      <c r="O1026" s="1510"/>
      <c r="P1026" s="1510"/>
      <c r="Q1026" s="1510"/>
      <c r="R1026" s="1510"/>
      <c r="S1026" s="1510"/>
      <c r="T1026" s="1510"/>
      <c r="U1026" s="1510"/>
      <c r="V1026" s="1510"/>
      <c r="W1026" s="1510"/>
      <c r="X1026" s="1510"/>
      <c r="Y1026" s="1510"/>
      <c r="Z1026" s="1510"/>
      <c r="AA1026" s="1510"/>
      <c r="AB1026" s="1510"/>
      <c r="AC1026" s="1510"/>
      <c r="AD1026" s="1510"/>
      <c r="AE1026" s="1511"/>
      <c r="AF1026" s="1540">
        <v>1375976</v>
      </c>
      <c r="AG1026" s="1540"/>
      <c r="AH1026" s="1540"/>
      <c r="AI1026" s="1540"/>
      <c r="AJ1026" s="1550"/>
      <c r="AK1026" s="1551"/>
      <c r="AL1026" s="1551"/>
      <c r="AM1026" s="1551"/>
      <c r="AN1026" s="1551"/>
      <c r="AO1026" s="1551"/>
      <c r="AP1026" s="1551"/>
      <c r="AQ1026" s="1552"/>
      <c r="AR1026" s="68"/>
      <c r="AS1026" s="68"/>
      <c r="AT1026" s="68"/>
      <c r="AU1026" s="68"/>
      <c r="AV1026" s="68"/>
      <c r="AW1026" s="68"/>
      <c r="AX1026" s="68"/>
      <c r="AY1026" s="68"/>
    </row>
    <row r="1027" spans="1:51" ht="12.95" customHeight="1">
      <c r="A1027" s="14"/>
      <c r="B1027" s="85"/>
      <c r="C1027" s="84"/>
      <c r="D1027" s="1534"/>
      <c r="E1027" s="1535"/>
      <c r="F1027" s="1535"/>
      <c r="G1027" s="1535"/>
      <c r="H1027" s="1535"/>
      <c r="I1027" s="1535"/>
      <c r="J1027" s="1535"/>
      <c r="K1027" s="1535"/>
      <c r="L1027" s="1535"/>
      <c r="M1027" s="1535"/>
      <c r="N1027" s="1535"/>
      <c r="O1027" s="1535"/>
      <c r="P1027" s="1535"/>
      <c r="Q1027" s="1535"/>
      <c r="R1027" s="1535"/>
      <c r="S1027" s="1535"/>
      <c r="T1027" s="1535"/>
      <c r="U1027" s="1535"/>
      <c r="V1027" s="1535"/>
      <c r="W1027" s="1535"/>
      <c r="X1027" s="1535"/>
      <c r="Y1027" s="1535"/>
      <c r="Z1027" s="1535"/>
      <c r="AA1027" s="1535"/>
      <c r="AB1027" s="1535"/>
      <c r="AC1027" s="1535"/>
      <c r="AD1027" s="1535"/>
      <c r="AE1027" s="1536"/>
      <c r="AF1027" s="1540"/>
      <c r="AG1027" s="1540"/>
      <c r="AH1027" s="1540"/>
      <c r="AI1027" s="1540"/>
      <c r="AJ1027" s="1553"/>
      <c r="AK1027" s="1554"/>
      <c r="AL1027" s="1554"/>
      <c r="AM1027" s="1554"/>
      <c r="AN1027" s="1554"/>
      <c r="AO1027" s="1554"/>
      <c r="AP1027" s="1554"/>
      <c r="AQ1027" s="1555"/>
      <c r="AR1027" s="68"/>
      <c r="AS1027" s="68"/>
      <c r="AT1027" s="68"/>
      <c r="AU1027" s="68"/>
      <c r="AV1027" s="68"/>
      <c r="AW1027" s="68"/>
      <c r="AX1027" s="68"/>
      <c r="AY1027" s="68"/>
    </row>
    <row r="1028" spans="1:51" ht="12.95" customHeight="1">
      <c r="A1028" s="14"/>
      <c r="B1028" s="79"/>
      <c r="C1028" s="80" t="s">
        <v>235</v>
      </c>
      <c r="D1028" s="1531" t="s">
        <v>1406</v>
      </c>
      <c r="E1028" s="1532"/>
      <c r="F1028" s="1532"/>
      <c r="G1028" s="1532"/>
      <c r="H1028" s="1532"/>
      <c r="I1028" s="1532"/>
      <c r="J1028" s="1532"/>
      <c r="K1028" s="1532"/>
      <c r="L1028" s="1532"/>
      <c r="M1028" s="1532"/>
      <c r="N1028" s="1532"/>
      <c r="O1028" s="1532"/>
      <c r="P1028" s="1532"/>
      <c r="Q1028" s="1532"/>
      <c r="R1028" s="1532"/>
      <c r="S1028" s="1532"/>
      <c r="T1028" s="1532"/>
      <c r="U1028" s="1532"/>
      <c r="V1028" s="1532"/>
      <c r="W1028" s="1532"/>
      <c r="X1028" s="1532"/>
      <c r="Y1028" s="1532"/>
      <c r="Z1028" s="1532"/>
      <c r="AA1028" s="1532"/>
      <c r="AB1028" s="1532"/>
      <c r="AC1028" s="1532"/>
      <c r="AD1028" s="1532"/>
      <c r="AE1028" s="1533"/>
      <c r="AF1028" s="79"/>
      <c r="AG1028" s="1529" t="s">
        <v>553</v>
      </c>
      <c r="AH1028" s="1530"/>
      <c r="AI1028" s="87"/>
      <c r="AJ1028" s="1547">
        <f>ROUND(IF(AG1028="yes",(AJ991*0.1),0),0)</f>
        <v>9948264</v>
      </c>
      <c r="AK1028" s="1548"/>
      <c r="AL1028" s="1548"/>
      <c r="AM1028" s="1548"/>
      <c r="AN1028" s="1548"/>
      <c r="AO1028" s="1548"/>
      <c r="AP1028" s="1548"/>
      <c r="AQ1028" s="1549"/>
      <c r="AR1028" s="68"/>
      <c r="AS1028" s="68"/>
      <c r="AT1028" s="68"/>
      <c r="AU1028" s="68"/>
      <c r="AV1028" s="68"/>
      <c r="AW1028" s="68"/>
      <c r="AX1028" s="68"/>
      <c r="AY1028" s="68"/>
    </row>
    <row r="1029" spans="1:51" ht="12.95" customHeight="1">
      <c r="A1029" s="14"/>
      <c r="B1029" s="73"/>
      <c r="C1029" s="74"/>
      <c r="D1029" s="1509" t="s">
        <v>1407</v>
      </c>
      <c r="E1029" s="1510"/>
      <c r="F1029" s="1510"/>
      <c r="G1029" s="1510"/>
      <c r="H1029" s="1510"/>
      <c r="I1029" s="1510"/>
      <c r="J1029" s="1510"/>
      <c r="K1029" s="1510"/>
      <c r="L1029" s="1510"/>
      <c r="M1029" s="1510"/>
      <c r="N1029" s="1510"/>
      <c r="O1029" s="1510"/>
      <c r="P1029" s="1510"/>
      <c r="Q1029" s="1510"/>
      <c r="R1029" s="1510"/>
      <c r="S1029" s="1510"/>
      <c r="T1029" s="1510"/>
      <c r="U1029" s="1510"/>
      <c r="V1029" s="1510"/>
      <c r="W1029" s="1510"/>
      <c r="X1029" s="1510"/>
      <c r="Y1029" s="1510"/>
      <c r="Z1029" s="1510"/>
      <c r="AA1029" s="1510"/>
      <c r="AB1029" s="1510"/>
      <c r="AC1029" s="1510"/>
      <c r="AD1029" s="1510"/>
      <c r="AE1029" s="1511"/>
      <c r="AF1029" s="73"/>
      <c r="AG1029" s="14"/>
      <c r="AH1029" s="14"/>
      <c r="AI1029" s="83"/>
      <c r="AJ1029" s="1550"/>
      <c r="AK1029" s="1551"/>
      <c r="AL1029" s="1551"/>
      <c r="AM1029" s="1551"/>
      <c r="AN1029" s="1551"/>
      <c r="AO1029" s="1551"/>
      <c r="AP1029" s="1551"/>
      <c r="AQ1029" s="1552"/>
      <c r="AR1029" s="68"/>
      <c r="AS1029" s="68"/>
      <c r="AT1029" s="68"/>
      <c r="AU1029" s="68"/>
      <c r="AV1029" s="68"/>
      <c r="AW1029" s="68"/>
      <c r="AX1029" s="68"/>
      <c r="AY1029" s="68"/>
    </row>
    <row r="1030" spans="1:51" ht="12.95" customHeight="1">
      <c r="A1030" s="14"/>
      <c r="B1030" s="77"/>
      <c r="C1030" s="74"/>
      <c r="D1030" s="1534"/>
      <c r="E1030" s="1535"/>
      <c r="F1030" s="1535"/>
      <c r="G1030" s="1535"/>
      <c r="H1030" s="1535"/>
      <c r="I1030" s="1535"/>
      <c r="J1030" s="1535"/>
      <c r="K1030" s="1535"/>
      <c r="L1030" s="1535"/>
      <c r="M1030" s="1535"/>
      <c r="N1030" s="1535"/>
      <c r="O1030" s="1535"/>
      <c r="P1030" s="1535"/>
      <c r="Q1030" s="1535"/>
      <c r="R1030" s="1535"/>
      <c r="S1030" s="1535"/>
      <c r="T1030" s="1535"/>
      <c r="U1030" s="1535"/>
      <c r="V1030" s="1535"/>
      <c r="W1030" s="1535"/>
      <c r="X1030" s="1535"/>
      <c r="Y1030" s="1535"/>
      <c r="Z1030" s="1535"/>
      <c r="AA1030" s="1535"/>
      <c r="AB1030" s="1535"/>
      <c r="AC1030" s="1535"/>
      <c r="AD1030" s="1535"/>
      <c r="AE1030" s="1536"/>
      <c r="AF1030" s="73"/>
      <c r="AG1030" s="14"/>
      <c r="AH1030" s="14"/>
      <c r="AI1030" s="83"/>
      <c r="AJ1030" s="1553"/>
      <c r="AK1030" s="1554"/>
      <c r="AL1030" s="1554"/>
      <c r="AM1030" s="1554"/>
      <c r="AN1030" s="1554"/>
      <c r="AO1030" s="1554"/>
      <c r="AP1030" s="1554"/>
      <c r="AQ1030" s="1555"/>
      <c r="AR1030" s="68"/>
      <c r="AS1030" s="68"/>
      <c r="AT1030" s="68"/>
      <c r="AU1030" s="68"/>
      <c r="AV1030" s="68"/>
      <c r="AW1030" s="68"/>
      <c r="AX1030" s="68"/>
      <c r="AY1030" s="68"/>
    </row>
    <row r="1031" spans="1:51" ht="12.95" customHeight="1">
      <c r="A1031" s="14"/>
      <c r="B1031" s="73"/>
      <c r="C1031" s="367" t="s">
        <v>696</v>
      </c>
      <c r="D1031" s="1521" t="s">
        <v>1876</v>
      </c>
      <c r="E1031" s="1522"/>
      <c r="F1031" s="1522"/>
      <c r="G1031" s="1522"/>
      <c r="H1031" s="1522"/>
      <c r="I1031" s="1522"/>
      <c r="J1031" s="1522"/>
      <c r="K1031" s="1522"/>
      <c r="L1031" s="1522"/>
      <c r="M1031" s="1522"/>
      <c r="N1031" s="1522"/>
      <c r="O1031" s="1522"/>
      <c r="P1031" s="1522"/>
      <c r="Q1031" s="1522"/>
      <c r="R1031" s="1522"/>
      <c r="S1031" s="1522"/>
      <c r="T1031" s="1522"/>
      <c r="U1031" s="1522"/>
      <c r="V1031" s="1522"/>
      <c r="W1031" s="1522"/>
      <c r="X1031" s="1522"/>
      <c r="Y1031" s="1522"/>
      <c r="Z1031" s="1522"/>
      <c r="AA1031" s="1522"/>
      <c r="AB1031" s="1522"/>
      <c r="AC1031" s="1522"/>
      <c r="AD1031" s="1522"/>
      <c r="AE1031" s="1523"/>
      <c r="AF1031" s="79"/>
      <c r="AG1031" s="1529" t="s">
        <v>677</v>
      </c>
      <c r="AH1031" s="1530"/>
      <c r="AI1031" s="87"/>
      <c r="AJ1031" s="1547">
        <f>ROUND(IF(AG1031="yes",(AJ991*0.15),0),0)</f>
        <v>0</v>
      </c>
      <c r="AK1031" s="1548"/>
      <c r="AL1031" s="1548"/>
      <c r="AM1031" s="1548"/>
      <c r="AN1031" s="1548"/>
      <c r="AO1031" s="1548"/>
      <c r="AP1031" s="1548"/>
      <c r="AQ1031" s="1549"/>
      <c r="AR1031" s="68"/>
      <c r="AS1031" s="68"/>
      <c r="AT1031" s="68"/>
      <c r="AU1031" s="68"/>
      <c r="AV1031" s="68"/>
      <c r="AW1031" s="68"/>
      <c r="AX1031" s="68"/>
      <c r="AY1031" s="68"/>
    </row>
    <row r="1032" spans="1:51" ht="12.95" customHeight="1">
      <c r="A1032" s="14"/>
      <c r="B1032" s="73"/>
      <c r="C1032" s="74"/>
      <c r="D1032" s="1593" t="s">
        <v>1877</v>
      </c>
      <c r="E1032" s="1274"/>
      <c r="F1032" s="1274"/>
      <c r="G1032" s="1274"/>
      <c r="H1032" s="1274"/>
      <c r="I1032" s="1274"/>
      <c r="J1032" s="1274"/>
      <c r="K1032" s="1274"/>
      <c r="L1032" s="1274"/>
      <c r="M1032" s="1274"/>
      <c r="N1032" s="1274"/>
      <c r="O1032" s="1274"/>
      <c r="P1032" s="1274"/>
      <c r="Q1032" s="1274"/>
      <c r="R1032" s="1274"/>
      <c r="S1032" s="1274"/>
      <c r="T1032" s="1274"/>
      <c r="U1032" s="1274"/>
      <c r="V1032" s="1274"/>
      <c r="W1032" s="1274"/>
      <c r="X1032" s="1274"/>
      <c r="Y1032" s="1274"/>
      <c r="Z1032" s="1274"/>
      <c r="AA1032" s="1274"/>
      <c r="AB1032" s="1274"/>
      <c r="AC1032" s="1274"/>
      <c r="AD1032" s="1274"/>
      <c r="AE1032" s="1594"/>
      <c r="AF1032" s="950"/>
      <c r="AG1032" s="951"/>
      <c r="AH1032" s="951"/>
      <c r="AI1032" s="952"/>
      <c r="AJ1032" s="1550"/>
      <c r="AK1032" s="1551"/>
      <c r="AL1032" s="1551"/>
      <c r="AM1032" s="1551"/>
      <c r="AN1032" s="1551"/>
      <c r="AO1032" s="1551"/>
      <c r="AP1032" s="1551"/>
      <c r="AQ1032" s="1552"/>
      <c r="AR1032" s="68"/>
      <c r="AS1032" s="68"/>
      <c r="AT1032" s="68"/>
      <c r="AU1032" s="68"/>
      <c r="AV1032" s="68"/>
      <c r="AW1032" s="68"/>
      <c r="AX1032" s="68"/>
      <c r="AY1032" s="68"/>
    </row>
    <row r="1033" spans="1:51" ht="12.95" customHeight="1">
      <c r="A1033" s="14"/>
      <c r="B1033" s="73"/>
      <c r="C1033" s="74"/>
      <c r="D1033" s="1593"/>
      <c r="E1033" s="1274"/>
      <c r="F1033" s="1274"/>
      <c r="G1033" s="1274"/>
      <c r="H1033" s="1274"/>
      <c r="I1033" s="1274"/>
      <c r="J1033" s="1274"/>
      <c r="K1033" s="1274"/>
      <c r="L1033" s="1274"/>
      <c r="M1033" s="1274"/>
      <c r="N1033" s="1274"/>
      <c r="O1033" s="1274"/>
      <c r="P1033" s="1274"/>
      <c r="Q1033" s="1274"/>
      <c r="R1033" s="1274"/>
      <c r="S1033" s="1274"/>
      <c r="T1033" s="1274"/>
      <c r="U1033" s="1274"/>
      <c r="V1033" s="1274"/>
      <c r="W1033" s="1274"/>
      <c r="X1033" s="1274"/>
      <c r="Y1033" s="1274"/>
      <c r="Z1033" s="1274"/>
      <c r="AA1033" s="1274"/>
      <c r="AB1033" s="1274"/>
      <c r="AC1033" s="1274"/>
      <c r="AD1033" s="1274"/>
      <c r="AE1033" s="1594"/>
      <c r="AF1033" s="950"/>
      <c r="AG1033" s="951"/>
      <c r="AH1033" s="951"/>
      <c r="AI1033" s="952"/>
      <c r="AJ1033" s="1550"/>
      <c r="AK1033" s="1551"/>
      <c r="AL1033" s="1551"/>
      <c r="AM1033" s="1551"/>
      <c r="AN1033" s="1551"/>
      <c r="AO1033" s="1551"/>
      <c r="AP1033" s="1551"/>
      <c r="AQ1033" s="1552"/>
      <c r="AR1033" s="68"/>
      <c r="AS1033" s="68"/>
      <c r="AT1033" s="68"/>
      <c r="AU1033" s="68"/>
      <c r="AV1033" s="68"/>
      <c r="AW1033" s="68"/>
      <c r="AX1033" s="68"/>
      <c r="AY1033" s="68"/>
    </row>
    <row r="1034" spans="1:51" ht="12.95" customHeight="1">
      <c r="A1034" s="14"/>
      <c r="B1034" s="73"/>
      <c r="C1034" s="74"/>
      <c r="D1034" s="1595"/>
      <c r="E1034" s="1596"/>
      <c r="F1034" s="1596"/>
      <c r="G1034" s="1596"/>
      <c r="H1034" s="1596"/>
      <c r="I1034" s="1596"/>
      <c r="J1034" s="1596"/>
      <c r="K1034" s="1596"/>
      <c r="L1034" s="1596"/>
      <c r="M1034" s="1596"/>
      <c r="N1034" s="1596"/>
      <c r="O1034" s="1596"/>
      <c r="P1034" s="1596"/>
      <c r="Q1034" s="1596"/>
      <c r="R1034" s="1596"/>
      <c r="S1034" s="1596"/>
      <c r="T1034" s="1596"/>
      <c r="U1034" s="1596"/>
      <c r="V1034" s="1596"/>
      <c r="W1034" s="1596"/>
      <c r="X1034" s="1596"/>
      <c r="Y1034" s="1596"/>
      <c r="Z1034" s="1596"/>
      <c r="AA1034" s="1596"/>
      <c r="AB1034" s="1596"/>
      <c r="AC1034" s="1596"/>
      <c r="AD1034" s="1596"/>
      <c r="AE1034" s="1597"/>
      <c r="AF1034" s="953"/>
      <c r="AG1034" s="954"/>
      <c r="AH1034" s="954"/>
      <c r="AI1034" s="955"/>
      <c r="AJ1034" s="1553"/>
      <c r="AK1034" s="1554"/>
      <c r="AL1034" s="1554"/>
      <c r="AM1034" s="1554"/>
      <c r="AN1034" s="1554"/>
      <c r="AO1034" s="1554"/>
      <c r="AP1034" s="1554"/>
      <c r="AQ1034" s="1555"/>
      <c r="AR1034" s="68"/>
      <c r="AS1034" s="68"/>
      <c r="AT1034" s="68"/>
      <c r="AU1034" s="68"/>
      <c r="AV1034" s="68"/>
      <c r="AW1034" s="68"/>
      <c r="AX1034" s="68"/>
      <c r="AY1034" s="68"/>
    </row>
    <row r="1035" spans="1:51" ht="12.95" customHeight="1">
      <c r="A1035" s="14"/>
      <c r="B1035" s="73"/>
      <c r="C1035" s="367" t="s">
        <v>696</v>
      </c>
      <c r="D1035" s="1531" t="s">
        <v>1878</v>
      </c>
      <c r="E1035" s="1532"/>
      <c r="F1035" s="1532"/>
      <c r="G1035" s="1532"/>
      <c r="H1035" s="1532"/>
      <c r="I1035" s="1532"/>
      <c r="J1035" s="1532"/>
      <c r="K1035" s="1532"/>
      <c r="L1035" s="1532"/>
      <c r="M1035" s="1532"/>
      <c r="N1035" s="1532"/>
      <c r="O1035" s="1532"/>
      <c r="P1035" s="1532"/>
      <c r="Q1035" s="1532"/>
      <c r="R1035" s="1532"/>
      <c r="S1035" s="1532"/>
      <c r="T1035" s="1532"/>
      <c r="U1035" s="1532"/>
      <c r="V1035" s="1532"/>
      <c r="W1035" s="1532"/>
      <c r="X1035" s="1532"/>
      <c r="Y1035" s="1532"/>
      <c r="Z1035" s="1532"/>
      <c r="AA1035" s="1532"/>
      <c r="AB1035" s="1532"/>
      <c r="AC1035" s="1532"/>
      <c r="AD1035" s="1532"/>
      <c r="AE1035" s="1533"/>
      <c r="AF1035" s="73"/>
      <c r="AG1035" s="1722" t="s">
        <v>677</v>
      </c>
      <c r="AH1035" s="1723"/>
      <c r="AI1035" s="83"/>
      <c r="AJ1035" s="1547">
        <f>ROUND(IF(AND(AG1035="yes",AJ1031=0),(AJ991*0.1),0),0)</f>
        <v>0</v>
      </c>
      <c r="AK1035" s="1548"/>
      <c r="AL1035" s="1548"/>
      <c r="AM1035" s="1548"/>
      <c r="AN1035" s="1548"/>
      <c r="AO1035" s="1548"/>
      <c r="AP1035" s="1548"/>
      <c r="AQ1035" s="1549"/>
      <c r="AR1035" s="68"/>
      <c r="AS1035" s="68"/>
      <c r="AT1035" s="68"/>
      <c r="AU1035" s="68"/>
      <c r="AV1035" s="68"/>
      <c r="AW1035" s="68"/>
      <c r="AX1035" s="68"/>
      <c r="AY1035" s="68"/>
    </row>
    <row r="1036" spans="1:51" ht="12.95" customHeight="1">
      <c r="A1036" s="14"/>
      <c r="B1036" s="73"/>
      <c r="C1036" s="74"/>
      <c r="D1036" s="1593" t="s">
        <v>1879</v>
      </c>
      <c r="E1036" s="1274"/>
      <c r="F1036" s="1274"/>
      <c r="G1036" s="1274"/>
      <c r="H1036" s="1274"/>
      <c r="I1036" s="1274"/>
      <c r="J1036" s="1274"/>
      <c r="K1036" s="1274"/>
      <c r="L1036" s="1274"/>
      <c r="M1036" s="1274"/>
      <c r="N1036" s="1274"/>
      <c r="O1036" s="1274"/>
      <c r="P1036" s="1274"/>
      <c r="Q1036" s="1274"/>
      <c r="R1036" s="1274"/>
      <c r="S1036" s="1274"/>
      <c r="T1036" s="1274"/>
      <c r="U1036" s="1274"/>
      <c r="V1036" s="1274"/>
      <c r="W1036" s="1274"/>
      <c r="X1036" s="1274"/>
      <c r="Y1036" s="1274"/>
      <c r="Z1036" s="1274"/>
      <c r="AA1036" s="1274"/>
      <c r="AB1036" s="1274"/>
      <c r="AC1036" s="1274"/>
      <c r="AD1036" s="1274"/>
      <c r="AE1036" s="1594"/>
      <c r="AF1036" s="73"/>
      <c r="AG1036" s="14"/>
      <c r="AH1036" s="14"/>
      <c r="AI1036" s="83"/>
      <c r="AJ1036" s="1550"/>
      <c r="AK1036" s="1551"/>
      <c r="AL1036" s="1551"/>
      <c r="AM1036" s="1551"/>
      <c r="AN1036" s="1551"/>
      <c r="AO1036" s="1551"/>
      <c r="AP1036" s="1551"/>
      <c r="AQ1036" s="1552"/>
      <c r="AR1036" s="68"/>
      <c r="AS1036" s="68"/>
      <c r="AT1036" s="68"/>
      <c r="AU1036" s="68"/>
      <c r="AV1036" s="68"/>
      <c r="AW1036" s="68"/>
      <c r="AX1036" s="68"/>
      <c r="AY1036" s="68"/>
    </row>
    <row r="1037" spans="1:51" ht="12.95" customHeight="1">
      <c r="A1037" s="14"/>
      <c r="B1037" s="73"/>
      <c r="C1037" s="74"/>
      <c r="D1037" s="1593"/>
      <c r="E1037" s="1274"/>
      <c r="F1037" s="1274"/>
      <c r="G1037" s="1274"/>
      <c r="H1037" s="1274"/>
      <c r="I1037" s="1274"/>
      <c r="J1037" s="1274"/>
      <c r="K1037" s="1274"/>
      <c r="L1037" s="1274"/>
      <c r="M1037" s="1274"/>
      <c r="N1037" s="1274"/>
      <c r="O1037" s="1274"/>
      <c r="P1037" s="1274"/>
      <c r="Q1037" s="1274"/>
      <c r="R1037" s="1274"/>
      <c r="S1037" s="1274"/>
      <c r="T1037" s="1274"/>
      <c r="U1037" s="1274"/>
      <c r="V1037" s="1274"/>
      <c r="W1037" s="1274"/>
      <c r="X1037" s="1274"/>
      <c r="Y1037" s="1274"/>
      <c r="Z1037" s="1274"/>
      <c r="AA1037" s="1274"/>
      <c r="AB1037" s="1274"/>
      <c r="AC1037" s="1274"/>
      <c r="AD1037" s="1274"/>
      <c r="AE1037" s="1594"/>
      <c r="AF1037" s="73"/>
      <c r="AG1037" s="14"/>
      <c r="AH1037" s="14"/>
      <c r="AI1037" s="83"/>
      <c r="AJ1037" s="1550"/>
      <c r="AK1037" s="1551"/>
      <c r="AL1037" s="1551"/>
      <c r="AM1037" s="1551"/>
      <c r="AN1037" s="1551"/>
      <c r="AO1037" s="1551"/>
      <c r="AP1037" s="1551"/>
      <c r="AQ1037" s="1552"/>
      <c r="AR1037" s="68"/>
      <c r="AS1037" s="68"/>
      <c r="AT1037" s="68"/>
      <c r="AU1037" s="68"/>
      <c r="AV1037" s="68"/>
      <c r="AW1037" s="68"/>
      <c r="AX1037" s="68"/>
      <c r="AY1037" s="68"/>
    </row>
    <row r="1038" spans="1:51" ht="12.95" customHeight="1">
      <c r="A1038" s="14"/>
      <c r="B1038" s="73"/>
      <c r="C1038" s="74"/>
      <c r="D1038" s="1593"/>
      <c r="E1038" s="1274"/>
      <c r="F1038" s="1274"/>
      <c r="G1038" s="1274"/>
      <c r="H1038" s="1274"/>
      <c r="I1038" s="1274"/>
      <c r="J1038" s="1274"/>
      <c r="K1038" s="1274"/>
      <c r="L1038" s="1274"/>
      <c r="M1038" s="1274"/>
      <c r="N1038" s="1274"/>
      <c r="O1038" s="1274"/>
      <c r="P1038" s="1274"/>
      <c r="Q1038" s="1274"/>
      <c r="R1038" s="1274"/>
      <c r="S1038" s="1274"/>
      <c r="T1038" s="1274"/>
      <c r="U1038" s="1274"/>
      <c r="V1038" s="1274"/>
      <c r="W1038" s="1274"/>
      <c r="X1038" s="1274"/>
      <c r="Y1038" s="1274"/>
      <c r="Z1038" s="1274"/>
      <c r="AA1038" s="1274"/>
      <c r="AB1038" s="1274"/>
      <c r="AC1038" s="1274"/>
      <c r="AD1038" s="1274"/>
      <c r="AE1038" s="1594"/>
      <c r="AF1038" s="73"/>
      <c r="AG1038" s="14"/>
      <c r="AH1038" s="14"/>
      <c r="AI1038" s="83"/>
      <c r="AJ1038" s="1550"/>
      <c r="AK1038" s="1551"/>
      <c r="AL1038" s="1551"/>
      <c r="AM1038" s="1551"/>
      <c r="AN1038" s="1551"/>
      <c r="AO1038" s="1551"/>
      <c r="AP1038" s="1551"/>
      <c r="AQ1038" s="1552"/>
      <c r="AR1038" s="68"/>
      <c r="AS1038" s="68"/>
      <c r="AT1038" s="68"/>
      <c r="AU1038" s="68"/>
      <c r="AV1038" s="68"/>
      <c r="AW1038" s="68"/>
      <c r="AX1038" s="68"/>
      <c r="AY1038" s="68"/>
    </row>
    <row r="1039" spans="1:51" ht="12.95" customHeight="1">
      <c r="A1039" s="14"/>
      <c r="B1039" s="73"/>
      <c r="C1039" s="74"/>
      <c r="D1039" s="1595"/>
      <c r="E1039" s="1596"/>
      <c r="F1039" s="1596"/>
      <c r="G1039" s="1596"/>
      <c r="H1039" s="1596"/>
      <c r="I1039" s="1596"/>
      <c r="J1039" s="1596"/>
      <c r="K1039" s="1596"/>
      <c r="L1039" s="1596"/>
      <c r="M1039" s="1596"/>
      <c r="N1039" s="1596"/>
      <c r="O1039" s="1596"/>
      <c r="P1039" s="1596"/>
      <c r="Q1039" s="1596"/>
      <c r="R1039" s="1596"/>
      <c r="S1039" s="1596"/>
      <c r="T1039" s="1596"/>
      <c r="U1039" s="1596"/>
      <c r="V1039" s="1596"/>
      <c r="W1039" s="1596"/>
      <c r="X1039" s="1596"/>
      <c r="Y1039" s="1596"/>
      <c r="Z1039" s="1596"/>
      <c r="AA1039" s="1596"/>
      <c r="AB1039" s="1596"/>
      <c r="AC1039" s="1596"/>
      <c r="AD1039" s="1596"/>
      <c r="AE1039" s="1597"/>
      <c r="AF1039" s="73"/>
      <c r="AG1039" s="14"/>
      <c r="AH1039" s="14"/>
      <c r="AI1039" s="83"/>
      <c r="AJ1039" s="1550"/>
      <c r="AK1039" s="1551"/>
      <c r="AL1039" s="1551"/>
      <c r="AM1039" s="1551"/>
      <c r="AN1039" s="1551"/>
      <c r="AO1039" s="1551"/>
      <c r="AP1039" s="1551"/>
      <c r="AQ1039" s="1552"/>
      <c r="AR1039" s="68"/>
      <c r="AS1039" s="68"/>
      <c r="AT1039" s="68"/>
      <c r="AU1039" s="68"/>
      <c r="AV1039" s="68"/>
      <c r="AW1039" s="68"/>
      <c r="AX1039" s="68"/>
      <c r="AY1039" s="68"/>
    </row>
    <row r="1040" spans="1:51" ht="12.95" customHeight="1">
      <c r="A1040" s="14"/>
      <c r="B1040" s="79"/>
      <c r="C1040" s="131" t="s">
        <v>1034</v>
      </c>
      <c r="D1040" s="1521" t="s">
        <v>1408</v>
      </c>
      <c r="E1040" s="1522"/>
      <c r="F1040" s="1522"/>
      <c r="G1040" s="1522"/>
      <c r="H1040" s="1522"/>
      <c r="I1040" s="1522"/>
      <c r="J1040" s="1522"/>
      <c r="K1040" s="1522"/>
      <c r="L1040" s="1522"/>
      <c r="M1040" s="1522"/>
      <c r="N1040" s="1522"/>
      <c r="O1040" s="1522"/>
      <c r="P1040" s="1522"/>
      <c r="Q1040" s="1522"/>
      <c r="R1040" s="1522"/>
      <c r="S1040" s="1522"/>
      <c r="T1040" s="1522"/>
      <c r="U1040" s="1522"/>
      <c r="V1040" s="1522"/>
      <c r="W1040" s="1522"/>
      <c r="X1040" s="1522"/>
      <c r="Y1040" s="1522"/>
      <c r="Z1040" s="1522"/>
      <c r="AA1040" s="1522"/>
      <c r="AB1040" s="1522"/>
      <c r="AC1040" s="1522"/>
      <c r="AD1040" s="1522"/>
      <c r="AE1040" s="1523"/>
      <c r="AF1040" s="79"/>
      <c r="AG1040" s="1529" t="s">
        <v>677</v>
      </c>
      <c r="AH1040" s="1530"/>
      <c r="AI1040" s="87"/>
      <c r="AJ1040" s="1547">
        <f>ROUND(IF(AG1040="yes",(AJ991*0.1),0),0)</f>
        <v>0</v>
      </c>
      <c r="AK1040" s="1548"/>
      <c r="AL1040" s="1548"/>
      <c r="AM1040" s="1548"/>
      <c r="AN1040" s="1548"/>
      <c r="AO1040" s="1548"/>
      <c r="AP1040" s="1548"/>
      <c r="AQ1040" s="1549"/>
      <c r="AR1040" s="68"/>
      <c r="AS1040" s="68"/>
      <c r="AT1040" s="68"/>
      <c r="AU1040" s="68"/>
      <c r="AV1040" s="68"/>
      <c r="AW1040" s="68"/>
      <c r="AX1040" s="68"/>
      <c r="AY1040" s="68"/>
    </row>
    <row r="1041" spans="1:51" ht="12.95" customHeight="1">
      <c r="A1041" s="14"/>
      <c r="B1041" s="73"/>
      <c r="C1041" s="74"/>
      <c r="D1041" s="1509" t="s">
        <v>2504</v>
      </c>
      <c r="E1041" s="1510"/>
      <c r="F1041" s="1510"/>
      <c r="G1041" s="1510"/>
      <c r="H1041" s="1510"/>
      <c r="I1041" s="1510"/>
      <c r="J1041" s="1510"/>
      <c r="K1041" s="1510"/>
      <c r="L1041" s="1510"/>
      <c r="M1041" s="1510"/>
      <c r="N1041" s="1510"/>
      <c r="O1041" s="1510"/>
      <c r="P1041" s="1510"/>
      <c r="Q1041" s="1510"/>
      <c r="R1041" s="1510"/>
      <c r="S1041" s="1510"/>
      <c r="T1041" s="1510"/>
      <c r="U1041" s="1510"/>
      <c r="V1041" s="1510"/>
      <c r="W1041" s="1510"/>
      <c r="X1041" s="1510"/>
      <c r="Y1041" s="1510"/>
      <c r="Z1041" s="1510"/>
      <c r="AA1041" s="1510"/>
      <c r="AB1041" s="1510"/>
      <c r="AC1041" s="1510"/>
      <c r="AD1041" s="1510"/>
      <c r="AE1041" s="1511"/>
      <c r="AF1041" s="73"/>
      <c r="AG1041" s="14"/>
      <c r="AH1041" s="14"/>
      <c r="AI1041" s="83"/>
      <c r="AJ1041" s="1550"/>
      <c r="AK1041" s="1551"/>
      <c r="AL1041" s="1551"/>
      <c r="AM1041" s="1551"/>
      <c r="AN1041" s="1551"/>
      <c r="AO1041" s="1551"/>
      <c r="AP1041" s="1551"/>
      <c r="AQ1041" s="1552"/>
      <c r="AR1041" s="68"/>
      <c r="AS1041" s="68"/>
      <c r="AT1041" s="68"/>
      <c r="AU1041" s="68"/>
      <c r="AV1041" s="68"/>
      <c r="AW1041" s="68"/>
      <c r="AX1041" s="68"/>
      <c r="AY1041" s="68"/>
    </row>
    <row r="1042" spans="1:51" ht="12.95" customHeight="1">
      <c r="A1042" s="14"/>
      <c r="B1042" s="73"/>
      <c r="C1042" s="74"/>
      <c r="D1042" s="1509"/>
      <c r="E1042" s="1510"/>
      <c r="F1042" s="1510"/>
      <c r="G1042" s="1510"/>
      <c r="H1042" s="1510"/>
      <c r="I1042" s="1510"/>
      <c r="J1042" s="1510"/>
      <c r="K1042" s="1510"/>
      <c r="L1042" s="1510"/>
      <c r="M1042" s="1510"/>
      <c r="N1042" s="1510"/>
      <c r="O1042" s="1510"/>
      <c r="P1042" s="1510"/>
      <c r="Q1042" s="1510"/>
      <c r="R1042" s="1510"/>
      <c r="S1042" s="1510"/>
      <c r="T1042" s="1510"/>
      <c r="U1042" s="1510"/>
      <c r="V1042" s="1510"/>
      <c r="W1042" s="1510"/>
      <c r="X1042" s="1510"/>
      <c r="Y1042" s="1510"/>
      <c r="Z1042" s="1510"/>
      <c r="AA1042" s="1510"/>
      <c r="AB1042" s="1510"/>
      <c r="AC1042" s="1510"/>
      <c r="AD1042" s="1510"/>
      <c r="AE1042" s="1511"/>
      <c r="AF1042" s="73"/>
      <c r="AG1042" s="14"/>
      <c r="AH1042" s="14"/>
      <c r="AI1042" s="83"/>
      <c r="AJ1042" s="1550"/>
      <c r="AK1042" s="1551"/>
      <c r="AL1042" s="1551"/>
      <c r="AM1042" s="1551"/>
      <c r="AN1042" s="1551"/>
      <c r="AO1042" s="1551"/>
      <c r="AP1042" s="1551"/>
      <c r="AQ1042" s="1552"/>
      <c r="AR1042" s="68"/>
      <c r="AS1042" s="68"/>
      <c r="AT1042" s="68"/>
      <c r="AU1042" s="68"/>
      <c r="AV1042" s="68"/>
      <c r="AW1042" s="68"/>
      <c r="AX1042" s="68"/>
      <c r="AY1042" s="68"/>
    </row>
    <row r="1043" spans="1:51" ht="12.95" customHeight="1">
      <c r="A1043" s="14"/>
      <c r="B1043" s="73"/>
      <c r="C1043" s="74"/>
      <c r="D1043" s="1534"/>
      <c r="E1043" s="1535"/>
      <c r="F1043" s="1535"/>
      <c r="G1043" s="1535"/>
      <c r="H1043" s="1535"/>
      <c r="I1043" s="1535"/>
      <c r="J1043" s="1535"/>
      <c r="K1043" s="1535"/>
      <c r="L1043" s="1535"/>
      <c r="M1043" s="1535"/>
      <c r="N1043" s="1535"/>
      <c r="O1043" s="1535"/>
      <c r="P1043" s="1535"/>
      <c r="Q1043" s="1535"/>
      <c r="R1043" s="1535"/>
      <c r="S1043" s="1535"/>
      <c r="T1043" s="1535"/>
      <c r="U1043" s="1535"/>
      <c r="V1043" s="1535"/>
      <c r="W1043" s="1535"/>
      <c r="X1043" s="1535"/>
      <c r="Y1043" s="1535"/>
      <c r="Z1043" s="1535"/>
      <c r="AA1043" s="1535"/>
      <c r="AB1043" s="1535"/>
      <c r="AC1043" s="1535"/>
      <c r="AD1043" s="1535"/>
      <c r="AE1043" s="1536"/>
      <c r="AF1043" s="73"/>
      <c r="AG1043" s="14"/>
      <c r="AH1043" s="14"/>
      <c r="AI1043" s="83"/>
      <c r="AJ1043" s="1553"/>
      <c r="AK1043" s="1554"/>
      <c r="AL1043" s="1554"/>
      <c r="AM1043" s="1554"/>
      <c r="AN1043" s="1554"/>
      <c r="AO1043" s="1554"/>
      <c r="AP1043" s="1554"/>
      <c r="AQ1043" s="1555"/>
      <c r="AR1043" s="68"/>
      <c r="AS1043" s="68"/>
      <c r="AT1043" s="68"/>
      <c r="AU1043" s="68"/>
      <c r="AV1043" s="68"/>
      <c r="AW1043" s="68"/>
      <c r="AX1043" s="68"/>
      <c r="AY1043" s="68"/>
    </row>
    <row r="1044" spans="1:51" ht="12.95" customHeight="1">
      <c r="A1044" s="14"/>
      <c r="B1044" s="79"/>
      <c r="C1044" s="131" t="s">
        <v>1874</v>
      </c>
      <c r="D1044" s="1531" t="s">
        <v>2056</v>
      </c>
      <c r="E1044" s="1532"/>
      <c r="F1044" s="1532"/>
      <c r="G1044" s="1532"/>
      <c r="H1044" s="1532"/>
      <c r="I1044" s="1532"/>
      <c r="J1044" s="1532"/>
      <c r="K1044" s="1532"/>
      <c r="L1044" s="1532"/>
      <c r="M1044" s="1532"/>
      <c r="N1044" s="1532"/>
      <c r="O1044" s="1532"/>
      <c r="P1044" s="1532"/>
      <c r="Q1044" s="1532"/>
      <c r="R1044" s="1532"/>
      <c r="S1044" s="1532"/>
      <c r="T1044" s="1532"/>
      <c r="U1044" s="1532"/>
      <c r="V1044" s="1532"/>
      <c r="W1044" s="1532"/>
      <c r="X1044" s="1532"/>
      <c r="Y1044" s="1532"/>
      <c r="Z1044" s="1532"/>
      <c r="AA1044" s="1532"/>
      <c r="AB1044" s="1532"/>
      <c r="AC1044" s="1532"/>
      <c r="AD1044" s="1532"/>
      <c r="AE1044" s="1533"/>
      <c r="AF1044" s="79"/>
      <c r="AG1044" s="1617" t="str">
        <f>IF(X1047&gt;0,"Yes","No")</f>
        <v>Yes</v>
      </c>
      <c r="AH1044" s="1618"/>
      <c r="AI1044" s="87"/>
      <c r="AJ1044" s="1547">
        <f>IF((X1047=0),0,AY1004*AJ991)</f>
        <v>14922396</v>
      </c>
      <c r="AK1044" s="1548"/>
      <c r="AL1044" s="1548"/>
      <c r="AM1044" s="1548"/>
      <c r="AN1044" s="1548"/>
      <c r="AO1044" s="1548"/>
      <c r="AP1044" s="1548"/>
      <c r="AQ1044" s="1549"/>
      <c r="AR1044" s="68"/>
      <c r="AS1044" s="68"/>
      <c r="AT1044" s="68"/>
      <c r="AU1044" s="68"/>
      <c r="AV1044" s="68"/>
      <c r="AW1044" s="68"/>
      <c r="AX1044" s="68"/>
      <c r="AY1044" s="68"/>
    </row>
    <row r="1045" spans="1:51" ht="12.95" customHeight="1">
      <c r="A1045" s="14"/>
      <c r="B1045" s="73"/>
      <c r="C1045" s="476"/>
      <c r="D1045" s="1509" t="s">
        <v>1410</v>
      </c>
      <c r="E1045" s="1510"/>
      <c r="F1045" s="1510"/>
      <c r="G1045" s="1510"/>
      <c r="H1045" s="1510"/>
      <c r="I1045" s="1510"/>
      <c r="J1045" s="1510"/>
      <c r="K1045" s="1510"/>
      <c r="L1045" s="1510"/>
      <c r="M1045" s="1510"/>
      <c r="N1045" s="1510"/>
      <c r="O1045" s="1510"/>
      <c r="P1045" s="1510"/>
      <c r="Q1045" s="1510"/>
      <c r="R1045" s="1510"/>
      <c r="S1045" s="1510"/>
      <c r="T1045" s="1510"/>
      <c r="U1045" s="1510"/>
      <c r="V1045" s="1510"/>
      <c r="W1045" s="1510"/>
      <c r="X1045" s="1510"/>
      <c r="Y1045" s="1510"/>
      <c r="Z1045" s="1510"/>
      <c r="AA1045" s="1510"/>
      <c r="AB1045" s="1510"/>
      <c r="AC1045" s="1510"/>
      <c r="AD1045" s="1510"/>
      <c r="AE1045" s="1511"/>
      <c r="AF1045" s="73"/>
      <c r="AG1045" s="477"/>
      <c r="AH1045" s="477"/>
      <c r="AI1045" s="83"/>
      <c r="AJ1045" s="1550"/>
      <c r="AK1045" s="1551"/>
      <c r="AL1045" s="1551"/>
      <c r="AM1045" s="1551"/>
      <c r="AN1045" s="1551"/>
      <c r="AO1045" s="1551"/>
      <c r="AP1045" s="1551"/>
      <c r="AQ1045" s="1552"/>
      <c r="AR1045" s="68"/>
      <c r="AS1045" s="68"/>
      <c r="AT1045" s="68"/>
      <c r="AU1045" s="13"/>
      <c r="AV1045" s="68"/>
      <c r="AW1045" s="68"/>
      <c r="AX1045" s="68"/>
      <c r="AY1045" s="68"/>
    </row>
    <row r="1046" spans="1:51" ht="12.95" customHeight="1">
      <c r="A1046" s="14"/>
      <c r="B1046" s="73"/>
      <c r="C1046" s="476"/>
      <c r="D1046" s="1509"/>
      <c r="E1046" s="1510"/>
      <c r="F1046" s="1510"/>
      <c r="G1046" s="1510"/>
      <c r="H1046" s="1510"/>
      <c r="I1046" s="1510"/>
      <c r="J1046" s="1510"/>
      <c r="K1046" s="1510"/>
      <c r="L1046" s="1510"/>
      <c r="M1046" s="1510"/>
      <c r="N1046" s="1510"/>
      <c r="O1046" s="1510"/>
      <c r="P1046" s="1510"/>
      <c r="Q1046" s="1510"/>
      <c r="R1046" s="1510"/>
      <c r="S1046" s="1510"/>
      <c r="T1046" s="1510"/>
      <c r="U1046" s="1510"/>
      <c r="V1046" s="1510"/>
      <c r="W1046" s="1510"/>
      <c r="X1046" s="1510"/>
      <c r="Y1046" s="1510"/>
      <c r="Z1046" s="1510"/>
      <c r="AA1046" s="1510"/>
      <c r="AB1046" s="1510"/>
      <c r="AC1046" s="1510"/>
      <c r="AD1046" s="1510"/>
      <c r="AE1046" s="1511"/>
      <c r="AF1046" s="73"/>
      <c r="AG1046" s="477"/>
      <c r="AH1046" s="477"/>
      <c r="AI1046" s="83"/>
      <c r="AJ1046" s="1550"/>
      <c r="AK1046" s="1551"/>
      <c r="AL1046" s="1551"/>
      <c r="AM1046" s="1551"/>
      <c r="AN1046" s="1551"/>
      <c r="AO1046" s="1551"/>
      <c r="AP1046" s="1551"/>
      <c r="AQ1046" s="1552"/>
      <c r="AR1046" s="68"/>
      <c r="AS1046" s="68"/>
      <c r="AT1046" s="68"/>
      <c r="AU1046" s="13"/>
      <c r="AV1046" s="68"/>
      <c r="AW1046" s="68"/>
      <c r="AX1046" s="68"/>
      <c r="AY1046" s="68"/>
    </row>
    <row r="1047" spans="1:51" ht="12.95" customHeight="1">
      <c r="A1047" s="14"/>
      <c r="B1047" s="77"/>
      <c r="C1047" s="78"/>
      <c r="D1047" s="132" t="s">
        <v>991</v>
      </c>
      <c r="E1047" s="133"/>
      <c r="F1047" s="133"/>
      <c r="G1047" s="133"/>
      <c r="H1047" s="133"/>
      <c r="I1047" s="1741">
        <f>AY1002</f>
        <v>158</v>
      </c>
      <c r="J1047" s="1742"/>
      <c r="K1047" s="7"/>
      <c r="L1047" s="133"/>
      <c r="M1047" s="133"/>
      <c r="N1047" s="133"/>
      <c r="O1047" s="133"/>
      <c r="P1047" s="133"/>
      <c r="Q1047" s="133"/>
      <c r="R1047" s="133"/>
      <c r="S1047" s="133"/>
      <c r="T1047" s="133"/>
      <c r="U1047" s="133"/>
      <c r="V1047" s="134" t="s">
        <v>992</v>
      </c>
      <c r="W1047" s="48"/>
      <c r="X1047" s="1739">
        <f>BG632</f>
        <v>25</v>
      </c>
      <c r="Y1047" s="1740"/>
      <c r="Z1047" s="48"/>
      <c r="AA1047" s="48"/>
      <c r="AB1047" s="48"/>
      <c r="AC1047" s="48"/>
      <c r="AD1047" s="48"/>
      <c r="AE1047" s="49"/>
      <c r="AF1047" s="959"/>
      <c r="AG1047" s="960"/>
      <c r="AH1047" s="960"/>
      <c r="AI1047" s="961"/>
      <c r="AJ1047" s="1553"/>
      <c r="AK1047" s="1554"/>
      <c r="AL1047" s="1554"/>
      <c r="AM1047" s="1554"/>
      <c r="AN1047" s="1554"/>
      <c r="AO1047" s="1554"/>
      <c r="AP1047" s="1554"/>
      <c r="AQ1047" s="1555"/>
      <c r="AR1047" s="68"/>
      <c r="AS1047" s="68"/>
      <c r="AT1047" s="68"/>
      <c r="AU1047" s="14"/>
      <c r="AV1047" s="68"/>
      <c r="AW1047" s="68"/>
      <c r="AX1047" s="68"/>
      <c r="AY1047" s="68"/>
    </row>
    <row r="1048" spans="1:51" ht="12.95" customHeight="1">
      <c r="A1048" s="14"/>
      <c r="B1048" s="79"/>
      <c r="C1048" s="131" t="s">
        <v>1875</v>
      </c>
      <c r="D1048" s="1521" t="s">
        <v>2535</v>
      </c>
      <c r="E1048" s="1522"/>
      <c r="F1048" s="1522"/>
      <c r="G1048" s="1522"/>
      <c r="H1048" s="1522"/>
      <c r="I1048" s="1522"/>
      <c r="J1048" s="1522"/>
      <c r="K1048" s="1522"/>
      <c r="L1048" s="1522"/>
      <c r="M1048" s="1522"/>
      <c r="N1048" s="1522"/>
      <c r="O1048" s="1522"/>
      <c r="P1048" s="1522"/>
      <c r="Q1048" s="1522"/>
      <c r="R1048" s="1522"/>
      <c r="S1048" s="1522"/>
      <c r="T1048" s="1522"/>
      <c r="U1048" s="1522"/>
      <c r="V1048" s="1522"/>
      <c r="W1048" s="1522"/>
      <c r="X1048" s="1522"/>
      <c r="Y1048" s="1522"/>
      <c r="Z1048" s="1522"/>
      <c r="AA1048" s="1522"/>
      <c r="AB1048" s="1522"/>
      <c r="AC1048" s="1522"/>
      <c r="AD1048" s="1522"/>
      <c r="AE1048" s="1523"/>
      <c r="AF1048" s="73"/>
      <c r="AG1048" s="1617" t="str">
        <f>IF(X1051&gt;0,"Yes","No")</f>
        <v>Yes</v>
      </c>
      <c r="AH1048" s="1618"/>
      <c r="AI1048" s="83"/>
      <c r="AJ1048" s="1547">
        <f>IF((X1051=0),0,(2*AY1005)*AJ991)</f>
        <v>87544723.200000003</v>
      </c>
      <c r="AK1048" s="1548"/>
      <c r="AL1048" s="1548"/>
      <c r="AM1048" s="1548"/>
      <c r="AN1048" s="1548"/>
      <c r="AO1048" s="1548"/>
      <c r="AP1048" s="1548"/>
      <c r="AQ1048" s="1549"/>
      <c r="AR1048" s="68"/>
      <c r="AS1048" s="68"/>
      <c r="AT1048" s="68"/>
      <c r="AU1048" s="14"/>
      <c r="AV1048" s="68"/>
      <c r="AW1048" s="68"/>
      <c r="AX1048" s="68"/>
      <c r="AY1048" s="68"/>
    </row>
    <row r="1049" spans="1:51" ht="12.95" customHeight="1">
      <c r="A1049" s="14"/>
      <c r="B1049" s="73"/>
      <c r="C1049" s="476"/>
      <c r="D1049" s="1509" t="s">
        <v>1409</v>
      </c>
      <c r="E1049" s="1510"/>
      <c r="F1049" s="1510"/>
      <c r="G1049" s="1510"/>
      <c r="H1049" s="1510"/>
      <c r="I1049" s="1510"/>
      <c r="J1049" s="1510"/>
      <c r="K1049" s="1510"/>
      <c r="L1049" s="1510"/>
      <c r="M1049" s="1510"/>
      <c r="N1049" s="1510"/>
      <c r="O1049" s="1510"/>
      <c r="P1049" s="1510"/>
      <c r="Q1049" s="1510"/>
      <c r="R1049" s="1510"/>
      <c r="S1049" s="1510"/>
      <c r="T1049" s="1510"/>
      <c r="U1049" s="1510"/>
      <c r="V1049" s="1510"/>
      <c r="W1049" s="1510"/>
      <c r="X1049" s="1510"/>
      <c r="Y1049" s="1510"/>
      <c r="Z1049" s="1510"/>
      <c r="AA1049" s="1510"/>
      <c r="AB1049" s="1510"/>
      <c r="AC1049" s="1510"/>
      <c r="AD1049" s="1510"/>
      <c r="AE1049" s="1511"/>
      <c r="AF1049" s="73"/>
      <c r="AG1049" s="477"/>
      <c r="AH1049" s="477"/>
      <c r="AI1049" s="83"/>
      <c r="AJ1049" s="1550"/>
      <c r="AK1049" s="1551"/>
      <c r="AL1049" s="1551"/>
      <c r="AM1049" s="1551"/>
      <c r="AN1049" s="1551"/>
      <c r="AO1049" s="1551"/>
      <c r="AP1049" s="1551"/>
      <c r="AQ1049" s="1552"/>
      <c r="AR1049" s="68"/>
      <c r="AS1049" s="68"/>
      <c r="AT1049" s="68"/>
      <c r="AU1049" s="68"/>
      <c r="AV1049" s="68"/>
      <c r="AW1049" s="68"/>
      <c r="AX1049" s="68"/>
      <c r="AY1049" s="68"/>
    </row>
    <row r="1050" spans="1:51" ht="12.95" customHeight="1">
      <c r="A1050" s="14"/>
      <c r="B1050" s="73"/>
      <c r="C1050" s="83"/>
      <c r="D1050" s="1509"/>
      <c r="E1050" s="1510"/>
      <c r="F1050" s="1510"/>
      <c r="G1050" s="1510"/>
      <c r="H1050" s="1510"/>
      <c r="I1050" s="1510"/>
      <c r="J1050" s="1510"/>
      <c r="K1050" s="1510"/>
      <c r="L1050" s="1510"/>
      <c r="M1050" s="1510"/>
      <c r="N1050" s="1510"/>
      <c r="O1050" s="1510"/>
      <c r="P1050" s="1510"/>
      <c r="Q1050" s="1510"/>
      <c r="R1050" s="1510"/>
      <c r="S1050" s="1510"/>
      <c r="T1050" s="1510"/>
      <c r="U1050" s="1510"/>
      <c r="V1050" s="1510"/>
      <c r="W1050" s="1510"/>
      <c r="X1050" s="1510"/>
      <c r="Y1050" s="1510"/>
      <c r="Z1050" s="1510"/>
      <c r="AA1050" s="1510"/>
      <c r="AB1050" s="1510"/>
      <c r="AC1050" s="1510"/>
      <c r="AD1050" s="1510"/>
      <c r="AE1050" s="1511"/>
      <c r="AF1050" s="956"/>
      <c r="AG1050" s="957"/>
      <c r="AH1050" s="957"/>
      <c r="AI1050" s="958"/>
      <c r="AJ1050" s="1550"/>
      <c r="AK1050" s="1551"/>
      <c r="AL1050" s="1551"/>
      <c r="AM1050" s="1551"/>
      <c r="AN1050" s="1551"/>
      <c r="AO1050" s="1551"/>
      <c r="AP1050" s="1551"/>
      <c r="AQ1050" s="1552"/>
      <c r="AR1050" s="68"/>
      <c r="AS1050" s="68"/>
      <c r="AT1050" s="68"/>
      <c r="AU1050" s="68"/>
      <c r="AV1050" s="68"/>
      <c r="AW1050" s="68"/>
      <c r="AX1050" s="68"/>
      <c r="AY1050" s="68"/>
    </row>
    <row r="1051" spans="1:51" ht="12.95" customHeight="1">
      <c r="A1051" s="14"/>
      <c r="B1051" s="77"/>
      <c r="C1051" s="78"/>
      <c r="D1051" s="132" t="s">
        <v>991</v>
      </c>
      <c r="E1051" s="133"/>
      <c r="F1051" s="133"/>
      <c r="G1051" s="133"/>
      <c r="H1051" s="133"/>
      <c r="I1051" s="1741">
        <f>AY1002</f>
        <v>158</v>
      </c>
      <c r="J1051" s="1742"/>
      <c r="K1051" s="14"/>
      <c r="L1051" s="133"/>
      <c r="M1051" s="133"/>
      <c r="N1051" s="133"/>
      <c r="O1051" s="133"/>
      <c r="P1051" s="133"/>
      <c r="Q1051" s="133"/>
      <c r="R1051" s="133"/>
      <c r="S1051" s="133"/>
      <c r="T1051" s="133"/>
      <c r="U1051" s="133"/>
      <c r="V1051" s="134" t="s">
        <v>993</v>
      </c>
      <c r="X1051" s="1739">
        <f>BK632</f>
        <v>71</v>
      </c>
      <c r="Y1051" s="1740"/>
      <c r="AF1051" s="959"/>
      <c r="AG1051" s="960"/>
      <c r="AH1051" s="960"/>
      <c r="AI1051" s="961"/>
      <c r="AJ1051" s="1553"/>
      <c r="AK1051" s="1554"/>
      <c r="AL1051" s="1554"/>
      <c r="AM1051" s="1554"/>
      <c r="AN1051" s="1554"/>
      <c r="AO1051" s="1554"/>
      <c r="AP1051" s="1554"/>
      <c r="AQ1051" s="1555"/>
      <c r="AR1051" s="68"/>
      <c r="AS1051" s="68"/>
      <c r="AT1051" s="68"/>
      <c r="AU1051" s="68"/>
      <c r="AV1051" s="68"/>
      <c r="AW1051" s="68"/>
      <c r="AX1051" s="68"/>
      <c r="AY1051" s="68"/>
    </row>
    <row r="1052" spans="1:51" ht="12.95" customHeight="1">
      <c r="A1052" s="14"/>
      <c r="B1052" s="102"/>
      <c r="C1052" s="103"/>
      <c r="D1052" s="1727" t="s">
        <v>521</v>
      </c>
      <c r="E1052" s="1727"/>
      <c r="F1052" s="1727"/>
      <c r="G1052" s="1727"/>
      <c r="H1052" s="1727"/>
      <c r="I1052" s="1727"/>
      <c r="J1052" s="1727"/>
      <c r="K1052" s="1727"/>
      <c r="L1052" s="1727"/>
      <c r="M1052" s="1727"/>
      <c r="N1052" s="1727"/>
      <c r="O1052" s="1727"/>
      <c r="P1052" s="1727"/>
      <c r="Q1052" s="1727"/>
      <c r="R1052" s="1727"/>
      <c r="S1052" s="1727"/>
      <c r="T1052" s="1727"/>
      <c r="U1052" s="1727"/>
      <c r="V1052" s="1727"/>
      <c r="W1052" s="1727"/>
      <c r="X1052" s="1727"/>
      <c r="Y1052" s="1727"/>
      <c r="Z1052" s="1727"/>
      <c r="AA1052" s="1727"/>
      <c r="AB1052" s="1727"/>
      <c r="AC1052" s="1727"/>
      <c r="AD1052" s="1727"/>
      <c r="AE1052" s="1727"/>
      <c r="AF1052" s="1727"/>
      <c r="AG1052" s="1727"/>
      <c r="AH1052" s="1727"/>
      <c r="AI1052" s="1728"/>
      <c r="AJ1052" s="1584">
        <f>SUM(AJ991:AQ1051)</f>
        <v>233170527.19999999</v>
      </c>
      <c r="AK1052" s="1585"/>
      <c r="AL1052" s="1585"/>
      <c r="AM1052" s="1585"/>
      <c r="AN1052" s="1585"/>
      <c r="AO1052" s="1585"/>
      <c r="AP1052" s="1585"/>
      <c r="AQ1052" s="1586"/>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39">
        <f>IF(ISNA(IF((AJ1019&gt;(AJ991*0.15)),"(f) cannot be greater than 15% of unadjusted eligible basis.",0)),"",(IF((AJ1019&gt;(AJ991*0.15)),"(f) cannot be greater than 15% of unadjusted eligible basis.",0)))</f>
        <v>0</v>
      </c>
      <c r="C1059" s="1439"/>
      <c r="D1059" s="1439"/>
      <c r="E1059" s="1439"/>
      <c r="F1059" s="1439"/>
      <c r="G1059" s="1439"/>
      <c r="H1059" s="1439"/>
      <c r="I1059" s="1439"/>
      <c r="J1059" s="1439"/>
      <c r="K1059" s="1439"/>
      <c r="L1059" s="1439"/>
      <c r="M1059" s="1439"/>
      <c r="N1059" s="1439"/>
      <c r="O1059" s="1439"/>
      <c r="P1059" s="1439"/>
      <c r="Q1059" s="1439"/>
      <c r="R1059" s="1439"/>
      <c r="S1059" s="1439"/>
      <c r="T1059" s="1439"/>
      <c r="U1059" s="1439"/>
      <c r="V1059" s="1439"/>
      <c r="W1059" s="1439"/>
      <c r="X1059" s="1439"/>
      <c r="Y1059" s="1439"/>
      <c r="Z1059" s="1439"/>
      <c r="AA1059" s="1439"/>
      <c r="AB1059" s="1439"/>
      <c r="AC1059" s="1439"/>
      <c r="AD1059" s="1439"/>
      <c r="AE1059" s="1439"/>
      <c r="AF1059" s="1439"/>
      <c r="AG1059" s="1439"/>
      <c r="AH1059" s="1439"/>
      <c r="AI1059" s="1439"/>
      <c r="AJ1059" s="1439"/>
      <c r="AK1059" s="1439"/>
      <c r="AL1059" s="1439"/>
      <c r="AM1059" s="1439"/>
      <c r="AN1059" s="1439"/>
      <c r="AO1059" s="1439"/>
      <c r="AP1059" s="1439"/>
      <c r="AQ1059" s="68"/>
      <c r="AR1059" s="68"/>
      <c r="AS1059" s="68"/>
      <c r="AT1059" s="68"/>
      <c r="AU1059" s="68"/>
      <c r="AV1059" s="68"/>
      <c r="AW1059" s="68"/>
      <c r="AX1059" s="68"/>
      <c r="AY1059" s="68"/>
    </row>
    <row r="1060" spans="1:51" ht="12.95" customHeight="1">
      <c r="A1060" s="1306" t="s">
        <v>803</v>
      </c>
      <c r="B1060" s="1306"/>
      <c r="C1060" s="1306"/>
      <c r="D1060" s="1306"/>
      <c r="E1060" s="1306"/>
      <c r="F1060" s="1306"/>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306"/>
      <c r="AP1060" s="1306"/>
      <c r="AQ1060" s="1306"/>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30" t="s">
        <v>599</v>
      </c>
      <c r="B1064" s="1430"/>
      <c r="C1064" s="8">
        <v>1</v>
      </c>
      <c r="D1064" s="1270" t="s">
        <v>1133</v>
      </c>
      <c r="E1064" s="1270"/>
      <c r="F1064" s="1270"/>
      <c r="G1064" s="1270"/>
      <c r="H1064" s="1270"/>
      <c r="I1064" s="1270"/>
      <c r="J1064" s="1270"/>
      <c r="K1064" s="1270"/>
      <c r="L1064" s="1270"/>
      <c r="M1064" s="1270"/>
      <c r="N1064" s="1270"/>
      <c r="O1064" s="1270"/>
      <c r="P1064" s="1270"/>
      <c r="Q1064" s="1270"/>
      <c r="R1064" s="1270"/>
      <c r="S1064" s="1270"/>
      <c r="T1064" s="1270"/>
      <c r="U1064" s="1270"/>
      <c r="V1064" s="1270"/>
      <c r="W1064" s="1270"/>
      <c r="X1064" s="1270"/>
      <c r="Y1064" s="1270"/>
      <c r="Z1064" s="1270"/>
      <c r="AA1064" s="1270"/>
      <c r="AB1064" s="1270"/>
      <c r="AC1064" s="1270"/>
      <c r="AD1064" s="1270"/>
      <c r="AE1064" s="1270"/>
      <c r="AF1064" s="1270"/>
      <c r="AG1064" s="1270"/>
      <c r="AH1064" s="1270"/>
      <c r="AI1064" s="1270"/>
      <c r="AJ1064" s="1270"/>
      <c r="AK1064" s="1270"/>
      <c r="AL1064" s="68"/>
      <c r="AM1064" s="68"/>
      <c r="AN1064" s="68"/>
      <c r="AO1064" s="68"/>
      <c r="AP1064" s="68"/>
      <c r="AQ1064" s="68"/>
      <c r="AR1064" s="68"/>
      <c r="AS1064" s="68"/>
      <c r="AT1064" s="68"/>
      <c r="AV1064" s="68"/>
      <c r="AW1064" s="68"/>
      <c r="AX1064" s="68"/>
      <c r="AY1064" s="68"/>
    </row>
    <row r="1065" spans="1:51" ht="12.95" customHeight="1">
      <c r="A1065" s="1"/>
      <c r="B1065" s="1"/>
      <c r="C1065" s="8"/>
      <c r="D1065" s="1270"/>
      <c r="E1065" s="1270"/>
      <c r="F1065" s="1270"/>
      <c r="G1065" s="1270"/>
      <c r="H1065" s="1270"/>
      <c r="I1065" s="1270"/>
      <c r="J1065" s="1270"/>
      <c r="K1065" s="1270"/>
      <c r="L1065" s="1270"/>
      <c r="M1065" s="1270"/>
      <c r="N1065" s="1270"/>
      <c r="O1065" s="1270"/>
      <c r="P1065" s="1270"/>
      <c r="Q1065" s="1270"/>
      <c r="R1065" s="1270"/>
      <c r="S1065" s="1270"/>
      <c r="T1065" s="1270"/>
      <c r="U1065" s="1270"/>
      <c r="V1065" s="1270"/>
      <c r="W1065" s="1270"/>
      <c r="X1065" s="1270"/>
      <c r="Y1065" s="1270"/>
      <c r="Z1065" s="1270"/>
      <c r="AA1065" s="1270"/>
      <c r="AB1065" s="1270"/>
      <c r="AC1065" s="1270"/>
      <c r="AD1065" s="1270"/>
      <c r="AE1065" s="1270"/>
      <c r="AF1065" s="1270"/>
      <c r="AG1065" s="1270"/>
      <c r="AH1065" s="1270"/>
      <c r="AI1065" s="1270"/>
      <c r="AJ1065" s="1270"/>
      <c r="AK1065" s="1270"/>
      <c r="AL1065" s="68"/>
      <c r="AM1065" s="68"/>
      <c r="AN1065" s="68"/>
      <c r="AO1065" s="68"/>
      <c r="AP1065" s="68"/>
      <c r="AQ1065" s="68"/>
      <c r="AR1065" s="68"/>
      <c r="AS1065" s="68"/>
      <c r="AT1065" s="68"/>
      <c r="AV1065" s="68"/>
      <c r="AW1065" s="68"/>
      <c r="AX1065" s="68"/>
      <c r="AY1065" s="68"/>
    </row>
    <row r="1066" spans="1:51" ht="12.95" customHeight="1">
      <c r="A1066" s="1"/>
      <c r="B1066" s="1"/>
      <c r="C1066" s="8"/>
      <c r="D1066" s="1270"/>
      <c r="E1066" s="1270"/>
      <c r="F1066" s="1270"/>
      <c r="G1066" s="1270"/>
      <c r="H1066" s="1270"/>
      <c r="I1066" s="1270"/>
      <c r="J1066" s="1270"/>
      <c r="K1066" s="1270"/>
      <c r="L1066" s="1270"/>
      <c r="M1066" s="1270"/>
      <c r="N1066" s="1270"/>
      <c r="O1066" s="1270"/>
      <c r="P1066" s="1270"/>
      <c r="Q1066" s="1270"/>
      <c r="R1066" s="1270"/>
      <c r="S1066" s="1270"/>
      <c r="T1066" s="1270"/>
      <c r="U1066" s="1270"/>
      <c r="V1066" s="1270"/>
      <c r="W1066" s="1270"/>
      <c r="X1066" s="1270"/>
      <c r="Y1066" s="1270"/>
      <c r="Z1066" s="1270"/>
      <c r="AA1066" s="1270"/>
      <c r="AB1066" s="1270"/>
      <c r="AC1066" s="1270"/>
      <c r="AD1066" s="1270"/>
      <c r="AE1066" s="1270"/>
      <c r="AF1066" s="1270"/>
      <c r="AG1066" s="1270"/>
      <c r="AH1066" s="1270"/>
      <c r="AI1066" s="1270"/>
      <c r="AJ1066" s="1270"/>
      <c r="AK1066" s="1270"/>
      <c r="AL1066" s="68"/>
      <c r="AM1066" s="68"/>
      <c r="AN1066" s="68"/>
      <c r="AO1066" s="68"/>
      <c r="AP1066" s="68"/>
      <c r="AQ1066" s="68"/>
      <c r="AR1066" s="68"/>
      <c r="AS1066" s="68"/>
      <c r="AT1066" s="68"/>
      <c r="AV1066" s="68"/>
      <c r="AW1066" s="68"/>
      <c r="AX1066" s="68"/>
      <c r="AY1066" s="68"/>
    </row>
    <row r="1067" spans="1:51" ht="12.95" customHeight="1">
      <c r="A1067" s="1"/>
      <c r="B1067" s="1"/>
      <c r="C1067" s="8"/>
      <c r="D1067" s="1270"/>
      <c r="E1067" s="1270"/>
      <c r="F1067" s="1270"/>
      <c r="G1067" s="1270"/>
      <c r="H1067" s="1270"/>
      <c r="I1067" s="1270"/>
      <c r="J1067" s="1270"/>
      <c r="K1067" s="1270"/>
      <c r="L1067" s="1270"/>
      <c r="M1067" s="1270"/>
      <c r="N1067" s="1270"/>
      <c r="O1067" s="1270"/>
      <c r="P1067" s="1270"/>
      <c r="Q1067" s="1270"/>
      <c r="R1067" s="1270"/>
      <c r="S1067" s="1270"/>
      <c r="T1067" s="1270"/>
      <c r="U1067" s="1270"/>
      <c r="V1067" s="1270"/>
      <c r="W1067" s="1270"/>
      <c r="X1067" s="1270"/>
      <c r="Y1067" s="1270"/>
      <c r="Z1067" s="1270"/>
      <c r="AA1067" s="1270"/>
      <c r="AB1067" s="1270"/>
      <c r="AC1067" s="1270"/>
      <c r="AD1067" s="1270"/>
      <c r="AE1067" s="1270"/>
      <c r="AF1067" s="1270"/>
      <c r="AG1067" s="1270"/>
      <c r="AH1067" s="1270"/>
      <c r="AI1067" s="1270"/>
      <c r="AJ1067" s="1270"/>
      <c r="AK1067" s="1270"/>
      <c r="AL1067" s="68"/>
      <c r="AM1067" s="68"/>
      <c r="AN1067" s="68"/>
      <c r="AO1067" s="68"/>
      <c r="AP1067" s="68"/>
      <c r="AQ1067" s="68"/>
      <c r="AR1067" s="68"/>
      <c r="AS1067" s="68"/>
      <c r="AT1067" s="68"/>
      <c r="AV1067" s="68"/>
      <c r="AW1067" s="68"/>
      <c r="AX1067" s="68"/>
      <c r="AY1067" s="68"/>
    </row>
    <row r="1068" spans="1:51" ht="12.95" customHeight="1">
      <c r="A1068" s="1"/>
      <c r="B1068" s="1"/>
      <c r="C1068" s="8"/>
      <c r="D1068" s="1270"/>
      <c r="E1068" s="1270"/>
      <c r="F1068" s="1270"/>
      <c r="G1068" s="1270"/>
      <c r="H1068" s="1270"/>
      <c r="I1068" s="1270"/>
      <c r="J1068" s="1270"/>
      <c r="K1068" s="1270"/>
      <c r="L1068" s="1270"/>
      <c r="M1068" s="1270"/>
      <c r="N1068" s="1270"/>
      <c r="O1068" s="1270"/>
      <c r="P1068" s="1270"/>
      <c r="Q1068" s="1270"/>
      <c r="R1068" s="1270"/>
      <c r="S1068" s="1270"/>
      <c r="T1068" s="1270"/>
      <c r="U1068" s="1270"/>
      <c r="V1068" s="1270"/>
      <c r="W1068" s="1270"/>
      <c r="X1068" s="1270"/>
      <c r="Y1068" s="1270"/>
      <c r="Z1068" s="1270"/>
      <c r="AA1068" s="1270"/>
      <c r="AB1068" s="1270"/>
      <c r="AC1068" s="1270"/>
      <c r="AD1068" s="1270"/>
      <c r="AE1068" s="1270"/>
      <c r="AF1068" s="1270"/>
      <c r="AG1068" s="1270"/>
      <c r="AH1068" s="1270"/>
      <c r="AI1068" s="1270"/>
      <c r="AJ1068" s="1270"/>
      <c r="AK1068" s="1270"/>
      <c r="AL1068" s="68"/>
      <c r="AM1068" s="68"/>
      <c r="AN1068" s="68"/>
      <c r="AO1068" s="68"/>
      <c r="AP1068" s="68"/>
      <c r="AQ1068" s="68"/>
      <c r="AR1068" s="68"/>
      <c r="AS1068" s="68"/>
      <c r="AT1068" s="68"/>
      <c r="AV1068" s="68"/>
      <c r="AW1068" s="68"/>
      <c r="AX1068" s="68"/>
      <c r="AY1068" s="68"/>
    </row>
    <row r="1069" spans="1:51" ht="12.95" customHeight="1">
      <c r="A1069" s="2"/>
      <c r="B1069" s="25"/>
      <c r="C1069" s="8"/>
      <c r="D1069" s="1270"/>
      <c r="E1069" s="1270"/>
      <c r="F1069" s="1270"/>
      <c r="G1069" s="1270"/>
      <c r="H1069" s="1270"/>
      <c r="I1069" s="1270"/>
      <c r="J1069" s="1270"/>
      <c r="K1069" s="1270"/>
      <c r="L1069" s="1270"/>
      <c r="M1069" s="1270"/>
      <c r="N1069" s="1270"/>
      <c r="O1069" s="1270"/>
      <c r="P1069" s="1270"/>
      <c r="Q1069" s="1270"/>
      <c r="R1069" s="1270"/>
      <c r="S1069" s="1270"/>
      <c r="T1069" s="1270"/>
      <c r="U1069" s="1270"/>
      <c r="V1069" s="1270"/>
      <c r="W1069" s="1270"/>
      <c r="X1069" s="1270"/>
      <c r="Y1069" s="1270"/>
      <c r="Z1069" s="1270"/>
      <c r="AA1069" s="1270"/>
      <c r="AB1069" s="1270"/>
      <c r="AC1069" s="1270"/>
      <c r="AD1069" s="1270"/>
      <c r="AE1069" s="1270"/>
      <c r="AF1069" s="1270"/>
      <c r="AG1069" s="1270"/>
      <c r="AH1069" s="1270"/>
      <c r="AI1069" s="1270"/>
      <c r="AJ1069" s="1270"/>
      <c r="AK1069" s="1270"/>
      <c r="AL1069" s="68"/>
      <c r="AM1069" s="68"/>
      <c r="AN1069" s="68"/>
      <c r="AO1069" s="68"/>
      <c r="AP1069" s="68"/>
      <c r="AQ1069" s="68"/>
      <c r="AR1069" s="68"/>
      <c r="AS1069" s="68"/>
      <c r="AT1069" s="68"/>
      <c r="AV1069" s="68"/>
      <c r="AW1069" s="68"/>
      <c r="AX1069" s="68"/>
      <c r="AY1069" s="68"/>
    </row>
    <row r="1070" spans="1:51" ht="12.95" customHeight="1">
      <c r="A1070" s="1430" t="s">
        <v>599</v>
      </c>
      <c r="B1070" s="1430"/>
      <c r="C1070" s="8">
        <v>2</v>
      </c>
      <c r="D1070" s="1270" t="s">
        <v>1132</v>
      </c>
      <c r="E1070" s="1270"/>
      <c r="F1070" s="1270"/>
      <c r="G1070" s="1270"/>
      <c r="H1070" s="1270"/>
      <c r="I1070" s="1270"/>
      <c r="J1070" s="1270"/>
      <c r="K1070" s="1270"/>
      <c r="L1070" s="1270"/>
      <c r="M1070" s="1270"/>
      <c r="N1070" s="1270"/>
      <c r="O1070" s="1270"/>
      <c r="P1070" s="1270"/>
      <c r="Q1070" s="1270"/>
      <c r="R1070" s="1270"/>
      <c r="S1070" s="1270"/>
      <c r="T1070" s="1270"/>
      <c r="U1070" s="1270"/>
      <c r="V1070" s="1270"/>
      <c r="W1070" s="1270"/>
      <c r="X1070" s="1270"/>
      <c r="Y1070" s="1270"/>
      <c r="Z1070" s="1270"/>
      <c r="AA1070" s="1270"/>
      <c r="AB1070" s="1270"/>
      <c r="AC1070" s="1270"/>
      <c r="AD1070" s="1270"/>
      <c r="AE1070" s="1270"/>
      <c r="AF1070" s="1270"/>
      <c r="AG1070" s="1270"/>
      <c r="AH1070" s="1270"/>
      <c r="AI1070" s="1270"/>
      <c r="AJ1070" s="1270"/>
      <c r="AK1070" s="1270"/>
      <c r="AL1070" s="68"/>
      <c r="AM1070" s="68"/>
      <c r="AN1070" s="68"/>
      <c r="AO1070" s="68"/>
      <c r="AP1070" s="68"/>
      <c r="AQ1070" s="68"/>
      <c r="AR1070" s="68"/>
      <c r="AS1070" s="68"/>
      <c r="AT1070" s="68"/>
    </row>
    <row r="1071" spans="1:51" ht="12.95" customHeight="1">
      <c r="A1071" s="1"/>
      <c r="B1071" s="1"/>
      <c r="C1071" s="8"/>
      <c r="D1071" s="1270"/>
      <c r="E1071" s="1270"/>
      <c r="F1071" s="1270"/>
      <c r="G1071" s="1270"/>
      <c r="H1071" s="1270"/>
      <c r="I1071" s="1270"/>
      <c r="J1071" s="1270"/>
      <c r="K1071" s="1270"/>
      <c r="L1071" s="1270"/>
      <c r="M1071" s="1270"/>
      <c r="N1071" s="1270"/>
      <c r="O1071" s="1270"/>
      <c r="P1071" s="1270"/>
      <c r="Q1071" s="1270"/>
      <c r="R1071" s="1270"/>
      <c r="S1071" s="1270"/>
      <c r="T1071" s="1270"/>
      <c r="U1071" s="1270"/>
      <c r="V1071" s="1270"/>
      <c r="W1071" s="1270"/>
      <c r="X1071" s="1270"/>
      <c r="Y1071" s="1270"/>
      <c r="Z1071" s="1270"/>
      <c r="AA1071" s="1270"/>
      <c r="AB1071" s="1270"/>
      <c r="AC1071" s="1270"/>
      <c r="AD1071" s="1270"/>
      <c r="AE1071" s="1270"/>
      <c r="AF1071" s="1270"/>
      <c r="AG1071" s="1270"/>
      <c r="AH1071" s="1270"/>
      <c r="AI1071" s="1270"/>
      <c r="AJ1071" s="1270"/>
      <c r="AK1071" s="1270"/>
      <c r="AL1071" s="68"/>
      <c r="AM1071" s="68"/>
      <c r="AN1071" s="68"/>
      <c r="AO1071" s="68"/>
      <c r="AP1071" s="68"/>
      <c r="AQ1071" s="68"/>
      <c r="AR1071" s="68"/>
      <c r="AS1071" s="68"/>
      <c r="AT1071" s="68"/>
    </row>
    <row r="1072" spans="1:51" ht="12.95" customHeight="1">
      <c r="A1072" s="1"/>
      <c r="B1072" s="1"/>
      <c r="C1072" s="8"/>
      <c r="D1072" s="1270"/>
      <c r="E1072" s="1270"/>
      <c r="F1072" s="1270"/>
      <c r="G1072" s="1270"/>
      <c r="H1072" s="1270"/>
      <c r="I1072" s="1270"/>
      <c r="J1072" s="1270"/>
      <c r="K1072" s="1270"/>
      <c r="L1072" s="1270"/>
      <c r="M1072" s="1270"/>
      <c r="N1072" s="1270"/>
      <c r="O1072" s="1270"/>
      <c r="P1072" s="1270"/>
      <c r="Q1072" s="1270"/>
      <c r="R1072" s="1270"/>
      <c r="S1072" s="1270"/>
      <c r="T1072" s="1270"/>
      <c r="U1072" s="1270"/>
      <c r="V1072" s="1270"/>
      <c r="W1072" s="1270"/>
      <c r="X1072" s="1270"/>
      <c r="Y1072" s="1270"/>
      <c r="Z1072" s="1270"/>
      <c r="AA1072" s="1270"/>
      <c r="AB1072" s="1270"/>
      <c r="AC1072" s="1270"/>
      <c r="AD1072" s="1270"/>
      <c r="AE1072" s="1270"/>
      <c r="AF1072" s="1270"/>
      <c r="AG1072" s="1270"/>
      <c r="AH1072" s="1270"/>
      <c r="AI1072" s="1270"/>
      <c r="AJ1072" s="1270"/>
      <c r="AK1072" s="1270"/>
      <c r="AL1072" s="68"/>
      <c r="AM1072" s="68"/>
      <c r="AN1072" s="68"/>
      <c r="AO1072" s="68"/>
      <c r="AP1072" s="68"/>
      <c r="AQ1072" s="68"/>
      <c r="AR1072" s="68"/>
      <c r="AS1072" s="68"/>
      <c r="AT1072" s="68"/>
    </row>
    <row r="1073" spans="1:46" ht="12.95" customHeight="1">
      <c r="A1073" s="1"/>
      <c r="B1073" s="1"/>
      <c r="C1073" s="8"/>
      <c r="D1073" s="1270"/>
      <c r="E1073" s="1270"/>
      <c r="F1073" s="1270"/>
      <c r="G1073" s="1270"/>
      <c r="H1073" s="1270"/>
      <c r="I1073" s="1270"/>
      <c r="J1073" s="1270"/>
      <c r="K1073" s="1270"/>
      <c r="L1073" s="1270"/>
      <c r="M1073" s="1270"/>
      <c r="N1073" s="1270"/>
      <c r="O1073" s="1270"/>
      <c r="P1073" s="1270"/>
      <c r="Q1073" s="1270"/>
      <c r="R1073" s="1270"/>
      <c r="S1073" s="1270"/>
      <c r="T1073" s="1270"/>
      <c r="U1073" s="1270"/>
      <c r="V1073" s="1270"/>
      <c r="W1073" s="1270"/>
      <c r="X1073" s="1270"/>
      <c r="Y1073" s="1270"/>
      <c r="Z1073" s="1270"/>
      <c r="AA1073" s="1270"/>
      <c r="AB1073" s="1270"/>
      <c r="AC1073" s="1270"/>
      <c r="AD1073" s="1270"/>
      <c r="AE1073" s="1270"/>
      <c r="AF1073" s="1270"/>
      <c r="AG1073" s="1270"/>
      <c r="AH1073" s="1270"/>
      <c r="AI1073" s="1270"/>
      <c r="AJ1073" s="1270"/>
      <c r="AK1073" s="1270"/>
      <c r="AL1073" s="68"/>
      <c r="AM1073" s="68"/>
      <c r="AN1073" s="68"/>
      <c r="AO1073" s="68"/>
      <c r="AP1073" s="68"/>
      <c r="AQ1073" s="68"/>
      <c r="AR1073" s="68"/>
      <c r="AS1073" s="68"/>
      <c r="AT1073" s="68"/>
    </row>
    <row r="1074" spans="1:46" ht="12.95" hidden="1" customHeight="1">
      <c r="A1074" s="1"/>
      <c r="B1074" s="1"/>
      <c r="C1074" s="8"/>
      <c r="D1074" s="1270"/>
      <c r="E1074" s="1270"/>
      <c r="F1074" s="1270"/>
      <c r="G1074" s="1270"/>
      <c r="H1074" s="1270"/>
      <c r="I1074" s="1270"/>
      <c r="J1074" s="1270"/>
      <c r="K1074" s="1270"/>
      <c r="L1074" s="1270"/>
      <c r="M1074" s="1270"/>
      <c r="N1074" s="1270"/>
      <c r="O1074" s="1270"/>
      <c r="P1074" s="1270"/>
      <c r="Q1074" s="1270"/>
      <c r="R1074" s="1270"/>
      <c r="S1074" s="1270"/>
      <c r="T1074" s="1270"/>
      <c r="U1074" s="1270"/>
      <c r="V1074" s="1270"/>
      <c r="W1074" s="1270"/>
      <c r="X1074" s="1270"/>
      <c r="Y1074" s="1270"/>
      <c r="Z1074" s="1270"/>
      <c r="AA1074" s="1270"/>
      <c r="AB1074" s="1270"/>
      <c r="AC1074" s="1270"/>
      <c r="AD1074" s="1270"/>
      <c r="AE1074" s="1270"/>
      <c r="AF1074" s="1270"/>
      <c r="AG1074" s="1270"/>
      <c r="AH1074" s="1270"/>
      <c r="AI1074" s="1270"/>
      <c r="AJ1074" s="1270"/>
      <c r="AK1074" s="1270"/>
      <c r="AL1074" s="68"/>
      <c r="AM1074" s="68"/>
      <c r="AN1074" s="68"/>
      <c r="AO1074" s="68"/>
      <c r="AP1074" s="68"/>
      <c r="AQ1074" s="68"/>
      <c r="AR1074" s="68"/>
      <c r="AS1074" s="68"/>
      <c r="AT1074" s="68"/>
    </row>
    <row r="1075" spans="1:46" ht="12.95" customHeight="1">
      <c r="A1075" s="1"/>
      <c r="B1075" s="1"/>
      <c r="C1075" s="8"/>
      <c r="D1075" s="1270"/>
      <c r="E1075" s="1270"/>
      <c r="F1075" s="1270"/>
      <c r="G1075" s="1270"/>
      <c r="H1075" s="1270"/>
      <c r="I1075" s="1270"/>
      <c r="J1075" s="1270"/>
      <c r="K1075" s="1270"/>
      <c r="L1075" s="1270"/>
      <c r="M1075" s="1270"/>
      <c r="N1075" s="1270"/>
      <c r="O1075" s="1270"/>
      <c r="P1075" s="1270"/>
      <c r="Q1075" s="1270"/>
      <c r="R1075" s="1270"/>
      <c r="S1075" s="1270"/>
      <c r="T1075" s="1270"/>
      <c r="U1075" s="1270"/>
      <c r="V1075" s="1270"/>
      <c r="W1075" s="1270"/>
      <c r="X1075" s="1270"/>
      <c r="Y1075" s="1270"/>
      <c r="Z1075" s="1270"/>
      <c r="AA1075" s="1270"/>
      <c r="AB1075" s="1270"/>
      <c r="AC1075" s="1270"/>
      <c r="AD1075" s="1270"/>
      <c r="AE1075" s="1270"/>
      <c r="AF1075" s="1270"/>
      <c r="AG1075" s="1270"/>
      <c r="AH1075" s="1270"/>
      <c r="AI1075" s="1270"/>
      <c r="AJ1075" s="1270"/>
      <c r="AK1075" s="1270"/>
    </row>
    <row r="1076" spans="1:46" ht="12.95" customHeight="1">
      <c r="A1076" s="1430" t="s">
        <v>599</v>
      </c>
      <c r="B1076" s="1430"/>
      <c r="C1076" s="8">
        <v>3</v>
      </c>
      <c r="D1076" s="1270" t="s">
        <v>2458</v>
      </c>
      <c r="E1076" s="1270"/>
      <c r="F1076" s="1270"/>
      <c r="G1076" s="1270"/>
      <c r="H1076" s="1270"/>
      <c r="I1076" s="1270"/>
      <c r="J1076" s="1270"/>
      <c r="K1076" s="1270"/>
      <c r="L1076" s="1270"/>
      <c r="M1076" s="1270"/>
      <c r="N1076" s="1270"/>
      <c r="O1076" s="1270"/>
      <c r="P1076" s="1270"/>
      <c r="Q1076" s="1270"/>
      <c r="R1076" s="1270"/>
      <c r="S1076" s="1270"/>
      <c r="T1076" s="1270"/>
      <c r="U1076" s="1270"/>
      <c r="V1076" s="1270"/>
      <c r="W1076" s="1270"/>
      <c r="X1076" s="1270"/>
      <c r="Y1076" s="1270"/>
      <c r="Z1076" s="1270"/>
      <c r="AA1076" s="1270"/>
      <c r="AB1076" s="1270"/>
      <c r="AC1076" s="1270"/>
      <c r="AD1076" s="1270"/>
      <c r="AE1076" s="1270"/>
      <c r="AF1076" s="1270"/>
      <c r="AG1076" s="1270"/>
      <c r="AH1076" s="1270"/>
      <c r="AI1076" s="1270"/>
      <c r="AJ1076" s="1270"/>
      <c r="AK1076" s="1270"/>
    </row>
    <row r="1077" spans="1:46" ht="12.95" customHeight="1">
      <c r="A1077" s="4"/>
      <c r="B1077" s="4"/>
      <c r="C1077" s="8"/>
      <c r="D1077" s="1270"/>
      <c r="E1077" s="1270"/>
      <c r="F1077" s="1270"/>
      <c r="G1077" s="1270"/>
      <c r="H1077" s="1270"/>
      <c r="I1077" s="1270"/>
      <c r="J1077" s="1270"/>
      <c r="K1077" s="1270"/>
      <c r="L1077" s="1270"/>
      <c r="M1077" s="1270"/>
      <c r="N1077" s="1270"/>
      <c r="O1077" s="1270"/>
      <c r="P1077" s="1270"/>
      <c r="Q1077" s="1270"/>
      <c r="R1077" s="1270"/>
      <c r="S1077" s="1270"/>
      <c r="T1077" s="1270"/>
      <c r="U1077" s="1270"/>
      <c r="V1077" s="1270"/>
      <c r="W1077" s="1270"/>
      <c r="X1077" s="1270"/>
      <c r="Y1077" s="1270"/>
      <c r="Z1077" s="1270"/>
      <c r="AA1077" s="1270"/>
      <c r="AB1077" s="1270"/>
      <c r="AC1077" s="1270"/>
      <c r="AD1077" s="1270"/>
      <c r="AE1077" s="1270"/>
      <c r="AF1077" s="1270"/>
      <c r="AG1077" s="1270"/>
      <c r="AH1077" s="1270"/>
      <c r="AI1077" s="1270"/>
      <c r="AJ1077" s="1270"/>
      <c r="AK1077" s="1270"/>
    </row>
    <row r="1078" spans="1:46" ht="12.95" customHeight="1">
      <c r="A1078" s="4"/>
      <c r="B1078" s="4"/>
      <c r="C1078" s="8"/>
      <c r="D1078" s="1270"/>
      <c r="E1078" s="1270"/>
      <c r="F1078" s="1270"/>
      <c r="G1078" s="1270"/>
      <c r="H1078" s="1270"/>
      <c r="I1078" s="1270"/>
      <c r="J1078" s="1270"/>
      <c r="K1078" s="1270"/>
      <c r="L1078" s="1270"/>
      <c r="M1078" s="1270"/>
      <c r="N1078" s="1270"/>
      <c r="O1078" s="1270"/>
      <c r="P1078" s="1270"/>
      <c r="Q1078" s="1270"/>
      <c r="R1078" s="1270"/>
      <c r="S1078" s="1270"/>
      <c r="T1078" s="1270"/>
      <c r="U1078" s="1270"/>
      <c r="V1078" s="1270"/>
      <c r="W1078" s="1270"/>
      <c r="X1078" s="1270"/>
      <c r="Y1078" s="1270"/>
      <c r="Z1078" s="1270"/>
      <c r="AA1078" s="1270"/>
      <c r="AB1078" s="1270"/>
      <c r="AC1078" s="1270"/>
      <c r="AD1078" s="1270"/>
      <c r="AE1078" s="1270"/>
      <c r="AF1078" s="1270"/>
      <c r="AG1078" s="1270"/>
      <c r="AH1078" s="1270"/>
      <c r="AI1078" s="1270"/>
      <c r="AJ1078" s="1270"/>
      <c r="AK1078" s="1270"/>
    </row>
    <row r="1079" spans="1:46" ht="12.95" customHeight="1">
      <c r="A1079" s="35"/>
      <c r="B1079" s="25"/>
      <c r="C1079" s="8"/>
      <c r="D1079" s="1270"/>
      <c r="E1079" s="1270"/>
      <c r="F1079" s="1270"/>
      <c r="G1079" s="1270"/>
      <c r="H1079" s="1270"/>
      <c r="I1079" s="1270"/>
      <c r="J1079" s="1270"/>
      <c r="K1079" s="1270"/>
      <c r="L1079" s="1270"/>
      <c r="M1079" s="1270"/>
      <c r="N1079" s="1270"/>
      <c r="O1079" s="1270"/>
      <c r="P1079" s="1270"/>
      <c r="Q1079" s="1270"/>
      <c r="R1079" s="1270"/>
      <c r="S1079" s="1270"/>
      <c r="T1079" s="1270"/>
      <c r="U1079" s="1270"/>
      <c r="V1079" s="1270"/>
      <c r="W1079" s="1270"/>
      <c r="X1079" s="1270"/>
      <c r="Y1079" s="1270"/>
      <c r="Z1079" s="1270"/>
      <c r="AA1079" s="1270"/>
      <c r="AB1079" s="1270"/>
      <c r="AC1079" s="1270"/>
      <c r="AD1079" s="1270"/>
      <c r="AE1079" s="1270"/>
      <c r="AF1079" s="1270"/>
      <c r="AG1079" s="1270"/>
      <c r="AH1079" s="1270"/>
      <c r="AI1079" s="1270"/>
      <c r="AJ1079" s="1270"/>
      <c r="AK1079" s="1270"/>
    </row>
    <row r="1080" spans="1:46" ht="12.95" customHeight="1">
      <c r="A1080" s="35"/>
      <c r="B1080" s="25"/>
      <c r="C1080" s="8"/>
      <c r="D1080" s="1270"/>
      <c r="E1080" s="1270"/>
      <c r="F1080" s="1270"/>
      <c r="G1080" s="1270"/>
      <c r="H1080" s="1270"/>
      <c r="I1080" s="1270"/>
      <c r="J1080" s="1270"/>
      <c r="K1080" s="1270"/>
      <c r="L1080" s="1270"/>
      <c r="M1080" s="1270"/>
      <c r="N1080" s="1270"/>
      <c r="O1080" s="1270"/>
      <c r="P1080" s="1270"/>
      <c r="Q1080" s="1270"/>
      <c r="R1080" s="1270"/>
      <c r="S1080" s="1270"/>
      <c r="T1080" s="1270"/>
      <c r="U1080" s="1270"/>
      <c r="V1080" s="1270"/>
      <c r="W1080" s="1270"/>
      <c r="X1080" s="1270"/>
      <c r="Y1080" s="1270"/>
      <c r="Z1080" s="1270"/>
      <c r="AA1080" s="1270"/>
      <c r="AB1080" s="1270"/>
      <c r="AC1080" s="1270"/>
      <c r="AD1080" s="1270"/>
      <c r="AE1080" s="1270"/>
      <c r="AF1080" s="1270"/>
      <c r="AG1080" s="1270"/>
      <c r="AH1080" s="1270"/>
      <c r="AI1080" s="1270"/>
      <c r="AJ1080" s="1270"/>
      <c r="AK1080" s="1270"/>
    </row>
    <row r="1081" spans="1:46" ht="12.95" customHeight="1">
      <c r="A1081" s="35"/>
      <c r="B1081" s="25"/>
      <c r="C1081" s="8"/>
      <c r="D1081" s="1270"/>
      <c r="E1081" s="1270"/>
      <c r="F1081" s="1270"/>
      <c r="G1081" s="1270"/>
      <c r="H1081" s="1270"/>
      <c r="I1081" s="1270"/>
      <c r="J1081" s="1270"/>
      <c r="K1081" s="1270"/>
      <c r="L1081" s="1270"/>
      <c r="M1081" s="1270"/>
      <c r="N1081" s="1270"/>
      <c r="O1081" s="1270"/>
      <c r="P1081" s="1270"/>
      <c r="Q1081" s="1270"/>
      <c r="R1081" s="1270"/>
      <c r="S1081" s="1270"/>
      <c r="T1081" s="1270"/>
      <c r="U1081" s="1270"/>
      <c r="V1081" s="1270"/>
      <c r="W1081" s="1270"/>
      <c r="X1081" s="1270"/>
      <c r="Y1081" s="1270"/>
      <c r="Z1081" s="1270"/>
      <c r="AA1081" s="1270"/>
      <c r="AB1081" s="1270"/>
      <c r="AC1081" s="1270"/>
      <c r="AD1081" s="1270"/>
      <c r="AE1081" s="1270"/>
      <c r="AF1081" s="1270"/>
      <c r="AG1081" s="1270"/>
      <c r="AH1081" s="1270"/>
      <c r="AI1081" s="1270"/>
      <c r="AJ1081" s="1270"/>
      <c r="AK1081" s="1270"/>
    </row>
    <row r="1082" spans="1:46" ht="12.95" customHeight="1">
      <c r="A1082" s="35"/>
      <c r="B1082" s="25"/>
      <c r="C1082" s="8"/>
      <c r="D1082" s="1270"/>
      <c r="E1082" s="1270"/>
      <c r="F1082" s="1270"/>
      <c r="G1082" s="1270"/>
      <c r="H1082" s="1270"/>
      <c r="I1082" s="1270"/>
      <c r="J1082" s="1270"/>
      <c r="K1082" s="1270"/>
      <c r="L1082" s="1270"/>
      <c r="M1082" s="1270"/>
      <c r="N1082" s="1270"/>
      <c r="O1082" s="1270"/>
      <c r="P1082" s="1270"/>
      <c r="Q1082" s="1270"/>
      <c r="R1082" s="1270"/>
      <c r="S1082" s="1270"/>
      <c r="T1082" s="1270"/>
      <c r="U1082" s="1270"/>
      <c r="V1082" s="1270"/>
      <c r="W1082" s="1270"/>
      <c r="X1082" s="1270"/>
      <c r="Y1082" s="1270"/>
      <c r="Z1082" s="1270"/>
      <c r="AA1082" s="1270"/>
      <c r="AB1082" s="1270"/>
      <c r="AC1082" s="1270"/>
      <c r="AD1082" s="1270"/>
      <c r="AE1082" s="1270"/>
      <c r="AF1082" s="1270"/>
      <c r="AG1082" s="1270"/>
      <c r="AH1082" s="1270"/>
      <c r="AI1082" s="1270"/>
      <c r="AJ1082" s="1270"/>
      <c r="AK1082" s="1270"/>
    </row>
    <row r="1083" spans="1:46" ht="12.95" customHeight="1">
      <c r="A1083" s="1430" t="s">
        <v>599</v>
      </c>
      <c r="B1083" s="1430"/>
      <c r="C1083" s="8">
        <v>4</v>
      </c>
      <c r="D1083" s="1270" t="s">
        <v>1118</v>
      </c>
      <c r="E1083" s="1270"/>
      <c r="F1083" s="1270"/>
      <c r="G1083" s="1270"/>
      <c r="H1083" s="1270"/>
      <c r="I1083" s="1270"/>
      <c r="J1083" s="1270"/>
      <c r="K1083" s="1270"/>
      <c r="L1083" s="1270"/>
      <c r="M1083" s="1270"/>
      <c r="N1083" s="1270"/>
      <c r="O1083" s="1270"/>
      <c r="P1083" s="1270"/>
      <c r="Q1083" s="1270"/>
      <c r="R1083" s="1270"/>
      <c r="S1083" s="1270"/>
      <c r="T1083" s="1270"/>
      <c r="U1083" s="1270"/>
      <c r="V1083" s="1270"/>
      <c r="W1083" s="1270"/>
      <c r="X1083" s="1270"/>
      <c r="Y1083" s="1270"/>
      <c r="Z1083" s="1270"/>
      <c r="AA1083" s="1270"/>
      <c r="AB1083" s="1270"/>
      <c r="AC1083" s="1270"/>
      <c r="AD1083" s="1270"/>
      <c r="AE1083" s="1270"/>
      <c r="AF1083" s="1270"/>
      <c r="AG1083" s="1270"/>
      <c r="AH1083" s="1270"/>
      <c r="AI1083" s="1270"/>
      <c r="AJ1083" s="1270"/>
      <c r="AK1083" s="1270"/>
    </row>
    <row r="1084" spans="1:46" ht="12.95" customHeight="1">
      <c r="A1084" s="1"/>
      <c r="B1084" s="1"/>
      <c r="C1084" s="8"/>
      <c r="D1084" s="1270"/>
      <c r="E1084" s="1270"/>
      <c r="F1084" s="1270"/>
      <c r="G1084" s="1270"/>
      <c r="H1084" s="1270"/>
      <c r="I1084" s="1270"/>
      <c r="J1084" s="1270"/>
      <c r="K1084" s="1270"/>
      <c r="L1084" s="1270"/>
      <c r="M1084" s="1270"/>
      <c r="N1084" s="1270"/>
      <c r="O1084" s="1270"/>
      <c r="P1084" s="1270"/>
      <c r="Q1084" s="1270"/>
      <c r="R1084" s="1270"/>
      <c r="S1084" s="1270"/>
      <c r="T1084" s="1270"/>
      <c r="U1084" s="1270"/>
      <c r="V1084" s="1270"/>
      <c r="W1084" s="1270"/>
      <c r="X1084" s="1270"/>
      <c r="Y1084" s="1270"/>
      <c r="Z1084" s="1270"/>
      <c r="AA1084" s="1270"/>
      <c r="AB1084" s="1270"/>
      <c r="AC1084" s="1270"/>
      <c r="AD1084" s="1270"/>
      <c r="AE1084" s="1270"/>
      <c r="AF1084" s="1270"/>
      <c r="AG1084" s="1270"/>
      <c r="AH1084" s="1270"/>
      <c r="AI1084" s="1270"/>
      <c r="AJ1084" s="1270"/>
      <c r="AK1084" s="1270"/>
    </row>
    <row r="1085" spans="1:46" ht="12.95" customHeight="1">
      <c r="A1085" s="35"/>
      <c r="B1085" s="25"/>
      <c r="C1085" s="8"/>
      <c r="D1085" s="1270"/>
      <c r="E1085" s="1270"/>
      <c r="F1085" s="1270"/>
      <c r="G1085" s="1270"/>
      <c r="H1085" s="1270"/>
      <c r="I1085" s="1270"/>
      <c r="J1085" s="1270"/>
      <c r="K1085" s="1270"/>
      <c r="L1085" s="1270"/>
      <c r="M1085" s="1270"/>
      <c r="N1085" s="1270"/>
      <c r="O1085" s="1270"/>
      <c r="P1085" s="1270"/>
      <c r="Q1085" s="1270"/>
      <c r="R1085" s="1270"/>
      <c r="S1085" s="1270"/>
      <c r="T1085" s="1270"/>
      <c r="U1085" s="1270"/>
      <c r="V1085" s="1270"/>
      <c r="W1085" s="1270"/>
      <c r="X1085" s="1270"/>
      <c r="Y1085" s="1270"/>
      <c r="Z1085" s="1270"/>
      <c r="AA1085" s="1270"/>
      <c r="AB1085" s="1270"/>
      <c r="AC1085" s="1270"/>
      <c r="AD1085" s="1270"/>
      <c r="AE1085" s="1270"/>
      <c r="AF1085" s="1270"/>
      <c r="AG1085" s="1270"/>
      <c r="AH1085" s="1270"/>
      <c r="AI1085" s="1270"/>
      <c r="AJ1085" s="1270"/>
      <c r="AK1085" s="1270"/>
    </row>
    <row r="1086" spans="1:46" ht="12.95" customHeight="1">
      <c r="A1086" s="1430" t="s">
        <v>599</v>
      </c>
      <c r="B1086" s="1430"/>
      <c r="C1086" s="8">
        <v>5</v>
      </c>
      <c r="D1086" s="1270" t="s">
        <v>2459</v>
      </c>
      <c r="E1086" s="1270"/>
      <c r="F1086" s="1270"/>
      <c r="G1086" s="1270"/>
      <c r="H1086" s="1270"/>
      <c r="I1086" s="1270"/>
      <c r="J1086" s="1270"/>
      <c r="K1086" s="1270"/>
      <c r="L1086" s="1270"/>
      <c r="M1086" s="1270"/>
      <c r="N1086" s="1270"/>
      <c r="O1086" s="1270"/>
      <c r="P1086" s="1270"/>
      <c r="Q1086" s="1270"/>
      <c r="R1086" s="1270"/>
      <c r="S1086" s="1270"/>
      <c r="T1086" s="1270"/>
      <c r="U1086" s="1270"/>
      <c r="V1086" s="1270"/>
      <c r="W1086" s="1270"/>
      <c r="X1086" s="1270"/>
      <c r="Y1086" s="1270"/>
      <c r="Z1086" s="1270"/>
      <c r="AA1086" s="1270"/>
      <c r="AB1086" s="1270"/>
      <c r="AC1086" s="1270"/>
      <c r="AD1086" s="1270"/>
      <c r="AE1086" s="1270"/>
      <c r="AF1086" s="1270"/>
      <c r="AG1086" s="1270"/>
      <c r="AH1086" s="1270"/>
      <c r="AI1086" s="1270"/>
      <c r="AJ1086" s="1270"/>
      <c r="AK1086" s="1270"/>
    </row>
    <row r="1087" spans="1:46" ht="12.95" customHeight="1">
      <c r="A1087" s="1"/>
      <c r="B1087" s="1"/>
      <c r="C1087" s="8"/>
      <c r="D1087" s="1270"/>
      <c r="E1087" s="1270"/>
      <c r="F1087" s="1270"/>
      <c r="G1087" s="1270"/>
      <c r="H1087" s="1270"/>
      <c r="I1087" s="1270"/>
      <c r="J1087" s="1270"/>
      <c r="K1087" s="1270"/>
      <c r="L1087" s="1270"/>
      <c r="M1087" s="1270"/>
      <c r="N1087" s="1270"/>
      <c r="O1087" s="1270"/>
      <c r="P1087" s="1270"/>
      <c r="Q1087" s="1270"/>
      <c r="R1087" s="1270"/>
      <c r="S1087" s="1270"/>
      <c r="T1087" s="1270"/>
      <c r="U1087" s="1270"/>
      <c r="V1087" s="1270"/>
      <c r="W1087" s="1270"/>
      <c r="X1087" s="1270"/>
      <c r="Y1087" s="1270"/>
      <c r="Z1087" s="1270"/>
      <c r="AA1087" s="1270"/>
      <c r="AB1087" s="1270"/>
      <c r="AC1087" s="1270"/>
      <c r="AD1087" s="1270"/>
      <c r="AE1087" s="1270"/>
      <c r="AF1087" s="1270"/>
      <c r="AG1087" s="1270"/>
      <c r="AH1087" s="1270"/>
      <c r="AI1087" s="1270"/>
      <c r="AJ1087" s="1270"/>
      <c r="AK1087" s="1270"/>
    </row>
    <row r="1088" spans="1:46" ht="12.95" customHeight="1">
      <c r="A1088" s="1"/>
      <c r="B1088" s="1"/>
      <c r="C1088" s="8"/>
      <c r="D1088" s="1270"/>
      <c r="E1088" s="1270"/>
      <c r="F1088" s="1270"/>
      <c r="G1088" s="1270"/>
      <c r="H1088" s="1270"/>
      <c r="I1088" s="1270"/>
      <c r="J1088" s="1270"/>
      <c r="K1088" s="1270"/>
      <c r="L1088" s="1270"/>
      <c r="M1088" s="1270"/>
      <c r="N1088" s="1270"/>
      <c r="O1088" s="1270"/>
      <c r="P1088" s="1270"/>
      <c r="Q1088" s="1270"/>
      <c r="R1088" s="1270"/>
      <c r="S1088" s="1270"/>
      <c r="T1088" s="1270"/>
      <c r="U1088" s="1270"/>
      <c r="V1088" s="1270"/>
      <c r="W1088" s="1270"/>
      <c r="X1088" s="1270"/>
      <c r="Y1088" s="1270"/>
      <c r="Z1088" s="1270"/>
      <c r="AA1088" s="1270"/>
      <c r="AB1088" s="1270"/>
      <c r="AC1088" s="1270"/>
      <c r="AD1088" s="1270"/>
      <c r="AE1088" s="1270"/>
      <c r="AF1088" s="1270"/>
      <c r="AG1088" s="1270"/>
      <c r="AH1088" s="1270"/>
      <c r="AI1088" s="1270"/>
      <c r="AJ1088" s="1270"/>
      <c r="AK1088" s="1270"/>
    </row>
    <row r="1089" spans="1:37" ht="12.95" hidden="1" customHeight="1">
      <c r="A1089" s="1"/>
      <c r="B1089" s="1"/>
      <c r="C1089" s="8"/>
      <c r="D1089" s="1270"/>
      <c r="E1089" s="1270"/>
      <c r="F1089" s="1270"/>
      <c r="G1089" s="1270"/>
      <c r="H1089" s="1270"/>
      <c r="I1089" s="1270"/>
      <c r="J1089" s="1270"/>
      <c r="K1089" s="1270"/>
      <c r="L1089" s="1270"/>
      <c r="M1089" s="1270"/>
      <c r="N1089" s="1270"/>
      <c r="O1089" s="1270"/>
      <c r="P1089" s="1270"/>
      <c r="Q1089" s="1270"/>
      <c r="R1089" s="1270"/>
      <c r="S1089" s="1270"/>
      <c r="T1089" s="1270"/>
      <c r="U1089" s="1270"/>
      <c r="V1089" s="1270"/>
      <c r="W1089" s="1270"/>
      <c r="X1089" s="1270"/>
      <c r="Y1089" s="1270"/>
      <c r="Z1089" s="1270"/>
      <c r="AA1089" s="1270"/>
      <c r="AB1089" s="1270"/>
      <c r="AC1089" s="1270"/>
      <c r="AD1089" s="1270"/>
      <c r="AE1089" s="1270"/>
      <c r="AF1089" s="1270"/>
      <c r="AG1089" s="1270"/>
      <c r="AH1089" s="1270"/>
      <c r="AI1089" s="1270"/>
      <c r="AJ1089" s="1270"/>
      <c r="AK1089" s="1270"/>
    </row>
    <row r="1090" spans="1:37" ht="12.95" customHeight="1">
      <c r="A1090" s="35"/>
      <c r="B1090" s="25"/>
      <c r="C1090" s="8"/>
      <c r="D1090" s="1270"/>
      <c r="E1090" s="1270"/>
      <c r="F1090" s="1270"/>
      <c r="G1090" s="1270"/>
      <c r="H1090" s="1270"/>
      <c r="I1090" s="1270"/>
      <c r="J1090" s="1270"/>
      <c r="K1090" s="1270"/>
      <c r="L1090" s="1270"/>
      <c r="M1090" s="1270"/>
      <c r="N1090" s="1270"/>
      <c r="O1090" s="1270"/>
      <c r="P1090" s="1270"/>
      <c r="Q1090" s="1270"/>
      <c r="R1090" s="1270"/>
      <c r="S1090" s="1270"/>
      <c r="T1090" s="1270"/>
      <c r="U1090" s="1270"/>
      <c r="V1090" s="1270"/>
      <c r="W1090" s="1270"/>
      <c r="X1090" s="1270"/>
      <c r="Y1090" s="1270"/>
      <c r="Z1090" s="1270"/>
      <c r="AA1090" s="1270"/>
      <c r="AB1090" s="1270"/>
      <c r="AC1090" s="1270"/>
      <c r="AD1090" s="1270"/>
      <c r="AE1090" s="1270"/>
      <c r="AF1090" s="1270"/>
      <c r="AG1090" s="1270"/>
      <c r="AH1090" s="1270"/>
      <c r="AI1090" s="1270"/>
      <c r="AJ1090" s="1270"/>
      <c r="AK1090" s="1270"/>
    </row>
    <row r="1091" spans="1:37" ht="12.95" customHeight="1">
      <c r="A1091" s="1430" t="s">
        <v>599</v>
      </c>
      <c r="B1091" s="1430"/>
      <c r="C1091" s="8">
        <v>6</v>
      </c>
      <c r="D1091" s="1270" t="s">
        <v>1119</v>
      </c>
      <c r="E1091" s="1270"/>
      <c r="F1091" s="1270"/>
      <c r="G1091" s="1270"/>
      <c r="H1091" s="1270"/>
      <c r="I1091" s="1270"/>
      <c r="J1091" s="1270"/>
      <c r="K1091" s="1270"/>
      <c r="L1091" s="1270"/>
      <c r="M1091" s="1270"/>
      <c r="N1091" s="1270"/>
      <c r="O1091" s="1270"/>
      <c r="P1091" s="1270"/>
      <c r="Q1091" s="1270"/>
      <c r="R1091" s="1270"/>
      <c r="S1091" s="1270"/>
      <c r="T1091" s="1270"/>
      <c r="U1091" s="1270"/>
      <c r="V1091" s="1270"/>
      <c r="W1091" s="1270"/>
      <c r="X1091" s="1270"/>
      <c r="Y1091" s="1270"/>
      <c r="Z1091" s="1270"/>
      <c r="AA1091" s="1270"/>
      <c r="AB1091" s="1270"/>
      <c r="AC1091" s="1270"/>
      <c r="AD1091" s="1270"/>
      <c r="AE1091" s="1270"/>
      <c r="AF1091" s="1270"/>
      <c r="AG1091" s="1270"/>
      <c r="AH1091" s="1270"/>
      <c r="AI1091" s="1270"/>
      <c r="AJ1091" s="1270"/>
      <c r="AK1091" s="1270"/>
    </row>
    <row r="1092" spans="1:37" ht="12.95" customHeight="1">
      <c r="A1092" s="35"/>
      <c r="B1092" s="25"/>
      <c r="C1092" s="8"/>
      <c r="D1092" s="1270"/>
      <c r="E1092" s="1270"/>
      <c r="F1092" s="1270"/>
      <c r="G1092" s="1270"/>
      <c r="H1092" s="1270"/>
      <c r="I1092" s="1270"/>
      <c r="J1092" s="1270"/>
      <c r="K1092" s="1270"/>
      <c r="L1092" s="1270"/>
      <c r="M1092" s="1270"/>
      <c r="N1092" s="1270"/>
      <c r="O1092" s="1270"/>
      <c r="P1092" s="1270"/>
      <c r="Q1092" s="1270"/>
      <c r="R1092" s="1270"/>
      <c r="S1092" s="1270"/>
      <c r="T1092" s="1270"/>
      <c r="U1092" s="1270"/>
      <c r="V1092" s="1270"/>
      <c r="W1092" s="1270"/>
      <c r="X1092" s="1270"/>
      <c r="Y1092" s="1270"/>
      <c r="Z1092" s="1270"/>
      <c r="AA1092" s="1270"/>
      <c r="AB1092" s="1270"/>
      <c r="AC1092" s="1270"/>
      <c r="AD1092" s="1270"/>
      <c r="AE1092" s="1270"/>
      <c r="AF1092" s="1270"/>
      <c r="AG1092" s="1270"/>
      <c r="AH1092" s="1270"/>
      <c r="AI1092" s="1270"/>
      <c r="AJ1092" s="1270"/>
      <c r="AK1092" s="1270"/>
    </row>
    <row r="1093" spans="1:37" ht="12.95" customHeight="1">
      <c r="A1093" s="35"/>
      <c r="B1093" s="25"/>
      <c r="C1093" s="8"/>
      <c r="D1093" s="1270"/>
      <c r="E1093" s="1270"/>
      <c r="F1093" s="1270"/>
      <c r="G1093" s="1270"/>
      <c r="H1093" s="1270"/>
      <c r="I1093" s="1270"/>
      <c r="J1093" s="1270"/>
      <c r="K1093" s="1270"/>
      <c r="L1093" s="1270"/>
      <c r="M1093" s="1270"/>
      <c r="N1093" s="1270"/>
      <c r="O1093" s="1270"/>
      <c r="P1093" s="1270"/>
      <c r="Q1093" s="1270"/>
      <c r="R1093" s="1270"/>
      <c r="S1093" s="1270"/>
      <c r="T1093" s="1270"/>
      <c r="U1093" s="1270"/>
      <c r="V1093" s="1270"/>
      <c r="W1093" s="1270"/>
      <c r="X1093" s="1270"/>
      <c r="Y1093" s="1270"/>
      <c r="Z1093" s="1270"/>
      <c r="AA1093" s="1270"/>
      <c r="AB1093" s="1270"/>
      <c r="AC1093" s="1270"/>
      <c r="AD1093" s="1270"/>
      <c r="AE1093" s="1270"/>
      <c r="AF1093" s="1270"/>
      <c r="AG1093" s="1270"/>
      <c r="AH1093" s="1270"/>
      <c r="AI1093" s="1270"/>
      <c r="AJ1093" s="1270"/>
      <c r="AK1093" s="1270"/>
    </row>
    <row r="1094" spans="1:37" ht="12.95" customHeight="1">
      <c r="A1094" s="1430" t="s">
        <v>599</v>
      </c>
      <c r="B1094" s="1430"/>
      <c r="C1094" s="212">
        <v>7</v>
      </c>
      <c r="D1094" s="1270" t="s">
        <v>1121</v>
      </c>
      <c r="E1094" s="1270"/>
      <c r="F1094" s="1270"/>
      <c r="G1094" s="1270"/>
      <c r="H1094" s="1270"/>
      <c r="I1094" s="1270"/>
      <c r="J1094" s="1270"/>
      <c r="K1094" s="1270"/>
      <c r="L1094" s="1270"/>
      <c r="M1094" s="1270"/>
      <c r="N1094" s="1270"/>
      <c r="O1094" s="1270"/>
      <c r="P1094" s="1270"/>
      <c r="Q1094" s="1270"/>
      <c r="R1094" s="1270"/>
      <c r="S1094" s="1270"/>
      <c r="T1094" s="1270"/>
      <c r="U1094" s="1270"/>
      <c r="V1094" s="1270"/>
      <c r="W1094" s="1270"/>
      <c r="X1094" s="1270"/>
      <c r="Y1094" s="1270"/>
      <c r="Z1094" s="1270"/>
      <c r="AA1094" s="1270"/>
      <c r="AB1094" s="1270"/>
      <c r="AC1094" s="1270"/>
      <c r="AD1094" s="1270"/>
      <c r="AE1094" s="1270"/>
      <c r="AF1094" s="1270"/>
      <c r="AG1094" s="1270"/>
      <c r="AH1094" s="1270"/>
      <c r="AI1094" s="1270"/>
      <c r="AJ1094" s="1270"/>
      <c r="AK1094" s="1270"/>
    </row>
    <row r="1095" spans="1:37" ht="12.95" customHeight="1">
      <c r="A1095" s="1"/>
      <c r="B1095" s="1"/>
      <c r="C1095" s="212"/>
      <c r="D1095" s="1270"/>
      <c r="E1095" s="1270"/>
      <c r="F1095" s="1270"/>
      <c r="G1095" s="1270"/>
      <c r="H1095" s="1270"/>
      <c r="I1095" s="1270"/>
      <c r="J1095" s="1270"/>
      <c r="K1095" s="1270"/>
      <c r="L1095" s="1270"/>
      <c r="M1095" s="1270"/>
      <c r="N1095" s="1270"/>
      <c r="O1095" s="1270"/>
      <c r="P1095" s="1270"/>
      <c r="Q1095" s="1270"/>
      <c r="R1095" s="1270"/>
      <c r="S1095" s="1270"/>
      <c r="T1095" s="1270"/>
      <c r="U1095" s="1270"/>
      <c r="V1095" s="1270"/>
      <c r="W1095" s="1270"/>
      <c r="X1095" s="1270"/>
      <c r="Y1095" s="1270"/>
      <c r="Z1095" s="1270"/>
      <c r="AA1095" s="1270"/>
      <c r="AB1095" s="1270"/>
      <c r="AC1095" s="1270"/>
      <c r="AD1095" s="1270"/>
      <c r="AE1095" s="1270"/>
      <c r="AF1095" s="1270"/>
      <c r="AG1095" s="1270"/>
      <c r="AH1095" s="1270"/>
      <c r="AI1095" s="1270"/>
      <c r="AJ1095" s="1270"/>
      <c r="AK1095" s="1270"/>
    </row>
    <row r="1096" spans="1:37" ht="12.95" customHeight="1">
      <c r="A1096" s="1"/>
      <c r="B1096" s="1"/>
      <c r="C1096" s="212"/>
      <c r="D1096" s="1270"/>
      <c r="E1096" s="1270"/>
      <c r="F1096" s="1270"/>
      <c r="G1096" s="1270"/>
      <c r="H1096" s="1270"/>
      <c r="I1096" s="1270"/>
      <c r="J1096" s="1270"/>
      <c r="K1096" s="1270"/>
      <c r="L1096" s="1270"/>
      <c r="M1096" s="1270"/>
      <c r="N1096" s="1270"/>
      <c r="O1096" s="1270"/>
      <c r="P1096" s="1270"/>
      <c r="Q1096" s="1270"/>
      <c r="R1096" s="1270"/>
      <c r="S1096" s="1270"/>
      <c r="T1096" s="1270"/>
      <c r="U1096" s="1270"/>
      <c r="V1096" s="1270"/>
      <c r="W1096" s="1270"/>
      <c r="X1096" s="1270"/>
      <c r="Y1096" s="1270"/>
      <c r="Z1096" s="1270"/>
      <c r="AA1096" s="1270"/>
      <c r="AB1096" s="1270"/>
      <c r="AC1096" s="1270"/>
      <c r="AD1096" s="1270"/>
      <c r="AE1096" s="1270"/>
      <c r="AF1096" s="1270"/>
      <c r="AG1096" s="1270"/>
      <c r="AH1096" s="1270"/>
      <c r="AI1096" s="1270"/>
      <c r="AJ1096" s="1270"/>
      <c r="AK1096" s="1270"/>
    </row>
    <row r="1097" spans="1:37" ht="12.95" customHeight="1">
      <c r="A1097" s="35"/>
      <c r="B1097" s="25"/>
      <c r="C1097" s="212"/>
      <c r="D1097" s="1270"/>
      <c r="E1097" s="1270"/>
      <c r="F1097" s="1270"/>
      <c r="G1097" s="1270"/>
      <c r="H1097" s="1270"/>
      <c r="I1097" s="1270"/>
      <c r="J1097" s="1270"/>
      <c r="K1097" s="1270"/>
      <c r="L1097" s="1270"/>
      <c r="M1097" s="1270"/>
      <c r="N1097" s="1270"/>
      <c r="O1097" s="1270"/>
      <c r="P1097" s="1270"/>
      <c r="Q1097" s="1270"/>
      <c r="R1097" s="1270"/>
      <c r="S1097" s="1270"/>
      <c r="T1097" s="1270"/>
      <c r="U1097" s="1270"/>
      <c r="V1097" s="1270"/>
      <c r="W1097" s="1270"/>
      <c r="X1097" s="1270"/>
      <c r="Y1097" s="1270"/>
      <c r="Z1097" s="1270"/>
      <c r="AA1097" s="1270"/>
      <c r="AB1097" s="1270"/>
      <c r="AC1097" s="1270"/>
      <c r="AD1097" s="1270"/>
      <c r="AE1097" s="1270"/>
      <c r="AF1097" s="1270"/>
      <c r="AG1097" s="1270"/>
      <c r="AH1097" s="1270"/>
      <c r="AI1097" s="1270"/>
      <c r="AJ1097" s="1270"/>
      <c r="AK1097" s="1270"/>
    </row>
    <row r="1098" spans="1:37" ht="12.95" customHeight="1">
      <c r="A1098" s="1430" t="s">
        <v>599</v>
      </c>
      <c r="B1098" s="1430"/>
      <c r="C1098" s="212">
        <v>8</v>
      </c>
      <c r="D1098" s="1330" t="s">
        <v>1872</v>
      </c>
      <c r="E1098" s="1330"/>
      <c r="F1098" s="1330"/>
      <c r="G1098" s="1330"/>
      <c r="H1098" s="1330"/>
      <c r="I1098" s="1330"/>
      <c r="J1098" s="1330"/>
      <c r="K1098" s="1330"/>
      <c r="L1098" s="1330"/>
      <c r="M1098" s="1330"/>
      <c r="N1098" s="1330"/>
      <c r="O1098" s="1330"/>
      <c r="P1098" s="1330"/>
      <c r="Q1098" s="1330"/>
      <c r="R1098" s="1330"/>
      <c r="S1098" s="1330"/>
      <c r="T1098" s="1330"/>
      <c r="U1098" s="1330"/>
      <c r="V1098" s="1330"/>
      <c r="W1098" s="1330"/>
      <c r="X1098" s="1330"/>
      <c r="Y1098" s="1330"/>
      <c r="Z1098" s="1330"/>
      <c r="AA1098" s="1330"/>
      <c r="AB1098" s="1330"/>
      <c r="AC1098" s="1330"/>
      <c r="AD1098" s="1330"/>
      <c r="AE1098" s="1330"/>
      <c r="AF1098" s="1330"/>
      <c r="AG1098" s="1330"/>
      <c r="AH1098" s="1330"/>
      <c r="AI1098" s="1330"/>
      <c r="AJ1098" s="1330"/>
      <c r="AK1098" s="1330"/>
    </row>
    <row r="1099" spans="1:37" ht="12.95" customHeight="1">
      <c r="A1099" s="1"/>
      <c r="B1099" s="1"/>
      <c r="C1099" s="212"/>
      <c r="D1099" s="1330"/>
      <c r="E1099" s="1330"/>
      <c r="F1099" s="1330"/>
      <c r="G1099" s="1330"/>
      <c r="H1099" s="1330"/>
      <c r="I1099" s="1330"/>
      <c r="J1099" s="1330"/>
      <c r="K1099" s="1330"/>
      <c r="L1099" s="1330"/>
      <c r="M1099" s="1330"/>
      <c r="N1099" s="1330"/>
      <c r="O1099" s="1330"/>
      <c r="P1099" s="1330"/>
      <c r="Q1099" s="1330"/>
      <c r="R1099" s="1330"/>
      <c r="S1099" s="1330"/>
      <c r="T1099" s="1330"/>
      <c r="U1099" s="1330"/>
      <c r="V1099" s="1330"/>
      <c r="W1099" s="1330"/>
      <c r="X1099" s="1330"/>
      <c r="Y1099" s="1330"/>
      <c r="Z1099" s="1330"/>
      <c r="AA1099" s="1330"/>
      <c r="AB1099" s="1330"/>
      <c r="AC1099" s="1330"/>
      <c r="AD1099" s="1330"/>
      <c r="AE1099" s="1330"/>
      <c r="AF1099" s="1330"/>
      <c r="AG1099" s="1330"/>
      <c r="AH1099" s="1330"/>
      <c r="AI1099" s="1330"/>
      <c r="AJ1099" s="1330"/>
      <c r="AK1099" s="1330"/>
    </row>
    <row r="1100" spans="1:37" ht="12.95" customHeight="1">
      <c r="A1100" s="1"/>
      <c r="B1100" s="1"/>
      <c r="C1100" s="212"/>
      <c r="D1100" s="1330"/>
      <c r="E1100" s="1330"/>
      <c r="F1100" s="1330"/>
      <c r="G1100" s="1330"/>
      <c r="H1100" s="1330"/>
      <c r="I1100" s="1330"/>
      <c r="J1100" s="1330"/>
      <c r="K1100" s="1330"/>
      <c r="L1100" s="1330"/>
      <c r="M1100" s="1330"/>
      <c r="N1100" s="1330"/>
      <c r="O1100" s="1330"/>
      <c r="P1100" s="1330"/>
      <c r="Q1100" s="1330"/>
      <c r="R1100" s="1330"/>
      <c r="S1100" s="1330"/>
      <c r="T1100" s="1330"/>
      <c r="U1100" s="1330"/>
      <c r="V1100" s="1330"/>
      <c r="W1100" s="1330"/>
      <c r="X1100" s="1330"/>
      <c r="Y1100" s="1330"/>
      <c r="Z1100" s="1330"/>
      <c r="AA1100" s="1330"/>
      <c r="AB1100" s="1330"/>
      <c r="AC1100" s="1330"/>
      <c r="AD1100" s="1330"/>
      <c r="AE1100" s="1330"/>
      <c r="AF1100" s="1330"/>
      <c r="AG1100" s="1330"/>
      <c r="AH1100" s="1330"/>
      <c r="AI1100" s="1330"/>
      <c r="AJ1100" s="1330"/>
      <c r="AK1100" s="1330"/>
    </row>
    <row r="1101" spans="1:37" ht="0" hidden="1" customHeight="1">
      <c r="A1101" s="1"/>
      <c r="B1101" s="1"/>
      <c r="C1101" s="212"/>
      <c r="D1101" s="1330"/>
      <c r="E1101" s="1330"/>
      <c r="F1101" s="1330"/>
      <c r="G1101" s="1330"/>
      <c r="H1101" s="1330"/>
      <c r="I1101" s="1330"/>
      <c r="J1101" s="1330"/>
      <c r="K1101" s="1330"/>
      <c r="L1101" s="1330"/>
      <c r="M1101" s="1330"/>
      <c r="N1101" s="1330"/>
      <c r="O1101" s="1330"/>
      <c r="P1101" s="1330"/>
      <c r="Q1101" s="1330"/>
      <c r="R1101" s="1330"/>
      <c r="S1101" s="1330"/>
      <c r="T1101" s="1330"/>
      <c r="U1101" s="1330"/>
      <c r="V1101" s="1330"/>
      <c r="W1101" s="1330"/>
      <c r="X1101" s="1330"/>
      <c r="Y1101" s="1330"/>
      <c r="Z1101" s="1330"/>
      <c r="AA1101" s="1330"/>
      <c r="AB1101" s="1330"/>
      <c r="AC1101" s="1330"/>
      <c r="AD1101" s="1330"/>
      <c r="AE1101" s="1330"/>
      <c r="AF1101" s="1330"/>
      <c r="AG1101" s="1330"/>
      <c r="AH1101" s="1330"/>
      <c r="AI1101" s="1330"/>
      <c r="AJ1101" s="1330"/>
      <c r="AK1101" s="1330"/>
    </row>
    <row r="1102" spans="1:37" ht="0" hidden="1" customHeight="1">
      <c r="A1102" s="35"/>
      <c r="B1102" s="25"/>
      <c r="C1102" s="212"/>
      <c r="D1102" s="1330"/>
      <c r="E1102" s="1330"/>
      <c r="F1102" s="1330"/>
      <c r="G1102" s="1330"/>
      <c r="H1102" s="1330"/>
      <c r="I1102" s="1330"/>
      <c r="J1102" s="1330"/>
      <c r="K1102" s="1330"/>
      <c r="L1102" s="1330"/>
      <c r="M1102" s="1330"/>
      <c r="N1102" s="1330"/>
      <c r="O1102" s="1330"/>
      <c r="P1102" s="1330"/>
      <c r="Q1102" s="1330"/>
      <c r="R1102" s="1330"/>
      <c r="S1102" s="1330"/>
      <c r="T1102" s="1330"/>
      <c r="U1102" s="1330"/>
      <c r="V1102" s="1330"/>
      <c r="W1102" s="1330"/>
      <c r="X1102" s="1330"/>
      <c r="Y1102" s="1330"/>
      <c r="Z1102" s="1330"/>
      <c r="AA1102" s="1330"/>
      <c r="AB1102" s="1330"/>
      <c r="AC1102" s="1330"/>
      <c r="AD1102" s="1330"/>
      <c r="AE1102" s="1330"/>
      <c r="AF1102" s="1330"/>
      <c r="AG1102" s="1330"/>
      <c r="AH1102" s="1330"/>
      <c r="AI1102" s="1330"/>
      <c r="AJ1102" s="1330"/>
      <c r="AK1102" s="1330"/>
    </row>
    <row r="1103" spans="1:37" ht="0" hidden="1" customHeight="1">
      <c r="A1103" s="1430" t="s">
        <v>599</v>
      </c>
      <c r="B1103" s="1430"/>
      <c r="C1103" s="212">
        <v>9</v>
      </c>
      <c r="D1103" s="1270" t="s">
        <v>1120</v>
      </c>
      <c r="E1103" s="1270"/>
      <c r="F1103" s="1270"/>
      <c r="G1103" s="1270"/>
      <c r="H1103" s="1270"/>
      <c r="I1103" s="1270"/>
      <c r="J1103" s="1270"/>
      <c r="K1103" s="1270"/>
      <c r="L1103" s="1270"/>
      <c r="M1103" s="1270"/>
      <c r="N1103" s="1270"/>
      <c r="O1103" s="1270"/>
      <c r="P1103" s="1270"/>
      <c r="Q1103" s="1270"/>
      <c r="R1103" s="1270"/>
      <c r="S1103" s="1270"/>
      <c r="T1103" s="1270"/>
      <c r="U1103" s="1270"/>
      <c r="V1103" s="1270"/>
      <c r="W1103" s="1270"/>
      <c r="X1103" s="1270"/>
      <c r="Y1103" s="1270"/>
      <c r="Z1103" s="1270"/>
      <c r="AA1103" s="1270"/>
      <c r="AB1103" s="1270"/>
      <c r="AC1103" s="1270"/>
      <c r="AD1103" s="1270"/>
      <c r="AE1103" s="1270"/>
      <c r="AF1103" s="1270"/>
      <c r="AG1103" s="1270"/>
      <c r="AH1103" s="1270"/>
      <c r="AI1103" s="1270"/>
      <c r="AJ1103" s="1270"/>
      <c r="AK1103" s="1270"/>
    </row>
    <row r="1104" spans="1:37" ht="0" hidden="1" customHeight="1">
      <c r="A1104" s="35"/>
      <c r="B1104" s="25"/>
      <c r="C1104" s="212"/>
      <c r="D1104" s="1270"/>
      <c r="E1104" s="1270"/>
      <c r="F1104" s="1270"/>
      <c r="G1104" s="1270"/>
      <c r="H1104" s="1270"/>
      <c r="I1104" s="1270"/>
      <c r="J1104" s="1270"/>
      <c r="K1104" s="1270"/>
      <c r="L1104" s="1270"/>
      <c r="M1104" s="1270"/>
      <c r="N1104" s="1270"/>
      <c r="O1104" s="1270"/>
      <c r="P1104" s="1270"/>
      <c r="Q1104" s="1270"/>
      <c r="R1104" s="1270"/>
      <c r="S1104" s="1270"/>
      <c r="T1104" s="1270"/>
      <c r="U1104" s="1270"/>
      <c r="V1104" s="1270"/>
      <c r="W1104" s="1270"/>
      <c r="X1104" s="1270"/>
      <c r="Y1104" s="1270"/>
      <c r="Z1104" s="1270"/>
      <c r="AA1104" s="1270"/>
      <c r="AB1104" s="1270"/>
      <c r="AC1104" s="1270"/>
      <c r="AD1104" s="1270"/>
      <c r="AE1104" s="1270"/>
      <c r="AF1104" s="1270"/>
      <c r="AG1104" s="1270"/>
      <c r="AH1104" s="1270"/>
      <c r="AI1104" s="1270"/>
      <c r="AJ1104" s="1270"/>
      <c r="AK1104" s="1270"/>
    </row>
    <row r="1105" spans="4:37" ht="0" hidden="1" customHeight="1">
      <c r="D1105" s="1270"/>
      <c r="E1105" s="1270"/>
      <c r="F1105" s="1270"/>
      <c r="G1105" s="1270"/>
      <c r="H1105" s="1270"/>
      <c r="I1105" s="1270"/>
      <c r="J1105" s="1270"/>
      <c r="K1105" s="1270"/>
      <c r="L1105" s="1270"/>
      <c r="M1105" s="1270"/>
      <c r="N1105" s="1270"/>
      <c r="O1105" s="1270"/>
      <c r="P1105" s="1270"/>
      <c r="Q1105" s="1270"/>
      <c r="R1105" s="1270"/>
      <c r="S1105" s="1270"/>
      <c r="T1105" s="1270"/>
      <c r="U1105" s="1270"/>
      <c r="V1105" s="1270"/>
      <c r="W1105" s="1270"/>
      <c r="X1105" s="1270"/>
      <c r="Y1105" s="1270"/>
      <c r="Z1105" s="1270"/>
      <c r="AA1105" s="1270"/>
      <c r="AB1105" s="1270"/>
      <c r="AC1105" s="1270"/>
      <c r="AD1105" s="1270"/>
      <c r="AE1105" s="1270"/>
      <c r="AF1105" s="1270"/>
      <c r="AG1105" s="1270"/>
      <c r="AH1105" s="1270"/>
      <c r="AI1105" s="1270"/>
      <c r="AJ1105" s="1270"/>
      <c r="AK1105" s="1270"/>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AH722:AJ722"/>
    <mergeCell ref="B723:F723"/>
    <mergeCell ref="AG681:AH681"/>
    <mergeCell ref="P687:R687"/>
    <mergeCell ref="EC663:EG663"/>
    <mergeCell ref="EH663:EL663"/>
    <mergeCell ref="EM663:EQ663"/>
    <mergeCell ref="ER663:EV663"/>
    <mergeCell ref="H338:R338"/>
    <mergeCell ref="EM666:EQ666"/>
    <mergeCell ref="ER666:EV666"/>
    <mergeCell ref="EC635:EG635"/>
    <mergeCell ref="EH635:EL635"/>
    <mergeCell ref="EM635:EQ635"/>
    <mergeCell ref="ER635:EV635"/>
    <mergeCell ref="DH629:DL629"/>
    <mergeCell ref="DM629:DQ629"/>
    <mergeCell ref="DR629:DV629"/>
    <mergeCell ref="EC630:EG630"/>
    <mergeCell ref="EH630:EL630"/>
    <mergeCell ref="DH630:DL630"/>
    <mergeCell ref="DX624:EB624"/>
    <mergeCell ref="DM625:DQ625"/>
    <mergeCell ref="DR620:DV620"/>
    <mergeCell ref="CS621:CW621"/>
    <mergeCell ref="EC626:EG626"/>
    <mergeCell ref="EH626:EL626"/>
    <mergeCell ref="EM626:EQ626"/>
    <mergeCell ref="ER626:EV626"/>
    <mergeCell ref="DC626:DG626"/>
    <mergeCell ref="DC621:DG621"/>
    <mergeCell ref="DH621:DL621"/>
    <mergeCell ref="H336:R336"/>
    <mergeCell ref="H337:R337"/>
    <mergeCell ref="H335:R335"/>
    <mergeCell ref="H339:M339"/>
    <mergeCell ref="H341:R341"/>
    <mergeCell ref="B725:F725"/>
    <mergeCell ref="B724:F724"/>
    <mergeCell ref="B728:F728"/>
    <mergeCell ref="X728:AB728"/>
    <mergeCell ref="DX666:EB666"/>
    <mergeCell ref="EC666:EG666"/>
    <mergeCell ref="EH666:EL666"/>
    <mergeCell ref="ER669:EV669"/>
    <mergeCell ref="ER668:EV668"/>
    <mergeCell ref="AH730:AJ730"/>
    <mergeCell ref="EW662:FA662"/>
    <mergeCell ref="EH660:EL660"/>
    <mergeCell ref="EM660:EQ660"/>
    <mergeCell ref="BN660:BR660"/>
    <mergeCell ref="ER662:EV662"/>
    <mergeCell ref="EW670:FA670"/>
    <mergeCell ref="CC660:CG660"/>
    <mergeCell ref="BS660:BW660"/>
    <mergeCell ref="AA688:AK688"/>
    <mergeCell ref="Z677:AK677"/>
    <mergeCell ref="EW668:FA668"/>
    <mergeCell ref="DX670:EB670"/>
    <mergeCell ref="EM664:EQ664"/>
    <mergeCell ref="ER664:EV664"/>
    <mergeCell ref="EW664:FA664"/>
    <mergeCell ref="EC667:EG667"/>
    <mergeCell ref="EH667:EL667"/>
    <mergeCell ref="EW666:FA666"/>
    <mergeCell ref="DX667:EB667"/>
    <mergeCell ref="DX665:EB665"/>
    <mergeCell ref="EC665:EG665"/>
    <mergeCell ref="EH665:EL665"/>
    <mergeCell ref="EM665:EQ665"/>
    <mergeCell ref="ER665:EV665"/>
    <mergeCell ref="EW669:FA669"/>
    <mergeCell ref="EW665:FA665"/>
    <mergeCell ref="DX663:EB663"/>
    <mergeCell ref="EH645:EL645"/>
    <mergeCell ref="EM645:EQ645"/>
    <mergeCell ref="EW639:FA639"/>
    <mergeCell ref="DX640:EB640"/>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Z671:AE671"/>
    <mergeCell ref="Z668:AK668"/>
    <mergeCell ref="AC747:AG747"/>
    <mergeCell ref="ER661:EV661"/>
    <mergeCell ref="EW661:FA661"/>
    <mergeCell ref="EM662:EQ662"/>
    <mergeCell ref="AH732:AJ732"/>
    <mergeCell ref="DM631:DQ631"/>
    <mergeCell ref="ER629:EV629"/>
    <mergeCell ref="DM630:DQ630"/>
    <mergeCell ref="EM630:EQ630"/>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9:EG639"/>
    <mergeCell ref="DM628:DQ628"/>
    <mergeCell ref="EC621:EG621"/>
    <mergeCell ref="EW626:FA626"/>
    <mergeCell ref="DM626:DQ626"/>
    <mergeCell ref="CS627:CW627"/>
    <mergeCell ref="CX627:DB627"/>
    <mergeCell ref="DC627:DG627"/>
    <mergeCell ref="DH627:DL627"/>
    <mergeCell ref="DM627:DQ627"/>
    <mergeCell ref="EC636:EG636"/>
    <mergeCell ref="EH636:EL636"/>
    <mergeCell ref="DX636:EB636"/>
    <mergeCell ref="ER636:EV636"/>
    <mergeCell ref="DX629:EB629"/>
    <mergeCell ref="EC629:EG629"/>
    <mergeCell ref="EH629:EL629"/>
    <mergeCell ref="EM629:EQ629"/>
    <mergeCell ref="CS629:CW629"/>
    <mergeCell ref="CX629:DB629"/>
    <mergeCell ref="DC629:DG629"/>
    <mergeCell ref="CX626:DB626"/>
    <mergeCell ref="CS626:CW626"/>
    <mergeCell ref="DR632:DV632"/>
    <mergeCell ref="DM632:DQ632"/>
    <mergeCell ref="DR628:DV628"/>
    <mergeCell ref="EC627:EG627"/>
    <mergeCell ref="EH627:EL627"/>
    <mergeCell ref="EM627:EQ627"/>
    <mergeCell ref="ER627:EV627"/>
    <mergeCell ref="ER628:EV628"/>
    <mergeCell ref="EW628:FA628"/>
    <mergeCell ref="EC625:EG625"/>
    <mergeCell ref="EH625:EL625"/>
    <mergeCell ref="EM625:EQ625"/>
    <mergeCell ref="EW627:FA627"/>
    <mergeCell ref="DX628:EB628"/>
    <mergeCell ref="EC628:EG628"/>
    <mergeCell ref="EH628:EL628"/>
    <mergeCell ref="EM628:EQ628"/>
    <mergeCell ref="EW624:FA624"/>
    <mergeCell ref="DX625:EB625"/>
    <mergeCell ref="DR624:DV624"/>
    <mergeCell ref="DX627:EB627"/>
    <mergeCell ref="DR626:DV626"/>
    <mergeCell ref="DR627:DV627"/>
    <mergeCell ref="DR625:DV625"/>
    <mergeCell ref="EC624:EG624"/>
    <mergeCell ref="EH624:EL624"/>
    <mergeCell ref="EM624:EQ624"/>
    <mergeCell ref="ER624:EV624"/>
    <mergeCell ref="ER625:EV625"/>
    <mergeCell ref="EW625:FA625"/>
    <mergeCell ref="DX626:EB626"/>
    <mergeCell ref="CS623:CW623"/>
    <mergeCell ref="DC620:DG620"/>
    <mergeCell ref="DM620:DQ620"/>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R621:DV621"/>
    <mergeCell ref="DC622:DG622"/>
    <mergeCell ref="DH622:DL622"/>
    <mergeCell ref="DM622:DQ622"/>
    <mergeCell ref="DR622:DV622"/>
    <mergeCell ref="CX623:DB623"/>
    <mergeCell ref="DC623:DG623"/>
    <mergeCell ref="DH623:DL623"/>
    <mergeCell ref="DM623:DQ623"/>
    <mergeCell ref="DR623:DV623"/>
    <mergeCell ref="CX621:DB621"/>
    <mergeCell ref="EM620:EQ620"/>
    <mergeCell ref="DM621:DQ621"/>
    <mergeCell ref="G602:R602"/>
    <mergeCell ref="N599:O599"/>
    <mergeCell ref="BX607:CB607"/>
    <mergeCell ref="BI607:BJ607"/>
    <mergeCell ref="BN609:BR609"/>
    <mergeCell ref="BX602:CB602"/>
    <mergeCell ref="BX605:CB605"/>
    <mergeCell ref="BX603:CB603"/>
    <mergeCell ref="BK599:BL599"/>
    <mergeCell ref="BN599:BR599"/>
    <mergeCell ref="AA598:AK598"/>
    <mergeCell ref="BG604:BH604"/>
    <mergeCell ref="BX604:CB604"/>
    <mergeCell ref="BK598:BL598"/>
    <mergeCell ref="BS598:BW598"/>
    <mergeCell ref="CS622:CW622"/>
    <mergeCell ref="CX622:DB622"/>
    <mergeCell ref="BN598:BR598"/>
    <mergeCell ref="BE604:BF604"/>
    <mergeCell ref="BI602:BJ602"/>
    <mergeCell ref="BI598:BJ598"/>
    <mergeCell ref="BK604:BL604"/>
    <mergeCell ref="BI617:BJ617"/>
    <mergeCell ref="BE616:BF616"/>
    <mergeCell ref="BX616:CB616"/>
    <mergeCell ref="BS612:BW612"/>
    <mergeCell ref="BN616:BR616"/>
    <mergeCell ref="BI616:BJ616"/>
    <mergeCell ref="AA606:AK606"/>
    <mergeCell ref="AI589:AK589"/>
    <mergeCell ref="BS614:BW614"/>
    <mergeCell ref="BX610:CB610"/>
    <mergeCell ref="BN620:BR620"/>
    <mergeCell ref="BI611:BJ611"/>
    <mergeCell ref="BE610:BF610"/>
    <mergeCell ref="BX618:CB618"/>
    <mergeCell ref="BK607:BL607"/>
    <mergeCell ref="AH508:AK508"/>
    <mergeCell ref="Q494:AK494"/>
    <mergeCell ref="AH513:AK513"/>
    <mergeCell ref="AC509:AF509"/>
    <mergeCell ref="AC525:AF525"/>
    <mergeCell ref="AH527:AK527"/>
    <mergeCell ref="Q555:S555"/>
    <mergeCell ref="BI608:BJ608"/>
    <mergeCell ref="BS608:BW608"/>
    <mergeCell ref="BN608:BR608"/>
    <mergeCell ref="AI558:AL558"/>
    <mergeCell ref="BK596:BL596"/>
    <mergeCell ref="AI605:AK605"/>
    <mergeCell ref="BI603:BJ603"/>
    <mergeCell ref="Z563:AD563"/>
    <mergeCell ref="AA582:AK582"/>
    <mergeCell ref="Z605:AE605"/>
    <mergeCell ref="BS605:BW605"/>
    <mergeCell ref="BI601:BJ601"/>
    <mergeCell ref="Q554:S554"/>
    <mergeCell ref="AH524:AK524"/>
    <mergeCell ref="AH525:AK525"/>
    <mergeCell ref="AH529:AK529"/>
    <mergeCell ref="AH534:AK534"/>
    <mergeCell ref="BN607:BR607"/>
    <mergeCell ref="BS607:BW607"/>
    <mergeCell ref="Z554:AD554"/>
    <mergeCell ref="BG607:BH607"/>
    <mergeCell ref="Z601:AK601"/>
    <mergeCell ref="BN604:BR604"/>
    <mergeCell ref="AG599:AH599"/>
    <mergeCell ref="AI597:AK597"/>
    <mergeCell ref="AA324:AF324"/>
    <mergeCell ref="W418:Y418"/>
    <mergeCell ref="AM560:AS560"/>
    <mergeCell ref="AG446:AJ446"/>
    <mergeCell ref="D440:AF440"/>
    <mergeCell ref="D449:AF449"/>
    <mergeCell ref="B501:H502"/>
    <mergeCell ref="O523:AA523"/>
    <mergeCell ref="AC519:AF519"/>
    <mergeCell ref="AE424:AF424"/>
    <mergeCell ref="AC523:AF523"/>
    <mergeCell ref="AC454:AF454"/>
    <mergeCell ref="V377:W377"/>
    <mergeCell ref="S377:T377"/>
    <mergeCell ref="W466:Y466"/>
    <mergeCell ref="W473:Y473"/>
    <mergeCell ref="K403:AJ403"/>
    <mergeCell ref="AG449:AJ449"/>
    <mergeCell ref="AI551:AL553"/>
    <mergeCell ref="O520:AA520"/>
    <mergeCell ref="AE555:AH555"/>
    <mergeCell ref="AH518:AK518"/>
    <mergeCell ref="AH514:AK514"/>
    <mergeCell ref="AC535:AF535"/>
    <mergeCell ref="AI554:AL554"/>
    <mergeCell ref="AE558:AH558"/>
    <mergeCell ref="AH532:AK532"/>
    <mergeCell ref="AH515:AK515"/>
    <mergeCell ref="AC516:AF516"/>
    <mergeCell ref="Z555:AD555"/>
    <mergeCell ref="AE556:AH556"/>
    <mergeCell ref="Q558:S558"/>
    <mergeCell ref="AA337:AK337"/>
    <mergeCell ref="H327:R327"/>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M554:AS554"/>
    <mergeCell ref="M495:P495"/>
    <mergeCell ref="AC501:AF501"/>
    <mergeCell ref="AH526:AK526"/>
    <mergeCell ref="T557:V557"/>
    <mergeCell ref="AC518:AF518"/>
    <mergeCell ref="Q394:U394"/>
    <mergeCell ref="S402:U402"/>
    <mergeCell ref="P331:R331"/>
    <mergeCell ref="W557:Y557"/>
    <mergeCell ref="D442:AF442"/>
    <mergeCell ref="AH521:AK521"/>
    <mergeCell ref="H328:R328"/>
    <mergeCell ref="AA336:AK336"/>
    <mergeCell ref="H333:R33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S401:U401"/>
    <mergeCell ref="AA332:AF332"/>
    <mergeCell ref="AA328:AK328"/>
    <mergeCell ref="V276:W276"/>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AA327:AK327"/>
    <mergeCell ref="H332:M332"/>
    <mergeCell ref="AG437:AJ437"/>
    <mergeCell ref="AG450:AJ450"/>
    <mergeCell ref="AC455:AF455"/>
    <mergeCell ref="I410:AE410"/>
    <mergeCell ref="I392:N392"/>
    <mergeCell ref="Q393:U393"/>
    <mergeCell ref="AG380:AH380"/>
    <mergeCell ref="AA333:AK333"/>
    <mergeCell ref="E368:AH369"/>
    <mergeCell ref="Q365:AG365"/>
    <mergeCell ref="P418:R418"/>
    <mergeCell ref="S392:U392"/>
    <mergeCell ref="R411:S411"/>
    <mergeCell ref="Q389:U389"/>
    <mergeCell ref="AG393:AJ393"/>
    <mergeCell ref="AG391:AJ391"/>
    <mergeCell ref="K404:AJ404"/>
    <mergeCell ref="S413:T413"/>
    <mergeCell ref="AC386:AJ386"/>
    <mergeCell ref="I418:K418"/>
    <mergeCell ref="D469:V469"/>
    <mergeCell ref="D468:V468"/>
    <mergeCell ref="W558:Y558"/>
    <mergeCell ref="C557:L557"/>
    <mergeCell ref="L508:AB508"/>
    <mergeCell ref="AC521:AF521"/>
    <mergeCell ref="AH509:AK509"/>
    <mergeCell ref="AC503:AF503"/>
    <mergeCell ref="AC513:AF513"/>
    <mergeCell ref="Q557:S557"/>
    <mergeCell ref="AH540:AK540"/>
    <mergeCell ref="T554:V554"/>
    <mergeCell ref="B517:H519"/>
    <mergeCell ref="AC524:AF524"/>
    <mergeCell ref="AH516:AK516"/>
    <mergeCell ref="D473:V473"/>
    <mergeCell ref="C556:L556"/>
    <mergeCell ref="M556:P556"/>
    <mergeCell ref="AC538:AF538"/>
    <mergeCell ref="AC540:AF540"/>
    <mergeCell ref="D472:V472"/>
    <mergeCell ref="W472:Y472"/>
    <mergeCell ref="AE551:AH553"/>
    <mergeCell ref="AC530:AF530"/>
    <mergeCell ref="O526:AA526"/>
    <mergeCell ref="AF430:AG430"/>
    <mergeCell ref="P425:Q425"/>
    <mergeCell ref="AM551:AS553"/>
    <mergeCell ref="F457:AB458"/>
    <mergeCell ref="D441:AF441"/>
    <mergeCell ref="D466:V466"/>
    <mergeCell ref="AC502:AF502"/>
    <mergeCell ref="AC515:AF515"/>
    <mergeCell ref="AC514:AF514"/>
    <mergeCell ref="B514:H516"/>
    <mergeCell ref="AC522:AF522"/>
    <mergeCell ref="D444:AF444"/>
    <mergeCell ref="AG448:AJ448"/>
    <mergeCell ref="AH528:AK528"/>
    <mergeCell ref="AH505:AK505"/>
    <mergeCell ref="AH519:AK519"/>
    <mergeCell ref="B551:L553"/>
    <mergeCell ref="AC504:AF504"/>
    <mergeCell ref="AH542:AK542"/>
    <mergeCell ref="AC542:AF542"/>
    <mergeCell ref="AH537:AK537"/>
    <mergeCell ref="AC529:AF529"/>
    <mergeCell ref="AH530:AK530"/>
    <mergeCell ref="AC526:AF526"/>
    <mergeCell ref="AH531:AK531"/>
    <mergeCell ref="AH506:AK506"/>
    <mergeCell ref="Q491:AK491"/>
    <mergeCell ref="AG447:AJ447"/>
    <mergeCell ref="AH495:AK495"/>
    <mergeCell ref="D465:V465"/>
    <mergeCell ref="D437:AF437"/>
    <mergeCell ref="AH507:AK507"/>
    <mergeCell ref="AC533:AF533"/>
    <mergeCell ref="BX611:CB611"/>
    <mergeCell ref="BX614:CB614"/>
    <mergeCell ref="BS610:BW610"/>
    <mergeCell ref="BE612:BF612"/>
    <mergeCell ref="BS609:BW609"/>
    <mergeCell ref="Z659:AK659"/>
    <mergeCell ref="BI630:BJ630"/>
    <mergeCell ref="BK618:BL618"/>
    <mergeCell ref="BK632:BL632"/>
    <mergeCell ref="BI600:BJ600"/>
    <mergeCell ref="BN603:BR603"/>
    <mergeCell ref="BN606:BR606"/>
    <mergeCell ref="BK606:BL606"/>
    <mergeCell ref="BI605:BJ605"/>
    <mergeCell ref="BE607:BF607"/>
    <mergeCell ref="BK626:BL626"/>
    <mergeCell ref="BX622:CB622"/>
    <mergeCell ref="BN621:BR621"/>
    <mergeCell ref="BS621:BW621"/>
    <mergeCell ref="BX621:CB621"/>
    <mergeCell ref="BN614:BR614"/>
    <mergeCell ref="BK619:BL619"/>
    <mergeCell ref="BK614:BL614"/>
    <mergeCell ref="BI613:BJ613"/>
    <mergeCell ref="BS611:BW611"/>
    <mergeCell ref="BE602:BF602"/>
    <mergeCell ref="BS628:BW628"/>
    <mergeCell ref="BX628:CB628"/>
    <mergeCell ref="BX627:CB627"/>
    <mergeCell ref="BS626:BW626"/>
    <mergeCell ref="BX626:CB626"/>
    <mergeCell ref="BN623:BR623"/>
    <mergeCell ref="BG626:BH626"/>
    <mergeCell ref="BI626:BJ626"/>
    <mergeCell ref="AF637:AJ637"/>
    <mergeCell ref="AK624:AN626"/>
    <mergeCell ref="BN626:BR626"/>
    <mergeCell ref="BG630:BH630"/>
    <mergeCell ref="BN640:BR640"/>
    <mergeCell ref="BS639:BW639"/>
    <mergeCell ref="BX631:CB631"/>
    <mergeCell ref="BN639:BR639"/>
    <mergeCell ref="BS649:BW649"/>
    <mergeCell ref="BN645:BR645"/>
    <mergeCell ref="BS599:BW599"/>
    <mergeCell ref="CC598:CG598"/>
    <mergeCell ref="BS604:BW604"/>
    <mergeCell ref="BS602:BW602"/>
    <mergeCell ref="BX599:CB599"/>
    <mergeCell ref="CC600:CG600"/>
    <mergeCell ref="BE601:BF601"/>
    <mergeCell ref="BE598:BF598"/>
    <mergeCell ref="BG600:BH600"/>
    <mergeCell ref="BN597:BR597"/>
    <mergeCell ref="BG597:BH597"/>
    <mergeCell ref="BI597:BJ597"/>
    <mergeCell ref="BG598:BH598"/>
    <mergeCell ref="BG599:BH599"/>
    <mergeCell ref="BX598:CB598"/>
    <mergeCell ref="CC606:CG606"/>
    <mergeCell ref="BI606:BJ606"/>
    <mergeCell ref="BG605:BH605"/>
    <mergeCell ref="BK601:BL601"/>
    <mergeCell ref="BI604:BJ604"/>
    <mergeCell ref="BN602:BR602"/>
    <mergeCell ref="CC605:CG605"/>
    <mergeCell ref="BN601:BR601"/>
    <mergeCell ref="BK605:BL605"/>
    <mergeCell ref="CC597:CG597"/>
    <mergeCell ref="BK603:BL603"/>
    <mergeCell ref="BX606:CB606"/>
    <mergeCell ref="BE603:BF603"/>
    <mergeCell ref="BE600:BF600"/>
    <mergeCell ref="BE606:BF606"/>
    <mergeCell ref="BS603:BW603"/>
    <mergeCell ref="BE599:BF599"/>
    <mergeCell ref="BG606:BH606"/>
    <mergeCell ref="BK597:BL597"/>
    <mergeCell ref="BS597:BW597"/>
    <mergeCell ref="CC603:CG603"/>
    <mergeCell ref="P421:R421"/>
    <mergeCell ref="W560:Y560"/>
    <mergeCell ref="AC528:AF528"/>
    <mergeCell ref="W556:Y556"/>
    <mergeCell ref="AE564:AH564"/>
    <mergeCell ref="AC520:AF520"/>
    <mergeCell ref="AC527:AF527"/>
    <mergeCell ref="B520:H542"/>
    <mergeCell ref="M565:P565"/>
    <mergeCell ref="AC510:AF510"/>
    <mergeCell ref="AH510:AK510"/>
    <mergeCell ref="AC512:AF512"/>
    <mergeCell ref="AH512:AK512"/>
    <mergeCell ref="AM564:AS564"/>
    <mergeCell ref="AH538:AK538"/>
    <mergeCell ref="Z551:AD553"/>
    <mergeCell ref="AH520:AK520"/>
    <mergeCell ref="S489:AK490"/>
    <mergeCell ref="AC531:AF531"/>
    <mergeCell ref="AH500:AK500"/>
    <mergeCell ref="Z561:AD561"/>
    <mergeCell ref="M562:P562"/>
    <mergeCell ref="AM555:AS555"/>
    <mergeCell ref="BG602:BH602"/>
    <mergeCell ref="G589:L589"/>
    <mergeCell ref="P572:R572"/>
    <mergeCell ref="G603:R603"/>
    <mergeCell ref="CC601:CG601"/>
    <mergeCell ref="Z559:AD559"/>
    <mergeCell ref="Z560:AD560"/>
    <mergeCell ref="AE559:AH559"/>
    <mergeCell ref="AA311:AK311"/>
    <mergeCell ref="AA306:AK306"/>
    <mergeCell ref="G588:R588"/>
    <mergeCell ref="BE605:BF605"/>
    <mergeCell ref="BG596:BH596"/>
    <mergeCell ref="AH503:AK503"/>
    <mergeCell ref="AC500:AF500"/>
    <mergeCell ref="Q485:AK485"/>
    <mergeCell ref="M356:N356"/>
    <mergeCell ref="G474:V474"/>
    <mergeCell ref="W474:Y474"/>
    <mergeCell ref="S405:AJ405"/>
    <mergeCell ref="AC539:AF539"/>
    <mergeCell ref="AG583:AH583"/>
    <mergeCell ref="AC508:AF508"/>
    <mergeCell ref="Z557:AD557"/>
    <mergeCell ref="Z572:AE572"/>
    <mergeCell ref="AM562:AS562"/>
    <mergeCell ref="Z432:AA432"/>
    <mergeCell ref="Q487:AK487"/>
    <mergeCell ref="Q486:AK486"/>
    <mergeCell ref="AH502:AK502"/>
    <mergeCell ref="H311:R311"/>
    <mergeCell ref="H308:M308"/>
    <mergeCell ref="P307:R307"/>
    <mergeCell ref="H329:R329"/>
    <mergeCell ref="P581:R581"/>
    <mergeCell ref="AC534:AF534"/>
    <mergeCell ref="BG601:BH601"/>
    <mergeCell ref="Q390:U390"/>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17:AK317"/>
    <mergeCell ref="L280:AD280"/>
    <mergeCell ref="L275:AD275"/>
    <mergeCell ref="H290:R290"/>
    <mergeCell ref="P291:R291"/>
    <mergeCell ref="L274:AJ274"/>
    <mergeCell ref="H289:R289"/>
    <mergeCell ref="H291:M291"/>
    <mergeCell ref="H299:M299"/>
    <mergeCell ref="H300:M300"/>
    <mergeCell ref="AA257:AK257"/>
    <mergeCell ref="M260:AE260"/>
    <mergeCell ref="AA265:AK265"/>
    <mergeCell ref="H295:R295"/>
    <mergeCell ref="M261:T261"/>
    <mergeCell ref="AA303:AK303"/>
    <mergeCell ref="AI315:AK315"/>
    <mergeCell ref="AA312:AK312"/>
    <mergeCell ref="AA329:AK329"/>
    <mergeCell ref="G113:H113"/>
    <mergeCell ref="C115:K115"/>
    <mergeCell ref="D164:AH164"/>
    <mergeCell ref="P204:U204"/>
    <mergeCell ref="AH195:AI195"/>
    <mergeCell ref="AH196:AI196"/>
    <mergeCell ref="U176:V176"/>
    <mergeCell ref="I190:N190"/>
    <mergeCell ref="AF178:AG178"/>
    <mergeCell ref="M251:AE251"/>
    <mergeCell ref="AI229:AJ229"/>
    <mergeCell ref="M235:AE235"/>
    <mergeCell ref="U236:W236"/>
    <mergeCell ref="M243:AE243"/>
    <mergeCell ref="M247:R247"/>
    <mergeCell ref="M245:T245"/>
    <mergeCell ref="M232:AK232"/>
    <mergeCell ref="M233:AE233"/>
    <mergeCell ref="D211:M211"/>
    <mergeCell ref="AI228:AJ228"/>
    <mergeCell ref="AI226:AJ226"/>
    <mergeCell ref="T189:AE189"/>
    <mergeCell ref="T195:U195"/>
    <mergeCell ref="E187:AE188"/>
    <mergeCell ref="I189:P189"/>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U255:W255"/>
    <mergeCell ref="T267:X267"/>
    <mergeCell ref="AF251:AK251"/>
    <mergeCell ref="D270:H270"/>
    <mergeCell ref="X270:AC270"/>
    <mergeCell ref="Z263:AE263"/>
    <mergeCell ref="AA288:AK288"/>
    <mergeCell ref="H287:R287"/>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O161:AH161"/>
    <mergeCell ref="Y117:AK117"/>
    <mergeCell ref="T190:AE190"/>
    <mergeCell ref="Y123:AK123"/>
    <mergeCell ref="Y120:AK120"/>
    <mergeCell ref="O160:T160"/>
    <mergeCell ref="AI178:AK178"/>
    <mergeCell ref="F150:T150"/>
    <mergeCell ref="A105:AT106"/>
    <mergeCell ref="L113:O113"/>
    <mergeCell ref="A83:AT84"/>
    <mergeCell ref="P113:S113"/>
    <mergeCell ref="U175:V175"/>
    <mergeCell ref="R177:S177"/>
    <mergeCell ref="D204:M204"/>
    <mergeCell ref="D208:M208"/>
    <mergeCell ref="N191:AE192"/>
    <mergeCell ref="J173:S173"/>
    <mergeCell ref="O155:AH155"/>
    <mergeCell ref="O153:AH153"/>
    <mergeCell ref="O154:AH154"/>
    <mergeCell ref="O156:AH156"/>
    <mergeCell ref="O157:X157"/>
    <mergeCell ref="O158:R158"/>
    <mergeCell ref="W159:X159"/>
    <mergeCell ref="O159:T159"/>
    <mergeCell ref="AH254:AK254"/>
    <mergeCell ref="M252:AE252"/>
    <mergeCell ref="AH197:AI197"/>
    <mergeCell ref="Z247:AE247"/>
    <mergeCell ref="W245:X245"/>
    <mergeCell ref="U247:W247"/>
    <mergeCell ref="M237:AE237"/>
    <mergeCell ref="AI227:AJ227"/>
    <mergeCell ref="AC245:AE245"/>
    <mergeCell ref="M246:AE246"/>
    <mergeCell ref="AA238:AK238"/>
    <mergeCell ref="M234:T234"/>
    <mergeCell ref="AH194:AI194"/>
    <mergeCell ref="W234:X234"/>
    <mergeCell ref="I185:AE185"/>
    <mergeCell ref="AA249:AK249"/>
    <mergeCell ref="M236:R236"/>
    <mergeCell ref="Z236:AE236"/>
    <mergeCell ref="D205:M205"/>
    <mergeCell ref="J174:AB174"/>
    <mergeCell ref="M238:T238"/>
    <mergeCell ref="Z204:AF206"/>
    <mergeCell ref="T197:U197"/>
    <mergeCell ref="P205:U205"/>
    <mergeCell ref="M239:AE239"/>
    <mergeCell ref="AA291:AF291"/>
    <mergeCell ref="AI291:AK291"/>
    <mergeCell ref="AI299:AK299"/>
    <mergeCell ref="H297:R297"/>
    <mergeCell ref="AA298:AK298"/>
    <mergeCell ref="H317:R317"/>
    <mergeCell ref="L276:S276"/>
    <mergeCell ref="L278:Q278"/>
    <mergeCell ref="AA296:AK296"/>
    <mergeCell ref="AA289:AK289"/>
    <mergeCell ref="W253:X253"/>
    <mergeCell ref="AH262:AK262"/>
    <mergeCell ref="M249:T249"/>
    <mergeCell ref="M244:AE244"/>
    <mergeCell ref="Z199:AA199"/>
    <mergeCell ref="AC234:AE234"/>
    <mergeCell ref="AB212:AC212"/>
    <mergeCell ref="AF243:AK243"/>
    <mergeCell ref="T196:U196"/>
    <mergeCell ref="D220:Z220"/>
    <mergeCell ref="T193:AI193"/>
    <mergeCell ref="M254:AE254"/>
    <mergeCell ref="AA301:AK301"/>
    <mergeCell ref="H301:R301"/>
    <mergeCell ref="AA292:AF292"/>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AA299:AF299"/>
    <mergeCell ref="AA287:AK287"/>
    <mergeCell ref="H305:R305"/>
    <mergeCell ref="AI323:AK323"/>
    <mergeCell ref="AA320:AK320"/>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288:R288"/>
    <mergeCell ref="AA335:AK335"/>
    <mergeCell ref="P343:AE343"/>
    <mergeCell ref="AA340:AF340"/>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G569:R569"/>
    <mergeCell ref="M558:P558"/>
    <mergeCell ref="AH539:AK539"/>
    <mergeCell ref="AH541:AK541"/>
    <mergeCell ref="C564:L564"/>
    <mergeCell ref="M564:P564"/>
    <mergeCell ref="C565:L565"/>
    <mergeCell ref="C561:L561"/>
    <mergeCell ref="AI562:AL562"/>
    <mergeCell ref="T563:V563"/>
    <mergeCell ref="Q563:S563"/>
    <mergeCell ref="AJ357:AK357"/>
    <mergeCell ref="Q556:S556"/>
    <mergeCell ref="AE562:AH562"/>
    <mergeCell ref="M355:N355"/>
    <mergeCell ref="H331:M331"/>
    <mergeCell ref="W469:Y469"/>
    <mergeCell ref="AI572:AK572"/>
    <mergeCell ref="AF574:AK574"/>
    <mergeCell ref="AE561:AH561"/>
    <mergeCell ref="AC347:AE347"/>
    <mergeCell ref="M557:P557"/>
    <mergeCell ref="AC456:AF456"/>
    <mergeCell ref="AC532:AF532"/>
    <mergeCell ref="O535:AA535"/>
    <mergeCell ref="AH523:AK523"/>
    <mergeCell ref="O532:AA532"/>
    <mergeCell ref="AA648:AK648"/>
    <mergeCell ref="AC517:AF517"/>
    <mergeCell ref="AH501:AK501"/>
    <mergeCell ref="T560:V560"/>
    <mergeCell ref="G570:R570"/>
    <mergeCell ref="Z596:AK596"/>
    <mergeCell ref="AI564:AL564"/>
    <mergeCell ref="Q624:S626"/>
    <mergeCell ref="Q634:S634"/>
    <mergeCell ref="M630:P630"/>
    <mergeCell ref="M631:P631"/>
    <mergeCell ref="M632:P632"/>
    <mergeCell ref="AC499:AK499"/>
    <mergeCell ref="W468:Y468"/>
    <mergeCell ref="AI581:AK581"/>
    <mergeCell ref="Z579:AK579"/>
    <mergeCell ref="N591:O591"/>
    <mergeCell ref="AA590:AK590"/>
    <mergeCell ref="AC631:AE631"/>
    <mergeCell ref="AC537:AF537"/>
    <mergeCell ref="G647:L647"/>
    <mergeCell ref="AG615:AH615"/>
    <mergeCell ref="Z602:AK602"/>
    <mergeCell ref="AK744:AO744"/>
    <mergeCell ref="X743:AB743"/>
    <mergeCell ref="X744:AB744"/>
    <mergeCell ref="AH743:AJ743"/>
    <mergeCell ref="AH744:AJ744"/>
    <mergeCell ref="G731:J731"/>
    <mergeCell ref="Z630:AB630"/>
    <mergeCell ref="Z610:AK610"/>
    <mergeCell ref="G653:R653"/>
    <mergeCell ref="G659:R659"/>
    <mergeCell ref="T627:V627"/>
    <mergeCell ref="W635:Y635"/>
    <mergeCell ref="AF624:AJ626"/>
    <mergeCell ref="B639:AN639"/>
    <mergeCell ref="B640:AN640"/>
    <mergeCell ref="AC630:AE630"/>
    <mergeCell ref="AG657:AH657"/>
    <mergeCell ref="G661:R661"/>
    <mergeCell ref="O722:S722"/>
    <mergeCell ref="G721:J721"/>
    <mergeCell ref="G722:J722"/>
    <mergeCell ref="O714:S717"/>
    <mergeCell ref="T720:W720"/>
    <mergeCell ref="AK743:AO743"/>
    <mergeCell ref="Z653:AK653"/>
    <mergeCell ref="Z647:AE647"/>
    <mergeCell ref="Z652:AK652"/>
    <mergeCell ref="P647:R647"/>
    <mergeCell ref="Z660:AK660"/>
    <mergeCell ref="H582:R582"/>
    <mergeCell ref="Z564:AD564"/>
    <mergeCell ref="Z565:AD565"/>
    <mergeCell ref="G597:L597"/>
    <mergeCell ref="AG591:AH591"/>
    <mergeCell ref="P605:R605"/>
    <mergeCell ref="Z585:AK585"/>
    <mergeCell ref="G645:R645"/>
    <mergeCell ref="AI565:AL565"/>
    <mergeCell ref="AG575:AH575"/>
    <mergeCell ref="Z568:AK568"/>
    <mergeCell ref="Z571:AK571"/>
    <mergeCell ref="P589:R589"/>
    <mergeCell ref="AF628:AJ628"/>
    <mergeCell ref="Z569:AK569"/>
    <mergeCell ref="G593:R593"/>
    <mergeCell ref="N583:O583"/>
    <mergeCell ref="Q637:S637"/>
    <mergeCell ref="T634:V634"/>
    <mergeCell ref="C635:L635"/>
    <mergeCell ref="M635:P635"/>
    <mergeCell ref="C636:L636"/>
    <mergeCell ref="C637:L637"/>
    <mergeCell ref="C638:L638"/>
    <mergeCell ref="T629:V629"/>
    <mergeCell ref="T630:V630"/>
    <mergeCell ref="AC629:AE629"/>
    <mergeCell ref="G568:R568"/>
    <mergeCell ref="M574:R574"/>
    <mergeCell ref="G571:R571"/>
    <mergeCell ref="P597:R597"/>
    <mergeCell ref="G605:L605"/>
    <mergeCell ref="N649:O649"/>
    <mergeCell ref="AI679:AK679"/>
    <mergeCell ref="Z663:AE663"/>
    <mergeCell ref="Z643:AK643"/>
    <mergeCell ref="AF638:AJ638"/>
    <mergeCell ref="Z638:AB638"/>
    <mergeCell ref="J705:O705"/>
    <mergeCell ref="X736:AB736"/>
    <mergeCell ref="T735:W735"/>
    <mergeCell ref="AC787:AG787"/>
    <mergeCell ref="T791:W791"/>
    <mergeCell ref="AC791:AG791"/>
    <mergeCell ref="AK746:AO746"/>
    <mergeCell ref="AK747:AO747"/>
    <mergeCell ref="M827:P827"/>
    <mergeCell ref="J797:N797"/>
    <mergeCell ref="J795:N795"/>
    <mergeCell ref="AC774:AG774"/>
    <mergeCell ref="M823:P824"/>
    <mergeCell ref="G679:L679"/>
    <mergeCell ref="O723:S723"/>
    <mergeCell ref="X723:AB723"/>
    <mergeCell ref="T719:W719"/>
    <mergeCell ref="O724:S724"/>
    <mergeCell ref="T725:W725"/>
    <mergeCell ref="G724:J724"/>
    <mergeCell ref="Q827:T827"/>
    <mergeCell ref="U827:X827"/>
    <mergeCell ref="T774:W774"/>
    <mergeCell ref="T728:W728"/>
    <mergeCell ref="AC740:AG740"/>
    <mergeCell ref="AC741:AG741"/>
    <mergeCell ref="AC737:AG737"/>
    <mergeCell ref="J769:N772"/>
    <mergeCell ref="K724:N724"/>
    <mergeCell ref="K729:N729"/>
    <mergeCell ref="C825:H825"/>
    <mergeCell ref="Z807:AE807"/>
    <mergeCell ref="O774:S774"/>
    <mergeCell ref="AC788:AG788"/>
    <mergeCell ref="X776:AB776"/>
    <mergeCell ref="AC775:AG775"/>
    <mergeCell ref="AC783:AG786"/>
    <mergeCell ref="J791:N791"/>
    <mergeCell ref="X792:AB792"/>
    <mergeCell ref="X793:AB793"/>
    <mergeCell ref="T783:W786"/>
    <mergeCell ref="X773:AB773"/>
    <mergeCell ref="O789:S789"/>
    <mergeCell ref="J775:N775"/>
    <mergeCell ref="AC776:AG776"/>
    <mergeCell ref="O776:S776"/>
    <mergeCell ref="T788:W788"/>
    <mergeCell ref="X769:AB772"/>
    <mergeCell ref="T769:W772"/>
    <mergeCell ref="AC793:AG793"/>
    <mergeCell ref="X775:AB775"/>
    <mergeCell ref="X774:AB774"/>
    <mergeCell ref="X787:AB787"/>
    <mergeCell ref="J779:K779"/>
    <mergeCell ref="O773:S773"/>
    <mergeCell ref="AC777:AG777"/>
    <mergeCell ref="Q823:T824"/>
    <mergeCell ref="Z809:AE809"/>
    <mergeCell ref="T795:W795"/>
    <mergeCell ref="C832:L832"/>
    <mergeCell ref="AG832:AJ832"/>
    <mergeCell ref="W844:AC844"/>
    <mergeCell ref="T787:W787"/>
    <mergeCell ref="W846:AC846"/>
    <mergeCell ref="W849:AC849"/>
    <mergeCell ref="Y801:AC801"/>
    <mergeCell ref="Y800:AC800"/>
    <mergeCell ref="Q828:T828"/>
    <mergeCell ref="W871:AC871"/>
    <mergeCell ref="J793:N793"/>
    <mergeCell ref="P816:Y816"/>
    <mergeCell ref="O788:S788"/>
    <mergeCell ref="M825:P825"/>
    <mergeCell ref="C829:H829"/>
    <mergeCell ref="W851:AC851"/>
    <mergeCell ref="T796:W796"/>
    <mergeCell ref="X796:AB796"/>
    <mergeCell ref="O797:S797"/>
    <mergeCell ref="Z813:AE813"/>
    <mergeCell ref="Y825:AB825"/>
    <mergeCell ref="O795:S795"/>
    <mergeCell ref="AC794:AG794"/>
    <mergeCell ref="AC795:AG795"/>
    <mergeCell ref="C826:H826"/>
    <mergeCell ref="O791:S791"/>
    <mergeCell ref="Z817:AE817"/>
    <mergeCell ref="AC797:AG797"/>
    <mergeCell ref="J794:N794"/>
    <mergeCell ref="J789:N789"/>
    <mergeCell ref="AC792:AG792"/>
    <mergeCell ref="AC796:AG796"/>
    <mergeCell ref="W845:AC845"/>
    <mergeCell ref="W854:AC854"/>
    <mergeCell ref="J790:N790"/>
    <mergeCell ref="AC789:AG789"/>
    <mergeCell ref="AC790:AG790"/>
    <mergeCell ref="Y826:AB826"/>
    <mergeCell ref="AA930:AF930"/>
    <mergeCell ref="U931:Z931"/>
    <mergeCell ref="AA931:AF931"/>
    <mergeCell ref="W859:AC859"/>
    <mergeCell ref="AG829:AJ829"/>
    <mergeCell ref="AG828:AJ828"/>
    <mergeCell ref="Q830:T830"/>
    <mergeCell ref="AG831:AJ831"/>
    <mergeCell ref="O794:S794"/>
    <mergeCell ref="M830:P830"/>
    <mergeCell ref="U928:Z928"/>
    <mergeCell ref="AA928:AF928"/>
    <mergeCell ref="U929:Z929"/>
    <mergeCell ref="AA929:AF929"/>
    <mergeCell ref="U930:Z930"/>
    <mergeCell ref="AC884:AH884"/>
    <mergeCell ref="AC883:AH883"/>
    <mergeCell ref="AC827:AF827"/>
    <mergeCell ref="AC831:AF831"/>
    <mergeCell ref="Q829:T829"/>
    <mergeCell ref="M871:V871"/>
    <mergeCell ref="AC887:AH887"/>
    <mergeCell ref="AC890:AH890"/>
    <mergeCell ref="AC888:AH888"/>
    <mergeCell ref="M878:V878"/>
    <mergeCell ref="W872:AC872"/>
    <mergeCell ref="W869:AC869"/>
    <mergeCell ref="W863:AC863"/>
    <mergeCell ref="C893:AB893"/>
    <mergeCell ref="AC892:AH892"/>
    <mergeCell ref="M877:V877"/>
    <mergeCell ref="W855:AC855"/>
    <mergeCell ref="AC894:AH894"/>
    <mergeCell ref="AZ851:BA851"/>
    <mergeCell ref="W876:AC876"/>
    <mergeCell ref="U925:Z925"/>
    <mergeCell ref="AA925:AF925"/>
    <mergeCell ref="U926:Z926"/>
    <mergeCell ref="AA926:AF926"/>
    <mergeCell ref="W852:AC852"/>
    <mergeCell ref="I1047:J1047"/>
    <mergeCell ref="I1051:J1051"/>
    <mergeCell ref="AG1048:AH1048"/>
    <mergeCell ref="BD905:BF905"/>
    <mergeCell ref="BD904:BF904"/>
    <mergeCell ref="U923:Z923"/>
    <mergeCell ref="Z901:AE901"/>
    <mergeCell ref="AC891:AH891"/>
    <mergeCell ref="BD906:BE906"/>
    <mergeCell ref="BD907:BE907"/>
    <mergeCell ref="U918:Z918"/>
    <mergeCell ref="AA933:AF933"/>
    <mergeCell ref="U920:Z920"/>
    <mergeCell ref="AA920:AF920"/>
    <mergeCell ref="BD909:BE909"/>
    <mergeCell ref="BD903:BE903"/>
    <mergeCell ref="U919:Z919"/>
    <mergeCell ref="U914:Z916"/>
    <mergeCell ref="U917:Z917"/>
    <mergeCell ref="F931:T931"/>
    <mergeCell ref="A909:AT910"/>
    <mergeCell ref="BD902:BE902"/>
    <mergeCell ref="Z898:AE898"/>
    <mergeCell ref="BD898:BE898"/>
    <mergeCell ref="C894:AB894"/>
    <mergeCell ref="U936:Z936"/>
    <mergeCell ref="AA936:AF936"/>
    <mergeCell ref="F935:T935"/>
    <mergeCell ref="R989:AA989"/>
    <mergeCell ref="D1028:AE1028"/>
    <mergeCell ref="B990:AA990"/>
    <mergeCell ref="D993:AE993"/>
    <mergeCell ref="D1070:AK1075"/>
    <mergeCell ref="K733:N733"/>
    <mergeCell ref="Q831:T831"/>
    <mergeCell ref="X740:AB740"/>
    <mergeCell ref="C828:H828"/>
    <mergeCell ref="M828:P828"/>
    <mergeCell ref="C827:H827"/>
    <mergeCell ref="K743:N743"/>
    <mergeCell ref="W842:AC842"/>
    <mergeCell ref="W847:AC847"/>
    <mergeCell ref="D1036:AE1039"/>
    <mergeCell ref="I945:T945"/>
    <mergeCell ref="F945:H945"/>
    <mergeCell ref="F936:T936"/>
    <mergeCell ref="F941:T941"/>
    <mergeCell ref="F943:T943"/>
    <mergeCell ref="M967:S967"/>
    <mergeCell ref="AA966:AG966"/>
    <mergeCell ref="AA919:AF919"/>
    <mergeCell ref="AA918:AF918"/>
    <mergeCell ref="F927:T927"/>
    <mergeCell ref="F928:T928"/>
    <mergeCell ref="F929:T929"/>
    <mergeCell ref="F930:T930"/>
    <mergeCell ref="AA927:AF927"/>
    <mergeCell ref="U922:Z922"/>
    <mergeCell ref="F915:T916"/>
    <mergeCell ref="W875:AC875"/>
    <mergeCell ref="D1045:AE1046"/>
    <mergeCell ref="D1049:AE1050"/>
    <mergeCell ref="X1047:Y1047"/>
    <mergeCell ref="X1051:Y1051"/>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D1076:AK1082"/>
    <mergeCell ref="AA943:AF943"/>
    <mergeCell ref="AB956:AK956"/>
    <mergeCell ref="U948:Z948"/>
    <mergeCell ref="AE954:AK954"/>
    <mergeCell ref="U945:Z945"/>
    <mergeCell ref="AA945:AF945"/>
    <mergeCell ref="U943:Z943"/>
    <mergeCell ref="AA972:AG972"/>
    <mergeCell ref="AE961:AK961"/>
    <mergeCell ref="AG1035:AH1035"/>
    <mergeCell ref="D1025:AE1027"/>
    <mergeCell ref="U949:Z949"/>
    <mergeCell ref="AA974:AG974"/>
    <mergeCell ref="AA944:AF944"/>
    <mergeCell ref="D1052:AI1052"/>
    <mergeCell ref="D1048:AE1048"/>
    <mergeCell ref="BI621:BJ621"/>
    <mergeCell ref="BK621:BL621"/>
    <mergeCell ref="BE624:BF624"/>
    <mergeCell ref="Z629:AB629"/>
    <mergeCell ref="G646:R646"/>
    <mergeCell ref="Z644:AK644"/>
    <mergeCell ref="T635:V635"/>
    <mergeCell ref="M636:P636"/>
    <mergeCell ref="M637:P637"/>
    <mergeCell ref="M638:P638"/>
    <mergeCell ref="C628:L628"/>
    <mergeCell ref="Z631:AB631"/>
    <mergeCell ref="W632:Y632"/>
    <mergeCell ref="G643:R643"/>
    <mergeCell ref="BE623:BF623"/>
    <mergeCell ref="BG623:BH623"/>
    <mergeCell ref="BE626:BF626"/>
    <mergeCell ref="T628:V628"/>
    <mergeCell ref="BI623:BJ623"/>
    <mergeCell ref="BK623:BL623"/>
    <mergeCell ref="W638:Y638"/>
    <mergeCell ref="AC624:AE626"/>
    <mergeCell ref="AK628:AN628"/>
    <mergeCell ref="AK637:AN637"/>
    <mergeCell ref="AK638:AN638"/>
    <mergeCell ref="AF633:AJ633"/>
    <mergeCell ref="Z633:AB633"/>
    <mergeCell ref="AO641:AS641"/>
    <mergeCell ref="G644:R644"/>
    <mergeCell ref="Z645:AK645"/>
    <mergeCell ref="Z632:AB632"/>
    <mergeCell ref="Z646:AK646"/>
    <mergeCell ref="M624:P626"/>
    <mergeCell ref="AO635:AS635"/>
    <mergeCell ref="BG624:BH624"/>
    <mergeCell ref="BI624:BJ624"/>
    <mergeCell ref="BE631:BF631"/>
    <mergeCell ref="AC635:AE635"/>
    <mergeCell ref="W634:Y634"/>
    <mergeCell ref="Z627:AB627"/>
    <mergeCell ref="AO637:AS637"/>
    <mergeCell ref="W633:Y633"/>
    <mergeCell ref="AK631:AN631"/>
    <mergeCell ref="BX623:CB623"/>
    <mergeCell ref="BN627:BR627"/>
    <mergeCell ref="BN624:BR624"/>
    <mergeCell ref="BS624:BW624"/>
    <mergeCell ref="BN638:BR638"/>
    <mergeCell ref="BN632:BR632"/>
    <mergeCell ref="T624:V626"/>
    <mergeCell ref="T631:V631"/>
    <mergeCell ref="T636:V636"/>
    <mergeCell ref="T637:V637"/>
    <mergeCell ref="T638:V638"/>
    <mergeCell ref="AO630:AS630"/>
    <mergeCell ref="AO632:AS632"/>
    <mergeCell ref="BS627:BW627"/>
    <mergeCell ref="BK624:BL624"/>
    <mergeCell ref="BE625:BF625"/>
    <mergeCell ref="BG625:BH625"/>
    <mergeCell ref="BG628:BH628"/>
    <mergeCell ref="BI628:BJ628"/>
    <mergeCell ref="BK628:BL628"/>
    <mergeCell ref="BN628:BR628"/>
    <mergeCell ref="BX609:CB609"/>
    <mergeCell ref="BG609:BH609"/>
    <mergeCell ref="BK617:BL617"/>
    <mergeCell ref="CH607:CL607"/>
    <mergeCell ref="BE630:BF630"/>
    <mergeCell ref="BS617:BW617"/>
    <mergeCell ref="CC611:CG611"/>
    <mergeCell ref="BE618:BF618"/>
    <mergeCell ref="BE619:BF619"/>
    <mergeCell ref="BE611:BF611"/>
    <mergeCell ref="BN611:BR611"/>
    <mergeCell ref="BG608:BH608"/>
    <mergeCell ref="CC610:CG610"/>
    <mergeCell ref="BK613:BL613"/>
    <mergeCell ref="BE614:BF614"/>
    <mergeCell ref="CC609:CG609"/>
    <mergeCell ref="BK609:BL609"/>
    <mergeCell ref="BX612:CB612"/>
    <mergeCell ref="BE609:BF609"/>
    <mergeCell ref="BX619:CB619"/>
    <mergeCell ref="BK615:BL615"/>
    <mergeCell ref="CC614:CG614"/>
    <mergeCell ref="BN615:BR615"/>
    <mergeCell ref="BK616:BL616"/>
    <mergeCell ref="BS616:BW616"/>
    <mergeCell ref="BI625:BJ625"/>
    <mergeCell ref="CH624:CL624"/>
    <mergeCell ref="BK625:BL625"/>
    <mergeCell ref="CC625:CG625"/>
    <mergeCell ref="BS615:BW615"/>
    <mergeCell ref="BI619:BJ619"/>
    <mergeCell ref="CH617:CL617"/>
    <mergeCell ref="BK610:BL610"/>
    <mergeCell ref="BG611:BH611"/>
    <mergeCell ref="BE608:BF608"/>
    <mergeCell ref="BG612:BH612"/>
    <mergeCell ref="BN612:BR612"/>
    <mergeCell ref="BI614:BJ614"/>
    <mergeCell ref="BS619:BW619"/>
    <mergeCell ref="BG618:BH618"/>
    <mergeCell ref="BI615:BJ615"/>
    <mergeCell ref="BE617:BF617"/>
    <mergeCell ref="BI618:BJ618"/>
    <mergeCell ref="BN613:BR613"/>
    <mergeCell ref="BN617:BR617"/>
    <mergeCell ref="BI612:BJ612"/>
    <mergeCell ref="BK612:BL612"/>
    <mergeCell ref="BK608:BL608"/>
    <mergeCell ref="BN610:BR610"/>
    <mergeCell ref="BK611:BL611"/>
    <mergeCell ref="BE613:BF613"/>
    <mergeCell ref="BN619:BR619"/>
    <mergeCell ref="CH611:CL611"/>
    <mergeCell ref="BG619:BH619"/>
    <mergeCell ref="BG610:BH610"/>
    <mergeCell ref="BG616:BH616"/>
    <mergeCell ref="BI610:BJ610"/>
    <mergeCell ref="BX608:CB608"/>
    <mergeCell ref="BI609:BJ609"/>
    <mergeCell ref="CX596:DB596"/>
    <mergeCell ref="D438:AF438"/>
    <mergeCell ref="G612:R612"/>
    <mergeCell ref="CM611:CQ611"/>
    <mergeCell ref="BG617:BH617"/>
    <mergeCell ref="AE560:AH560"/>
    <mergeCell ref="T556:V556"/>
    <mergeCell ref="BK602:BL602"/>
    <mergeCell ref="CX607:DB607"/>
    <mergeCell ref="CM609:CQ609"/>
    <mergeCell ref="CM610:CQ610"/>
    <mergeCell ref="CS609:CW609"/>
    <mergeCell ref="CH603:CL603"/>
    <mergeCell ref="CS608:CW608"/>
    <mergeCell ref="CM606:CQ606"/>
    <mergeCell ref="CM607:CQ607"/>
    <mergeCell ref="CM602:CQ602"/>
    <mergeCell ref="CM612:CQ612"/>
    <mergeCell ref="D439:AF439"/>
    <mergeCell ref="CM596:CQ596"/>
    <mergeCell ref="CM597:CQ597"/>
    <mergeCell ref="CM598:CQ598"/>
    <mergeCell ref="CM599:CQ599"/>
    <mergeCell ref="Z597:AE597"/>
    <mergeCell ref="BX600:CB600"/>
    <mergeCell ref="G587:R587"/>
    <mergeCell ref="W565:Y565"/>
    <mergeCell ref="W465:Y465"/>
    <mergeCell ref="AM558:AS558"/>
    <mergeCell ref="AM566:AS566"/>
    <mergeCell ref="AM556:AS556"/>
    <mergeCell ref="G579:R579"/>
    <mergeCell ref="C554:L554"/>
    <mergeCell ref="C555:L555"/>
    <mergeCell ref="M357:N357"/>
    <mergeCell ref="G577:R577"/>
    <mergeCell ref="AD412:AE412"/>
    <mergeCell ref="P345:AE345"/>
    <mergeCell ref="AA341:AK341"/>
    <mergeCell ref="C559:L559"/>
    <mergeCell ref="M559:P559"/>
    <mergeCell ref="AI389:AJ389"/>
    <mergeCell ref="P347:Z347"/>
    <mergeCell ref="Q561:S561"/>
    <mergeCell ref="AE554:AH554"/>
    <mergeCell ref="Z556:AD556"/>
    <mergeCell ref="AI555:AL555"/>
    <mergeCell ref="T559:V559"/>
    <mergeCell ref="Q564:S564"/>
    <mergeCell ref="M561:P561"/>
    <mergeCell ref="N575:O575"/>
    <mergeCell ref="AI557:AL557"/>
    <mergeCell ref="Q562:S562"/>
    <mergeCell ref="AM563:AS563"/>
    <mergeCell ref="H573:R573"/>
    <mergeCell ref="J385:U385"/>
    <mergeCell ref="AM565:AS565"/>
    <mergeCell ref="DH596:DL596"/>
    <mergeCell ref="CC599:CG599"/>
    <mergeCell ref="AA338:AK338"/>
    <mergeCell ref="J386:U386"/>
    <mergeCell ref="C563:L563"/>
    <mergeCell ref="W554:Y554"/>
    <mergeCell ref="W555:Y555"/>
    <mergeCell ref="Z558:AD558"/>
    <mergeCell ref="G595:R595"/>
    <mergeCell ref="G596:R596"/>
    <mergeCell ref="Z595:AK595"/>
    <mergeCell ref="Z589:AE589"/>
    <mergeCell ref="N372:Q372"/>
    <mergeCell ref="P424:Q424"/>
    <mergeCell ref="Q492:AK492"/>
    <mergeCell ref="AF418:AH418"/>
    <mergeCell ref="Z434:AA434"/>
    <mergeCell ref="G578:R578"/>
    <mergeCell ref="B503:H508"/>
    <mergeCell ref="AJ356:AK356"/>
    <mergeCell ref="AG390:AJ390"/>
    <mergeCell ref="Q391:U391"/>
    <mergeCell ref="AD377:AE377"/>
    <mergeCell ref="AC371:AF371"/>
    <mergeCell ref="Z586:AK586"/>
    <mergeCell ref="T561:V561"/>
    <mergeCell ref="AG379:AH379"/>
    <mergeCell ref="M358:N358"/>
    <mergeCell ref="N363:O363"/>
    <mergeCell ref="G586:R586"/>
    <mergeCell ref="AE563:AH563"/>
    <mergeCell ref="C562:L562"/>
    <mergeCell ref="V381:W381"/>
    <mergeCell ref="T555:V555"/>
    <mergeCell ref="W559:Y559"/>
    <mergeCell ref="G594:R594"/>
    <mergeCell ref="Z577:AK577"/>
    <mergeCell ref="AE565:AH565"/>
    <mergeCell ref="D450:AF450"/>
    <mergeCell ref="D451:AJ452"/>
    <mergeCell ref="M555:P555"/>
    <mergeCell ref="AH504:AK504"/>
    <mergeCell ref="AH517:AK517"/>
    <mergeCell ref="AH535:AK535"/>
    <mergeCell ref="CS596:CW596"/>
    <mergeCell ref="CS598:CW598"/>
    <mergeCell ref="BS601:BW601"/>
    <mergeCell ref="BX601:CB601"/>
    <mergeCell ref="M554:P554"/>
    <mergeCell ref="AH536:AK536"/>
    <mergeCell ref="M563:P563"/>
    <mergeCell ref="Z587:AK587"/>
    <mergeCell ref="Z581:AE581"/>
    <mergeCell ref="Z580:AK580"/>
    <mergeCell ref="CM601:CQ601"/>
    <mergeCell ref="Z593:AK593"/>
    <mergeCell ref="Q560:S560"/>
    <mergeCell ref="Q565:S565"/>
    <mergeCell ref="B566:AL566"/>
    <mergeCell ref="AM561:AS561"/>
    <mergeCell ref="AM559:AS559"/>
    <mergeCell ref="T565:V565"/>
    <mergeCell ref="C560:L560"/>
    <mergeCell ref="M560:P560"/>
    <mergeCell ref="BK600:BL600"/>
    <mergeCell ref="BE597:BF597"/>
    <mergeCell ref="BS596:BW596"/>
    <mergeCell ref="BG603:BH603"/>
    <mergeCell ref="M551:P553"/>
    <mergeCell ref="Q551:S553"/>
    <mergeCell ref="T551:V553"/>
    <mergeCell ref="W551:Y553"/>
    <mergeCell ref="BS600:BW600"/>
    <mergeCell ref="CH600:CL600"/>
    <mergeCell ref="G580:R580"/>
    <mergeCell ref="Z578:AK578"/>
    <mergeCell ref="G581:L581"/>
    <mergeCell ref="AI561:AL561"/>
    <mergeCell ref="T558:V558"/>
    <mergeCell ref="BX597:CB597"/>
    <mergeCell ref="BN600:BR600"/>
    <mergeCell ref="CC602:CG602"/>
    <mergeCell ref="BI599:BJ599"/>
    <mergeCell ref="CC596:CG596"/>
    <mergeCell ref="AA573:AK573"/>
    <mergeCell ref="Z594:AK594"/>
    <mergeCell ref="G601:R601"/>
    <mergeCell ref="H590:R590"/>
    <mergeCell ref="W561:Y561"/>
    <mergeCell ref="W562:Y562"/>
    <mergeCell ref="W563:Y563"/>
    <mergeCell ref="W564:Y564"/>
    <mergeCell ref="Z603:AK603"/>
    <mergeCell ref="G585:R585"/>
    <mergeCell ref="Z588:AK588"/>
    <mergeCell ref="G572:L572"/>
    <mergeCell ref="CC604:CG604"/>
    <mergeCell ref="BN605:BR605"/>
    <mergeCell ref="CC608:CG608"/>
    <mergeCell ref="CH606:CL606"/>
    <mergeCell ref="CH605:CL605"/>
    <mergeCell ref="CS607:CW607"/>
    <mergeCell ref="CS601:CW601"/>
    <mergeCell ref="CM604:CQ604"/>
    <mergeCell ref="CM600:CQ600"/>
    <mergeCell ref="CM608:CQ608"/>
    <mergeCell ref="CH596:CL596"/>
    <mergeCell ref="CS605:CW605"/>
    <mergeCell ref="CX605:DB605"/>
    <mergeCell ref="DC605:DG605"/>
    <mergeCell ref="DH605:DL605"/>
    <mergeCell ref="CX598:DB598"/>
    <mergeCell ref="CH599:CL599"/>
    <mergeCell ref="CX603:DB603"/>
    <mergeCell ref="BX596:CB596"/>
    <mergeCell ref="BN596:BR596"/>
    <mergeCell ref="CH597:CL597"/>
    <mergeCell ref="CH598:CL598"/>
    <mergeCell ref="CC607:CG607"/>
    <mergeCell ref="BS606:BW606"/>
    <mergeCell ref="CX606:DB606"/>
    <mergeCell ref="DC606:DG606"/>
    <mergeCell ref="DC602:DG602"/>
    <mergeCell ref="CH602:CL602"/>
    <mergeCell ref="CS599:CW599"/>
    <mergeCell ref="CS597:CW597"/>
    <mergeCell ref="CS600:CW600"/>
    <mergeCell ref="CM603:CQ603"/>
    <mergeCell ref="CH609:CL609"/>
    <mergeCell ref="CS606:CW606"/>
    <mergeCell ref="CS610:CW610"/>
    <mergeCell ref="CH610:CL610"/>
    <mergeCell ref="CH608:CL608"/>
    <mergeCell ref="CH604:CL604"/>
    <mergeCell ref="CH601:CL601"/>
    <mergeCell ref="CS603:CW603"/>
    <mergeCell ref="DM604:DQ604"/>
    <mergeCell ref="DR604:DV604"/>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DR599:DV599"/>
    <mergeCell ref="CX608:DB608"/>
    <mergeCell ref="DM599:DQ599"/>
    <mergeCell ref="DM601:DQ601"/>
    <mergeCell ref="DR611:DV611"/>
    <mergeCell ref="DM609:DQ609"/>
    <mergeCell ref="DR609:DV609"/>
    <mergeCell ref="DM603:DQ603"/>
    <mergeCell ref="DR603:DV603"/>
    <mergeCell ref="DM605:DQ605"/>
    <mergeCell ref="DR605:DV605"/>
    <mergeCell ref="DR601:DV601"/>
    <mergeCell ref="DH612:DL612"/>
    <mergeCell ref="DH614:DL614"/>
    <mergeCell ref="DM614:DQ614"/>
    <mergeCell ref="DC607:DG607"/>
    <mergeCell ref="DH607:DL607"/>
    <mergeCell ref="DM606:DQ606"/>
    <mergeCell ref="CM605:CQ605"/>
    <mergeCell ref="DH602:DL602"/>
    <mergeCell ref="CS611:CW611"/>
    <mergeCell ref="CX611:DB611"/>
    <mergeCell ref="DC611:DG611"/>
    <mergeCell ref="DH611:DL611"/>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09:DB609"/>
    <mergeCell ref="DC609:DG609"/>
    <mergeCell ref="DH609:DL609"/>
    <mergeCell ref="CX610:DB610"/>
    <mergeCell ref="DC610:DG610"/>
    <mergeCell ref="DH610:DL610"/>
    <mergeCell ref="DR600:DV600"/>
    <mergeCell ref="DC599:DG599"/>
    <mergeCell ref="DH599:DL599"/>
    <mergeCell ref="DM597:DQ597"/>
    <mergeCell ref="DM600:DQ600"/>
    <mergeCell ref="DC600:DG600"/>
    <mergeCell ref="DH600:DL600"/>
    <mergeCell ref="CX600:DB600"/>
    <mergeCell ref="CX601:DB601"/>
    <mergeCell ref="DC596:DG596"/>
    <mergeCell ref="CB796:CH796"/>
    <mergeCell ref="BN796:BO796"/>
    <mergeCell ref="AH714:AJ717"/>
    <mergeCell ref="AH725:AJ725"/>
    <mergeCell ref="AK723:AO723"/>
    <mergeCell ref="AK724:AO724"/>
    <mergeCell ref="AO638:AS638"/>
    <mergeCell ref="BX615:CB615"/>
    <mergeCell ref="CM613:CQ613"/>
    <mergeCell ref="CM614:CQ614"/>
    <mergeCell ref="CM615:CQ615"/>
    <mergeCell ref="BG615:BH615"/>
    <mergeCell ref="BX630:CB630"/>
    <mergeCell ref="CH616:CL616"/>
    <mergeCell ref="CH614:CL614"/>
    <mergeCell ref="BN630:BR630"/>
    <mergeCell ref="BK630:BL630"/>
    <mergeCell ref="BX613:CB613"/>
    <mergeCell ref="CC613:CG613"/>
    <mergeCell ref="BG614:BH614"/>
    <mergeCell ref="BG613:BH613"/>
    <mergeCell ref="BS646:BW646"/>
    <mergeCell ref="AI671:AK671"/>
    <mergeCell ref="BX660:CB660"/>
    <mergeCell ref="AI647:AK647"/>
    <mergeCell ref="CC618:CG618"/>
    <mergeCell ref="BN618:BR618"/>
    <mergeCell ref="BS618:BW618"/>
    <mergeCell ref="BX617:CB617"/>
    <mergeCell ref="BX620:CB620"/>
    <mergeCell ref="BG620:BH620"/>
    <mergeCell ref="BI620:BJ620"/>
    <mergeCell ref="AA672:AK672"/>
    <mergeCell ref="Z684:AK684"/>
    <mergeCell ref="AK632:AN632"/>
    <mergeCell ref="W624:Y626"/>
    <mergeCell ref="AA664:AK664"/>
    <mergeCell ref="AE695:AI695"/>
    <mergeCell ref="AO640:AS640"/>
    <mergeCell ref="AC632:AE632"/>
    <mergeCell ref="BI629:BJ629"/>
    <mergeCell ref="Z655:AE655"/>
    <mergeCell ref="AA656:AK656"/>
    <mergeCell ref="B641:AN641"/>
    <mergeCell ref="G655:L655"/>
    <mergeCell ref="DC616:DG616"/>
    <mergeCell ref="DH616:DL616"/>
    <mergeCell ref="CS615:CW615"/>
    <mergeCell ref="CS612:CW612"/>
    <mergeCell ref="CX615:DB615"/>
    <mergeCell ref="DC615:DG615"/>
    <mergeCell ref="DH615:DL615"/>
    <mergeCell ref="DC612:DG612"/>
    <mergeCell ref="BN622:BR622"/>
    <mergeCell ref="AO633:AS633"/>
    <mergeCell ref="AO628:AS628"/>
    <mergeCell ref="AO631:AS631"/>
    <mergeCell ref="BN625:BR625"/>
    <mergeCell ref="BX637:CB637"/>
    <mergeCell ref="W628:Y628"/>
    <mergeCell ref="W629:Y629"/>
    <mergeCell ref="AC638:AE638"/>
    <mergeCell ref="BG627:BH627"/>
    <mergeCell ref="BI627:BJ627"/>
    <mergeCell ref="BN629:BR629"/>
    <mergeCell ref="BS641:BW641"/>
    <mergeCell ref="BS632:BW632"/>
    <mergeCell ref="BK631:BL631"/>
    <mergeCell ref="BN631:BR631"/>
    <mergeCell ref="AO639:AS639"/>
    <mergeCell ref="AO629:AS629"/>
    <mergeCell ref="AF630:AJ630"/>
    <mergeCell ref="AO624:AS626"/>
    <mergeCell ref="W636:Y636"/>
    <mergeCell ref="W637:Y637"/>
    <mergeCell ref="AF634:AJ634"/>
    <mergeCell ref="AK630:AN630"/>
    <mergeCell ref="BE629:BF629"/>
    <mergeCell ref="BG629:BH629"/>
    <mergeCell ref="BS638:BW638"/>
    <mergeCell ref="AF627:AJ627"/>
    <mergeCell ref="AF629:AJ629"/>
    <mergeCell ref="BK627:BL627"/>
    <mergeCell ref="BE628:BF628"/>
    <mergeCell ref="BK629:BL629"/>
    <mergeCell ref="W627:Y627"/>
    <mergeCell ref="Z624:AB626"/>
    <mergeCell ref="BG632:BH632"/>
    <mergeCell ref="BG631:BH631"/>
    <mergeCell ref="BI631:BJ631"/>
    <mergeCell ref="AO636:AS636"/>
    <mergeCell ref="AO627:AS627"/>
    <mergeCell ref="BE627:BF627"/>
    <mergeCell ref="AO634:AS634"/>
    <mergeCell ref="AC636:AE636"/>
    <mergeCell ref="AC637:AE637"/>
    <mergeCell ref="X722:AB722"/>
    <mergeCell ref="Y829:AB829"/>
    <mergeCell ref="AC829:AF829"/>
    <mergeCell ref="C837:AJ837"/>
    <mergeCell ref="U830:X830"/>
    <mergeCell ref="J796:N796"/>
    <mergeCell ref="J777:N777"/>
    <mergeCell ref="G683:R683"/>
    <mergeCell ref="N681:O681"/>
    <mergeCell ref="Y827:AB827"/>
    <mergeCell ref="AH753:AJ753"/>
    <mergeCell ref="AK745:AO745"/>
    <mergeCell ref="AC832:AF832"/>
    <mergeCell ref="O796:S796"/>
    <mergeCell ref="X777:AB777"/>
    <mergeCell ref="O752:S752"/>
    <mergeCell ref="AC828:AF828"/>
    <mergeCell ref="AG827:AJ827"/>
    <mergeCell ref="X790:AB790"/>
    <mergeCell ref="Q832:T832"/>
    <mergeCell ref="X794:AB794"/>
    <mergeCell ref="AG830:AJ830"/>
    <mergeCell ref="J788:N788"/>
    <mergeCell ref="U832:X832"/>
    <mergeCell ref="M832:P832"/>
    <mergeCell ref="U828:X828"/>
    <mergeCell ref="U829:X829"/>
    <mergeCell ref="AH724:AJ724"/>
    <mergeCell ref="X721:AB721"/>
    <mergeCell ref="X783:AB786"/>
    <mergeCell ref="Q825:T825"/>
    <mergeCell ref="AG823:AJ824"/>
    <mergeCell ref="T729:W729"/>
    <mergeCell ref="AH728:AJ728"/>
    <mergeCell ref="AG826:AJ826"/>
    <mergeCell ref="F925:T925"/>
    <mergeCell ref="F926:T926"/>
    <mergeCell ref="BI841:BL841"/>
    <mergeCell ref="Z816:AE816"/>
    <mergeCell ref="AC773:AG773"/>
    <mergeCell ref="AC725:AG725"/>
    <mergeCell ref="AC726:AG726"/>
    <mergeCell ref="AC830:AF830"/>
    <mergeCell ref="Y828:AB828"/>
    <mergeCell ref="BD900:BE900"/>
    <mergeCell ref="BD901:BE901"/>
    <mergeCell ref="BD899:BE899"/>
    <mergeCell ref="T858:V858"/>
    <mergeCell ref="AC727:AG727"/>
    <mergeCell ref="AC728:AG728"/>
    <mergeCell ref="M874:V874"/>
    <mergeCell ref="M875:V875"/>
    <mergeCell ref="W877:AC877"/>
    <mergeCell ref="W853:AC853"/>
    <mergeCell ref="AC886:AH886"/>
    <mergeCell ref="W874:AC874"/>
    <mergeCell ref="W857:AC857"/>
    <mergeCell ref="O730:S730"/>
    <mergeCell ref="K735:N735"/>
    <mergeCell ref="K736:N736"/>
    <mergeCell ref="AC769:AG772"/>
    <mergeCell ref="Y832:AB832"/>
    <mergeCell ref="AH750:AJ750"/>
    <mergeCell ref="AH751:AJ751"/>
    <mergeCell ref="BG975:BL975"/>
    <mergeCell ref="AA949:AF949"/>
    <mergeCell ref="Y830:AB830"/>
    <mergeCell ref="U921:Z921"/>
    <mergeCell ref="AA923:AF923"/>
    <mergeCell ref="M968:S968"/>
    <mergeCell ref="M846:V846"/>
    <mergeCell ref="W843:AC843"/>
    <mergeCell ref="J849:V849"/>
    <mergeCell ref="AC893:AH893"/>
    <mergeCell ref="D1035:AE1035"/>
    <mergeCell ref="D1006:AE1006"/>
    <mergeCell ref="AJ989:AQ989"/>
    <mergeCell ref="T860:V860"/>
    <mergeCell ref="W870:AC870"/>
    <mergeCell ref="W866:AC866"/>
    <mergeCell ref="AC889:AH889"/>
    <mergeCell ref="W867:AC867"/>
    <mergeCell ref="W862:AC862"/>
    <mergeCell ref="M861:V861"/>
    <mergeCell ref="M876:V876"/>
    <mergeCell ref="W868:AC868"/>
    <mergeCell ref="AC885:AH885"/>
    <mergeCell ref="W861:AC861"/>
    <mergeCell ref="AA924:AF924"/>
    <mergeCell ref="AE957:AK957"/>
    <mergeCell ref="U941:Z941"/>
    <mergeCell ref="AA941:AF941"/>
    <mergeCell ref="BG848:BL848"/>
    <mergeCell ref="AA968:AG968"/>
    <mergeCell ref="T971:Z971"/>
    <mergeCell ref="AA940:AF940"/>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A1103:B1103"/>
    <mergeCell ref="G725:J725"/>
    <mergeCell ref="B732:F732"/>
    <mergeCell ref="X788:AB788"/>
    <mergeCell ref="O775:S775"/>
    <mergeCell ref="K725:N725"/>
    <mergeCell ref="D1064:AK1069"/>
    <mergeCell ref="J773:N773"/>
    <mergeCell ref="R985:AA985"/>
    <mergeCell ref="M958:S958"/>
    <mergeCell ref="AC823:AF824"/>
    <mergeCell ref="D999:AE999"/>
    <mergeCell ref="O739:S739"/>
    <mergeCell ref="O740:S740"/>
    <mergeCell ref="K741:N741"/>
    <mergeCell ref="K752:N752"/>
    <mergeCell ref="AE958:AK958"/>
    <mergeCell ref="W973:AG973"/>
    <mergeCell ref="M972:S972"/>
    <mergeCell ref="M971:S971"/>
    <mergeCell ref="M960:S960"/>
    <mergeCell ref="E885:AB885"/>
    <mergeCell ref="U937:Z937"/>
    <mergeCell ref="U927:Z927"/>
    <mergeCell ref="U947:Z947"/>
    <mergeCell ref="U934:Z934"/>
    <mergeCell ref="AA922:AF922"/>
    <mergeCell ref="AB916:AE916"/>
    <mergeCell ref="AA921:AF921"/>
    <mergeCell ref="AD759:AF759"/>
    <mergeCell ref="K749:N749"/>
    <mergeCell ref="X752:AB752"/>
    <mergeCell ref="AE955:AK955"/>
    <mergeCell ref="AA946:AF946"/>
    <mergeCell ref="X791:AB791"/>
    <mergeCell ref="U831:X831"/>
    <mergeCell ref="Z814:AE814"/>
    <mergeCell ref="Y831:AB831"/>
    <mergeCell ref="O793:S793"/>
    <mergeCell ref="B739:F739"/>
    <mergeCell ref="B746:F746"/>
    <mergeCell ref="B747:F747"/>
    <mergeCell ref="B748:F748"/>
    <mergeCell ref="D1091:AK1093"/>
    <mergeCell ref="G686:R686"/>
    <mergeCell ref="N689:O689"/>
    <mergeCell ref="G734:J734"/>
    <mergeCell ref="AJ988:AQ988"/>
    <mergeCell ref="O737:S737"/>
    <mergeCell ref="O738:S738"/>
    <mergeCell ref="Z687:AE687"/>
    <mergeCell ref="D998:AE998"/>
    <mergeCell ref="AJ1044:AQ1047"/>
    <mergeCell ref="AJ1048:AQ1051"/>
    <mergeCell ref="AJ1035:AQ1039"/>
    <mergeCell ref="D1040:AE1040"/>
    <mergeCell ref="D1041:AE1043"/>
    <mergeCell ref="AJ1040:AQ1043"/>
    <mergeCell ref="D1029:AE1030"/>
    <mergeCell ref="B992:AE992"/>
    <mergeCell ref="T750:W750"/>
    <mergeCell ref="K751:N751"/>
    <mergeCell ref="O751:S751"/>
    <mergeCell ref="T751:W751"/>
    <mergeCell ref="T794:W794"/>
    <mergeCell ref="T792:W792"/>
    <mergeCell ref="O777:S777"/>
    <mergeCell ref="D1044:AE1044"/>
    <mergeCell ref="D1013:AE1014"/>
    <mergeCell ref="AG1044:AH1044"/>
    <mergeCell ref="O787:S787"/>
    <mergeCell ref="T752:W752"/>
    <mergeCell ref="O753:S753"/>
    <mergeCell ref="T790:W790"/>
    <mergeCell ref="T749:W749"/>
    <mergeCell ref="M959:S959"/>
    <mergeCell ref="Z900:AE900"/>
    <mergeCell ref="X741:AB741"/>
    <mergeCell ref="T727:W727"/>
    <mergeCell ref="U826:X826"/>
    <mergeCell ref="AK714:AO717"/>
    <mergeCell ref="AK718:AO718"/>
    <mergeCell ref="AK719:AO719"/>
    <mergeCell ref="W878:AC878"/>
    <mergeCell ref="C830:H830"/>
    <mergeCell ref="AG825:AJ825"/>
    <mergeCell ref="AC750:AG750"/>
    <mergeCell ref="AC751:AG751"/>
    <mergeCell ref="M831:P831"/>
    <mergeCell ref="B736:F736"/>
    <mergeCell ref="F831:L831"/>
    <mergeCell ref="U823:X824"/>
    <mergeCell ref="Z806:AE806"/>
    <mergeCell ref="O769:S772"/>
    <mergeCell ref="B754:AH755"/>
    <mergeCell ref="T773:W773"/>
    <mergeCell ref="T776:W776"/>
    <mergeCell ref="T775:W775"/>
    <mergeCell ref="X727:AB727"/>
    <mergeCell ref="X725:AB725"/>
    <mergeCell ref="T793:W793"/>
    <mergeCell ref="G739:J739"/>
    <mergeCell ref="T745:W745"/>
    <mergeCell ref="AC744:AG744"/>
    <mergeCell ref="AC745:AG745"/>
    <mergeCell ref="AC746:AG746"/>
    <mergeCell ref="U825:X825"/>
    <mergeCell ref="D1086:AK1090"/>
    <mergeCell ref="O790:S790"/>
    <mergeCell ref="O731:S731"/>
    <mergeCell ref="X737:AB737"/>
    <mergeCell ref="T736:W736"/>
    <mergeCell ref="O732:S732"/>
    <mergeCell ref="O741:S741"/>
    <mergeCell ref="G753:J753"/>
    <mergeCell ref="O749:S749"/>
    <mergeCell ref="X751:AB751"/>
    <mergeCell ref="K740:N740"/>
    <mergeCell ref="K734:N734"/>
    <mergeCell ref="AC739:AG739"/>
    <mergeCell ref="AC825:AF825"/>
    <mergeCell ref="M826:P826"/>
    <mergeCell ref="X789:AB789"/>
    <mergeCell ref="B726:F726"/>
    <mergeCell ref="Q826:T826"/>
    <mergeCell ref="Y823:AB824"/>
    <mergeCell ref="M829:P829"/>
    <mergeCell ref="D1083:AK1085"/>
    <mergeCell ref="J792:N792"/>
    <mergeCell ref="C763:AR765"/>
    <mergeCell ref="C766:AR768"/>
    <mergeCell ref="J774:N774"/>
    <mergeCell ref="B751:F751"/>
    <mergeCell ref="O756:R756"/>
    <mergeCell ref="Z815:AE815"/>
    <mergeCell ref="Z808:AE808"/>
    <mergeCell ref="O735:S735"/>
    <mergeCell ref="AC736:AG736"/>
    <mergeCell ref="T738:W738"/>
    <mergeCell ref="C627:L627"/>
    <mergeCell ref="AC628:AE628"/>
    <mergeCell ref="C629:L629"/>
    <mergeCell ref="C630:L630"/>
    <mergeCell ref="C631:L631"/>
    <mergeCell ref="C632:L632"/>
    <mergeCell ref="Z628:AB628"/>
    <mergeCell ref="X720:AB720"/>
    <mergeCell ref="G685:R685"/>
    <mergeCell ref="N673:O673"/>
    <mergeCell ref="AH729:AJ729"/>
    <mergeCell ref="G730:J730"/>
    <mergeCell ref="X730:AB730"/>
    <mergeCell ref="Z636:AB636"/>
    <mergeCell ref="Z637:AB637"/>
    <mergeCell ref="AC719:AG719"/>
    <mergeCell ref="Z667:AK667"/>
    <mergeCell ref="Z675:AK675"/>
    <mergeCell ref="Z635:AB635"/>
    <mergeCell ref="AC627:AE627"/>
    <mergeCell ref="AK629:AN629"/>
    <mergeCell ref="C634:L634"/>
    <mergeCell ref="M627:P627"/>
    <mergeCell ref="AF635:AJ635"/>
    <mergeCell ref="P655:R655"/>
    <mergeCell ref="Z654:AK654"/>
    <mergeCell ref="K726:N726"/>
    <mergeCell ref="N657:O657"/>
    <mergeCell ref="AF636:AJ636"/>
    <mergeCell ref="AI663:AK663"/>
    <mergeCell ref="AC633:AE633"/>
    <mergeCell ref="AC634:AE634"/>
    <mergeCell ref="B749:F749"/>
    <mergeCell ref="B750:F750"/>
    <mergeCell ref="O783:S786"/>
    <mergeCell ref="G738:J738"/>
    <mergeCell ref="B733:F733"/>
    <mergeCell ref="B738:F738"/>
    <mergeCell ref="B741:F741"/>
    <mergeCell ref="H648:R648"/>
    <mergeCell ref="T789:W789"/>
    <mergeCell ref="G654:R654"/>
    <mergeCell ref="H656:R656"/>
    <mergeCell ref="G651:R651"/>
    <mergeCell ref="G652:R652"/>
    <mergeCell ref="T732:W732"/>
    <mergeCell ref="T731:W731"/>
    <mergeCell ref="J704:X704"/>
    <mergeCell ref="X729:AB729"/>
    <mergeCell ref="B729:F729"/>
    <mergeCell ref="B720:F720"/>
    <mergeCell ref="B722:F722"/>
    <mergeCell ref="T714:W717"/>
    <mergeCell ref="O719:S719"/>
    <mergeCell ref="X724:AB724"/>
    <mergeCell ref="Z661:AK661"/>
    <mergeCell ref="G677:R677"/>
    <mergeCell ref="AC729:AG729"/>
    <mergeCell ref="O729:S729"/>
    <mergeCell ref="B727:F727"/>
    <mergeCell ref="G663:L663"/>
    <mergeCell ref="G728:J728"/>
    <mergeCell ref="AH741:AJ741"/>
    <mergeCell ref="G671:L671"/>
    <mergeCell ref="U935:Z935"/>
    <mergeCell ref="AA935:AF935"/>
    <mergeCell ref="U942:Z942"/>
    <mergeCell ref="G752:J752"/>
    <mergeCell ref="AA971:AG971"/>
    <mergeCell ref="R987:AA987"/>
    <mergeCell ref="M955:S955"/>
    <mergeCell ref="R984:AA984"/>
    <mergeCell ref="A978:AT980"/>
    <mergeCell ref="AG1024:AH1024"/>
    <mergeCell ref="AJ1052:AQ1052"/>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39:Z939"/>
    <mergeCell ref="D1031:AE1031"/>
    <mergeCell ref="D1032:AE1034"/>
    <mergeCell ref="AJ1031:AQ1034"/>
    <mergeCell ref="AG1031:AH1031"/>
    <mergeCell ref="D1016:AE1018"/>
    <mergeCell ref="AG1040:AH1040"/>
    <mergeCell ref="AJ1000:AQ1005"/>
    <mergeCell ref="AJ1019:AQ1023"/>
    <mergeCell ref="D1019:AE1020"/>
    <mergeCell ref="AB990:AI990"/>
    <mergeCell ref="D1024:AE1024"/>
    <mergeCell ref="AF1025:AI1025"/>
    <mergeCell ref="AA967:AG967"/>
    <mergeCell ref="D994:AE997"/>
    <mergeCell ref="AJ984:AQ984"/>
    <mergeCell ref="J956:S956"/>
    <mergeCell ref="AA948:AF948"/>
    <mergeCell ref="U940:Z940"/>
    <mergeCell ref="AJ1012:AQ1014"/>
    <mergeCell ref="AJ1015:AQ1018"/>
    <mergeCell ref="AJ1024:AQ1027"/>
    <mergeCell ref="AJ1028:AQ1030"/>
    <mergeCell ref="AJ993:AQ999"/>
    <mergeCell ref="AJ1006:AQ1009"/>
    <mergeCell ref="AJ1010:AQ1011"/>
    <mergeCell ref="AJ985:AQ985"/>
    <mergeCell ref="I949:T949"/>
    <mergeCell ref="AA942:AF942"/>
    <mergeCell ref="T972:Z972"/>
    <mergeCell ref="I946:T946"/>
    <mergeCell ref="D1000:AE1000"/>
    <mergeCell ref="D1001:AE1005"/>
    <mergeCell ref="D1010:AE1010"/>
    <mergeCell ref="D1011:AE1011"/>
    <mergeCell ref="AF1026:AI1027"/>
    <mergeCell ref="U946:Z946"/>
    <mergeCell ref="U944:Z944"/>
    <mergeCell ref="AB989:AI989"/>
    <mergeCell ref="M961:S961"/>
    <mergeCell ref="M970:S970"/>
    <mergeCell ref="M957:S957"/>
    <mergeCell ref="AA970:AG970"/>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EW617:FA617"/>
    <mergeCell ref="ER616:EV616"/>
    <mergeCell ref="EC612:EG612"/>
    <mergeCell ref="EH612:EL612"/>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C609:EG609"/>
    <mergeCell ref="EH609:EL609"/>
    <mergeCell ref="EM609:EQ609"/>
    <mergeCell ref="ER609:EV609"/>
    <mergeCell ref="DX612:EB612"/>
    <mergeCell ref="EW612:FA612"/>
    <mergeCell ref="EW618:FA618"/>
    <mergeCell ref="DX613:EB613"/>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2:EQ612"/>
    <mergeCell ref="EC614:EG614"/>
    <mergeCell ref="EM614:EQ614"/>
    <mergeCell ref="ER614:EV614"/>
    <mergeCell ref="EW614:FA614"/>
    <mergeCell ref="ER640:EV640"/>
    <mergeCell ref="ER639:EV639"/>
    <mergeCell ref="EW663:FA663"/>
    <mergeCell ref="ER642:EV642"/>
    <mergeCell ref="DX641:EB641"/>
    <mergeCell ref="EW642:FA642"/>
    <mergeCell ref="DX644:EB644"/>
    <mergeCell ref="EC644:EG644"/>
    <mergeCell ref="EH644:EL644"/>
    <mergeCell ref="EW619:FA619"/>
    <mergeCell ref="EC660:EG660"/>
    <mergeCell ref="ER655:EV655"/>
    <mergeCell ref="EH657:EL657"/>
    <mergeCell ref="EM657:EQ657"/>
    <mergeCell ref="ER657:EV657"/>
    <mergeCell ref="EW643:FA643"/>
    <mergeCell ref="EC659:EG659"/>
    <mergeCell ref="EH659:EL659"/>
    <mergeCell ref="EH647:EL647"/>
    <mergeCell ref="EM647:EQ647"/>
    <mergeCell ref="DX648:EB648"/>
    <mergeCell ref="EW635:FA635"/>
    <mergeCell ref="EW631:FA631"/>
    <mergeCell ref="EW636:FA636"/>
    <mergeCell ref="EW638:FA638"/>
    <mergeCell ref="ER648:EV648"/>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ER619:EV619"/>
    <mergeCell ref="ER612:EV612"/>
    <mergeCell ref="EM617:EQ617"/>
    <mergeCell ref="ER617:EV617"/>
    <mergeCell ref="EC619:EG619"/>
    <mergeCell ref="EM616:EQ616"/>
    <mergeCell ref="EH613:EL613"/>
    <mergeCell ref="EM613:EQ613"/>
    <mergeCell ref="ER613:EV613"/>
    <mergeCell ref="EW613:FA613"/>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C640:EG640"/>
    <mergeCell ref="EW640:FA640"/>
    <mergeCell ref="ER643:EV643"/>
    <mergeCell ref="EM649:EQ649"/>
    <mergeCell ref="EW656:FA656"/>
    <mergeCell ref="DX657:EB657"/>
    <mergeCell ref="EC657:EG657"/>
    <mergeCell ref="EM642:EQ642"/>
    <mergeCell ref="ER647:EV647"/>
    <mergeCell ref="EH646:EL646"/>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BS647:BW647"/>
    <mergeCell ref="ER659:EV659"/>
    <mergeCell ref="EW659:FA659"/>
    <mergeCell ref="DX660:EB660"/>
    <mergeCell ref="CC649:CG649"/>
    <mergeCell ref="CH649:CL649"/>
    <mergeCell ref="DC647:DG647"/>
    <mergeCell ref="DR647:DV647"/>
    <mergeCell ref="DR651:DV651"/>
    <mergeCell ref="CX655:DB655"/>
    <mergeCell ref="DC655:DG655"/>
    <mergeCell ref="DR655:DV655"/>
    <mergeCell ref="BN655:BR655"/>
    <mergeCell ref="BX652:CB652"/>
    <mergeCell ref="DM652:DQ652"/>
    <mergeCell ref="EC645:EG645"/>
    <mergeCell ref="EH641:EL641"/>
    <mergeCell ref="EC637:EG637"/>
    <mergeCell ref="EH640:EL640"/>
    <mergeCell ref="DX639:EB639"/>
    <mergeCell ref="DX642:EB642"/>
    <mergeCell ref="EC642:EG642"/>
    <mergeCell ref="EH642:EL642"/>
    <mergeCell ref="EW657:FA657"/>
    <mergeCell ref="EM650:EQ650"/>
    <mergeCell ref="DX653:EB653"/>
    <mergeCell ref="EH653:EL653"/>
    <mergeCell ref="EM653:EQ653"/>
    <mergeCell ref="ER653:EV653"/>
    <mergeCell ref="EW647:FA647"/>
    <mergeCell ref="EW655:FA655"/>
    <mergeCell ref="EW650:FA650"/>
    <mergeCell ref="EW648:FA648"/>
    <mergeCell ref="EW651:FA651"/>
    <mergeCell ref="DX655:EB655"/>
    <mergeCell ref="EH655:EL655"/>
    <mergeCell ref="EM655:EQ655"/>
    <mergeCell ref="ER656:EV656"/>
    <mergeCell ref="EW653:FA653"/>
    <mergeCell ref="DX649:EB649"/>
    <mergeCell ref="EW649:FA649"/>
    <mergeCell ref="EW652:FA652"/>
    <mergeCell ref="EC653:EG653"/>
    <mergeCell ref="DX654:EB654"/>
    <mergeCell ref="EC654:EG654"/>
    <mergeCell ref="EH654:EL654"/>
    <mergeCell ref="EM646:EQ646"/>
    <mergeCell ref="EH649:EL649"/>
    <mergeCell ref="EW654:FA654"/>
    <mergeCell ref="DX647:EB647"/>
    <mergeCell ref="EC647:EG647"/>
    <mergeCell ref="EH648:EL648"/>
    <mergeCell ref="EH651:EL651"/>
    <mergeCell ref="EH650:EL650"/>
    <mergeCell ref="EM644:EQ644"/>
    <mergeCell ref="ER644:EV644"/>
    <mergeCell ref="CM641:CQ641"/>
    <mergeCell ref="EH652:EL652"/>
    <mergeCell ref="ER650:EV650"/>
    <mergeCell ref="EM639:EQ639"/>
    <mergeCell ref="ER646:EV646"/>
    <mergeCell ref="EW646:FA646"/>
    <mergeCell ref="EW637:FA637"/>
    <mergeCell ref="ER645:EV645"/>
    <mergeCell ref="ER641:EV641"/>
    <mergeCell ref="EM641:EQ641"/>
    <mergeCell ref="ER637:EV637"/>
    <mergeCell ref="EM640:EQ640"/>
    <mergeCell ref="EW645:FA645"/>
    <mergeCell ref="EW641:FA641"/>
    <mergeCell ref="EH637:EL637"/>
    <mergeCell ref="CX651:DB651"/>
    <mergeCell ref="CM648:CQ648"/>
    <mergeCell ref="DH646:DL646"/>
    <mergeCell ref="DM646:DQ646"/>
    <mergeCell ref="EH639:EL639"/>
    <mergeCell ref="DX646:EB646"/>
    <mergeCell ref="EC646:EG646"/>
    <mergeCell ref="EM637:EQ637"/>
    <mergeCell ref="EM618:EQ618"/>
    <mergeCell ref="ER618:EV618"/>
    <mergeCell ref="EM619:EQ619"/>
    <mergeCell ref="EC613:EG613"/>
    <mergeCell ref="DR612:DV612"/>
    <mergeCell ref="DM612:DQ612"/>
    <mergeCell ref="DM613:DQ613"/>
    <mergeCell ref="DR613:DV613"/>
    <mergeCell ref="CX612:DB612"/>
    <mergeCell ref="CS613:CW613"/>
    <mergeCell ref="DC613:DG613"/>
    <mergeCell ref="DM618:DQ618"/>
    <mergeCell ref="DR618:DV618"/>
    <mergeCell ref="CM631:CQ631"/>
    <mergeCell ref="BG622:BH622"/>
    <mergeCell ref="BI622:BJ622"/>
    <mergeCell ref="CH620:CL620"/>
    <mergeCell ref="CS617:CW617"/>
    <mergeCell ref="DX620:EB620"/>
    <mergeCell ref="EC620:EG620"/>
    <mergeCell ref="EH620:EL620"/>
    <mergeCell ref="CS625:CW625"/>
    <mergeCell ref="DH618:DL618"/>
    <mergeCell ref="DR631:DV631"/>
    <mergeCell ref="DR615:DV615"/>
    <mergeCell ref="DC614:DG614"/>
    <mergeCell ref="CH613:CL613"/>
    <mergeCell ref="DR617:DV617"/>
    <mergeCell ref="DX619:EB619"/>
    <mergeCell ref="BK622:BL622"/>
    <mergeCell ref="DC624:DG624"/>
    <mergeCell ref="CC626:CG626"/>
    <mergeCell ref="BS645:BW645"/>
    <mergeCell ref="CM630:CQ630"/>
    <mergeCell ref="BX629:CB629"/>
    <mergeCell ref="BX639:CB639"/>
    <mergeCell ref="BX640:CB640"/>
    <mergeCell ref="CC623:CG623"/>
    <mergeCell ref="DC632:DG632"/>
    <mergeCell ref="CC640:CG640"/>
    <mergeCell ref="BX638:CB638"/>
    <mergeCell ref="CC621:CG621"/>
    <mergeCell ref="CH621:CL621"/>
    <mergeCell ref="CM621:CQ621"/>
    <mergeCell ref="BS622:BW622"/>
    <mergeCell ref="CC629:CG629"/>
    <mergeCell ref="CH629:CL629"/>
    <mergeCell ref="CM629:CQ629"/>
    <mergeCell ref="CH626:CL626"/>
    <mergeCell ref="CM626:CQ626"/>
    <mergeCell ref="CC628:CG628"/>
    <mergeCell ref="CH628:CL628"/>
    <mergeCell ref="BS623:BW623"/>
    <mergeCell ref="BS630:BW630"/>
    <mergeCell ref="CC622:CG622"/>
    <mergeCell ref="CH622:CL622"/>
    <mergeCell ref="CM622:CQ622"/>
    <mergeCell ref="CH623:CL623"/>
    <mergeCell ref="CH631:CL631"/>
    <mergeCell ref="CS645:CW645"/>
    <mergeCell ref="CX645:DB645"/>
    <mergeCell ref="BS637:BW637"/>
    <mergeCell ref="BX645:CB645"/>
    <mergeCell ref="CH640:CL640"/>
    <mergeCell ref="CM640:CQ640"/>
    <mergeCell ref="CH632:CL632"/>
    <mergeCell ref="CH639:CL639"/>
    <mergeCell ref="BX632:CB632"/>
    <mergeCell ref="CH637:CL637"/>
    <mergeCell ref="CS620:CW620"/>
    <mergeCell ref="CX620:DB620"/>
    <mergeCell ref="CS624:CW624"/>
    <mergeCell ref="CM638:CQ638"/>
    <mergeCell ref="CC631:CG631"/>
    <mergeCell ref="CM619:CQ619"/>
    <mergeCell ref="BS631:BW631"/>
    <mergeCell ref="BX624:CB624"/>
    <mergeCell ref="BS629:BW629"/>
    <mergeCell ref="DM615:DQ615"/>
    <mergeCell ref="CX613:DB613"/>
    <mergeCell ref="DH628:DL628"/>
    <mergeCell ref="CM618:CQ618"/>
    <mergeCell ref="CH619:CL619"/>
    <mergeCell ref="CX625:DB625"/>
    <mergeCell ref="DC625:DG625"/>
    <mergeCell ref="CM617:CQ617"/>
    <mergeCell ref="CX619:DB619"/>
    <mergeCell ref="DC619:DG619"/>
    <mergeCell ref="DH619:DL619"/>
    <mergeCell ref="BS620:BW620"/>
    <mergeCell ref="CC638:CG638"/>
    <mergeCell ref="CC637:CG637"/>
    <mergeCell ref="CS619:CW619"/>
    <mergeCell ref="DH613:DL613"/>
    <mergeCell ref="BS613:BW613"/>
    <mergeCell ref="CC616:CG616"/>
    <mergeCell ref="BX641:CB641"/>
    <mergeCell ref="CC641:CG641"/>
    <mergeCell ref="CC639:CG639"/>
    <mergeCell ref="DC630:DG630"/>
    <mergeCell ref="CS630:CW630"/>
    <mergeCell ref="CX630:DB630"/>
    <mergeCell ref="EH618:EL618"/>
    <mergeCell ref="DX632:EB632"/>
    <mergeCell ref="EC632:EG632"/>
    <mergeCell ref="CH638:CL638"/>
    <mergeCell ref="DC631:DG631"/>
    <mergeCell ref="CM639:CQ639"/>
    <mergeCell ref="CH641:CL641"/>
    <mergeCell ref="DH631:DL631"/>
    <mergeCell ref="CM628:CQ628"/>
    <mergeCell ref="CM627:CQ627"/>
    <mergeCell ref="CC630:CG630"/>
    <mergeCell ref="CS632:CW632"/>
    <mergeCell ref="CX632:DB632"/>
    <mergeCell ref="DM624:DQ624"/>
    <mergeCell ref="CS628:CW628"/>
    <mergeCell ref="CX628:DB628"/>
    <mergeCell ref="DC628:DG628"/>
    <mergeCell ref="DH632:DL632"/>
    <mergeCell ref="CM620:CQ620"/>
    <mergeCell ref="DH625:DL625"/>
    <mergeCell ref="CC627:CG627"/>
    <mergeCell ref="CX624:DB624"/>
    <mergeCell ref="DR619:DV619"/>
    <mergeCell ref="CS631:CW631"/>
    <mergeCell ref="CX631:DB631"/>
    <mergeCell ref="DR630:DV630"/>
    <mergeCell ref="CX617:DB617"/>
    <mergeCell ref="DC617:DG617"/>
    <mergeCell ref="DH617:DL617"/>
    <mergeCell ref="CX614:DB614"/>
    <mergeCell ref="DX615:EB615"/>
    <mergeCell ref="EC615:EG615"/>
    <mergeCell ref="EH615:EL615"/>
    <mergeCell ref="CM616:CQ616"/>
    <mergeCell ref="BE615:BF615"/>
    <mergeCell ref="A617:AT618"/>
    <mergeCell ref="B624:L626"/>
    <mergeCell ref="CH615:CL615"/>
    <mergeCell ref="CC615:CG615"/>
    <mergeCell ref="DM617:DQ617"/>
    <mergeCell ref="CH618:CL618"/>
    <mergeCell ref="EH621:EL621"/>
    <mergeCell ref="CC624:CG624"/>
    <mergeCell ref="DH624:DL624"/>
    <mergeCell ref="DH626:DL626"/>
    <mergeCell ref="BS625:BW625"/>
    <mergeCell ref="BX625:CB625"/>
    <mergeCell ref="CM624:CQ624"/>
    <mergeCell ref="DM616:DQ616"/>
    <mergeCell ref="CS616:CW616"/>
    <mergeCell ref="CS614:CW614"/>
    <mergeCell ref="DR614:DV614"/>
    <mergeCell ref="DX614:EB614"/>
    <mergeCell ref="BE620:BF620"/>
    <mergeCell ref="BE621:BF621"/>
    <mergeCell ref="BG621:BH621"/>
    <mergeCell ref="BK620:BL620"/>
    <mergeCell ref="BE622:BF622"/>
    <mergeCell ref="BN646:BR646"/>
    <mergeCell ref="DH652:DL652"/>
    <mergeCell ref="CM633:CQ633"/>
    <mergeCell ref="CC632:CG632"/>
    <mergeCell ref="EH614:EL614"/>
    <mergeCell ref="EC617:EG617"/>
    <mergeCell ref="EH617:EL617"/>
    <mergeCell ref="CC612:CG612"/>
    <mergeCell ref="CH612:CL612"/>
    <mergeCell ref="CM623:CQ623"/>
    <mergeCell ref="DH620:DL620"/>
    <mergeCell ref="CC617:CG617"/>
    <mergeCell ref="CC619:CG619"/>
    <mergeCell ref="DM619:DQ619"/>
    <mergeCell ref="EH619:EL619"/>
    <mergeCell ref="DR616:DV616"/>
    <mergeCell ref="CX616:DB616"/>
    <mergeCell ref="CS618:CW618"/>
    <mergeCell ref="CX618:DB618"/>
    <mergeCell ref="DC618:DG618"/>
    <mergeCell ref="CM632:CQ632"/>
    <mergeCell ref="CH630:CL630"/>
    <mergeCell ref="CC620:CG620"/>
    <mergeCell ref="CH625:CL625"/>
    <mergeCell ref="CM625:CQ625"/>
    <mergeCell ref="DX617:EB617"/>
    <mergeCell ref="CH627:CL627"/>
    <mergeCell ref="DC649:DG649"/>
    <mergeCell ref="CC647:CG647"/>
    <mergeCell ref="DX645:EB645"/>
    <mergeCell ref="DX618:EB618"/>
    <mergeCell ref="EC618:EG618"/>
    <mergeCell ref="CS647:CW647"/>
    <mergeCell ref="CX647:DB647"/>
    <mergeCell ref="DM649:DQ649"/>
    <mergeCell ref="CS651:CW651"/>
    <mergeCell ref="DH648:DL648"/>
    <mergeCell ref="CH645:CL645"/>
    <mergeCell ref="DC646:DG646"/>
    <mergeCell ref="DM648:DQ648"/>
    <mergeCell ref="CC650:CG650"/>
    <mergeCell ref="CM645:CQ645"/>
    <mergeCell ref="BX651:CB651"/>
    <mergeCell ref="CC651:CG651"/>
    <mergeCell ref="BX649:CB649"/>
    <mergeCell ref="BX650:CB650"/>
    <mergeCell ref="CH648:CL648"/>
    <mergeCell ref="CC648:CG648"/>
    <mergeCell ref="DC651:DG651"/>
    <mergeCell ref="DM651:DQ651"/>
    <mergeCell ref="DH650:DL650"/>
    <mergeCell ref="CM649:CQ649"/>
    <mergeCell ref="DH649:DL649"/>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BS640:BW640"/>
    <mergeCell ref="BS648:BW648"/>
    <mergeCell ref="DC648:DG648"/>
    <mergeCell ref="CX649:DB649"/>
    <mergeCell ref="BX646:CB646"/>
    <mergeCell ref="CX648:DB648"/>
    <mergeCell ref="DR648:DV648"/>
    <mergeCell ref="CS649:CW649"/>
    <mergeCell ref="DR649:DV649"/>
    <mergeCell ref="DC645:DG645"/>
    <mergeCell ref="CS646:CW646"/>
    <mergeCell ref="CM647:CQ647"/>
    <mergeCell ref="CM646:CQ646"/>
    <mergeCell ref="BX647:CB647"/>
    <mergeCell ref="CH650:CL650"/>
    <mergeCell ref="DM653:DQ653"/>
    <mergeCell ref="DH654:DL654"/>
    <mergeCell ref="DM654:DQ654"/>
    <mergeCell ref="DH655:DL655"/>
    <mergeCell ref="DM655:DQ655"/>
    <mergeCell ref="BS655:BW655"/>
    <mergeCell ref="BX655:CB655"/>
    <mergeCell ref="BS650:BW650"/>
    <mergeCell ref="BN654:BR654"/>
    <mergeCell ref="CM651:CQ651"/>
    <mergeCell ref="DM650:DQ650"/>
    <mergeCell ref="BS654:BW654"/>
    <mergeCell ref="DH653:DL653"/>
    <mergeCell ref="CX652:DB652"/>
    <mergeCell ref="CS654:CW654"/>
    <mergeCell ref="CX654:DB654"/>
    <mergeCell ref="CS655:CW655"/>
    <mergeCell ref="BS653:BW653"/>
    <mergeCell ref="BN651:BR651"/>
    <mergeCell ref="BN650:BR650"/>
    <mergeCell ref="DC653:DG653"/>
    <mergeCell ref="DC652:DG652"/>
    <mergeCell ref="DC650:DG650"/>
    <mergeCell ref="BN649:BR649"/>
    <mergeCell ref="BN648:BR648"/>
    <mergeCell ref="CS648:CW648"/>
    <mergeCell ref="BX648:CB648"/>
    <mergeCell ref="CM650:CQ650"/>
    <mergeCell ref="CC653:CG653"/>
    <mergeCell ref="CC654:CG654"/>
    <mergeCell ref="BX654:CB654"/>
    <mergeCell ref="DH651:DL651"/>
    <mergeCell ref="CS653:CW653"/>
    <mergeCell ref="CX653:DB653"/>
    <mergeCell ref="CC655:CG655"/>
    <mergeCell ref="CH655:CL655"/>
    <mergeCell ref="CH652:CL652"/>
    <mergeCell ref="CH653:CL653"/>
    <mergeCell ref="CH654:CL654"/>
    <mergeCell ref="CM652:CQ652"/>
    <mergeCell ref="CM653:CQ653"/>
    <mergeCell ref="CM654:CQ654"/>
    <mergeCell ref="CC652:CG652"/>
    <mergeCell ref="BX653:CB653"/>
    <mergeCell ref="BN653:BR653"/>
    <mergeCell ref="BS652:BW652"/>
    <mergeCell ref="CH651:CL651"/>
    <mergeCell ref="DR652:DV652"/>
    <mergeCell ref="DR653:DV653"/>
    <mergeCell ref="BN652:BR652"/>
    <mergeCell ref="BS651:BW651"/>
    <mergeCell ref="CS652:CW652"/>
    <mergeCell ref="CM655:CQ655"/>
    <mergeCell ref="EM670:EQ670"/>
    <mergeCell ref="AK730:AO730"/>
    <mergeCell ref="AH727:AJ727"/>
    <mergeCell ref="AC724:AG724"/>
    <mergeCell ref="AC730:AG730"/>
    <mergeCell ref="AG689:AH689"/>
    <mergeCell ref="W703:AK703"/>
    <mergeCell ref="Z676:AK676"/>
    <mergeCell ref="W700:AK700"/>
    <mergeCell ref="Z683:AK683"/>
    <mergeCell ref="Z678:AK678"/>
    <mergeCell ref="E707:AK707"/>
    <mergeCell ref="W706:AK706"/>
    <mergeCell ref="AK728:AO728"/>
    <mergeCell ref="K727:N727"/>
    <mergeCell ref="K719:N719"/>
    <mergeCell ref="G718:J718"/>
    <mergeCell ref="AH719:AJ719"/>
    <mergeCell ref="G670:R670"/>
    <mergeCell ref="G723:J723"/>
    <mergeCell ref="R705:T705"/>
    <mergeCell ref="AE698:AI698"/>
    <mergeCell ref="AC714:AG717"/>
    <mergeCell ref="AC723:AG723"/>
    <mergeCell ref="AH721:AJ721"/>
    <mergeCell ref="AC721:AG721"/>
    <mergeCell ref="DR657:DV657"/>
    <mergeCell ref="AC720:AG720"/>
    <mergeCell ref="X719:AB719"/>
    <mergeCell ref="AG673:AH673"/>
    <mergeCell ref="AH720:AJ720"/>
    <mergeCell ref="X718:AB718"/>
    <mergeCell ref="Z685:AK685"/>
    <mergeCell ref="CM660:CQ660"/>
    <mergeCell ref="DR654:DV654"/>
    <mergeCell ref="X731:AB731"/>
    <mergeCell ref="H688:R688"/>
    <mergeCell ref="B719:F719"/>
    <mergeCell ref="B714:F717"/>
    <mergeCell ref="G675:R675"/>
    <mergeCell ref="AK726:AO726"/>
    <mergeCell ref="AK722:AO722"/>
    <mergeCell ref="AA680:AK680"/>
    <mergeCell ref="CH660:CL660"/>
    <mergeCell ref="K714:N717"/>
    <mergeCell ref="T724:W724"/>
    <mergeCell ref="G662:R662"/>
    <mergeCell ref="AE699:AI699"/>
    <mergeCell ref="P663:R663"/>
    <mergeCell ref="AG665:AH665"/>
    <mergeCell ref="B718:F718"/>
    <mergeCell ref="G720:J720"/>
    <mergeCell ref="DC654:DG654"/>
    <mergeCell ref="K730:N730"/>
    <mergeCell ref="AI655:AK655"/>
    <mergeCell ref="G729:J729"/>
    <mergeCell ref="O728:S728"/>
    <mergeCell ref="AE693:AF693"/>
    <mergeCell ref="G669:R669"/>
    <mergeCell ref="T718:W718"/>
    <mergeCell ref="O721:S721"/>
    <mergeCell ref="K722:N722"/>
    <mergeCell ref="K723:N723"/>
    <mergeCell ref="T723:W723"/>
    <mergeCell ref="K721:N721"/>
    <mergeCell ref="G667:R667"/>
    <mergeCell ref="AC731:AG731"/>
    <mergeCell ref="AC732:AG732"/>
    <mergeCell ref="A709:AT711"/>
    <mergeCell ref="Z686:AK686"/>
    <mergeCell ref="AK732:AO732"/>
    <mergeCell ref="Q638:S638"/>
    <mergeCell ref="Z634:AB634"/>
    <mergeCell ref="Q635:S635"/>
    <mergeCell ref="C633:L633"/>
    <mergeCell ref="H664:R664"/>
    <mergeCell ref="Z651:AK651"/>
    <mergeCell ref="Q636:S636"/>
    <mergeCell ref="AC722:AG722"/>
    <mergeCell ref="P679:R679"/>
    <mergeCell ref="AE694:AF694"/>
    <mergeCell ref="AK727:AO727"/>
    <mergeCell ref="AE702:AF702"/>
    <mergeCell ref="AK721:AO721"/>
    <mergeCell ref="O725:S725"/>
    <mergeCell ref="B721:F721"/>
    <mergeCell ref="G684:R684"/>
    <mergeCell ref="AH718:AJ718"/>
    <mergeCell ref="T721:W721"/>
    <mergeCell ref="AC718:AG718"/>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P613:R613"/>
    <mergeCell ref="G609:R609"/>
    <mergeCell ref="G613:L613"/>
    <mergeCell ref="N607:O607"/>
    <mergeCell ref="Z613:AE613"/>
    <mergeCell ref="AA614:AK614"/>
    <mergeCell ref="Z612:AK612"/>
    <mergeCell ref="Z609:AK609"/>
    <mergeCell ref="AI613:AK613"/>
    <mergeCell ref="H598:R598"/>
    <mergeCell ref="G604:R604"/>
    <mergeCell ref="H606:R606"/>
    <mergeCell ref="N615:O615"/>
    <mergeCell ref="AG607:AH607"/>
    <mergeCell ref="Z604:AK604"/>
    <mergeCell ref="H340:M340"/>
    <mergeCell ref="H414:AE415"/>
    <mergeCell ref="AE425:AF425"/>
    <mergeCell ref="AK627:AN627"/>
    <mergeCell ref="AI559:AL559"/>
    <mergeCell ref="EC668:EG668"/>
    <mergeCell ref="EH668:EL668"/>
    <mergeCell ref="EM668:EQ668"/>
    <mergeCell ref="O718:S718"/>
    <mergeCell ref="M629:P629"/>
    <mergeCell ref="T632:V632"/>
    <mergeCell ref="T633:V633"/>
    <mergeCell ref="AK634:AN634"/>
    <mergeCell ref="AK635:AN635"/>
    <mergeCell ref="AK636:AN636"/>
    <mergeCell ref="AF631:AJ631"/>
    <mergeCell ref="AF632:AJ632"/>
    <mergeCell ref="EM656:EQ656"/>
    <mergeCell ref="G660:R660"/>
    <mergeCell ref="X714:AB717"/>
    <mergeCell ref="DX656:EB656"/>
    <mergeCell ref="EM659:EQ659"/>
    <mergeCell ref="EC656:EG656"/>
    <mergeCell ref="EH656:EL656"/>
    <mergeCell ref="DX668:EB668"/>
    <mergeCell ref="AK633:AN633"/>
    <mergeCell ref="Q631:S631"/>
    <mergeCell ref="Q632:S632"/>
    <mergeCell ref="Q633:S633"/>
    <mergeCell ref="M633:P633"/>
    <mergeCell ref="G668:R668"/>
    <mergeCell ref="P671:R671"/>
    <mergeCell ref="N665:O665"/>
    <mergeCell ref="H680:R680"/>
    <mergeCell ref="Z670:AK670"/>
    <mergeCell ref="M634:P634"/>
    <mergeCell ref="Z662:AK662"/>
    <mergeCell ref="Z611:AK611"/>
    <mergeCell ref="W630:Y630"/>
    <mergeCell ref="W631:Y631"/>
    <mergeCell ref="M628:P628"/>
    <mergeCell ref="H614:R614"/>
    <mergeCell ref="B1059:AP1059"/>
    <mergeCell ref="C798:AN799"/>
    <mergeCell ref="T748:W748"/>
    <mergeCell ref="U924:Z924"/>
    <mergeCell ref="AA934:AF934"/>
    <mergeCell ref="J787:N787"/>
    <mergeCell ref="AA917:AF917"/>
    <mergeCell ref="A13:AT14"/>
    <mergeCell ref="B735:F735"/>
    <mergeCell ref="AG649:AH649"/>
    <mergeCell ref="AI331:AK331"/>
    <mergeCell ref="P339:R339"/>
    <mergeCell ref="G611:R611"/>
    <mergeCell ref="AH733:AJ733"/>
    <mergeCell ref="O743:S743"/>
    <mergeCell ref="T743:W743"/>
    <mergeCell ref="K744:N744"/>
    <mergeCell ref="O744:S744"/>
    <mergeCell ref="AK736:AO736"/>
    <mergeCell ref="O720:S720"/>
    <mergeCell ref="G732:J732"/>
    <mergeCell ref="K728:N728"/>
    <mergeCell ref="Z669:AK669"/>
    <mergeCell ref="G687:L687"/>
    <mergeCell ref="T722:W722"/>
    <mergeCell ref="K718:N718"/>
    <mergeCell ref="AK741:AO74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7:Q27"/>
    <mergeCell ref="M26:Q26"/>
    <mergeCell ref="O33:P33"/>
    <mergeCell ref="H16:AJ16"/>
    <mergeCell ref="A21:AL21"/>
    <mergeCell ref="AC735:AG735"/>
    <mergeCell ref="G610:R610"/>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T742:W742"/>
    <mergeCell ref="AC749:AG749"/>
    <mergeCell ref="J776:N776"/>
    <mergeCell ref="T741:W741"/>
    <mergeCell ref="X795:AB795"/>
    <mergeCell ref="J783:N786"/>
    <mergeCell ref="Z818:AE818"/>
    <mergeCell ref="AC826:AF826"/>
    <mergeCell ref="AG756:AJ756"/>
    <mergeCell ref="B752:F752"/>
    <mergeCell ref="B753:F753"/>
    <mergeCell ref="AC753:AG753"/>
    <mergeCell ref="B737:F737"/>
    <mergeCell ref="AK752:AO752"/>
    <mergeCell ref="AH737:AJ737"/>
    <mergeCell ref="AH738:AJ738"/>
    <mergeCell ref="AH736:AJ736"/>
    <mergeCell ref="AH735:AJ735"/>
    <mergeCell ref="AH726:AJ726"/>
    <mergeCell ref="G737:J737"/>
    <mergeCell ref="G735:J735"/>
    <mergeCell ref="G736:J736"/>
    <mergeCell ref="AH739:AJ739"/>
    <mergeCell ref="AH740:AJ740"/>
    <mergeCell ref="AH752:AJ752"/>
    <mergeCell ref="X734:AB734"/>
    <mergeCell ref="X738:AB738"/>
    <mergeCell ref="AC752:AG752"/>
    <mergeCell ref="X748:AB748"/>
    <mergeCell ref="X749:AB749"/>
    <mergeCell ref="X750:AB750"/>
    <mergeCell ref="AC742:AG742"/>
    <mergeCell ref="AC743:AG743"/>
    <mergeCell ref="T739:W739"/>
    <mergeCell ref="K750:N750"/>
    <mergeCell ref="O750:S750"/>
    <mergeCell ref="K748:N748"/>
    <mergeCell ref="O748:S748"/>
    <mergeCell ref="O747:S747"/>
    <mergeCell ref="T747:W747"/>
    <mergeCell ref="X733:AB733"/>
    <mergeCell ref="AK751:AO751"/>
    <mergeCell ref="AH749:AJ749"/>
    <mergeCell ref="O736:S736"/>
    <mergeCell ref="K738:N738"/>
    <mergeCell ref="AK720:AO720"/>
    <mergeCell ref="H672:R672"/>
    <mergeCell ref="G676:R676"/>
    <mergeCell ref="G678:R678"/>
    <mergeCell ref="Z679:AE679"/>
    <mergeCell ref="G740:J740"/>
    <mergeCell ref="B742:F742"/>
    <mergeCell ref="B743:F743"/>
    <mergeCell ref="B744:F744"/>
    <mergeCell ref="B745:F745"/>
    <mergeCell ref="T746:W746"/>
    <mergeCell ref="K747:N747"/>
    <mergeCell ref="AK733:AO733"/>
    <mergeCell ref="AK734:AO734"/>
    <mergeCell ref="AK735:AO735"/>
    <mergeCell ref="AC733:AG733"/>
    <mergeCell ref="B734:F734"/>
    <mergeCell ref="T734:W734"/>
    <mergeCell ref="O733:S733"/>
    <mergeCell ref="T744:W744"/>
    <mergeCell ref="K745:N745"/>
    <mergeCell ref="G714:J717"/>
    <mergeCell ref="K720:N720"/>
    <mergeCell ref="G719:J719"/>
    <mergeCell ref="T733:W733"/>
    <mergeCell ref="O734:S734"/>
    <mergeCell ref="K739:N739"/>
    <mergeCell ref="AK731:AO731"/>
    <mergeCell ref="AK738:AO738"/>
    <mergeCell ref="G727:J727"/>
    <mergeCell ref="AK750:AO750"/>
    <mergeCell ref="AC748:AG748"/>
    <mergeCell ref="AC734:AG734"/>
    <mergeCell ref="AK740:AO740"/>
    <mergeCell ref="AK729:AO729"/>
    <mergeCell ref="AC738:AG738"/>
    <mergeCell ref="B740:F740"/>
    <mergeCell ref="X745:AB745"/>
    <mergeCell ref="K737:N737"/>
    <mergeCell ref="AH734:AJ734"/>
    <mergeCell ref="AK742:AO742"/>
    <mergeCell ref="AH742:AJ742"/>
    <mergeCell ref="AK725:AO725"/>
    <mergeCell ref="X732:AB732"/>
    <mergeCell ref="B731:F731"/>
    <mergeCell ref="B730:F730"/>
    <mergeCell ref="O727:S727"/>
    <mergeCell ref="O726:S726"/>
    <mergeCell ref="O745:S745"/>
    <mergeCell ref="X746:AB746"/>
    <mergeCell ref="X747:AB747"/>
    <mergeCell ref="AK748:AO748"/>
    <mergeCell ref="K746:N746"/>
    <mergeCell ref="O746:S746"/>
    <mergeCell ref="T737:W737"/>
    <mergeCell ref="X739:AB739"/>
    <mergeCell ref="AH731:AJ731"/>
    <mergeCell ref="K731:N731"/>
    <mergeCell ref="T740:W740"/>
    <mergeCell ref="G741:J741"/>
    <mergeCell ref="X742:AB742"/>
    <mergeCell ref="X735:AB735"/>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22" workbookViewId="0">
      <selection activeCell="I49" sqref="I49"/>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557</v>
      </c>
      <c r="B1" s="125"/>
      <c r="C1" s="125"/>
      <c r="D1" s="125"/>
      <c r="E1" s="126"/>
      <c r="F1" s="1878" t="s">
        <v>629</v>
      </c>
      <c r="G1" s="1879"/>
      <c r="H1" s="1879"/>
      <c r="I1" s="1879"/>
      <c r="J1" s="1879"/>
      <c r="K1" s="1879"/>
      <c r="L1" s="1879"/>
      <c r="M1" s="1879"/>
      <c r="N1" s="1879"/>
      <c r="O1" s="1879"/>
      <c r="P1" s="1879"/>
      <c r="Q1" s="1879"/>
      <c r="R1" s="1880"/>
      <c r="S1" s="112"/>
      <c r="T1" s="111"/>
      <c r="U1" s="113"/>
    </row>
    <row r="2" spans="1:21" s="138" customFormat="1" ht="71.25" customHeight="1">
      <c r="A2" s="137"/>
      <c r="B2" s="138" t="s">
        <v>23</v>
      </c>
      <c r="C2" s="138" t="s">
        <v>375</v>
      </c>
      <c r="D2" s="138" t="s">
        <v>374</v>
      </c>
      <c r="E2" s="138" t="s">
        <v>24</v>
      </c>
      <c r="F2" s="139" t="str">
        <f>Application!B627&amp;Application!C627</f>
        <v>1)Citibank Tax- Exempt</v>
      </c>
      <c r="G2" s="139" t="str">
        <f>Application!B628&amp;Application!C628</f>
        <v>2)Solar Equity</v>
      </c>
      <c r="H2" s="139" t="str">
        <f>Application!B629&amp;Application!C629</f>
        <v>3)City of San Jose</v>
      </c>
      <c r="I2" s="139" t="str">
        <f>Application!B630&amp;Application!C630</f>
        <v>4)City of San Jose</v>
      </c>
      <c r="J2" s="139" t="str">
        <f>Application!B631&amp;Application!C631</f>
        <v>5)Santa Clara County - Measure A</v>
      </c>
      <c r="K2" s="139" t="str">
        <f>Application!B632&amp;Application!C632</f>
        <v>6)HCD IIG</v>
      </c>
      <c r="L2" s="139" t="str">
        <f>Application!B633&amp;Application!C633</f>
        <v>7)Deferred Developer Fee</v>
      </c>
      <c r="M2" s="139" t="str">
        <f>Application!B634&amp;Application!C634</f>
        <v>8)Contributed Developer Fee</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6500000</v>
      </c>
      <c r="C4" s="147">
        <v>6500000</v>
      </c>
      <c r="D4" s="147"/>
      <c r="E4" s="147"/>
      <c r="F4" s="147"/>
      <c r="G4" s="147"/>
      <c r="H4" s="147"/>
      <c r="I4" s="147">
        <v>6500000</v>
      </c>
      <c r="J4" s="147"/>
      <c r="K4" s="147"/>
      <c r="L4" s="147"/>
      <c r="M4" s="147"/>
      <c r="N4" s="147"/>
      <c r="O4" s="147"/>
      <c r="P4" s="147"/>
      <c r="Q4" s="147"/>
      <c r="R4" s="550">
        <f>SUM(E4:Q4)</f>
        <v>6500000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601</v>
      </c>
      <c r="B8" s="146">
        <f>SUM(C8:D8)</f>
        <v>6500000</v>
      </c>
      <c r="C8" s="146">
        <f t="shared" ref="C8:Q8" si="0">SUM(C4:C7)</f>
        <v>6500000</v>
      </c>
      <c r="D8" s="146">
        <f t="shared" si="0"/>
        <v>0</v>
      </c>
      <c r="E8" s="146">
        <f t="shared" si="0"/>
        <v>0</v>
      </c>
      <c r="F8" s="146">
        <f t="shared" si="0"/>
        <v>0</v>
      </c>
      <c r="G8" s="146">
        <f t="shared" si="0"/>
        <v>0</v>
      </c>
      <c r="H8" s="146">
        <f t="shared" si="0"/>
        <v>0</v>
      </c>
      <c r="I8" s="146">
        <f t="shared" si="0"/>
        <v>6500000</v>
      </c>
      <c r="J8" s="146">
        <f t="shared" si="0"/>
        <v>0</v>
      </c>
      <c r="K8" s="146">
        <f t="shared" si="0"/>
        <v>0</v>
      </c>
      <c r="L8" s="146">
        <f t="shared" si="0"/>
        <v>0</v>
      </c>
      <c r="M8" s="146">
        <f t="shared" si="0"/>
        <v>0</v>
      </c>
      <c r="N8" s="146">
        <f t="shared" si="0"/>
        <v>0</v>
      </c>
      <c r="O8" s="146">
        <f t="shared" si="0"/>
        <v>0</v>
      </c>
      <c r="P8" s="146"/>
      <c r="Q8" s="146">
        <f t="shared" si="0"/>
        <v>0</v>
      </c>
      <c r="R8" s="370">
        <f>SUM(R4:R7)</f>
        <v>6500000</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604</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6500000</v>
      </c>
      <c r="C12" s="146">
        <f t="shared" si="2"/>
        <v>6500000</v>
      </c>
      <c r="D12" s="146">
        <f t="shared" si="2"/>
        <v>0</v>
      </c>
      <c r="E12" s="146">
        <f t="shared" si="2"/>
        <v>0</v>
      </c>
      <c r="F12" s="146">
        <f t="shared" si="2"/>
        <v>0</v>
      </c>
      <c r="G12" s="146">
        <f t="shared" si="2"/>
        <v>0</v>
      </c>
      <c r="H12" s="146">
        <f t="shared" si="2"/>
        <v>0</v>
      </c>
      <c r="I12" s="146">
        <f t="shared" si="2"/>
        <v>6500000</v>
      </c>
      <c r="J12" s="146">
        <f t="shared" si="2"/>
        <v>0</v>
      </c>
      <c r="K12" s="146">
        <f t="shared" si="2"/>
        <v>0</v>
      </c>
      <c r="L12" s="146">
        <f t="shared" si="2"/>
        <v>0</v>
      </c>
      <c r="M12" s="146">
        <f t="shared" si="2"/>
        <v>0</v>
      </c>
      <c r="N12" s="146">
        <f t="shared" si="2"/>
        <v>0</v>
      </c>
      <c r="O12" s="146">
        <f t="shared" si="2"/>
        <v>0</v>
      </c>
      <c r="P12" s="146"/>
      <c r="Q12" s="146">
        <f t="shared" si="2"/>
        <v>0</v>
      </c>
      <c r="R12" s="370">
        <f>SUM(R8+R11)</f>
        <v>6500000</v>
      </c>
      <c r="S12" s="148"/>
      <c r="T12" s="148"/>
      <c r="U12" s="143"/>
    </row>
    <row r="13" spans="1:21" s="144" customFormat="1">
      <c r="A13" s="309" t="s">
        <v>917</v>
      </c>
      <c r="B13" s="146">
        <f>SUM(C13+D13)</f>
        <v>930883</v>
      </c>
      <c r="C13" s="147">
        <v>930883</v>
      </c>
      <c r="D13" s="147"/>
      <c r="E13" s="147"/>
      <c r="F13" s="147">
        <v>930883</v>
      </c>
      <c r="G13" s="147"/>
      <c r="H13" s="147"/>
      <c r="I13" s="147"/>
      <c r="J13" s="147"/>
      <c r="K13" s="147"/>
      <c r="L13" s="147"/>
      <c r="M13" s="147"/>
      <c r="N13" s="147"/>
      <c r="O13" s="147"/>
      <c r="P13" s="147"/>
      <c r="Q13" s="147"/>
      <c r="R13" s="550">
        <f>SUM(E13:Q13)</f>
        <v>930883</v>
      </c>
      <c r="S13" s="147">
        <v>405419</v>
      </c>
      <c r="T13" s="147"/>
      <c r="U13" s="143"/>
    </row>
    <row r="14" spans="1:21" s="144" customFormat="1" ht="24">
      <c r="A14" s="310" t="s">
        <v>1756</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1753</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2400000</v>
      </c>
      <c r="C29" s="147">
        <v>2400000</v>
      </c>
      <c r="D29" s="147"/>
      <c r="E29" s="147"/>
      <c r="F29" s="147"/>
      <c r="G29" s="147"/>
      <c r="H29" s="147">
        <v>2400000</v>
      </c>
      <c r="I29" s="147"/>
      <c r="J29" s="147"/>
      <c r="K29" s="147"/>
      <c r="L29" s="147"/>
      <c r="M29" s="147"/>
      <c r="N29" s="147"/>
      <c r="O29" s="147"/>
      <c r="P29" s="147"/>
      <c r="Q29" s="147"/>
      <c r="R29" s="550">
        <f t="shared" ref="R29:R37" si="7">SUM(E29:Q29)</f>
        <v>2400000</v>
      </c>
      <c r="S29" s="147">
        <v>2300000</v>
      </c>
      <c r="T29" s="147"/>
      <c r="U29" s="143"/>
    </row>
    <row r="30" spans="1:21" s="144" customFormat="1">
      <c r="A30" s="145" t="s">
        <v>607</v>
      </c>
      <c r="B30" s="146">
        <f t="shared" si="6"/>
        <v>65388254.37062937</v>
      </c>
      <c r="C30" s="147">
        <v>65388254.37062937</v>
      </c>
      <c r="D30" s="147"/>
      <c r="E30" s="147">
        <v>8884714.8154293746</v>
      </c>
      <c r="F30" s="147">
        <v>26649117</v>
      </c>
      <c r="G30" s="147">
        <v>254422.5552</v>
      </c>
      <c r="H30" s="147">
        <v>17600000</v>
      </c>
      <c r="I30" s="147"/>
      <c r="J30" s="147">
        <v>8000000</v>
      </c>
      <c r="K30" s="147">
        <v>4000000</v>
      </c>
      <c r="L30" s="147"/>
      <c r="M30" s="147"/>
      <c r="N30" s="147"/>
      <c r="O30" s="147"/>
      <c r="P30" s="147"/>
      <c r="Q30" s="147"/>
      <c r="R30" s="550">
        <f t="shared" si="7"/>
        <v>65388254.370629378</v>
      </c>
      <c r="S30" s="147">
        <v>65388254.370629378</v>
      </c>
      <c r="T30" s="147"/>
      <c r="U30" s="143"/>
    </row>
    <row r="31" spans="1:21" s="144" customFormat="1">
      <c r="A31" s="145" t="s">
        <v>608</v>
      </c>
      <c r="B31" s="146">
        <f t="shared" si="6"/>
        <v>2699530.1748251747</v>
      </c>
      <c r="C31" s="147">
        <v>2699530.1748251747</v>
      </c>
      <c r="D31" s="147"/>
      <c r="E31" s="147">
        <v>2699530.1748251747</v>
      </c>
      <c r="F31" s="147"/>
      <c r="G31" s="147"/>
      <c r="H31" s="147"/>
      <c r="I31" s="147"/>
      <c r="J31" s="147"/>
      <c r="K31" s="147"/>
      <c r="L31" s="147"/>
      <c r="M31" s="147"/>
      <c r="N31" s="147"/>
      <c r="O31" s="147"/>
      <c r="P31" s="147"/>
      <c r="Q31" s="147"/>
      <c r="R31" s="550">
        <f t="shared" si="7"/>
        <v>2699530.1748251747</v>
      </c>
      <c r="S31" s="147">
        <v>2699530.1748251747</v>
      </c>
      <c r="T31" s="147"/>
      <c r="U31" s="143"/>
    </row>
    <row r="32" spans="1:21" s="144" customFormat="1">
      <c r="A32" s="145" t="s">
        <v>137</v>
      </c>
      <c r="B32" s="146">
        <f t="shared" si="6"/>
        <v>2105633.5363636361</v>
      </c>
      <c r="C32" s="147">
        <v>2105633.5363636361</v>
      </c>
      <c r="D32" s="147"/>
      <c r="E32" s="147">
        <v>2105633.5363636361</v>
      </c>
      <c r="F32" s="147"/>
      <c r="G32" s="147"/>
      <c r="H32" s="147"/>
      <c r="I32" s="147"/>
      <c r="J32" s="147"/>
      <c r="K32" s="147"/>
      <c r="L32" s="147"/>
      <c r="M32" s="147"/>
      <c r="N32" s="147"/>
      <c r="O32" s="147"/>
      <c r="P32" s="147"/>
      <c r="Q32" s="147"/>
      <c r="R32" s="550">
        <f t="shared" si="7"/>
        <v>2105633.5363636361</v>
      </c>
      <c r="S32" s="147">
        <v>2105633.5363636361</v>
      </c>
      <c r="T32" s="147"/>
      <c r="U32" s="143"/>
    </row>
    <row r="33" spans="1:21" s="144" customFormat="1">
      <c r="A33" s="145" t="s">
        <v>138</v>
      </c>
      <c r="B33" s="146">
        <f t="shared" si="6"/>
        <v>4613144.9181818198</v>
      </c>
      <c r="C33" s="147">
        <v>4613144.9181818198</v>
      </c>
      <c r="D33" s="147"/>
      <c r="E33" s="147">
        <v>4613144.9181818198</v>
      </c>
      <c r="F33" s="147"/>
      <c r="G33" s="147"/>
      <c r="H33" s="147"/>
      <c r="I33" s="147"/>
      <c r="J33" s="147"/>
      <c r="K33" s="147"/>
      <c r="L33" s="147"/>
      <c r="M33" s="147"/>
      <c r="N33" s="147"/>
      <c r="O33" s="147"/>
      <c r="P33" s="147"/>
      <c r="Q33" s="147"/>
      <c r="R33" s="550">
        <f t="shared" si="7"/>
        <v>4613144.9181818198</v>
      </c>
      <c r="S33" s="147">
        <v>4613144.9181818198</v>
      </c>
      <c r="T33" s="147"/>
      <c r="U33" s="143"/>
    </row>
    <row r="34" spans="1:21" s="144" customFormat="1">
      <c r="A34" s="145" t="s">
        <v>139</v>
      </c>
      <c r="B34" s="146">
        <f t="shared" si="6"/>
        <v>0</v>
      </c>
      <c r="C34" s="147"/>
      <c r="D34" s="147"/>
      <c r="E34" s="147">
        <v>0</v>
      </c>
      <c r="F34" s="147"/>
      <c r="G34" s="147"/>
      <c r="H34" s="147"/>
      <c r="I34" s="147"/>
      <c r="J34" s="147"/>
      <c r="K34" s="147"/>
      <c r="L34" s="147"/>
      <c r="M34" s="147"/>
      <c r="N34" s="147"/>
      <c r="O34" s="147"/>
      <c r="P34" s="147"/>
      <c r="Q34" s="147"/>
      <c r="R34" s="550">
        <f t="shared" si="7"/>
        <v>0</v>
      </c>
      <c r="S34" s="147">
        <v>0</v>
      </c>
      <c r="T34" s="147"/>
      <c r="U34" s="143"/>
    </row>
    <row r="35" spans="1:21" s="144" customFormat="1">
      <c r="A35" s="145" t="s">
        <v>140</v>
      </c>
      <c r="B35" s="146">
        <f t="shared" si="6"/>
        <v>1351114.8525</v>
      </c>
      <c r="C35" s="147">
        <v>1351114.8525</v>
      </c>
      <c r="D35" s="147"/>
      <c r="E35" s="147">
        <v>1351114.8525</v>
      </c>
      <c r="F35" s="147"/>
      <c r="G35" s="147"/>
      <c r="H35" s="147"/>
      <c r="I35" s="147"/>
      <c r="J35" s="147"/>
      <c r="K35" s="147"/>
      <c r="L35" s="147"/>
      <c r="M35" s="147"/>
      <c r="N35" s="147"/>
      <c r="O35" s="147"/>
      <c r="P35" s="147"/>
      <c r="Q35" s="147"/>
      <c r="R35" s="550">
        <f t="shared" si="7"/>
        <v>1351114.8525</v>
      </c>
      <c r="S35" s="147">
        <v>1351114.8525</v>
      </c>
      <c r="T35" s="147"/>
      <c r="U35" s="143"/>
    </row>
    <row r="36" spans="1:21" s="144" customFormat="1">
      <c r="A36" s="304" t="s">
        <v>1753</v>
      </c>
      <c r="B36" s="146">
        <f t="shared" si="6"/>
        <v>615000</v>
      </c>
      <c r="C36" s="147">
        <v>615000</v>
      </c>
      <c r="D36" s="147"/>
      <c r="E36" s="147">
        <v>615000</v>
      </c>
      <c r="F36" s="147"/>
      <c r="G36" s="147"/>
      <c r="H36" s="147"/>
      <c r="I36" s="147"/>
      <c r="J36" s="147"/>
      <c r="K36" s="147"/>
      <c r="L36" s="147"/>
      <c r="M36" s="147"/>
      <c r="N36" s="147"/>
      <c r="O36" s="147"/>
      <c r="P36" s="147"/>
      <c r="Q36" s="147"/>
      <c r="R36" s="550">
        <f t="shared" si="7"/>
        <v>615000</v>
      </c>
      <c r="S36" s="147">
        <v>615000</v>
      </c>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v>0</v>
      </c>
      <c r="T37" s="147"/>
      <c r="U37" s="143"/>
    </row>
    <row r="38" spans="1:21" s="144" customFormat="1">
      <c r="A38" s="149" t="s">
        <v>143</v>
      </c>
      <c r="B38" s="146">
        <f t="shared" si="6"/>
        <v>79172677.852500007</v>
      </c>
      <c r="C38" s="146">
        <f>SUM(C29:C37)</f>
        <v>79172677.852500007</v>
      </c>
      <c r="D38" s="146">
        <f t="shared" ref="D38:Q38" si="8">SUM(D29:D37)</f>
        <v>0</v>
      </c>
      <c r="E38" s="146">
        <f t="shared" si="8"/>
        <v>20269138.297300003</v>
      </c>
      <c r="F38" s="146">
        <f t="shared" si="8"/>
        <v>26649117</v>
      </c>
      <c r="G38" s="146">
        <f t="shared" si="8"/>
        <v>254422.5552</v>
      </c>
      <c r="H38" s="146">
        <f t="shared" si="8"/>
        <v>20000000</v>
      </c>
      <c r="I38" s="146">
        <f t="shared" si="8"/>
        <v>0</v>
      </c>
      <c r="J38" s="146">
        <f t="shared" si="8"/>
        <v>8000000</v>
      </c>
      <c r="K38" s="146">
        <f t="shared" si="8"/>
        <v>4000000</v>
      </c>
      <c r="L38" s="146">
        <f t="shared" si="8"/>
        <v>0</v>
      </c>
      <c r="M38" s="146">
        <f t="shared" si="8"/>
        <v>0</v>
      </c>
      <c r="N38" s="146">
        <f t="shared" si="8"/>
        <v>0</v>
      </c>
      <c r="O38" s="146">
        <f t="shared" si="8"/>
        <v>0</v>
      </c>
      <c r="P38" s="146">
        <f t="shared" si="8"/>
        <v>0</v>
      </c>
      <c r="Q38" s="146">
        <f t="shared" si="8"/>
        <v>0</v>
      </c>
      <c r="R38" s="370">
        <f>SUM(R29:R37)</f>
        <v>79172677.852500007</v>
      </c>
      <c r="S38" s="150">
        <f>SUM(S29:S37)</f>
        <v>79072677.852500007</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3270041.7142857146</v>
      </c>
      <c r="C40" s="147">
        <v>3270041.7142857146</v>
      </c>
      <c r="D40" s="147"/>
      <c r="E40" s="147">
        <v>3270041.7142857146</v>
      </c>
      <c r="F40" s="147"/>
      <c r="G40" s="147"/>
      <c r="H40" s="147"/>
      <c r="I40" s="147"/>
      <c r="J40" s="147"/>
      <c r="K40" s="147"/>
      <c r="L40" s="147"/>
      <c r="M40" s="147"/>
      <c r="N40" s="147"/>
      <c r="O40" s="147"/>
      <c r="P40" s="147"/>
      <c r="Q40" s="147"/>
      <c r="R40" s="550">
        <f>SUM(E40:Q40)</f>
        <v>3270041.7142857146</v>
      </c>
      <c r="S40" s="147">
        <f>R40</f>
        <v>3270041.7142857146</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50">
        <f>SUM(E41:Q41)</f>
        <v>0</v>
      </c>
      <c r="S41" s="147"/>
      <c r="T41" s="147"/>
      <c r="U41" s="143"/>
    </row>
    <row r="42" spans="1:21" s="144" customFormat="1">
      <c r="A42" s="149" t="s">
        <v>147</v>
      </c>
      <c r="B42" s="146">
        <f>SUM(C42:D42)</f>
        <v>3270041.7142857146</v>
      </c>
      <c r="C42" s="146">
        <f>SUM(C39:C41)</f>
        <v>3270041.7142857146</v>
      </c>
      <c r="D42" s="146">
        <f>SUM(D39:D41)</f>
        <v>0</v>
      </c>
      <c r="E42" s="146">
        <f t="shared" ref="E42:T42" si="9">SUM(E40:E41)</f>
        <v>3270041.7142857146</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3270041.7142857146</v>
      </c>
      <c r="S42" s="150">
        <f t="shared" si="9"/>
        <v>3270041.7142857146</v>
      </c>
      <c r="T42" s="150">
        <f t="shared" si="9"/>
        <v>0</v>
      </c>
      <c r="U42" s="143"/>
    </row>
    <row r="43" spans="1:21" s="144" customFormat="1">
      <c r="A43" s="149" t="s">
        <v>148</v>
      </c>
      <c r="B43" s="146">
        <f>SUM(C43:D43)</f>
        <v>325500</v>
      </c>
      <c r="C43" s="147">
        <v>325500</v>
      </c>
      <c r="D43" s="147"/>
      <c r="E43" s="147">
        <f>C43</f>
        <v>325500</v>
      </c>
      <c r="F43" s="147"/>
      <c r="G43" s="147"/>
      <c r="H43" s="147"/>
      <c r="I43" s="147"/>
      <c r="J43" s="147"/>
      <c r="K43" s="147"/>
      <c r="L43" s="147"/>
      <c r="M43" s="147"/>
      <c r="N43" s="147"/>
      <c r="O43" s="147"/>
      <c r="P43" s="147"/>
      <c r="Q43" s="147"/>
      <c r="R43" s="550">
        <f>SUM(E43:Q43)</f>
        <v>325500</v>
      </c>
      <c r="S43" s="147">
        <f>R43</f>
        <v>325500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6281258.3513925672</v>
      </c>
      <c r="C45" s="147">
        <v>6281258.3513925672</v>
      </c>
      <c r="D45" s="147"/>
      <c r="E45" s="147">
        <v>6281258.3513925672</v>
      </c>
      <c r="F45" s="147"/>
      <c r="G45" s="147"/>
      <c r="H45" s="147"/>
      <c r="I45" s="147"/>
      <c r="J45" s="147"/>
      <c r="K45" s="147"/>
      <c r="L45" s="147"/>
      <c r="M45" s="147"/>
      <c r="N45" s="147">
        <f>N108</f>
        <v>0</v>
      </c>
      <c r="O45" s="147"/>
      <c r="P45" s="147"/>
      <c r="Q45" s="147"/>
      <c r="R45" s="550">
        <f t="shared" ref="R45:R53" si="11">SUM(E45:Q45)</f>
        <v>6281258.3513925672</v>
      </c>
      <c r="S45" s="147">
        <v>4131839.11434412</v>
      </c>
      <c r="T45" s="147"/>
      <c r="U45" s="143"/>
    </row>
    <row r="46" spans="1:21" s="144" customFormat="1">
      <c r="A46" s="145" t="s">
        <v>151</v>
      </c>
      <c r="B46" s="146">
        <f t="shared" si="10"/>
        <v>477000</v>
      </c>
      <c r="C46" s="147">
        <v>477000</v>
      </c>
      <c r="D46" s="147"/>
      <c r="E46" s="147">
        <v>477000</v>
      </c>
      <c r="F46" s="147"/>
      <c r="G46" s="147"/>
      <c r="H46" s="147"/>
      <c r="I46" s="147"/>
      <c r="J46" s="147"/>
      <c r="K46" s="147"/>
      <c r="L46" s="147"/>
      <c r="M46" s="147"/>
      <c r="N46" s="147"/>
      <c r="O46" s="147"/>
      <c r="P46" s="147"/>
      <c r="Q46" s="147"/>
      <c r="R46" s="550">
        <f t="shared" si="11"/>
        <v>477000</v>
      </c>
      <c r="S46" s="147">
        <v>357750</v>
      </c>
      <c r="T46" s="147"/>
      <c r="U46" s="143"/>
    </row>
    <row r="47" spans="1:21" s="144" customFormat="1">
      <c r="A47" s="198" t="s">
        <v>152</v>
      </c>
      <c r="B47" s="146">
        <f t="shared" si="10"/>
        <v>0</v>
      </c>
      <c r="C47" s="147"/>
      <c r="D47" s="147"/>
      <c r="E47" s="147">
        <v>0</v>
      </c>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c r="D48" s="147"/>
      <c r="E48" s="147">
        <v>0</v>
      </c>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272260</v>
      </c>
      <c r="C49" s="147">
        <v>272260</v>
      </c>
      <c r="D49" s="147"/>
      <c r="E49" s="147">
        <v>272260</v>
      </c>
      <c r="F49" s="147"/>
      <c r="G49" s="147"/>
      <c r="H49" s="147"/>
      <c r="I49" s="147"/>
      <c r="J49" s="147"/>
      <c r="K49" s="147"/>
      <c r="L49" s="147"/>
      <c r="M49" s="147"/>
      <c r="N49" s="147"/>
      <c r="O49" s="147"/>
      <c r="P49" s="147"/>
      <c r="Q49" s="147"/>
      <c r="R49" s="550">
        <f t="shared" si="11"/>
        <v>272260</v>
      </c>
      <c r="S49" s="147"/>
      <c r="T49" s="147"/>
      <c r="U49" s="143"/>
    </row>
    <row r="50" spans="1:21" s="144" customFormat="1">
      <c r="A50" s="145" t="s">
        <v>156</v>
      </c>
      <c r="B50" s="146">
        <f t="shared" si="10"/>
        <v>85000</v>
      </c>
      <c r="C50" s="147">
        <v>85000</v>
      </c>
      <c r="D50" s="147"/>
      <c r="E50" s="147">
        <v>85000</v>
      </c>
      <c r="F50" s="147"/>
      <c r="G50" s="147"/>
      <c r="H50" s="147"/>
      <c r="I50" s="147"/>
      <c r="J50" s="147"/>
      <c r="K50" s="147"/>
      <c r="L50" s="147"/>
      <c r="M50" s="147"/>
      <c r="N50" s="147"/>
      <c r="O50" s="147"/>
      <c r="P50" s="147"/>
      <c r="Q50" s="147"/>
      <c r="R50" s="550">
        <f t="shared" si="11"/>
        <v>85000</v>
      </c>
      <c r="S50" s="147">
        <v>63750</v>
      </c>
      <c r="T50" s="147"/>
      <c r="U50" s="143"/>
    </row>
    <row r="51" spans="1:21" s="144" customFormat="1">
      <c r="A51" s="304" t="s">
        <v>154</v>
      </c>
      <c r="B51" s="146">
        <f t="shared" si="10"/>
        <v>0</v>
      </c>
      <c r="C51" s="147"/>
      <c r="D51" s="147"/>
      <c r="E51" s="147">
        <v>0</v>
      </c>
      <c r="F51" s="147"/>
      <c r="G51" s="147"/>
      <c r="H51" s="147"/>
      <c r="I51" s="147"/>
      <c r="J51" s="147"/>
      <c r="K51" s="147"/>
      <c r="L51" s="147"/>
      <c r="M51" s="147"/>
      <c r="N51" s="147"/>
      <c r="O51" s="147"/>
      <c r="P51" s="147"/>
      <c r="Q51" s="147"/>
      <c r="R51" s="550">
        <f t="shared" si="11"/>
        <v>0</v>
      </c>
      <c r="S51" s="147"/>
      <c r="T51" s="147"/>
      <c r="U51" s="143"/>
    </row>
    <row r="52" spans="1:21" s="144" customFormat="1">
      <c r="A52" s="145" t="s">
        <v>155</v>
      </c>
      <c r="B52" s="146">
        <f t="shared" si="10"/>
        <v>3300000</v>
      </c>
      <c r="C52" s="147">
        <v>3300000</v>
      </c>
      <c r="D52" s="147"/>
      <c r="E52" s="147">
        <v>3300000</v>
      </c>
      <c r="F52" s="147"/>
      <c r="G52" s="147"/>
      <c r="H52" s="147"/>
      <c r="I52" s="147"/>
      <c r="J52" s="147"/>
      <c r="K52" s="147"/>
      <c r="L52" s="147"/>
      <c r="M52" s="147"/>
      <c r="N52" s="147"/>
      <c r="O52" s="147"/>
      <c r="P52" s="147"/>
      <c r="Q52" s="147"/>
      <c r="R52" s="550">
        <f t="shared" si="11"/>
        <v>3300000</v>
      </c>
      <c r="S52" s="147">
        <v>3300000</v>
      </c>
      <c r="T52" s="147"/>
      <c r="U52" s="143"/>
    </row>
    <row r="53" spans="1:21" s="144" customFormat="1">
      <c r="A53" s="1193" t="s">
        <v>2692</v>
      </c>
      <c r="B53" s="146">
        <f t="shared" si="10"/>
        <v>58000</v>
      </c>
      <c r="C53" s="147">
        <v>58000</v>
      </c>
      <c r="D53" s="147"/>
      <c r="E53" s="147">
        <v>58000</v>
      </c>
      <c r="F53" s="147"/>
      <c r="G53" s="147"/>
      <c r="H53" s="147"/>
      <c r="I53" s="147"/>
      <c r="J53" s="147"/>
      <c r="K53" s="147"/>
      <c r="L53" s="147"/>
      <c r="M53" s="147"/>
      <c r="N53" s="147"/>
      <c r="O53" s="147"/>
      <c r="P53" s="147"/>
      <c r="Q53" s="147"/>
      <c r="R53" s="550">
        <f t="shared" si="11"/>
        <v>58000</v>
      </c>
      <c r="S53" s="147">
        <v>58000</v>
      </c>
      <c r="T53" s="147"/>
      <c r="U53" s="143"/>
    </row>
    <row r="54" spans="1:21" s="153" customFormat="1">
      <c r="A54" s="149" t="s">
        <v>157</v>
      </c>
      <c r="B54" s="150">
        <f>SUM(C54:D54)</f>
        <v>10473518.351392567</v>
      </c>
      <c r="C54" s="150">
        <f t="shared" ref="C54:T54" si="12">SUM(C45:C53)</f>
        <v>10473518.351392567</v>
      </c>
      <c r="D54" s="150">
        <f t="shared" si="12"/>
        <v>0</v>
      </c>
      <c r="E54" s="150">
        <f t="shared" si="12"/>
        <v>10473518.351392567</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10473518.351392567</v>
      </c>
      <c r="S54" s="150">
        <f t="shared" si="12"/>
        <v>7911339.11434412</v>
      </c>
      <c r="T54" s="150">
        <f t="shared" si="12"/>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206850</v>
      </c>
      <c r="C56" s="147">
        <v>206850</v>
      </c>
      <c r="D56" s="147"/>
      <c r="E56" s="147">
        <v>206850</v>
      </c>
      <c r="F56" s="147"/>
      <c r="G56" s="147"/>
      <c r="H56" s="147"/>
      <c r="I56" s="147"/>
      <c r="J56" s="147"/>
      <c r="K56" s="147"/>
      <c r="L56" s="147"/>
      <c r="M56" s="147"/>
      <c r="N56" s="147"/>
      <c r="O56" s="147"/>
      <c r="P56" s="147"/>
      <c r="Q56" s="147"/>
      <c r="R56" s="550">
        <f t="shared" ref="R56:R61" si="14">SUM(E56:Q56)</f>
        <v>206850</v>
      </c>
      <c r="S56" s="148"/>
      <c r="T56" s="148"/>
      <c r="U56" s="143"/>
    </row>
    <row r="57" spans="1:21" s="204" customFormat="1">
      <c r="A57" s="198" t="s">
        <v>152</v>
      </c>
      <c r="B57" s="205">
        <f t="shared" si="13"/>
        <v>0</v>
      </c>
      <c r="C57" s="202"/>
      <c r="D57" s="202"/>
      <c r="E57" s="202"/>
      <c r="F57" s="202"/>
      <c r="G57" s="202"/>
      <c r="H57" s="202"/>
      <c r="I57" s="202"/>
      <c r="J57" s="202"/>
      <c r="K57" s="202"/>
      <c r="L57" s="202"/>
      <c r="M57" s="202"/>
      <c r="N57" s="202"/>
      <c r="O57" s="202"/>
      <c r="P57" s="202"/>
      <c r="Q57" s="202"/>
      <c r="R57" s="550">
        <f t="shared" si="14"/>
        <v>0</v>
      </c>
      <c r="S57" s="206"/>
      <c r="T57" s="206"/>
      <c r="U57" s="203"/>
    </row>
    <row r="58" spans="1:21" s="144" customFormat="1">
      <c r="A58" s="145" t="s">
        <v>156</v>
      </c>
      <c r="B58" s="146">
        <f t="shared" si="13"/>
        <v>5000</v>
      </c>
      <c r="C58" s="147">
        <v>5000</v>
      </c>
      <c r="D58" s="147"/>
      <c r="E58" s="147">
        <v>5000</v>
      </c>
      <c r="F58" s="147"/>
      <c r="G58" s="147"/>
      <c r="H58" s="147"/>
      <c r="I58" s="147"/>
      <c r="J58" s="147"/>
      <c r="K58" s="147"/>
      <c r="L58" s="147"/>
      <c r="M58" s="147"/>
      <c r="N58" s="147"/>
      <c r="O58" s="147"/>
      <c r="P58" s="147"/>
      <c r="Q58" s="147"/>
      <c r="R58" s="550">
        <f t="shared" si="14"/>
        <v>5000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34</v>
      </c>
      <c r="B61" s="146">
        <f t="shared" si="13"/>
        <v>0</v>
      </c>
      <c r="C61" s="147"/>
      <c r="D61" s="147"/>
      <c r="E61" s="147"/>
      <c r="F61" s="147"/>
      <c r="G61" s="147"/>
      <c r="H61" s="147"/>
      <c r="I61" s="147"/>
      <c r="J61" s="147"/>
      <c r="K61" s="147"/>
      <c r="L61" s="147"/>
      <c r="M61" s="147"/>
      <c r="N61" s="147"/>
      <c r="O61" s="147"/>
      <c r="P61" s="147"/>
      <c r="Q61" s="147"/>
      <c r="R61" s="550">
        <f t="shared" si="14"/>
        <v>0</v>
      </c>
      <c r="S61" s="148"/>
      <c r="T61" s="148"/>
      <c r="U61" s="143"/>
    </row>
    <row r="62" spans="1:21" s="144" customFormat="1" ht="13.7" customHeight="1">
      <c r="A62" s="149" t="s">
        <v>302</v>
      </c>
      <c r="B62" s="146">
        <f>SUM(C62:D62)</f>
        <v>211850</v>
      </c>
      <c r="C62" s="146">
        <f t="shared" ref="C62:R62" si="15">SUM(C56:C61)</f>
        <v>211850</v>
      </c>
      <c r="D62" s="146">
        <f t="shared" si="15"/>
        <v>0</v>
      </c>
      <c r="E62" s="146">
        <f t="shared" si="15"/>
        <v>211850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211850</v>
      </c>
      <c r="S62" s="148"/>
      <c r="T62" s="148"/>
      <c r="U62" s="143"/>
    </row>
    <row r="63" spans="1:21" s="144" customFormat="1">
      <c r="A63" s="154" t="s">
        <v>303</v>
      </c>
      <c r="B63" s="146">
        <f t="shared" ref="B63:R63" si="16">SUM(B8+B11+B13+B14+B15+B26+B27+B38+B42+B43+B54+B62)</f>
        <v>100884470.91817829</v>
      </c>
      <c r="C63" s="146">
        <f t="shared" si="16"/>
        <v>100884470.91817829</v>
      </c>
      <c r="D63" s="146">
        <f t="shared" si="16"/>
        <v>0</v>
      </c>
      <c r="E63" s="146">
        <f t="shared" si="16"/>
        <v>34550048.362978287</v>
      </c>
      <c r="F63" s="146">
        <f t="shared" si="16"/>
        <v>27580000</v>
      </c>
      <c r="G63" s="146">
        <f t="shared" si="16"/>
        <v>254422.5552</v>
      </c>
      <c r="H63" s="146">
        <f t="shared" si="16"/>
        <v>20000000</v>
      </c>
      <c r="I63" s="146">
        <f t="shared" si="16"/>
        <v>6500000</v>
      </c>
      <c r="J63" s="146">
        <f t="shared" si="16"/>
        <v>8000000</v>
      </c>
      <c r="K63" s="146">
        <f t="shared" si="16"/>
        <v>4000000</v>
      </c>
      <c r="L63" s="146">
        <f t="shared" si="16"/>
        <v>0</v>
      </c>
      <c r="M63" s="146">
        <f t="shared" si="16"/>
        <v>0</v>
      </c>
      <c r="N63" s="146">
        <f t="shared" si="16"/>
        <v>0</v>
      </c>
      <c r="O63" s="146">
        <f t="shared" si="16"/>
        <v>0</v>
      </c>
      <c r="P63" s="146">
        <f t="shared" si="16"/>
        <v>0</v>
      </c>
      <c r="Q63" s="146">
        <f t="shared" si="16"/>
        <v>0</v>
      </c>
      <c r="R63" s="370">
        <f t="shared" si="16"/>
        <v>100884470.91817829</v>
      </c>
      <c r="S63" s="146">
        <f>SUM(S10+S13+S14+S15+S26+S27+S38+S42+S43+S54)</f>
        <v>90984977.681129843</v>
      </c>
      <c r="T63" s="146">
        <f>SUM(T11+T13+T14+T15+T26+T27+T38+T42+T43+T54)</f>
        <v>0</v>
      </c>
      <c r="U63" s="143"/>
    </row>
    <row r="64" spans="1:21" s="144" customFormat="1" ht="24">
      <c r="A64" s="141" t="s">
        <v>1757</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452595</v>
      </c>
      <c r="C65" s="147">
        <v>452595</v>
      </c>
      <c r="D65" s="147"/>
      <c r="E65" s="147">
        <v>452595</v>
      </c>
      <c r="F65" s="147"/>
      <c r="G65" s="147"/>
      <c r="H65" s="147"/>
      <c r="I65" s="147"/>
      <c r="J65" s="147"/>
      <c r="K65" s="147"/>
      <c r="L65" s="147"/>
      <c r="M65" s="147"/>
      <c r="N65" s="147"/>
      <c r="O65" s="147"/>
      <c r="P65" s="147"/>
      <c r="Q65" s="147"/>
      <c r="R65" s="550">
        <f>SUM(E65:Q65)</f>
        <v>452595</v>
      </c>
      <c r="S65" s="147">
        <v>169606.35</v>
      </c>
      <c r="T65" s="147"/>
      <c r="U65" s="143"/>
    </row>
    <row r="66" spans="1:21" s="144" customFormat="1" ht="24" customHeight="1">
      <c r="A66" s="304" t="s">
        <v>1754</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1755</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1761</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34</v>
      </c>
      <c r="B69" s="146">
        <f>SUM(C69+D69)</f>
        <v>0</v>
      </c>
      <c r="C69" s="147"/>
      <c r="D69" s="147"/>
      <c r="E69" s="147"/>
      <c r="F69" s="147"/>
      <c r="G69" s="147"/>
      <c r="H69" s="147"/>
      <c r="I69" s="147"/>
      <c r="J69" s="147"/>
      <c r="K69" s="147"/>
      <c r="L69" s="147"/>
      <c r="M69" s="147"/>
      <c r="N69" s="147"/>
      <c r="O69" s="147"/>
      <c r="P69" s="147"/>
      <c r="Q69" s="147"/>
      <c r="R69" s="550">
        <f>SUM(E69:Q69)</f>
        <v>0</v>
      </c>
      <c r="S69" s="147"/>
      <c r="T69" s="147"/>
      <c r="U69" s="143"/>
    </row>
    <row r="70" spans="1:21" s="144" customFormat="1">
      <c r="A70" s="149" t="s">
        <v>1758</v>
      </c>
      <c r="B70" s="146">
        <f>SUM(C70:D70)</f>
        <v>452595</v>
      </c>
      <c r="C70" s="146">
        <f>SUM(C65:C69)</f>
        <v>452595</v>
      </c>
      <c r="D70" s="146">
        <f>SUM(D65:D69)</f>
        <v>0</v>
      </c>
      <c r="E70" s="146">
        <f t="shared" ref="E70:T70" si="17">SUM(E65:E69)</f>
        <v>452595</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452595</v>
      </c>
      <c r="S70" s="150">
        <f t="shared" si="17"/>
        <v>169606.35</v>
      </c>
      <c r="T70" s="150">
        <f t="shared" si="17"/>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906175.5834271214</v>
      </c>
      <c r="C75" s="147">
        <v>906175.5834271214</v>
      </c>
      <c r="D75" s="147"/>
      <c r="E75" s="147">
        <v>906175.5834271214</v>
      </c>
      <c r="F75" s="147"/>
      <c r="G75" s="147"/>
      <c r="H75" s="147"/>
      <c r="I75" s="147"/>
      <c r="J75" s="147"/>
      <c r="K75" s="147"/>
      <c r="L75" s="147"/>
      <c r="M75" s="147"/>
      <c r="N75" s="147"/>
      <c r="O75" s="147"/>
      <c r="P75" s="147"/>
      <c r="Q75" s="147"/>
      <c r="R75" s="550">
        <f>SUM(E75:Q75)</f>
        <v>906175.5834271214</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614</v>
      </c>
      <c r="B77" s="146">
        <f>SUM(C77:D77)</f>
        <v>906175.5834271214</v>
      </c>
      <c r="C77" s="146">
        <f>SUM(C72:C76)</f>
        <v>906175.5834271214</v>
      </c>
      <c r="D77" s="146">
        <f>SUM(D72:D76)</f>
        <v>0</v>
      </c>
      <c r="E77" s="146">
        <f t="shared" ref="E77:Q77" si="18">SUM(E72:E76)</f>
        <v>906175.5834271214</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906175.5834271214</v>
      </c>
      <c r="S77" s="148"/>
      <c r="T77" s="148"/>
      <c r="U77" s="143"/>
    </row>
    <row r="78" spans="1:21" s="144" customFormat="1">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3927883.8926250003</v>
      </c>
      <c r="C79" s="147">
        <v>3927883.8926250003</v>
      </c>
      <c r="D79" s="147"/>
      <c r="E79" s="147">
        <v>3927883.8926250003</v>
      </c>
      <c r="F79" s="147"/>
      <c r="G79" s="147"/>
      <c r="H79" s="147"/>
      <c r="I79" s="147"/>
      <c r="J79" s="147"/>
      <c r="K79" s="147"/>
      <c r="L79" s="147"/>
      <c r="M79" s="147"/>
      <c r="N79" s="147"/>
      <c r="O79" s="147"/>
      <c r="P79" s="147"/>
      <c r="Q79" s="147"/>
      <c r="R79" s="550">
        <f>SUM(E79:Q79)</f>
        <v>3927883.8926250003</v>
      </c>
      <c r="S79" s="147">
        <f>R79</f>
        <v>3927883.8926250003</v>
      </c>
      <c r="T79" s="147"/>
      <c r="U79" s="143"/>
    </row>
    <row r="80" spans="1:21" s="144" customFormat="1">
      <c r="A80" s="304" t="s">
        <v>58</v>
      </c>
      <c r="B80" s="146">
        <f>SUM(C80:D80)</f>
        <v>558867.26528936147</v>
      </c>
      <c r="C80" s="147">
        <v>558867.26528936147</v>
      </c>
      <c r="D80" s="147"/>
      <c r="E80" s="147">
        <v>558867.26528936147</v>
      </c>
      <c r="F80" s="147"/>
      <c r="G80" s="147"/>
      <c r="H80" s="147"/>
      <c r="I80" s="147"/>
      <c r="J80" s="147"/>
      <c r="K80" s="147"/>
      <c r="L80" s="147"/>
      <c r="M80" s="147"/>
      <c r="N80" s="147"/>
      <c r="O80" s="147"/>
      <c r="P80" s="147"/>
      <c r="Q80" s="147"/>
      <c r="R80" s="550">
        <f>SUM(E80:Q80)</f>
        <v>558867.26528936147</v>
      </c>
      <c r="S80" s="147">
        <f>R80</f>
        <v>558867.26528936147</v>
      </c>
      <c r="T80" s="147"/>
      <c r="U80" s="143"/>
    </row>
    <row r="81" spans="1:21" s="144" customFormat="1">
      <c r="A81" s="149" t="s">
        <v>1315</v>
      </c>
      <c r="B81" s="146">
        <f>SUM(C81:D81)</f>
        <v>4486751.1579143619</v>
      </c>
      <c r="C81" s="543">
        <f>SUM(C79:C80)</f>
        <v>4486751.1579143619</v>
      </c>
      <c r="D81" s="543">
        <f t="shared" ref="D81:T81" si="19">SUM(D79:D80)</f>
        <v>0</v>
      </c>
      <c r="E81" s="543">
        <f t="shared" si="19"/>
        <v>4486751.1579143619</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4486751.1579143619</v>
      </c>
      <c r="S81" s="543">
        <f t="shared" si="19"/>
        <v>4486751.1579143619</v>
      </c>
      <c r="T81" s="543">
        <f t="shared" si="19"/>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2411</v>
      </c>
      <c r="B83" s="146">
        <f t="shared" ref="B83:B95" si="20">SUM(C83+D83)</f>
        <v>115450.94287561768</v>
      </c>
      <c r="C83" s="147">
        <v>115450.94287561768</v>
      </c>
      <c r="D83" s="147"/>
      <c r="E83" s="147">
        <v>115450.94287561768</v>
      </c>
      <c r="F83" s="147"/>
      <c r="G83" s="147"/>
      <c r="H83" s="147"/>
      <c r="I83" s="147"/>
      <c r="J83" s="147"/>
      <c r="K83" s="147"/>
      <c r="L83" s="147"/>
      <c r="M83" s="147"/>
      <c r="N83" s="147"/>
      <c r="O83" s="147"/>
      <c r="P83" s="147"/>
      <c r="Q83" s="147"/>
      <c r="R83" s="550">
        <f t="shared" ref="R83:R95" si="21">SUM(E83:Q83)</f>
        <v>115450.94287561768</v>
      </c>
      <c r="S83" s="148"/>
      <c r="T83" s="148"/>
      <c r="U83" s="143"/>
    </row>
    <row r="84" spans="1:21" s="144" customFormat="1">
      <c r="A84" s="145" t="s">
        <v>776</v>
      </c>
      <c r="B84" s="146">
        <f t="shared" si="20"/>
        <v>43000</v>
      </c>
      <c r="C84" s="147">
        <v>43000</v>
      </c>
      <c r="D84" s="147"/>
      <c r="E84" s="147">
        <v>43000</v>
      </c>
      <c r="F84" s="147"/>
      <c r="G84" s="147"/>
      <c r="H84" s="147"/>
      <c r="I84" s="147"/>
      <c r="J84" s="147"/>
      <c r="K84" s="147"/>
      <c r="L84" s="147"/>
      <c r="M84" s="147"/>
      <c r="N84" s="147"/>
      <c r="O84" s="147"/>
      <c r="P84" s="147"/>
      <c r="Q84" s="147"/>
      <c r="R84" s="550">
        <f t="shared" si="21"/>
        <v>43000</v>
      </c>
      <c r="S84" s="147">
        <v>43000</v>
      </c>
      <c r="T84" s="147"/>
      <c r="U84" s="143"/>
    </row>
    <row r="85" spans="1:21" s="144" customFormat="1">
      <c r="A85" s="145" t="s">
        <v>777</v>
      </c>
      <c r="B85" s="146">
        <f t="shared" si="20"/>
        <v>1375976</v>
      </c>
      <c r="C85" s="147">
        <v>1375976</v>
      </c>
      <c r="D85" s="147"/>
      <c r="E85" s="147">
        <v>1375976</v>
      </c>
      <c r="F85" s="147"/>
      <c r="G85" s="147"/>
      <c r="H85" s="147"/>
      <c r="I85" s="147"/>
      <c r="J85" s="147"/>
      <c r="K85" s="147"/>
      <c r="L85" s="147"/>
      <c r="M85" s="147"/>
      <c r="N85" s="147"/>
      <c r="O85" s="147"/>
      <c r="P85" s="147"/>
      <c r="Q85" s="147"/>
      <c r="R85" s="550">
        <f t="shared" si="21"/>
        <v>1375976</v>
      </c>
      <c r="S85" s="147">
        <v>1375976</v>
      </c>
      <c r="T85" s="147"/>
      <c r="U85" s="143"/>
    </row>
    <row r="86" spans="1:21" s="144" customFormat="1">
      <c r="A86" s="145" t="s">
        <v>778</v>
      </c>
      <c r="B86" s="146">
        <f t="shared" si="20"/>
        <v>837796</v>
      </c>
      <c r="C86" s="147">
        <v>837796</v>
      </c>
      <c r="D86" s="147"/>
      <c r="E86" s="147">
        <v>837796</v>
      </c>
      <c r="F86" s="147"/>
      <c r="G86" s="147"/>
      <c r="H86" s="147"/>
      <c r="I86" s="147"/>
      <c r="J86" s="147"/>
      <c r="K86" s="147"/>
      <c r="L86" s="147"/>
      <c r="M86" s="147"/>
      <c r="N86" s="147"/>
      <c r="O86" s="147"/>
      <c r="P86" s="147"/>
      <c r="Q86" s="147"/>
      <c r="R86" s="550">
        <f t="shared" si="21"/>
        <v>837796</v>
      </c>
      <c r="S86" s="147">
        <v>837796</v>
      </c>
      <c r="T86" s="147"/>
      <c r="U86" s="143"/>
    </row>
    <row r="87" spans="1:21" s="144" customFormat="1">
      <c r="A87" s="145" t="s">
        <v>779</v>
      </c>
      <c r="B87" s="146">
        <f t="shared" si="20"/>
        <v>0</v>
      </c>
      <c r="C87" s="147"/>
      <c r="D87" s="147"/>
      <c r="E87" s="147">
        <v>0</v>
      </c>
      <c r="F87" s="147"/>
      <c r="G87" s="147"/>
      <c r="H87" s="147"/>
      <c r="I87" s="147"/>
      <c r="J87" s="147"/>
      <c r="K87" s="147"/>
      <c r="L87" s="147"/>
      <c r="M87" s="147"/>
      <c r="N87" s="147"/>
      <c r="O87" s="147"/>
      <c r="P87" s="147"/>
      <c r="Q87" s="147"/>
      <c r="R87" s="550">
        <f t="shared" si="21"/>
        <v>0</v>
      </c>
      <c r="S87" s="147"/>
      <c r="T87" s="147"/>
      <c r="U87" s="143"/>
    </row>
    <row r="88" spans="1:21" s="144" customFormat="1">
      <c r="A88" s="145" t="s">
        <v>780</v>
      </c>
      <c r="B88" s="146">
        <f t="shared" si="20"/>
        <v>132639</v>
      </c>
      <c r="C88" s="147">
        <v>132639</v>
      </c>
      <c r="D88" s="147"/>
      <c r="E88" s="147">
        <v>132639</v>
      </c>
      <c r="F88" s="147"/>
      <c r="G88" s="147"/>
      <c r="H88" s="147"/>
      <c r="I88" s="147"/>
      <c r="J88" s="147"/>
      <c r="K88" s="147"/>
      <c r="L88" s="147"/>
      <c r="M88" s="147"/>
      <c r="N88" s="147"/>
      <c r="O88" s="147"/>
      <c r="P88" s="147"/>
      <c r="Q88" s="147"/>
      <c r="R88" s="550">
        <f t="shared" si="21"/>
        <v>132639</v>
      </c>
      <c r="S88" s="148"/>
      <c r="T88" s="148"/>
      <c r="U88" s="143"/>
    </row>
    <row r="89" spans="1:21" s="144" customFormat="1">
      <c r="A89" s="145" t="s">
        <v>781</v>
      </c>
      <c r="B89" s="146">
        <f t="shared" si="20"/>
        <v>550000</v>
      </c>
      <c r="C89" s="147">
        <v>550000</v>
      </c>
      <c r="D89" s="147"/>
      <c r="E89" s="147">
        <v>550000</v>
      </c>
      <c r="F89" s="147"/>
      <c r="G89" s="147"/>
      <c r="H89" s="147"/>
      <c r="I89" s="147"/>
      <c r="J89" s="147"/>
      <c r="K89" s="147"/>
      <c r="L89" s="147"/>
      <c r="M89" s="147"/>
      <c r="N89" s="147"/>
      <c r="O89" s="147"/>
      <c r="P89" s="147"/>
      <c r="Q89" s="147"/>
      <c r="R89" s="550">
        <f t="shared" si="21"/>
        <v>550000</v>
      </c>
      <c r="S89" s="147">
        <v>550000</v>
      </c>
      <c r="T89" s="147"/>
      <c r="U89" s="143"/>
    </row>
    <row r="90" spans="1:21" s="144" customFormat="1">
      <c r="A90" s="145" t="s">
        <v>782</v>
      </c>
      <c r="B90" s="146">
        <f t="shared" si="20"/>
        <v>15000</v>
      </c>
      <c r="C90" s="147">
        <v>15000</v>
      </c>
      <c r="D90" s="147"/>
      <c r="E90" s="147">
        <v>15000</v>
      </c>
      <c r="F90" s="147"/>
      <c r="G90" s="147"/>
      <c r="H90" s="147"/>
      <c r="I90" s="147"/>
      <c r="J90" s="147"/>
      <c r="K90" s="147"/>
      <c r="L90" s="147"/>
      <c r="M90" s="147"/>
      <c r="N90" s="147"/>
      <c r="O90" s="147"/>
      <c r="P90" s="147"/>
      <c r="Q90" s="147"/>
      <c r="R90" s="550">
        <f t="shared" si="21"/>
        <v>15000</v>
      </c>
      <c r="S90" s="147">
        <v>15000</v>
      </c>
      <c r="T90" s="147"/>
      <c r="U90" s="143"/>
    </row>
    <row r="91" spans="1:21" s="144" customFormat="1">
      <c r="A91" s="145" t="s">
        <v>373</v>
      </c>
      <c r="B91" s="146">
        <f t="shared" si="20"/>
        <v>85000</v>
      </c>
      <c r="C91" s="147">
        <v>85000</v>
      </c>
      <c r="D91" s="147"/>
      <c r="E91" s="147">
        <v>85000</v>
      </c>
      <c r="F91" s="147"/>
      <c r="G91" s="147"/>
      <c r="H91" s="147"/>
      <c r="I91" s="147"/>
      <c r="J91" s="147"/>
      <c r="K91" s="147"/>
      <c r="L91" s="147"/>
      <c r="M91" s="147"/>
      <c r="N91" s="147"/>
      <c r="O91" s="147"/>
      <c r="P91" s="147"/>
      <c r="Q91" s="147"/>
      <c r="R91" s="550">
        <f t="shared" si="21"/>
        <v>85000</v>
      </c>
      <c r="S91" s="147">
        <v>85000</v>
      </c>
      <c r="T91" s="147"/>
      <c r="U91" s="143"/>
    </row>
    <row r="92" spans="1:21" s="144" customFormat="1">
      <c r="A92" s="304" t="s">
        <v>1317</v>
      </c>
      <c r="B92" s="146">
        <f t="shared" si="20"/>
        <v>15000</v>
      </c>
      <c r="C92" s="147">
        <v>15000</v>
      </c>
      <c r="D92" s="147"/>
      <c r="E92" s="147">
        <v>15000</v>
      </c>
      <c r="F92" s="147"/>
      <c r="G92" s="147"/>
      <c r="H92" s="147"/>
      <c r="I92" s="147"/>
      <c r="J92" s="147"/>
      <c r="K92" s="147"/>
      <c r="L92" s="147"/>
      <c r="M92" s="147"/>
      <c r="N92" s="147"/>
      <c r="O92" s="147"/>
      <c r="P92" s="147"/>
      <c r="Q92" s="147"/>
      <c r="R92" s="550">
        <f t="shared" si="21"/>
        <v>15000</v>
      </c>
      <c r="S92" s="147">
        <v>15000</v>
      </c>
      <c r="T92" s="147"/>
      <c r="U92" s="143"/>
    </row>
    <row r="93" spans="1:21" s="144" customFormat="1">
      <c r="A93" s="1193" t="s">
        <v>2695</v>
      </c>
      <c r="B93" s="146">
        <f t="shared" si="20"/>
        <v>0</v>
      </c>
      <c r="C93" s="147"/>
      <c r="D93" s="147"/>
      <c r="E93" s="147"/>
      <c r="F93" s="147"/>
      <c r="G93" s="147"/>
      <c r="H93" s="147"/>
      <c r="I93" s="147"/>
      <c r="J93" s="147"/>
      <c r="K93" s="147"/>
      <c r="L93" s="147"/>
      <c r="M93" s="147"/>
      <c r="N93" s="147"/>
      <c r="O93" s="147"/>
      <c r="P93" s="147"/>
      <c r="Q93" s="147"/>
      <c r="R93" s="550">
        <f t="shared" si="21"/>
        <v>0</v>
      </c>
      <c r="S93" s="147"/>
      <c r="T93" s="147">
        <f>R93</f>
        <v>0</v>
      </c>
      <c r="U93" s="143"/>
    </row>
    <row r="94" spans="1:21" s="144" customFormat="1">
      <c r="A94" s="1193" t="s">
        <v>2696</v>
      </c>
      <c r="B94" s="146">
        <f t="shared" si="20"/>
        <v>82000</v>
      </c>
      <c r="C94" s="147">
        <v>82000</v>
      </c>
      <c r="D94" s="147"/>
      <c r="E94" s="147">
        <v>82000</v>
      </c>
      <c r="F94" s="147"/>
      <c r="G94" s="147"/>
      <c r="H94" s="147"/>
      <c r="I94" s="147"/>
      <c r="J94" s="147"/>
      <c r="K94" s="147"/>
      <c r="L94" s="147"/>
      <c r="M94" s="147"/>
      <c r="N94" s="147"/>
      <c r="O94" s="147"/>
      <c r="P94" s="147"/>
      <c r="Q94" s="147"/>
      <c r="R94" s="550">
        <f t="shared" si="21"/>
        <v>82000</v>
      </c>
      <c r="S94" s="147">
        <v>73250</v>
      </c>
      <c r="T94" s="147"/>
      <c r="U94" s="143"/>
    </row>
    <row r="95" spans="1:21" s="144" customFormat="1">
      <c r="A95" s="1193" t="s">
        <v>2693</v>
      </c>
      <c r="B95" s="146">
        <f t="shared" si="20"/>
        <v>16000</v>
      </c>
      <c r="C95" s="147">
        <v>16000</v>
      </c>
      <c r="D95" s="147"/>
      <c r="E95" s="147">
        <v>16000</v>
      </c>
      <c r="F95" s="147"/>
      <c r="G95" s="147"/>
      <c r="H95" s="147"/>
      <c r="I95" s="147"/>
      <c r="J95" s="147"/>
      <c r="K95" s="147"/>
      <c r="L95" s="147"/>
      <c r="M95" s="147"/>
      <c r="N95" s="147"/>
      <c r="O95" s="147"/>
      <c r="P95" s="147"/>
      <c r="Q95" s="147"/>
      <c r="R95" s="550">
        <f t="shared" si="21"/>
        <v>16000</v>
      </c>
      <c r="S95" s="147">
        <v>16000</v>
      </c>
      <c r="T95" s="147"/>
      <c r="U95" s="143"/>
    </row>
    <row r="96" spans="1:21" s="144" customFormat="1">
      <c r="A96" s="149" t="s">
        <v>783</v>
      </c>
      <c r="B96" s="146">
        <f>SUM(C96:D96)</f>
        <v>3267861.9428756176</v>
      </c>
      <c r="C96" s="146">
        <f t="shared" ref="C96:R96" si="22">SUM(C83:C95)</f>
        <v>3267861.9428756176</v>
      </c>
      <c r="D96" s="146">
        <f t="shared" si="22"/>
        <v>0</v>
      </c>
      <c r="E96" s="146">
        <f t="shared" si="22"/>
        <v>3267861.9428756176</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3267861.9428756176</v>
      </c>
      <c r="S96" s="150">
        <f>SUM(S84:S87,S89:S95)</f>
        <v>3011022</v>
      </c>
      <c r="T96" s="146">
        <f>SUM(T84:T87,T89:T95)</f>
        <v>0</v>
      </c>
      <c r="U96" s="143"/>
    </row>
    <row r="97" spans="1:21" s="144" customFormat="1">
      <c r="A97" s="149" t="s">
        <v>784</v>
      </c>
      <c r="B97" s="146">
        <f>SUM(C97:D97)</f>
        <v>109997854.60239539</v>
      </c>
      <c r="C97" s="146">
        <f t="shared" ref="C97:R97" si="23">SUM(C63+C70+C77+C81+C96)</f>
        <v>109997854.60239539</v>
      </c>
      <c r="D97" s="146">
        <f t="shared" si="23"/>
        <v>0</v>
      </c>
      <c r="E97" s="146">
        <f t="shared" si="23"/>
        <v>43663432.04719539</v>
      </c>
      <c r="F97" s="146">
        <f t="shared" si="23"/>
        <v>27580000</v>
      </c>
      <c r="G97" s="146">
        <f t="shared" si="23"/>
        <v>254422.5552</v>
      </c>
      <c r="H97" s="146">
        <f t="shared" si="23"/>
        <v>20000000</v>
      </c>
      <c r="I97" s="146">
        <f t="shared" si="23"/>
        <v>6500000</v>
      </c>
      <c r="J97" s="146">
        <f t="shared" si="23"/>
        <v>8000000</v>
      </c>
      <c r="K97" s="146">
        <f t="shared" si="23"/>
        <v>4000000</v>
      </c>
      <c r="L97" s="146">
        <f t="shared" si="23"/>
        <v>0</v>
      </c>
      <c r="M97" s="146">
        <f t="shared" si="23"/>
        <v>0</v>
      </c>
      <c r="N97" s="146">
        <f t="shared" si="23"/>
        <v>0</v>
      </c>
      <c r="O97" s="146">
        <f t="shared" si="23"/>
        <v>0</v>
      </c>
      <c r="P97" s="146">
        <f t="shared" si="23"/>
        <v>0</v>
      </c>
      <c r="Q97" s="146">
        <f t="shared" si="23"/>
        <v>0</v>
      </c>
      <c r="R97" s="146">
        <f t="shared" si="23"/>
        <v>109997854.60239539</v>
      </c>
      <c r="S97" s="146">
        <f>SUM(S63+S70+S81+S96)</f>
        <v>98652357.189044192</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12000000</v>
      </c>
      <c r="C99" s="1014">
        <v>12000000</v>
      </c>
      <c r="D99" s="1014"/>
      <c r="E99" s="1014">
        <v>2199960.5594416261</v>
      </c>
      <c r="F99" s="147"/>
      <c r="G99" s="147"/>
      <c r="H99" s="147"/>
      <c r="I99" s="147"/>
      <c r="J99" s="147"/>
      <c r="K99" s="147"/>
      <c r="L99" s="147">
        <f>L108</f>
        <v>5415150.4405583739</v>
      </c>
      <c r="M99" s="147">
        <f>M108</f>
        <v>4384889</v>
      </c>
      <c r="N99" s="147"/>
      <c r="O99" s="147"/>
      <c r="P99" s="147"/>
      <c r="Q99" s="147"/>
      <c r="R99" s="550">
        <f>SUM(E99:Q99)</f>
        <v>12000000</v>
      </c>
      <c r="S99" s="147">
        <v>12000000</v>
      </c>
      <c r="T99" s="147"/>
      <c r="U99" s="143"/>
    </row>
    <row r="100" spans="1:21" s="144" customFormat="1">
      <c r="A100" s="304" t="s">
        <v>1759</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1760</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12000000</v>
      </c>
      <c r="C104" s="146">
        <f>SUM(C99:C103)</f>
        <v>12000000</v>
      </c>
      <c r="D104" s="146">
        <f t="shared" ref="D104:T104" si="24">SUM(D99:D103)</f>
        <v>0</v>
      </c>
      <c r="E104" s="146">
        <f t="shared" si="24"/>
        <v>2199960.5594416261</v>
      </c>
      <c r="F104" s="146">
        <f t="shared" si="24"/>
        <v>0</v>
      </c>
      <c r="G104" s="146">
        <f t="shared" si="24"/>
        <v>0</v>
      </c>
      <c r="H104" s="146">
        <f t="shared" si="24"/>
        <v>0</v>
      </c>
      <c r="I104" s="146">
        <f t="shared" si="24"/>
        <v>0</v>
      </c>
      <c r="J104" s="146">
        <f t="shared" si="24"/>
        <v>0</v>
      </c>
      <c r="K104" s="146">
        <f t="shared" si="24"/>
        <v>0</v>
      </c>
      <c r="L104" s="146">
        <f t="shared" si="24"/>
        <v>5415150.4405583739</v>
      </c>
      <c r="M104" s="146">
        <f t="shared" si="24"/>
        <v>4384889</v>
      </c>
      <c r="N104" s="146">
        <f t="shared" si="24"/>
        <v>0</v>
      </c>
      <c r="O104" s="146">
        <f t="shared" si="24"/>
        <v>0</v>
      </c>
      <c r="P104" s="146">
        <f t="shared" si="24"/>
        <v>0</v>
      </c>
      <c r="Q104" s="146">
        <f t="shared" si="24"/>
        <v>0</v>
      </c>
      <c r="R104" s="370">
        <f t="shared" si="24"/>
        <v>12000000</v>
      </c>
      <c r="S104" s="150">
        <f t="shared" si="24"/>
        <v>12000000</v>
      </c>
      <c r="T104" s="150">
        <f t="shared" si="24"/>
        <v>0</v>
      </c>
      <c r="U104" s="143"/>
    </row>
    <row r="105" spans="1:21" s="144" customFormat="1">
      <c r="A105" s="149" t="s">
        <v>789</v>
      </c>
      <c r="B105" s="150">
        <f>SUM(C105:D105)</f>
        <v>121997854.60239539</v>
      </c>
      <c r="C105" s="150">
        <f t="shared" ref="C105:R105" si="25">SUM(C97+C104)</f>
        <v>121997854.60239539</v>
      </c>
      <c r="D105" s="150">
        <f t="shared" si="25"/>
        <v>0</v>
      </c>
      <c r="E105" s="150">
        <f t="shared" si="25"/>
        <v>45863392.606637016</v>
      </c>
      <c r="F105" s="150">
        <f t="shared" si="25"/>
        <v>27580000</v>
      </c>
      <c r="G105" s="150">
        <f t="shared" si="25"/>
        <v>254422.5552</v>
      </c>
      <c r="H105" s="150">
        <f t="shared" si="25"/>
        <v>20000000</v>
      </c>
      <c r="I105" s="150">
        <f t="shared" si="25"/>
        <v>6500000</v>
      </c>
      <c r="J105" s="150">
        <f t="shared" si="25"/>
        <v>8000000</v>
      </c>
      <c r="K105" s="150">
        <f t="shared" si="25"/>
        <v>4000000</v>
      </c>
      <c r="L105" s="150">
        <f t="shared" si="25"/>
        <v>5415150.4405583739</v>
      </c>
      <c r="M105" s="150">
        <f t="shared" si="25"/>
        <v>4384889</v>
      </c>
      <c r="N105" s="150">
        <f t="shared" si="25"/>
        <v>0</v>
      </c>
      <c r="O105" s="150">
        <f t="shared" si="25"/>
        <v>0</v>
      </c>
      <c r="P105" s="150">
        <f t="shared" si="25"/>
        <v>0</v>
      </c>
      <c r="Q105" s="150">
        <f t="shared" si="25"/>
        <v>0</v>
      </c>
      <c r="R105" s="370">
        <f t="shared" si="25"/>
        <v>121997854.60239539</v>
      </c>
      <c r="S105" s="150">
        <f>S97+S104</f>
        <v>110652357.18904419</v>
      </c>
      <c r="T105" s="150">
        <f>T97+T104</f>
        <v>0</v>
      </c>
      <c r="U105" s="143"/>
    </row>
    <row r="106" spans="1:21">
      <c r="A106" s="548" t="s">
        <v>1044</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110652357.18904419</v>
      </c>
      <c r="T107" s="150">
        <f>T105+T106</f>
        <v>0</v>
      </c>
    </row>
    <row r="108" spans="1:21" s="201" customFormat="1">
      <c r="A108" s="162" t="s">
        <v>891</v>
      </c>
      <c r="B108" s="157"/>
      <c r="C108" s="157"/>
      <c r="D108" s="157"/>
      <c r="E108" s="323">
        <f>Application!AO640</f>
        <v>45863392.606637016</v>
      </c>
      <c r="F108" s="323">
        <f>Application!AO627</f>
        <v>27580000</v>
      </c>
      <c r="G108" s="323">
        <f>Application!AO628</f>
        <v>254422.5552</v>
      </c>
      <c r="H108" s="323">
        <f>Application!AO629</f>
        <v>20000000</v>
      </c>
      <c r="I108" s="323">
        <f>Application!AO630</f>
        <v>6500000</v>
      </c>
      <c r="J108" s="323">
        <f>Application!AO631</f>
        <v>8000000</v>
      </c>
      <c r="K108" s="323">
        <f>Application!AO632</f>
        <v>4000000</v>
      </c>
      <c r="L108" s="323">
        <f>Application!AO633</f>
        <v>5415150.4405583739</v>
      </c>
      <c r="M108" s="323">
        <f>Application!AO634</f>
        <v>4384889</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1043</v>
      </c>
      <c r="B113" s="157"/>
      <c r="C113" s="157"/>
      <c r="D113" s="157"/>
    </row>
    <row r="114" spans="1:21">
      <c r="A114" s="156" t="s">
        <v>2412</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5.75">
      <c r="A121" s="366" t="s">
        <v>1029</v>
      </c>
      <c r="B121" s="157"/>
      <c r="C121" s="157"/>
      <c r="D121" s="157"/>
    </row>
    <row r="122" spans="1:21">
      <c r="A122" s="353" t="s">
        <v>1013</v>
      </c>
      <c r="B122" s="352"/>
      <c r="C122" s="352"/>
      <c r="D122" s="1884" t="s">
        <v>1014</v>
      </c>
      <c r="E122" s="1884"/>
      <c r="F122" s="1884"/>
      <c r="G122" s="352"/>
      <c r="H122" s="352"/>
      <c r="I122" s="352"/>
      <c r="J122" s="352"/>
      <c r="K122" s="352"/>
      <c r="L122" s="352"/>
      <c r="M122" s="352"/>
      <c r="N122" s="352"/>
      <c r="O122" s="352"/>
      <c r="P122" s="352"/>
      <c r="Q122" s="352"/>
      <c r="R122" s="352"/>
      <c r="S122" s="352"/>
      <c r="T122" s="352"/>
      <c r="U122" s="354"/>
    </row>
    <row r="123" spans="1:21">
      <c r="A123" s="352" t="s">
        <v>1015</v>
      </c>
      <c r="B123" s="361"/>
      <c r="C123" s="352"/>
      <c r="D123" s="1886" t="s">
        <v>1331</v>
      </c>
      <c r="E123" s="1792"/>
      <c r="F123" s="1792"/>
      <c r="G123" s="1792"/>
      <c r="H123" s="1792"/>
      <c r="I123" s="1792"/>
      <c r="J123" s="1792"/>
      <c r="K123" s="1792"/>
      <c r="L123" s="1792"/>
      <c r="M123" s="1792"/>
      <c r="N123" s="1792"/>
      <c r="O123" s="1792"/>
      <c r="P123" s="1792"/>
      <c r="Q123" s="1792"/>
      <c r="R123" s="1792"/>
      <c r="S123" s="1792"/>
      <c r="T123" s="352"/>
      <c r="U123" s="354"/>
    </row>
    <row r="124" spans="1:21" ht="12.75">
      <c r="A124" s="117" t="s">
        <v>1016</v>
      </c>
      <c r="B124" s="361"/>
      <c r="C124" s="117"/>
      <c r="D124" s="1792"/>
      <c r="E124" s="1792"/>
      <c r="F124" s="1792"/>
      <c r="G124" s="1792"/>
      <c r="H124" s="1792"/>
      <c r="I124" s="1792"/>
      <c r="J124" s="1792"/>
      <c r="K124" s="1792"/>
      <c r="L124" s="1792"/>
      <c r="M124" s="1792"/>
      <c r="N124" s="1792"/>
      <c r="O124" s="1792"/>
      <c r="P124" s="1792"/>
      <c r="Q124" s="1792"/>
      <c r="R124" s="1792"/>
      <c r="S124" s="1792"/>
      <c r="T124" s="352"/>
      <c r="U124" s="354"/>
    </row>
    <row r="125" spans="1:21" ht="12.75">
      <c r="A125" s="117" t="s">
        <v>1017</v>
      </c>
      <c r="B125" s="361"/>
      <c r="C125" s="117"/>
      <c r="D125" s="1792"/>
      <c r="E125" s="1792"/>
      <c r="F125" s="1792"/>
      <c r="G125" s="1792"/>
      <c r="H125" s="1792"/>
      <c r="I125" s="1792"/>
      <c r="J125" s="1792"/>
      <c r="K125" s="1792"/>
      <c r="L125" s="1792"/>
      <c r="M125" s="1792"/>
      <c r="N125" s="1792"/>
      <c r="O125" s="1792"/>
      <c r="P125" s="1792"/>
      <c r="Q125" s="1792"/>
      <c r="R125" s="1792"/>
      <c r="S125" s="1792"/>
      <c r="T125" s="352"/>
      <c r="U125" s="354"/>
    </row>
    <row r="126" spans="1:21" ht="12.75">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1020</v>
      </c>
      <c r="B128" s="361"/>
      <c r="C128" s="117"/>
      <c r="D128" s="1881"/>
      <c r="E128" s="1881"/>
      <c r="F128" s="1881"/>
      <c r="G128" s="1881"/>
      <c r="H128" s="1881"/>
      <c r="I128" s="117"/>
      <c r="J128" s="1882"/>
      <c r="K128" s="1882"/>
      <c r="L128" s="117"/>
      <c r="M128" s="117"/>
      <c r="N128" s="117"/>
      <c r="O128" s="117"/>
      <c r="P128" s="117"/>
      <c r="Q128" s="117"/>
      <c r="R128" s="117"/>
      <c r="S128" s="117"/>
      <c r="T128" s="352"/>
      <c r="U128" s="354"/>
    </row>
    <row r="129" spans="1:21" ht="12.75">
      <c r="A129" s="117" t="s">
        <v>301</v>
      </c>
      <c r="B129" s="361"/>
      <c r="C129" s="117"/>
      <c r="D129" s="1883" t="s">
        <v>1021</v>
      </c>
      <c r="E129" s="1883"/>
      <c r="F129" s="1883"/>
      <c r="G129" s="1883"/>
      <c r="H129" s="1883"/>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1023</v>
      </c>
      <c r="B131" s="362">
        <f>SUM(B123:B129)</f>
        <v>0</v>
      </c>
      <c r="C131" s="117"/>
      <c r="D131" s="1859"/>
      <c r="E131" s="1859"/>
      <c r="F131" s="1859"/>
      <c r="G131" s="1859"/>
      <c r="H131" s="1859"/>
      <c r="I131" s="117"/>
      <c r="J131" s="1859"/>
      <c r="K131" s="1859"/>
      <c r="L131" s="1859"/>
      <c r="M131" s="1859"/>
      <c r="N131" s="117"/>
      <c r="O131" s="117"/>
      <c r="P131" s="117"/>
      <c r="Q131" s="117"/>
      <c r="R131" s="117"/>
      <c r="S131" s="117"/>
      <c r="T131" s="352"/>
      <c r="U131" s="354"/>
    </row>
    <row r="132" spans="1:21" ht="12" customHeight="1">
      <c r="A132" s="364"/>
      <c r="B132" s="117"/>
      <c r="C132" s="117"/>
      <c r="D132" s="1887" t="s">
        <v>1024</v>
      </c>
      <c r="E132" s="1887"/>
      <c r="F132" s="1887"/>
      <c r="G132" s="1887"/>
      <c r="H132" s="1887"/>
      <c r="I132" s="117"/>
      <c r="J132" s="1887" t="s">
        <v>1025</v>
      </c>
      <c r="K132" s="1887"/>
      <c r="L132" s="1887"/>
      <c r="M132" s="1887"/>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88"/>
      <c r="B138" s="1881"/>
      <c r="C138" s="1881"/>
      <c r="D138" s="356"/>
      <c r="E138" s="1882"/>
      <c r="F138" s="1882"/>
      <c r="G138" s="117"/>
      <c r="H138" s="117"/>
      <c r="I138" s="117"/>
      <c r="J138" s="117"/>
      <c r="K138" s="117"/>
      <c r="L138" s="117"/>
      <c r="M138" s="117"/>
      <c r="N138" s="117"/>
      <c r="O138" s="117"/>
      <c r="P138" s="117"/>
      <c r="Q138" s="117"/>
      <c r="R138" s="117"/>
      <c r="S138" s="117"/>
      <c r="T138" s="358"/>
      <c r="U138" s="359"/>
    </row>
    <row r="139" spans="1:21" ht="12.75">
      <c r="A139" s="1885" t="s">
        <v>1028</v>
      </c>
      <c r="B139" s="1885"/>
      <c r="C139" s="1885"/>
      <c r="D139" s="356"/>
      <c r="E139" s="117" t="s">
        <v>1022</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39" workbookViewId="0">
      <selection sqref="A1:J1"/>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91" t="s">
        <v>1334</v>
      </c>
      <c r="B1" s="1892"/>
      <c r="C1" s="1892"/>
      <c r="D1" s="1892"/>
      <c r="E1" s="1892"/>
      <c r="F1" s="1892"/>
      <c r="G1" s="1892"/>
      <c r="H1" s="1892"/>
      <c r="I1" s="1892"/>
      <c r="J1" s="1893"/>
      <c r="K1" s="386"/>
    </row>
    <row r="2" spans="1:11" s="432" customFormat="1" ht="72">
      <c r="A2" s="429"/>
      <c r="B2" s="430" t="s">
        <v>1051</v>
      </c>
      <c r="C2" s="430" t="s">
        <v>1336</v>
      </c>
      <c r="D2" s="430" t="s">
        <v>1337</v>
      </c>
      <c r="E2" s="430" t="s">
        <v>1262</v>
      </c>
      <c r="F2" s="430" t="s">
        <v>1338</v>
      </c>
      <c r="G2" s="430" t="s">
        <v>1339</v>
      </c>
      <c r="H2" s="430" t="s">
        <v>1052</v>
      </c>
      <c r="I2" s="430" t="s">
        <v>1340</v>
      </c>
      <c r="J2" s="430" t="s">
        <v>1341</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6500000</v>
      </c>
      <c r="C4" s="393">
        <f>B4</f>
        <v>6500000</v>
      </c>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6500000</v>
      </c>
      <c r="C8" s="392">
        <f>SUM(C4:C7)</f>
        <v>6500000</v>
      </c>
      <c r="D8" s="392">
        <f>SUM(D4:D7)</f>
        <v>0</v>
      </c>
      <c r="E8" s="394"/>
      <c r="F8" s="394"/>
      <c r="G8" s="394"/>
      <c r="H8" s="394"/>
      <c r="I8" s="394"/>
      <c r="J8" s="394"/>
      <c r="K8" s="390"/>
    </row>
    <row r="9" spans="1:11" s="391" customFormat="1">
      <c r="A9" s="395" t="s">
        <v>602</v>
      </c>
      <c r="B9" s="392">
        <f>'Sources and Uses Budget'!C9</f>
        <v>0</v>
      </c>
      <c r="C9" s="393"/>
      <c r="D9" s="393"/>
      <c r="E9" s="394"/>
      <c r="F9" s="394"/>
      <c r="G9" s="394"/>
      <c r="H9" s="392">
        <f>'Sources and Uses Budget'!T9</f>
        <v>0</v>
      </c>
      <c r="I9" s="393"/>
      <c r="J9" s="393"/>
      <c r="K9" s="390"/>
    </row>
    <row r="10" spans="1:11" s="391" customFormat="1">
      <c r="A10" s="395" t="s">
        <v>603</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604</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6500000</v>
      </c>
      <c r="C12" s="392">
        <f>SUM(C8+C11)</f>
        <v>6500000</v>
      </c>
      <c r="D12" s="392">
        <f>SUM(D8+D11)</f>
        <v>0</v>
      </c>
      <c r="E12" s="394"/>
      <c r="F12" s="394"/>
      <c r="G12" s="394"/>
      <c r="H12" s="394"/>
      <c r="I12" s="394"/>
      <c r="J12" s="394"/>
      <c r="K12" s="390"/>
    </row>
    <row r="13" spans="1:11" s="391" customFormat="1">
      <c r="A13" s="397" t="s">
        <v>917</v>
      </c>
      <c r="B13" s="392">
        <f>'Sources and Uses Budget'!C13</f>
        <v>930883</v>
      </c>
      <c r="C13" s="393">
        <f>B13</f>
        <v>930883</v>
      </c>
      <c r="D13" s="393"/>
      <c r="E13" s="392">
        <f>'Sources and Uses Budget'!S13</f>
        <v>405419</v>
      </c>
      <c r="F13" s="393">
        <f>E13</f>
        <v>405419</v>
      </c>
      <c r="G13" s="393"/>
      <c r="H13" s="392">
        <f>'Sources and Uses Budget'!T13</f>
        <v>0</v>
      </c>
      <c r="I13" s="393"/>
      <c r="J13" s="393"/>
      <c r="K13" s="390"/>
    </row>
    <row r="14" spans="1:11" s="391" customFormat="1" ht="24">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1753</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2400000</v>
      </c>
      <c r="C29" s="393">
        <f>B29</f>
        <v>2400000</v>
      </c>
      <c r="D29" s="393"/>
      <c r="E29" s="392">
        <f>'Sources and Uses Budget'!S29</f>
        <v>2300000</v>
      </c>
      <c r="F29" s="393">
        <f>E29</f>
        <v>2300000</v>
      </c>
      <c r="G29" s="393"/>
      <c r="H29" s="392">
        <f>'Sources and Uses Budget'!T29</f>
        <v>0</v>
      </c>
      <c r="I29" s="393"/>
      <c r="J29" s="393"/>
      <c r="K29" s="390"/>
    </row>
    <row r="30" spans="1:11" s="391" customFormat="1">
      <c r="A30" s="145" t="s">
        <v>607</v>
      </c>
      <c r="B30" s="392">
        <f>'Sources and Uses Budget'!C30</f>
        <v>65388254.37062937</v>
      </c>
      <c r="C30" s="393">
        <f t="shared" ref="C30:C37" si="0">B30</f>
        <v>65388254.37062937</v>
      </c>
      <c r="D30" s="393"/>
      <c r="E30" s="392">
        <f>'Sources and Uses Budget'!S30</f>
        <v>65388254.370629378</v>
      </c>
      <c r="F30" s="393">
        <f t="shared" ref="F30:F37" si="1">E30</f>
        <v>65388254.370629378</v>
      </c>
      <c r="G30" s="393"/>
      <c r="H30" s="392">
        <f>'Sources and Uses Budget'!T30</f>
        <v>0</v>
      </c>
      <c r="I30" s="393"/>
      <c r="J30" s="393"/>
      <c r="K30" s="390"/>
    </row>
    <row r="31" spans="1:11" s="391" customFormat="1">
      <c r="A31" s="145" t="s">
        <v>608</v>
      </c>
      <c r="B31" s="392">
        <f>'Sources and Uses Budget'!C31</f>
        <v>2699530.1748251747</v>
      </c>
      <c r="C31" s="393">
        <f t="shared" si="0"/>
        <v>2699530.1748251747</v>
      </c>
      <c r="D31" s="393"/>
      <c r="E31" s="392">
        <f>'Sources and Uses Budget'!S31</f>
        <v>2699530.1748251747</v>
      </c>
      <c r="F31" s="393">
        <f t="shared" si="1"/>
        <v>2699530.1748251747</v>
      </c>
      <c r="G31" s="393"/>
      <c r="H31" s="392">
        <f>'Sources and Uses Budget'!T31</f>
        <v>0</v>
      </c>
      <c r="I31" s="393"/>
      <c r="J31" s="393"/>
      <c r="K31" s="390"/>
    </row>
    <row r="32" spans="1:11" s="391" customFormat="1">
      <c r="A32" s="145" t="s">
        <v>137</v>
      </c>
      <c r="B32" s="392">
        <f>'Sources and Uses Budget'!C32</f>
        <v>2105633.5363636361</v>
      </c>
      <c r="C32" s="393">
        <f t="shared" si="0"/>
        <v>2105633.5363636361</v>
      </c>
      <c r="D32" s="393"/>
      <c r="E32" s="392">
        <f>'Sources and Uses Budget'!S32</f>
        <v>2105633.5363636361</v>
      </c>
      <c r="F32" s="393">
        <f t="shared" si="1"/>
        <v>2105633.5363636361</v>
      </c>
      <c r="G32" s="393"/>
      <c r="H32" s="392">
        <f>'Sources and Uses Budget'!T32</f>
        <v>0</v>
      </c>
      <c r="I32" s="393"/>
      <c r="J32" s="393"/>
      <c r="K32" s="390"/>
    </row>
    <row r="33" spans="1:11" s="391" customFormat="1">
      <c r="A33" s="145" t="s">
        <v>138</v>
      </c>
      <c r="B33" s="392">
        <f>'Sources and Uses Budget'!C33</f>
        <v>4613144.9181818198</v>
      </c>
      <c r="C33" s="393">
        <f t="shared" si="0"/>
        <v>4613144.9181818198</v>
      </c>
      <c r="D33" s="393"/>
      <c r="E33" s="392">
        <f>'Sources and Uses Budget'!S33</f>
        <v>4613144.9181818198</v>
      </c>
      <c r="F33" s="393">
        <f t="shared" si="1"/>
        <v>4613144.9181818198</v>
      </c>
      <c r="G33" s="393"/>
      <c r="H33" s="392">
        <f>'Sources and Uses Budget'!T33</f>
        <v>0</v>
      </c>
      <c r="I33" s="393"/>
      <c r="J33" s="393"/>
      <c r="K33" s="390"/>
    </row>
    <row r="34" spans="1:11" s="391" customFormat="1">
      <c r="A34" s="145" t="s">
        <v>139</v>
      </c>
      <c r="B34" s="392">
        <f>'Sources and Uses Budget'!C34</f>
        <v>0</v>
      </c>
      <c r="C34" s="393">
        <f t="shared" si="0"/>
        <v>0</v>
      </c>
      <c r="D34" s="393"/>
      <c r="E34" s="392">
        <f>'Sources and Uses Budget'!S34</f>
        <v>0</v>
      </c>
      <c r="F34" s="393">
        <f t="shared" si="1"/>
        <v>0</v>
      </c>
      <c r="G34" s="393"/>
      <c r="H34" s="392">
        <f>'Sources and Uses Budget'!T34</f>
        <v>0</v>
      </c>
      <c r="I34" s="393"/>
      <c r="J34" s="393"/>
      <c r="K34" s="390"/>
    </row>
    <row r="35" spans="1:11" s="391" customFormat="1">
      <c r="A35" s="145" t="s">
        <v>140</v>
      </c>
      <c r="B35" s="392">
        <f>'Sources and Uses Budget'!C35</f>
        <v>1351114.8525</v>
      </c>
      <c r="C35" s="393">
        <f t="shared" si="0"/>
        <v>1351114.8525</v>
      </c>
      <c r="D35" s="393"/>
      <c r="E35" s="392">
        <f>'Sources and Uses Budget'!S35</f>
        <v>1351114.8525</v>
      </c>
      <c r="F35" s="393">
        <f t="shared" si="1"/>
        <v>1351114.8525</v>
      </c>
      <c r="G35" s="393"/>
      <c r="H35" s="392">
        <f>'Sources and Uses Budget'!T35</f>
        <v>0</v>
      </c>
      <c r="I35" s="393"/>
      <c r="J35" s="393"/>
      <c r="K35" s="390"/>
    </row>
    <row r="36" spans="1:11" s="391" customFormat="1">
      <c r="A36" s="542" t="s">
        <v>1753</v>
      </c>
      <c r="B36" s="392">
        <f>'Sources and Uses Budget'!C36</f>
        <v>615000</v>
      </c>
      <c r="C36" s="393">
        <f t="shared" si="0"/>
        <v>615000</v>
      </c>
      <c r="D36" s="393"/>
      <c r="E36" s="392">
        <f>'Sources and Uses Budget'!S36</f>
        <v>615000</v>
      </c>
      <c r="F36" s="393">
        <f t="shared" si="1"/>
        <v>615000</v>
      </c>
      <c r="G36" s="393"/>
      <c r="H36" s="392">
        <f>'Sources and Uses Budget'!T36</f>
        <v>0</v>
      </c>
      <c r="I36" s="393"/>
      <c r="J36" s="393"/>
      <c r="K36" s="390"/>
    </row>
    <row r="37" spans="1:11" s="391" customFormat="1">
      <c r="A37" s="395" t="str">
        <f>'Sources and Uses Budget'!$A37</f>
        <v>Other: (Specify)</v>
      </c>
      <c r="B37" s="392">
        <f>'Sources and Uses Budget'!C37</f>
        <v>0</v>
      </c>
      <c r="C37" s="393">
        <f t="shared" si="0"/>
        <v>0</v>
      </c>
      <c r="D37" s="393"/>
      <c r="E37" s="392">
        <f>'Sources and Uses Budget'!S37</f>
        <v>0</v>
      </c>
      <c r="F37" s="393">
        <f t="shared" si="1"/>
        <v>0</v>
      </c>
      <c r="G37" s="393"/>
      <c r="H37" s="392">
        <f>'Sources and Uses Budget'!T37</f>
        <v>0</v>
      </c>
      <c r="I37" s="393"/>
      <c r="J37" s="393"/>
      <c r="K37" s="390"/>
    </row>
    <row r="38" spans="1:11" s="391" customFormat="1">
      <c r="A38" s="396" t="s">
        <v>143</v>
      </c>
      <c r="B38" s="392">
        <f>'Sources and Uses Budget'!C38</f>
        <v>79172677.852500007</v>
      </c>
      <c r="C38" s="392">
        <f>SUM(C29:C37)</f>
        <v>79172677.852500007</v>
      </c>
      <c r="D38" s="392">
        <f>SUM(D29:D37)</f>
        <v>0</v>
      </c>
      <c r="E38" s="392">
        <f>'Sources and Uses Budget'!S38</f>
        <v>79072677.852500007</v>
      </c>
      <c r="F38" s="398">
        <f>SUM(F29:F37)</f>
        <v>79072677.852500007</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3270041.7142857146</v>
      </c>
      <c r="C40" s="393">
        <f>B40</f>
        <v>3270041.7142857146</v>
      </c>
      <c r="D40" s="393"/>
      <c r="E40" s="392">
        <f>'Sources and Uses Budget'!S40</f>
        <v>3270041.7142857146</v>
      </c>
      <c r="F40" s="393">
        <f>E40</f>
        <v>3270041.7142857146</v>
      </c>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3270041.7142857146</v>
      </c>
      <c r="C42" s="392">
        <f>SUM(C39:C41)</f>
        <v>3270041.7142857146</v>
      </c>
      <c r="D42" s="392">
        <f>SUM(D39:D41)</f>
        <v>0</v>
      </c>
      <c r="E42" s="392">
        <f>'Sources and Uses Budget'!S42</f>
        <v>3270041.7142857146</v>
      </c>
      <c r="F42" s="398">
        <f>SUM(F40:F41)</f>
        <v>3270041.7142857146</v>
      </c>
      <c r="G42" s="398">
        <f>SUM(G40:G41)</f>
        <v>0</v>
      </c>
      <c r="H42" s="392">
        <f>'Sources and Uses Budget'!T42</f>
        <v>0</v>
      </c>
      <c r="I42" s="398">
        <f>SUM(I40:I41)</f>
        <v>0</v>
      </c>
      <c r="J42" s="398">
        <f>SUM(J40:J41)</f>
        <v>0</v>
      </c>
      <c r="K42" s="390"/>
    </row>
    <row r="43" spans="1:11" s="391" customFormat="1">
      <c r="A43" s="396" t="s">
        <v>148</v>
      </c>
      <c r="B43" s="392">
        <f>'Sources and Uses Budget'!C43</f>
        <v>325500</v>
      </c>
      <c r="C43" s="393">
        <f>B43</f>
        <v>325500</v>
      </c>
      <c r="D43" s="393"/>
      <c r="E43" s="392">
        <f>'Sources and Uses Budget'!S43</f>
        <v>325500</v>
      </c>
      <c r="F43" s="393">
        <f>E43</f>
        <v>325500</v>
      </c>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6281258.3513925672</v>
      </c>
      <c r="C45" s="393">
        <f>B45</f>
        <v>6281258.3513925672</v>
      </c>
      <c r="D45" s="393"/>
      <c r="E45" s="392">
        <f>'Sources and Uses Budget'!S45</f>
        <v>4131839.11434412</v>
      </c>
      <c r="F45" s="393">
        <f>E45</f>
        <v>4131839.11434412</v>
      </c>
      <c r="G45" s="393"/>
      <c r="H45" s="392">
        <f>'Sources and Uses Budget'!T45</f>
        <v>0</v>
      </c>
      <c r="I45" s="393"/>
      <c r="J45" s="393"/>
      <c r="K45" s="390"/>
    </row>
    <row r="46" spans="1:11" s="391" customFormat="1">
      <c r="A46" s="395" t="s">
        <v>151</v>
      </c>
      <c r="B46" s="392">
        <f>'Sources and Uses Budget'!C46</f>
        <v>477000</v>
      </c>
      <c r="C46" s="393">
        <f t="shared" ref="C46:C53" si="2">B46</f>
        <v>477000</v>
      </c>
      <c r="D46" s="393"/>
      <c r="E46" s="392">
        <f>'Sources and Uses Budget'!S46</f>
        <v>357750</v>
      </c>
      <c r="F46" s="393">
        <f t="shared" ref="F46:F53" si="3">E46</f>
        <v>357750</v>
      </c>
      <c r="G46" s="393"/>
      <c r="H46" s="392">
        <f>'Sources and Uses Budget'!T46</f>
        <v>0</v>
      </c>
      <c r="I46" s="393"/>
      <c r="J46" s="393"/>
      <c r="K46" s="390"/>
    </row>
    <row r="47" spans="1:11" s="391" customFormat="1" ht="12" customHeight="1">
      <c r="A47" s="395" t="s">
        <v>152</v>
      </c>
      <c r="B47" s="392">
        <f>'Sources and Uses Budget'!C47</f>
        <v>0</v>
      </c>
      <c r="C47" s="393">
        <f t="shared" si="2"/>
        <v>0</v>
      </c>
      <c r="D47" s="393"/>
      <c r="E47" s="392">
        <f>'Sources and Uses Budget'!S47</f>
        <v>0</v>
      </c>
      <c r="F47" s="393">
        <f t="shared" si="3"/>
        <v>0</v>
      </c>
      <c r="G47" s="393"/>
      <c r="H47" s="392">
        <f>'Sources and Uses Budget'!T47</f>
        <v>0</v>
      </c>
      <c r="I47" s="393"/>
      <c r="J47" s="393"/>
      <c r="K47" s="390"/>
    </row>
    <row r="48" spans="1:11" s="391" customFormat="1">
      <c r="A48" s="395" t="s">
        <v>153</v>
      </c>
      <c r="B48" s="392">
        <f>'Sources and Uses Budget'!C48</f>
        <v>0</v>
      </c>
      <c r="C48" s="393">
        <f t="shared" si="2"/>
        <v>0</v>
      </c>
      <c r="D48" s="393"/>
      <c r="E48" s="392">
        <f>'Sources and Uses Budget'!S48</f>
        <v>0</v>
      </c>
      <c r="F48" s="393">
        <f t="shared" si="3"/>
        <v>0</v>
      </c>
      <c r="G48" s="393"/>
      <c r="H48" s="392">
        <f>'Sources and Uses Budget'!T48</f>
        <v>0</v>
      </c>
      <c r="I48" s="393"/>
      <c r="J48" s="393"/>
      <c r="K48" s="390"/>
    </row>
    <row r="49" spans="1:11" s="391" customFormat="1">
      <c r="A49" s="304" t="s">
        <v>57</v>
      </c>
      <c r="B49" s="392">
        <f>'Sources and Uses Budget'!C49</f>
        <v>272260</v>
      </c>
      <c r="C49" s="393">
        <f t="shared" si="2"/>
        <v>272260</v>
      </c>
      <c r="D49" s="393"/>
      <c r="E49" s="392">
        <f>'Sources and Uses Budget'!S49</f>
        <v>0</v>
      </c>
      <c r="F49" s="393">
        <f t="shared" si="3"/>
        <v>0</v>
      </c>
      <c r="G49" s="393"/>
      <c r="H49" s="392">
        <f>'Sources and Uses Budget'!T49</f>
        <v>0</v>
      </c>
      <c r="I49" s="393"/>
      <c r="J49" s="393"/>
      <c r="K49" s="390"/>
    </row>
    <row r="50" spans="1:11" s="391" customFormat="1">
      <c r="A50" s="395" t="s">
        <v>156</v>
      </c>
      <c r="B50" s="392">
        <f>'Sources and Uses Budget'!C50</f>
        <v>85000</v>
      </c>
      <c r="C50" s="393">
        <f t="shared" si="2"/>
        <v>85000</v>
      </c>
      <c r="D50" s="393"/>
      <c r="E50" s="392">
        <f>'Sources and Uses Budget'!S50</f>
        <v>63750</v>
      </c>
      <c r="F50" s="393">
        <f t="shared" si="3"/>
        <v>63750</v>
      </c>
      <c r="G50" s="393"/>
      <c r="H50" s="392">
        <f>'Sources and Uses Budget'!T50</f>
        <v>0</v>
      </c>
      <c r="I50" s="393"/>
      <c r="J50" s="393"/>
      <c r="K50" s="390"/>
    </row>
    <row r="51" spans="1:11" s="391" customFormat="1">
      <c r="A51" s="395" t="s">
        <v>154</v>
      </c>
      <c r="B51" s="392">
        <f>'Sources and Uses Budget'!C51</f>
        <v>0</v>
      </c>
      <c r="C51" s="393">
        <f t="shared" si="2"/>
        <v>0</v>
      </c>
      <c r="D51" s="393"/>
      <c r="E51" s="392">
        <f>'Sources and Uses Budget'!S51</f>
        <v>0</v>
      </c>
      <c r="F51" s="393">
        <f t="shared" si="3"/>
        <v>0</v>
      </c>
      <c r="G51" s="393"/>
      <c r="H51" s="392">
        <f>'Sources and Uses Budget'!T51</f>
        <v>0</v>
      </c>
      <c r="I51" s="393"/>
      <c r="J51" s="393"/>
      <c r="K51" s="390"/>
    </row>
    <row r="52" spans="1:11" s="391" customFormat="1">
      <c r="A52" s="395" t="s">
        <v>155</v>
      </c>
      <c r="B52" s="392">
        <f>'Sources and Uses Budget'!C52</f>
        <v>3300000</v>
      </c>
      <c r="C52" s="393">
        <f t="shared" si="2"/>
        <v>3300000</v>
      </c>
      <c r="D52" s="393"/>
      <c r="E52" s="392">
        <f>'Sources and Uses Budget'!S52</f>
        <v>3300000</v>
      </c>
      <c r="F52" s="393">
        <f t="shared" si="3"/>
        <v>3300000</v>
      </c>
      <c r="G52" s="393"/>
      <c r="H52" s="392">
        <f>'Sources and Uses Budget'!T52</f>
        <v>0</v>
      </c>
      <c r="I52" s="393"/>
      <c r="J52" s="393"/>
      <c r="K52" s="390"/>
    </row>
    <row r="53" spans="1:11" s="391" customFormat="1">
      <c r="A53" s="395" t="str">
        <f>'Sources and Uses Budget'!$A53</f>
        <v>Other: (Lender Inspection Reports)</v>
      </c>
      <c r="B53" s="392">
        <f>'Sources and Uses Budget'!C53</f>
        <v>58000</v>
      </c>
      <c r="C53" s="393">
        <f t="shared" si="2"/>
        <v>58000</v>
      </c>
      <c r="D53" s="393"/>
      <c r="E53" s="392">
        <f>'Sources and Uses Budget'!S53</f>
        <v>58000</v>
      </c>
      <c r="F53" s="393">
        <f t="shared" si="3"/>
        <v>58000</v>
      </c>
      <c r="G53" s="393"/>
      <c r="H53" s="392">
        <f>'Sources and Uses Budget'!T53</f>
        <v>0</v>
      </c>
      <c r="I53" s="393"/>
      <c r="J53" s="393"/>
      <c r="K53" s="390"/>
    </row>
    <row r="54" spans="1:11" s="400" customFormat="1">
      <c r="A54" s="396" t="s">
        <v>157</v>
      </c>
      <c r="B54" s="392">
        <f>'Sources and Uses Budget'!C54</f>
        <v>10473518.351392567</v>
      </c>
      <c r="C54" s="398">
        <f>SUM(C45:C53)</f>
        <v>10473518.351392567</v>
      </c>
      <c r="D54" s="398">
        <f>SUM(D45:D53)</f>
        <v>0</v>
      </c>
      <c r="E54" s="392">
        <f>'Sources and Uses Budget'!S54</f>
        <v>7911339.11434412</v>
      </c>
      <c r="F54" s="398">
        <f>SUM(F45:F53)</f>
        <v>7911339.11434412</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206850</v>
      </c>
      <c r="C56" s="393">
        <f>B56</f>
        <v>206850</v>
      </c>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5000</v>
      </c>
      <c r="C58" s="393">
        <f>B58</f>
        <v>5000</v>
      </c>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 customHeight="1">
      <c r="A62" s="396" t="s">
        <v>302</v>
      </c>
      <c r="B62" s="392">
        <f>'Sources and Uses Budget'!C62</f>
        <v>211850</v>
      </c>
      <c r="C62" s="392">
        <f>SUM(C56:C61)</f>
        <v>211850</v>
      </c>
      <c r="D62" s="392">
        <f>SUM(D56:D61)</f>
        <v>0</v>
      </c>
      <c r="E62" s="394"/>
      <c r="F62" s="394"/>
      <c r="G62" s="394"/>
      <c r="H62" s="394"/>
      <c r="I62" s="394"/>
      <c r="J62" s="394"/>
      <c r="K62" s="390"/>
    </row>
    <row r="63" spans="1:11" s="391" customFormat="1">
      <c r="A63" s="401" t="s">
        <v>303</v>
      </c>
      <c r="B63" s="392">
        <f>'Sources and Uses Budget'!C63</f>
        <v>100884470.91817829</v>
      </c>
      <c r="C63" s="392">
        <f>SUM(C8+C11+C13+C14+C15+C26+C27+C38+C42+C43+C54+C62)</f>
        <v>100884470.91817829</v>
      </c>
      <c r="D63" s="392">
        <f>SUM(D8+D11+D13+D14+D15+D26+D27+D38+D42+D43+D54+D62)</f>
        <v>0</v>
      </c>
      <c r="E63" s="392">
        <f>'Sources and Uses Budget'!S63</f>
        <v>90984977.681129843</v>
      </c>
      <c r="F63" s="392">
        <f>SUM(F10+F13+F14+F15+F26+F27+F38+F42+F43+F54)</f>
        <v>90984977.681129843</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1757</v>
      </c>
      <c r="B64" s="389"/>
      <c r="C64" s="389"/>
      <c r="D64" s="389"/>
      <c r="E64" s="389"/>
      <c r="F64" s="389"/>
      <c r="G64" s="389"/>
      <c r="H64" s="389"/>
      <c r="I64" s="389"/>
      <c r="J64" s="389"/>
      <c r="K64" s="390"/>
    </row>
    <row r="65" spans="1:11" s="391" customFormat="1">
      <c r="A65" s="145" t="s">
        <v>171</v>
      </c>
      <c r="B65" s="392">
        <f>'Sources and Uses Budget'!C65</f>
        <v>452595</v>
      </c>
      <c r="C65" s="393">
        <f>B65</f>
        <v>452595</v>
      </c>
      <c r="D65" s="393"/>
      <c r="E65" s="392">
        <f>'Sources and Uses Budget'!S65</f>
        <v>169606.35</v>
      </c>
      <c r="F65" s="393">
        <f>E65</f>
        <v>169606.35</v>
      </c>
      <c r="G65" s="393"/>
      <c r="H65" s="392">
        <f>'Sources and Uses Budget'!T65</f>
        <v>0</v>
      </c>
      <c r="I65" s="393"/>
      <c r="J65" s="393"/>
      <c r="K65" s="390"/>
    </row>
    <row r="66" spans="1:11" s="391" customFormat="1" ht="24">
      <c r="A66" s="304" t="s">
        <v>1754</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1755</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1761</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(Specify)</v>
      </c>
      <c r="B69" s="392">
        <f>'Sources and Uses Budget'!C69</f>
        <v>0</v>
      </c>
      <c r="C69" s="393"/>
      <c r="D69" s="393"/>
      <c r="E69" s="392">
        <f>'Sources and Uses Budget'!S69</f>
        <v>0</v>
      </c>
      <c r="F69" s="393"/>
      <c r="G69" s="393"/>
      <c r="H69" s="392">
        <f>'Sources and Uses Budget'!T69</f>
        <v>0</v>
      </c>
      <c r="I69" s="393"/>
      <c r="J69" s="393"/>
      <c r="K69" s="390"/>
    </row>
    <row r="70" spans="1:11" s="391" customFormat="1">
      <c r="A70" s="396" t="s">
        <v>609</v>
      </c>
      <c r="B70" s="392">
        <f>'Sources and Uses Budget'!C70</f>
        <v>452595</v>
      </c>
      <c r="C70" s="392">
        <f>SUM(C64:C69)</f>
        <v>452595</v>
      </c>
      <c r="D70" s="392">
        <f>SUM(D64:D69)</f>
        <v>0</v>
      </c>
      <c r="E70" s="392">
        <f>'Sources and Uses Budget'!S70</f>
        <v>169606.35</v>
      </c>
      <c r="F70" s="398">
        <f>SUM(F65:F69)</f>
        <v>169606.35</v>
      </c>
      <c r="G70" s="398">
        <f>SUM(G65:G69)</f>
        <v>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1007</v>
      </c>
      <c r="B74" s="392">
        <f>'Sources and Uses Budget'!C74</f>
        <v>0</v>
      </c>
      <c r="C74" s="393"/>
      <c r="D74" s="393"/>
      <c r="E74" s="394"/>
      <c r="F74" s="394"/>
      <c r="G74" s="394"/>
      <c r="H74" s="394"/>
      <c r="I74" s="394"/>
      <c r="J74" s="394"/>
      <c r="K74" s="390"/>
    </row>
    <row r="75" spans="1:11" s="391" customFormat="1">
      <c r="A75" s="395" t="s">
        <v>613</v>
      </c>
      <c r="B75" s="392">
        <f>'Sources and Uses Budget'!C75</f>
        <v>906175.5834271214</v>
      </c>
      <c r="C75" s="393">
        <f>B75</f>
        <v>906175.5834271214</v>
      </c>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614</v>
      </c>
      <c r="B77" s="392">
        <f>'Sources and Uses Budget'!C77</f>
        <v>906175.5834271214</v>
      </c>
      <c r="C77" s="392">
        <f>SUM(C72:C76)</f>
        <v>906175.5834271214</v>
      </c>
      <c r="D77" s="392">
        <f>SUM(D72:D76)</f>
        <v>0</v>
      </c>
      <c r="E77" s="394"/>
      <c r="F77" s="394"/>
      <c r="G77" s="394"/>
      <c r="H77" s="394"/>
      <c r="I77" s="394"/>
      <c r="J77" s="394"/>
      <c r="K77" s="390"/>
    </row>
    <row r="78" spans="1:11" s="391" customFormat="1">
      <c r="A78" s="388" t="s">
        <v>1316</v>
      </c>
      <c r="B78" s="389"/>
      <c r="C78" s="389"/>
      <c r="D78" s="389"/>
      <c r="E78" s="389"/>
      <c r="F78" s="389"/>
      <c r="G78" s="389"/>
      <c r="H78" s="389"/>
      <c r="I78" s="389"/>
      <c r="J78" s="389"/>
      <c r="K78" s="390"/>
    </row>
    <row r="79" spans="1:11" s="391" customFormat="1">
      <c r="A79" s="395" t="s">
        <v>1318</v>
      </c>
      <c r="B79" s="392">
        <f>'Sources and Uses Budget'!C79</f>
        <v>3927883.8926250003</v>
      </c>
      <c r="C79" s="393">
        <f>B79</f>
        <v>3927883.8926250003</v>
      </c>
      <c r="D79" s="393"/>
      <c r="E79" s="392">
        <f>'Sources and Uses Budget'!S79</f>
        <v>3927883.8926250003</v>
      </c>
      <c r="F79" s="393">
        <f>E79</f>
        <v>3927883.8926250003</v>
      </c>
      <c r="G79" s="393"/>
      <c r="H79" s="392">
        <f>'Sources and Uses Budget'!T79</f>
        <v>0</v>
      </c>
      <c r="I79" s="393"/>
      <c r="J79" s="393"/>
      <c r="K79" s="390"/>
    </row>
    <row r="80" spans="1:11" s="391" customFormat="1">
      <c r="A80" s="395" t="s">
        <v>58</v>
      </c>
      <c r="B80" s="392">
        <f>'Sources and Uses Budget'!C80</f>
        <v>558867.26528936147</v>
      </c>
      <c r="C80" s="393">
        <f>B80</f>
        <v>558867.26528936147</v>
      </c>
      <c r="D80" s="393"/>
      <c r="E80" s="392">
        <f>'Sources and Uses Budget'!S80</f>
        <v>558867.26528936147</v>
      </c>
      <c r="F80" s="393">
        <f>E80</f>
        <v>558867.26528936147</v>
      </c>
      <c r="G80" s="393"/>
      <c r="H80" s="392">
        <f>'Sources and Uses Budget'!T80</f>
        <v>0</v>
      </c>
      <c r="I80" s="393"/>
      <c r="J80" s="393"/>
      <c r="K80" s="390"/>
    </row>
    <row r="81" spans="1:11" s="391" customFormat="1">
      <c r="A81" s="396" t="s">
        <v>1315</v>
      </c>
      <c r="B81" s="392">
        <f>'Sources and Uses Budget'!C81</f>
        <v>4486751.1579143619</v>
      </c>
      <c r="C81" s="392">
        <f>SUM(C79:C80)</f>
        <v>4486751.1579143619</v>
      </c>
      <c r="D81" s="392">
        <f>SUM(D79:D80)</f>
        <v>0</v>
      </c>
      <c r="E81" s="392">
        <f>'Sources and Uses Budget'!S81</f>
        <v>4486751.1579143619</v>
      </c>
      <c r="F81" s="392">
        <f>SUM(F79:F80)</f>
        <v>4486751.1579143619</v>
      </c>
      <c r="G81" s="392">
        <f>SUM(G79:G80)</f>
        <v>0</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7" customHeight="1">
      <c r="A83" s="145" t="s">
        <v>2411</v>
      </c>
      <c r="B83" s="392">
        <f>'Sources and Uses Budget'!C83</f>
        <v>115450.94287561768</v>
      </c>
      <c r="C83" s="393">
        <f>B83</f>
        <v>115450.94287561768</v>
      </c>
      <c r="D83" s="393"/>
      <c r="E83" s="394"/>
      <c r="F83" s="394"/>
      <c r="G83" s="394"/>
      <c r="H83" s="394"/>
      <c r="I83" s="394"/>
      <c r="J83" s="394"/>
      <c r="K83" s="390"/>
    </row>
    <row r="84" spans="1:11" s="391" customFormat="1">
      <c r="A84" s="145" t="s">
        <v>776</v>
      </c>
      <c r="B84" s="392">
        <f>'Sources and Uses Budget'!C84</f>
        <v>43000</v>
      </c>
      <c r="C84" s="393">
        <f t="shared" ref="C84:C95" si="4">B84</f>
        <v>43000</v>
      </c>
      <c r="D84" s="393"/>
      <c r="E84" s="392">
        <f>'Sources and Uses Budget'!S84</f>
        <v>43000</v>
      </c>
      <c r="F84" s="393">
        <f>E84</f>
        <v>43000</v>
      </c>
      <c r="G84" s="393"/>
      <c r="H84" s="392">
        <f>'Sources and Uses Budget'!T84</f>
        <v>0</v>
      </c>
      <c r="I84" s="393"/>
      <c r="J84" s="393"/>
      <c r="K84" s="390"/>
    </row>
    <row r="85" spans="1:11" s="391" customFormat="1">
      <c r="A85" s="145" t="s">
        <v>777</v>
      </c>
      <c r="B85" s="392">
        <f>'Sources and Uses Budget'!C85</f>
        <v>1375976</v>
      </c>
      <c r="C85" s="393">
        <f t="shared" si="4"/>
        <v>1375976</v>
      </c>
      <c r="D85" s="393"/>
      <c r="E85" s="392">
        <f>'Sources and Uses Budget'!S85</f>
        <v>1375976</v>
      </c>
      <c r="F85" s="393">
        <f t="shared" ref="F85:F87" si="5">E85</f>
        <v>1375976</v>
      </c>
      <c r="G85" s="393"/>
      <c r="H85" s="392">
        <f>'Sources and Uses Budget'!T85</f>
        <v>0</v>
      </c>
      <c r="I85" s="393"/>
      <c r="J85" s="393"/>
      <c r="K85" s="390"/>
    </row>
    <row r="86" spans="1:11" s="391" customFormat="1">
      <c r="A86" s="145" t="s">
        <v>778</v>
      </c>
      <c r="B86" s="392">
        <f>'Sources and Uses Budget'!C86</f>
        <v>837796</v>
      </c>
      <c r="C86" s="393">
        <f t="shared" si="4"/>
        <v>837796</v>
      </c>
      <c r="D86" s="393"/>
      <c r="E86" s="392">
        <f>'Sources and Uses Budget'!S86</f>
        <v>837796</v>
      </c>
      <c r="F86" s="393">
        <f t="shared" si="5"/>
        <v>837796</v>
      </c>
      <c r="G86" s="393"/>
      <c r="H86" s="392">
        <f>'Sources and Uses Budget'!T86</f>
        <v>0</v>
      </c>
      <c r="I86" s="393"/>
      <c r="J86" s="393"/>
      <c r="K86" s="390"/>
    </row>
    <row r="87" spans="1:11" s="391" customFormat="1">
      <c r="A87" s="145" t="s">
        <v>779</v>
      </c>
      <c r="B87" s="392">
        <f>'Sources and Uses Budget'!C87</f>
        <v>0</v>
      </c>
      <c r="C87" s="393">
        <f t="shared" si="4"/>
        <v>0</v>
      </c>
      <c r="D87" s="393"/>
      <c r="E87" s="392">
        <f>'Sources and Uses Budget'!S87</f>
        <v>0</v>
      </c>
      <c r="F87" s="393">
        <f t="shared" si="5"/>
        <v>0</v>
      </c>
      <c r="G87" s="393"/>
      <c r="H87" s="392">
        <f>'Sources and Uses Budget'!T87</f>
        <v>0</v>
      </c>
      <c r="I87" s="393"/>
      <c r="J87" s="393"/>
      <c r="K87" s="390"/>
    </row>
    <row r="88" spans="1:11" s="391" customFormat="1">
      <c r="A88" s="145" t="s">
        <v>780</v>
      </c>
      <c r="B88" s="392">
        <f>'Sources and Uses Budget'!C88</f>
        <v>132639</v>
      </c>
      <c r="C88" s="393">
        <f t="shared" si="4"/>
        <v>132639</v>
      </c>
      <c r="D88" s="393"/>
      <c r="E88" s="394"/>
      <c r="F88" s="394"/>
      <c r="G88" s="394"/>
      <c r="H88" s="394"/>
      <c r="I88" s="394"/>
      <c r="J88" s="394"/>
      <c r="K88" s="390"/>
    </row>
    <row r="89" spans="1:11" s="391" customFormat="1">
      <c r="A89" s="145" t="s">
        <v>781</v>
      </c>
      <c r="B89" s="392">
        <f>'Sources and Uses Budget'!C89</f>
        <v>550000</v>
      </c>
      <c r="C89" s="393">
        <f t="shared" si="4"/>
        <v>550000</v>
      </c>
      <c r="D89" s="393"/>
      <c r="E89" s="392">
        <f>'Sources and Uses Budget'!S89</f>
        <v>550000</v>
      </c>
      <c r="F89" s="393">
        <f>E89</f>
        <v>550000</v>
      </c>
      <c r="G89" s="393"/>
      <c r="H89" s="392">
        <f>'Sources and Uses Budget'!T89</f>
        <v>0</v>
      </c>
      <c r="I89" s="393"/>
      <c r="J89" s="393"/>
      <c r="K89" s="390"/>
    </row>
    <row r="90" spans="1:11" s="391" customFormat="1">
      <c r="A90" s="145" t="s">
        <v>782</v>
      </c>
      <c r="B90" s="392">
        <f>'Sources and Uses Budget'!C90</f>
        <v>15000</v>
      </c>
      <c r="C90" s="393">
        <f t="shared" si="4"/>
        <v>15000</v>
      </c>
      <c r="D90" s="393"/>
      <c r="E90" s="392">
        <f>'Sources and Uses Budget'!S90</f>
        <v>15000</v>
      </c>
      <c r="F90" s="393">
        <f t="shared" ref="F90:F95" si="6">E90</f>
        <v>15000</v>
      </c>
      <c r="G90" s="393"/>
      <c r="H90" s="392">
        <f>'Sources and Uses Budget'!T90</f>
        <v>0</v>
      </c>
      <c r="I90" s="393"/>
      <c r="J90" s="393"/>
      <c r="K90" s="390"/>
    </row>
    <row r="91" spans="1:11" s="391" customFormat="1">
      <c r="A91" s="155" t="s">
        <v>373</v>
      </c>
      <c r="B91" s="392">
        <f>'Sources and Uses Budget'!C91</f>
        <v>85000</v>
      </c>
      <c r="C91" s="393">
        <f t="shared" si="4"/>
        <v>85000</v>
      </c>
      <c r="D91" s="393"/>
      <c r="E91" s="392">
        <f>'Sources and Uses Budget'!S91</f>
        <v>85000</v>
      </c>
      <c r="F91" s="393">
        <f t="shared" si="6"/>
        <v>85000</v>
      </c>
      <c r="G91" s="393"/>
      <c r="H91" s="392">
        <f>'Sources and Uses Budget'!T91</f>
        <v>0</v>
      </c>
      <c r="I91" s="393"/>
      <c r="J91" s="393"/>
      <c r="K91" s="390"/>
    </row>
    <row r="92" spans="1:11" s="391" customFormat="1">
      <c r="A92" s="542" t="s">
        <v>1317</v>
      </c>
      <c r="B92" s="392">
        <f>'Sources and Uses Budget'!C92</f>
        <v>15000</v>
      </c>
      <c r="C92" s="393">
        <f t="shared" si="4"/>
        <v>15000</v>
      </c>
      <c r="D92" s="393"/>
      <c r="E92" s="392">
        <f>'Sources and Uses Budget'!S92</f>
        <v>15000</v>
      </c>
      <c r="F92" s="393">
        <f t="shared" si="6"/>
        <v>15000</v>
      </c>
      <c r="G92" s="393"/>
      <c r="H92" s="392">
        <f>'Sources and Uses Budget'!T92</f>
        <v>0</v>
      </c>
      <c r="I92" s="393"/>
      <c r="J92" s="393"/>
      <c r="K92" s="390"/>
    </row>
    <row r="93" spans="1:11" s="391" customFormat="1">
      <c r="A93" s="395" t="str">
        <f>'Sources and Uses Budget'!$A93</f>
        <v xml:space="preserve">Other: </v>
      </c>
      <c r="B93" s="392">
        <f>'Sources and Uses Budget'!C93</f>
        <v>0</v>
      </c>
      <c r="C93" s="393">
        <f t="shared" si="4"/>
        <v>0</v>
      </c>
      <c r="D93" s="393"/>
      <c r="E93" s="392">
        <f>'Sources and Uses Budget'!S93</f>
        <v>0</v>
      </c>
      <c r="F93" s="393">
        <f t="shared" si="6"/>
        <v>0</v>
      </c>
      <c r="G93" s="393"/>
      <c r="H93" s="392">
        <f>'Sources and Uses Budget'!T93</f>
        <v>0</v>
      </c>
      <c r="I93" s="393"/>
      <c r="J93" s="393"/>
      <c r="K93" s="390"/>
    </row>
    <row r="94" spans="1:11" s="391" customFormat="1">
      <c r="A94" s="395" t="str">
        <f>'Sources and Uses Budget'!$A94</f>
        <v>Other: (Subordinate/Soft Debt Fees)</v>
      </c>
      <c r="B94" s="392">
        <f>'Sources and Uses Budget'!C94</f>
        <v>82000</v>
      </c>
      <c r="C94" s="393">
        <f t="shared" si="4"/>
        <v>82000</v>
      </c>
      <c r="D94" s="393"/>
      <c r="E94" s="392">
        <f>'Sources and Uses Budget'!S94</f>
        <v>73250</v>
      </c>
      <c r="F94" s="393">
        <f t="shared" si="6"/>
        <v>73250</v>
      </c>
      <c r="G94" s="393"/>
      <c r="H94" s="392">
        <f>'Sources and Uses Budget'!T94</f>
        <v>0</v>
      </c>
      <c r="I94" s="393"/>
      <c r="J94" s="393"/>
      <c r="K94" s="390"/>
    </row>
    <row r="95" spans="1:11" s="391" customFormat="1" ht="24">
      <c r="A95" s="395" t="str">
        <f>'Sources and Uses Budget'!$A95</f>
        <v>Other: (Preconstruction Studies &amp; Reports)</v>
      </c>
      <c r="B95" s="392">
        <f>'Sources and Uses Budget'!C95</f>
        <v>16000</v>
      </c>
      <c r="C95" s="393">
        <f t="shared" si="4"/>
        <v>16000</v>
      </c>
      <c r="D95" s="393"/>
      <c r="E95" s="392">
        <f>'Sources and Uses Budget'!S95</f>
        <v>16000</v>
      </c>
      <c r="F95" s="393">
        <f t="shared" si="6"/>
        <v>16000</v>
      </c>
      <c r="G95" s="393"/>
      <c r="H95" s="392">
        <f>'Sources and Uses Budget'!T95</f>
        <v>0</v>
      </c>
      <c r="I95" s="393"/>
      <c r="J95" s="393"/>
      <c r="K95" s="390"/>
    </row>
    <row r="96" spans="1:11" s="391" customFormat="1">
      <c r="A96" s="396" t="s">
        <v>783</v>
      </c>
      <c r="B96" s="392">
        <f>'Sources and Uses Budget'!C96</f>
        <v>3267861.9428756176</v>
      </c>
      <c r="C96" s="392">
        <f>SUM(C83:C95)</f>
        <v>3267861.9428756176</v>
      </c>
      <c r="D96" s="392">
        <f>SUM(D83:D95)</f>
        <v>0</v>
      </c>
      <c r="E96" s="392">
        <f>'Sources and Uses Budget'!S96</f>
        <v>3011022</v>
      </c>
      <c r="F96" s="398">
        <f>SUM(F84:F87,F89:F95)</f>
        <v>3011022</v>
      </c>
      <c r="G96" s="398">
        <f>SUM(G84:G87,G89:G95)</f>
        <v>0</v>
      </c>
      <c r="H96" s="392">
        <f>'Sources and Uses Budget'!T96</f>
        <v>0</v>
      </c>
      <c r="I96" s="392">
        <f>SUM(I84:I87,I89:I95)</f>
        <v>0</v>
      </c>
      <c r="J96" s="392">
        <f>SUM(J84:J87,J89:J95)</f>
        <v>0</v>
      </c>
      <c r="K96" s="390"/>
    </row>
    <row r="97" spans="1:11" s="391" customFormat="1">
      <c r="A97" s="396" t="s">
        <v>1053</v>
      </c>
      <c r="B97" s="392">
        <f>'Sources and Uses Budget'!C97</f>
        <v>109997854.60239539</v>
      </c>
      <c r="C97" s="392">
        <f>SUM(C63+C70+C77+C81+C96)</f>
        <v>109997854.60239539</v>
      </c>
      <c r="D97" s="392">
        <f>SUM(D63+D70+D77+D81+D96)</f>
        <v>0</v>
      </c>
      <c r="E97" s="392">
        <f>'Sources and Uses Budget'!S97</f>
        <v>98652357.189044192</v>
      </c>
      <c r="F97" s="398">
        <f>SUM(+F63+F70+F81+F96)</f>
        <v>98652357.189044192</v>
      </c>
      <c r="G97" s="398">
        <f>SUM(+G63+G70+G81+G96)</f>
        <v>0</v>
      </c>
      <c r="H97" s="392">
        <f>'Sources and Uses Budget'!T97</f>
        <v>0</v>
      </c>
      <c r="I97" s="398">
        <f>SUM(I63+I70+I81+I96)</f>
        <v>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12000000</v>
      </c>
      <c r="C99" s="393">
        <f>B99</f>
        <v>12000000</v>
      </c>
      <c r="D99" s="393"/>
      <c r="E99" s="392">
        <f>'Sources and Uses Budget'!S99</f>
        <v>12000000</v>
      </c>
      <c r="F99" s="393">
        <f>E99</f>
        <v>12000000</v>
      </c>
      <c r="G99" s="393"/>
      <c r="H99" s="392">
        <f>'Sources and Uses Budget'!T99</f>
        <v>0</v>
      </c>
      <c r="I99" s="393"/>
      <c r="J99" s="393"/>
      <c r="K99" s="390"/>
    </row>
    <row r="100" spans="1:11" s="391" customFormat="1">
      <c r="A100" s="304" t="s">
        <v>1759</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1760</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12000000</v>
      </c>
      <c r="C104" s="392">
        <f>SUM(C99:C103)</f>
        <v>12000000</v>
      </c>
      <c r="D104" s="392">
        <f>SUM(D99:D103)</f>
        <v>0</v>
      </c>
      <c r="E104" s="392">
        <f>'Sources and Uses Budget'!S104</f>
        <v>12000000</v>
      </c>
      <c r="F104" s="398">
        <f>SUM(F99:F103)</f>
        <v>12000000</v>
      </c>
      <c r="G104" s="398">
        <f>SUM(G99:G103)</f>
        <v>0</v>
      </c>
      <c r="H104" s="392">
        <f>'Sources and Uses Budget'!T104</f>
        <v>0</v>
      </c>
      <c r="I104" s="398">
        <f>SUM(I99:I103)</f>
        <v>0</v>
      </c>
      <c r="J104" s="398">
        <f>SUM(J99:J103)</f>
        <v>0</v>
      </c>
      <c r="K104" s="390"/>
    </row>
    <row r="105" spans="1:11" s="391" customFormat="1">
      <c r="A105" s="396" t="s">
        <v>1054</v>
      </c>
      <c r="B105" s="392">
        <f>'Sources and Uses Budget'!C105</f>
        <v>121997854.60239539</v>
      </c>
      <c r="C105" s="398">
        <f>SUM(C97+C104)</f>
        <v>121997854.60239539</v>
      </c>
      <c r="D105" s="398">
        <f>SUM(D97+D104)</f>
        <v>0</v>
      </c>
      <c r="E105" s="392">
        <f>'Sources and Uses Budget'!S105</f>
        <v>110652357.18904419</v>
      </c>
      <c r="F105" s="398">
        <f>F97+F104</f>
        <v>110652357.18904419</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110652357.18904419</v>
      </c>
      <c r="F107" s="398">
        <f>F105+F106</f>
        <v>110652357.18904419</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89"/>
      <c r="E124" s="1337"/>
      <c r="F124" s="1337"/>
      <c r="G124" s="1337"/>
      <c r="H124" s="1337"/>
      <c r="I124" s="1337"/>
      <c r="J124" s="407"/>
      <c r="K124" s="390"/>
    </row>
    <row r="125" spans="1:11" s="391" customFormat="1" ht="12.75">
      <c r="A125" s="416"/>
      <c r="B125" s="415"/>
      <c r="C125" s="416"/>
      <c r="D125" s="1337"/>
      <c r="E125" s="1337"/>
      <c r="F125" s="1337"/>
      <c r="G125" s="1337"/>
      <c r="H125" s="1337"/>
      <c r="I125" s="1337"/>
      <c r="J125" s="407"/>
      <c r="K125" s="390"/>
    </row>
    <row r="126" spans="1:11" s="391" customFormat="1" ht="12.75">
      <c r="A126" s="416"/>
      <c r="B126" s="415"/>
      <c r="C126" s="416"/>
      <c r="D126" s="1337"/>
      <c r="E126" s="1337"/>
      <c r="F126" s="1337"/>
      <c r="G126" s="1337"/>
      <c r="H126" s="1337"/>
      <c r="I126" s="1337"/>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90"/>
      <c r="B139" s="1337"/>
      <c r="C139" s="1337"/>
      <c r="D139" s="387"/>
      <c r="E139" s="416"/>
      <c r="F139" s="416"/>
      <c r="G139" s="416"/>
    </row>
    <row r="140" spans="1:11" ht="12" customHeight="1">
      <c r="A140" s="1297"/>
      <c r="B140" s="1297"/>
      <c r="C140" s="1297"/>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topLeftCell="A90" workbookViewId="0">
      <selection activeCell="AH293" sqref="AH293"/>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26" t="s">
        <v>1411</v>
      </c>
      <c r="B1" s="1926"/>
      <c r="C1" s="1926"/>
      <c r="D1" s="1926"/>
      <c r="E1" s="1926"/>
      <c r="F1" s="1926"/>
      <c r="G1" s="1926"/>
      <c r="H1" s="1926"/>
      <c r="I1" s="1926"/>
      <c r="J1" s="1926"/>
      <c r="K1" s="1926"/>
      <c r="L1" s="1926"/>
      <c r="M1" s="1926"/>
      <c r="N1" s="1926"/>
      <c r="O1" s="1926"/>
      <c r="P1" s="1926"/>
      <c r="Q1" s="1926"/>
      <c r="R1" s="1926"/>
      <c r="S1" s="1926"/>
      <c r="T1" s="1926"/>
      <c r="U1" s="1926"/>
      <c r="V1" s="1926"/>
      <c r="W1" s="1926"/>
      <c r="X1" s="1926"/>
      <c r="Y1" s="1926"/>
      <c r="Z1" s="1926"/>
      <c r="AA1" s="1926"/>
      <c r="AB1" s="1926"/>
      <c r="AC1" s="1926"/>
      <c r="AD1" s="1926"/>
      <c r="AE1" s="1926"/>
      <c r="AF1" s="1926"/>
      <c r="AG1" s="1926"/>
      <c r="AH1" s="1926"/>
      <c r="AI1" s="1926"/>
      <c r="AJ1" s="1926"/>
      <c r="AK1" s="1926"/>
      <c r="AL1" s="1926"/>
      <c r="AM1" s="1926"/>
    </row>
    <row r="2" spans="1:42" s="570" customFormat="1" ht="12.75" customHeight="1" thickBot="1">
      <c r="A2" s="1927"/>
      <c r="B2" s="1927"/>
      <c r="C2" s="1927"/>
      <c r="D2" s="1927"/>
      <c r="E2" s="1927"/>
      <c r="F2" s="1927"/>
      <c r="G2" s="1927"/>
      <c r="H2" s="1927"/>
      <c r="I2" s="1927"/>
      <c r="J2" s="1927"/>
      <c r="K2" s="1927"/>
      <c r="L2" s="1927"/>
      <c r="M2" s="1927"/>
      <c r="N2" s="1927"/>
      <c r="O2" s="1927"/>
      <c r="P2" s="1927"/>
      <c r="Q2" s="1927"/>
      <c r="R2" s="1927"/>
      <c r="S2" s="1927"/>
      <c r="T2" s="1927"/>
      <c r="U2" s="1927"/>
      <c r="V2" s="1927"/>
      <c r="W2" s="1927"/>
      <c r="X2" s="1927"/>
      <c r="Y2" s="1927"/>
      <c r="Z2" s="1927"/>
      <c r="AA2" s="1927"/>
      <c r="AB2" s="1927"/>
      <c r="AC2" s="1927"/>
      <c r="AD2" s="1927"/>
      <c r="AE2" s="1927"/>
      <c r="AF2" s="1927"/>
      <c r="AG2" s="1927"/>
      <c r="AH2" s="1927"/>
      <c r="AI2" s="1927"/>
      <c r="AJ2" s="1927"/>
      <c r="AK2" s="1927"/>
      <c r="AL2" s="1927"/>
      <c r="AM2" s="1927"/>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1412</v>
      </c>
      <c r="B4" s="573" t="s">
        <v>1413</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1414</v>
      </c>
      <c r="B7" s="573" t="s">
        <v>1415</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10" t="s">
        <v>1416</v>
      </c>
      <c r="AF7" s="1910"/>
      <c r="AG7" s="1910"/>
      <c r="AH7" s="1910"/>
      <c r="AI7" s="1910"/>
      <c r="AJ7" s="1910"/>
      <c r="AK7" s="1910"/>
      <c r="AL7" s="574"/>
      <c r="AM7" s="574"/>
      <c r="AN7" s="569"/>
    </row>
    <row r="8" spans="1:42" s="570" customFormat="1" ht="12.75" customHeight="1">
      <c r="A8" s="572"/>
      <c r="B8" s="573" t="s">
        <v>1919</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2324</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2318</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900" t="s">
        <v>599</v>
      </c>
      <c r="C13" s="1900"/>
      <c r="D13" s="581"/>
      <c r="E13" s="582" t="s">
        <v>1417</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28"/>
      <c r="AH13" s="1928"/>
      <c r="AI13" s="1928"/>
      <c r="AJ13" s="1929"/>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900" t="s">
        <v>599</v>
      </c>
      <c r="C16" s="1900"/>
      <c r="D16" s="581"/>
      <c r="E16" s="1911" t="s">
        <v>1418</v>
      </c>
      <c r="F16" s="1912"/>
      <c r="G16" s="1912"/>
      <c r="H16" s="1912"/>
      <c r="I16" s="1912"/>
      <c r="J16" s="1912"/>
      <c r="K16" s="1912"/>
      <c r="L16" s="1912"/>
      <c r="M16" s="1912"/>
      <c r="N16" s="1912"/>
      <c r="O16" s="1912"/>
      <c r="P16" s="1912"/>
      <c r="Q16" s="1912"/>
      <c r="R16" s="1912"/>
      <c r="S16" s="1912"/>
      <c r="T16" s="1912"/>
      <c r="U16" s="1912"/>
      <c r="V16" s="1912"/>
      <c r="W16" s="1912"/>
      <c r="X16" s="1912"/>
      <c r="Y16" s="1912"/>
      <c r="Z16" s="1912"/>
      <c r="AA16" s="1912"/>
      <c r="AB16" s="1912"/>
      <c r="AC16" s="1912"/>
      <c r="AD16" s="1912"/>
      <c r="AE16" s="1912"/>
      <c r="AF16" s="1912"/>
      <c r="AG16" s="1912"/>
      <c r="AH16" s="1912"/>
      <c r="AI16" s="1912"/>
      <c r="AJ16" s="1913"/>
      <c r="AK16" s="574"/>
      <c r="AL16" s="574"/>
      <c r="AM16" s="574"/>
      <c r="AN16" s="569"/>
      <c r="AO16" s="584">
        <f>IF($B25="yes",20,0)</f>
        <v>0</v>
      </c>
      <c r="AP16" s="14"/>
    </row>
    <row r="17" spans="1:42" s="570" customFormat="1" ht="12.75" customHeight="1">
      <c r="A17" s="574"/>
      <c r="B17" s="574"/>
      <c r="C17" s="574"/>
      <c r="D17" s="585"/>
      <c r="E17" s="1914"/>
      <c r="F17" s="1915"/>
      <c r="G17" s="1915"/>
      <c r="H17" s="1915"/>
      <c r="I17" s="1915"/>
      <c r="J17" s="1915"/>
      <c r="K17" s="1915"/>
      <c r="L17" s="1915"/>
      <c r="M17" s="1915"/>
      <c r="N17" s="1915"/>
      <c r="O17" s="1915"/>
      <c r="P17" s="1915"/>
      <c r="Q17" s="1915"/>
      <c r="R17" s="1915"/>
      <c r="S17" s="1915"/>
      <c r="T17" s="1915"/>
      <c r="U17" s="1915"/>
      <c r="V17" s="1915"/>
      <c r="W17" s="1915"/>
      <c r="X17" s="1915"/>
      <c r="Y17" s="1915"/>
      <c r="Z17" s="1915"/>
      <c r="AA17" s="1915"/>
      <c r="AB17" s="1915"/>
      <c r="AC17" s="1915"/>
      <c r="AD17" s="1915"/>
      <c r="AE17" s="1915"/>
      <c r="AF17" s="1915"/>
      <c r="AG17" s="1915"/>
      <c r="AH17" s="1915"/>
      <c r="AI17" s="1915"/>
      <c r="AJ17" s="1916"/>
      <c r="AK17" s="574"/>
      <c r="AL17" s="574"/>
      <c r="AM17" s="574"/>
      <c r="AN17" s="569"/>
      <c r="AO17" s="570">
        <f>IF(SUM(AO13:AO16)&gt;20,20,(SUM(AO13:AO16)))</f>
        <v>0</v>
      </c>
      <c r="AP17" s="570" t="s">
        <v>1419</v>
      </c>
    </row>
    <row r="18" spans="1:42" s="570" customFormat="1" ht="12.75" customHeight="1">
      <c r="A18" s="574"/>
      <c r="B18" s="574"/>
      <c r="C18" s="574"/>
      <c r="D18" s="585"/>
      <c r="E18" s="1914"/>
      <c r="F18" s="1915"/>
      <c r="G18" s="1915"/>
      <c r="H18" s="1915"/>
      <c r="I18" s="1915"/>
      <c r="J18" s="1915"/>
      <c r="K18" s="1915"/>
      <c r="L18" s="1915"/>
      <c r="M18" s="1915"/>
      <c r="N18" s="1915"/>
      <c r="O18" s="1915"/>
      <c r="P18" s="1915"/>
      <c r="Q18" s="1915"/>
      <c r="R18" s="1915"/>
      <c r="S18" s="1915"/>
      <c r="T18" s="1915"/>
      <c r="U18" s="1915"/>
      <c r="V18" s="1915"/>
      <c r="W18" s="1915"/>
      <c r="X18" s="1915"/>
      <c r="Y18" s="1915"/>
      <c r="Z18" s="1915"/>
      <c r="AA18" s="1915"/>
      <c r="AB18" s="1915"/>
      <c r="AC18" s="1915"/>
      <c r="AD18" s="1915"/>
      <c r="AE18" s="1915"/>
      <c r="AF18" s="1915"/>
      <c r="AG18" s="1915"/>
      <c r="AH18" s="1915"/>
      <c r="AI18" s="1915"/>
      <c r="AJ18" s="1916"/>
      <c r="AK18" s="574"/>
      <c r="AL18" s="574"/>
      <c r="AM18" s="574"/>
      <c r="AN18" s="569"/>
    </row>
    <row r="19" spans="1:42" s="570" customFormat="1" ht="12.75" customHeight="1">
      <c r="A19" s="574"/>
      <c r="B19" s="574"/>
      <c r="C19" s="574"/>
      <c r="D19" s="585"/>
      <c r="E19" s="586" t="s">
        <v>1420</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39"/>
      <c r="F20" s="1940"/>
      <c r="G20" s="1940"/>
      <c r="H20" s="1940"/>
      <c r="I20" s="1940"/>
      <c r="J20" s="1940"/>
      <c r="K20" s="1940"/>
      <c r="L20" s="1940"/>
      <c r="M20" s="1940"/>
      <c r="N20" s="1940"/>
      <c r="O20" s="1940"/>
      <c r="P20" s="1940"/>
      <c r="Q20" s="1940"/>
      <c r="R20" s="1940"/>
      <c r="S20" s="1940"/>
      <c r="T20" s="1940"/>
      <c r="U20" s="1940"/>
      <c r="V20" s="1940"/>
      <c r="W20" s="1940"/>
      <c r="X20" s="1940"/>
      <c r="Y20" s="1940"/>
      <c r="Z20" s="1940"/>
      <c r="AA20" s="1940"/>
      <c r="AB20" s="1940"/>
      <c r="AC20" s="1940"/>
      <c r="AD20" s="1940"/>
      <c r="AE20" s="1940"/>
      <c r="AF20" s="1940"/>
      <c r="AG20" s="1940"/>
      <c r="AH20" s="1940"/>
      <c r="AI20" s="1940"/>
      <c r="AJ20" s="1941"/>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900" t="s">
        <v>599</v>
      </c>
      <c r="C22" s="1900"/>
      <c r="D22" s="581"/>
      <c r="E22" s="1933" t="s">
        <v>1421</v>
      </c>
      <c r="F22" s="1934"/>
      <c r="G22" s="1934"/>
      <c r="H22" s="1934"/>
      <c r="I22" s="1934"/>
      <c r="J22" s="1934"/>
      <c r="K22" s="1934"/>
      <c r="L22" s="1934"/>
      <c r="M22" s="1934"/>
      <c r="N22" s="1934"/>
      <c r="O22" s="1934"/>
      <c r="P22" s="1934"/>
      <c r="Q22" s="1934"/>
      <c r="R22" s="1934"/>
      <c r="S22" s="1934"/>
      <c r="T22" s="1934"/>
      <c r="U22" s="1934"/>
      <c r="V22" s="1934"/>
      <c r="W22" s="1934"/>
      <c r="X22" s="1934"/>
      <c r="Y22" s="1934"/>
      <c r="Z22" s="1934"/>
      <c r="AA22" s="1934"/>
      <c r="AB22" s="1934"/>
      <c r="AC22" s="1934"/>
      <c r="AD22" s="1934"/>
      <c r="AE22" s="1934"/>
      <c r="AF22" s="1934"/>
      <c r="AG22" s="1934"/>
      <c r="AH22" s="1934"/>
      <c r="AI22" s="1934"/>
      <c r="AJ22" s="1935"/>
      <c r="AK22" s="574"/>
      <c r="AL22" s="574"/>
      <c r="AM22" s="574"/>
      <c r="AN22" s="569"/>
      <c r="AO22" s="570">
        <f>IF(SUM(AO20:AO21)&gt;14,14,SUM(AO20:AO21))</f>
        <v>0</v>
      </c>
      <c r="AP22" s="570" t="s">
        <v>1419</v>
      </c>
    </row>
    <row r="23" spans="1:42" s="570" customFormat="1" ht="12.75" customHeight="1">
      <c r="A23" s="574"/>
      <c r="B23" s="574"/>
      <c r="C23" s="574"/>
      <c r="D23" s="584"/>
      <c r="E23" s="1936"/>
      <c r="F23" s="1937"/>
      <c r="G23" s="1937"/>
      <c r="H23" s="1937"/>
      <c r="I23" s="1937"/>
      <c r="J23" s="1937"/>
      <c r="K23" s="1937"/>
      <c r="L23" s="1937"/>
      <c r="M23" s="1937"/>
      <c r="N23" s="1937"/>
      <c r="O23" s="1937"/>
      <c r="P23" s="1937"/>
      <c r="Q23" s="1937"/>
      <c r="R23" s="1937"/>
      <c r="S23" s="1937"/>
      <c r="T23" s="1937"/>
      <c r="U23" s="1937"/>
      <c r="V23" s="1937"/>
      <c r="W23" s="1937"/>
      <c r="X23" s="1937"/>
      <c r="Y23" s="1937"/>
      <c r="Z23" s="1937"/>
      <c r="AA23" s="1937"/>
      <c r="AB23" s="1937"/>
      <c r="AC23" s="1937"/>
      <c r="AD23" s="1937"/>
      <c r="AE23" s="1937"/>
      <c r="AF23" s="1937"/>
      <c r="AG23" s="1937"/>
      <c r="AH23" s="1937"/>
      <c r="AI23" s="1937"/>
      <c r="AJ23" s="1938"/>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900" t="s">
        <v>599</v>
      </c>
      <c r="C25" s="1900"/>
      <c r="D25" s="581"/>
      <c r="E25" s="1901" t="s">
        <v>2348</v>
      </c>
      <c r="F25" s="1902"/>
      <c r="G25" s="1902"/>
      <c r="H25" s="1902"/>
      <c r="I25" s="1902"/>
      <c r="J25" s="1902"/>
      <c r="K25" s="1902"/>
      <c r="L25" s="1902"/>
      <c r="M25" s="1902"/>
      <c r="N25" s="1902"/>
      <c r="O25" s="1902"/>
      <c r="P25" s="1902"/>
      <c r="Q25" s="1902"/>
      <c r="R25" s="1902"/>
      <c r="S25" s="1902"/>
      <c r="T25" s="1902"/>
      <c r="U25" s="1902"/>
      <c r="V25" s="1902"/>
      <c r="W25" s="1902"/>
      <c r="X25" s="1902"/>
      <c r="Y25" s="1902"/>
      <c r="Z25" s="1902"/>
      <c r="AA25" s="1902"/>
      <c r="AB25" s="1902"/>
      <c r="AC25" s="1902"/>
      <c r="AD25" s="1902"/>
      <c r="AE25" s="1902"/>
      <c r="AF25" s="1902"/>
      <c r="AG25" s="1902"/>
      <c r="AH25" s="1902"/>
      <c r="AI25" s="1902"/>
      <c r="AJ25" s="1903"/>
      <c r="AK25" s="574"/>
      <c r="AL25" s="574"/>
      <c r="AM25" s="574"/>
      <c r="AN25" s="569"/>
      <c r="AO25" s="570">
        <f>IF(AO24&gt;6,6,AO24)</f>
        <v>0</v>
      </c>
      <c r="AP25" s="570" t="s">
        <v>1419</v>
      </c>
    </row>
    <row r="26" spans="1:42" s="570" customFormat="1" ht="12.75" customHeight="1">
      <c r="A26" s="574"/>
      <c r="B26" s="574"/>
      <c r="C26" s="574"/>
      <c r="D26" s="584"/>
      <c r="E26" s="1904"/>
      <c r="F26" s="1905"/>
      <c r="G26" s="1905"/>
      <c r="H26" s="1905"/>
      <c r="I26" s="1905"/>
      <c r="J26" s="1905"/>
      <c r="K26" s="1905"/>
      <c r="L26" s="1905"/>
      <c r="M26" s="1905"/>
      <c r="N26" s="1905"/>
      <c r="O26" s="1905"/>
      <c r="P26" s="1905"/>
      <c r="Q26" s="1905"/>
      <c r="R26" s="1905"/>
      <c r="S26" s="1905"/>
      <c r="T26" s="1905"/>
      <c r="U26" s="1905"/>
      <c r="V26" s="1905"/>
      <c r="W26" s="1905"/>
      <c r="X26" s="1905"/>
      <c r="Y26" s="1905"/>
      <c r="Z26" s="1905"/>
      <c r="AA26" s="1905"/>
      <c r="AB26" s="1905"/>
      <c r="AC26" s="1905"/>
      <c r="AD26" s="1905"/>
      <c r="AE26" s="1905"/>
      <c r="AF26" s="1905"/>
      <c r="AG26" s="1905"/>
      <c r="AH26" s="1905"/>
      <c r="AI26" s="1905"/>
      <c r="AJ26" s="1906"/>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2319</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1419</v>
      </c>
    </row>
    <row r="30" spans="1:42" s="570" customFormat="1" ht="12.75" customHeight="1">
      <c r="A30" s="574"/>
      <c r="B30" s="1900" t="s">
        <v>599</v>
      </c>
      <c r="C30" s="1900"/>
      <c r="D30" s="581"/>
      <c r="E30" s="1933" t="s">
        <v>2320</v>
      </c>
      <c r="F30" s="1934"/>
      <c r="G30" s="1934"/>
      <c r="H30" s="1934"/>
      <c r="I30" s="1934"/>
      <c r="J30" s="1934"/>
      <c r="K30" s="1934"/>
      <c r="L30" s="1934"/>
      <c r="M30" s="1934"/>
      <c r="N30" s="1934"/>
      <c r="O30" s="1934"/>
      <c r="P30" s="1934"/>
      <c r="Q30" s="1934"/>
      <c r="R30" s="1934"/>
      <c r="S30" s="1934"/>
      <c r="T30" s="1934"/>
      <c r="U30" s="1934"/>
      <c r="V30" s="1934"/>
      <c r="W30" s="1934"/>
      <c r="X30" s="1934"/>
      <c r="Y30" s="1934"/>
      <c r="Z30" s="1934"/>
      <c r="AA30" s="1934"/>
      <c r="AB30" s="1934"/>
      <c r="AC30" s="1934"/>
      <c r="AD30" s="1934"/>
      <c r="AE30" s="1934"/>
      <c r="AF30" s="1934"/>
      <c r="AG30" s="1934"/>
      <c r="AH30" s="1934"/>
      <c r="AI30" s="1934"/>
      <c r="AJ30" s="1935"/>
      <c r="AK30" s="574"/>
      <c r="AL30" s="574"/>
      <c r="AM30" s="574"/>
      <c r="AN30" s="569"/>
      <c r="AO30" s="584"/>
    </row>
    <row r="31" spans="1:42" s="570" customFormat="1" ht="12.75" customHeight="1">
      <c r="A31" s="574"/>
      <c r="B31" s="574"/>
      <c r="C31" s="574"/>
      <c r="E31" s="1936"/>
      <c r="F31" s="1937"/>
      <c r="G31" s="1937"/>
      <c r="H31" s="1937"/>
      <c r="I31" s="1937"/>
      <c r="J31" s="1937"/>
      <c r="K31" s="1937"/>
      <c r="L31" s="1937"/>
      <c r="M31" s="1937"/>
      <c r="N31" s="1937"/>
      <c r="O31" s="1937"/>
      <c r="P31" s="1937"/>
      <c r="Q31" s="1937"/>
      <c r="R31" s="1937"/>
      <c r="S31" s="1937"/>
      <c r="T31" s="1937"/>
      <c r="U31" s="1937"/>
      <c r="V31" s="1937"/>
      <c r="W31" s="1937"/>
      <c r="X31" s="1937"/>
      <c r="Y31" s="1937"/>
      <c r="Z31" s="1937"/>
      <c r="AA31" s="1937"/>
      <c r="AB31" s="1937"/>
      <c r="AC31" s="1937"/>
      <c r="AD31" s="1937"/>
      <c r="AE31" s="1937"/>
      <c r="AF31" s="1937"/>
      <c r="AG31" s="1937"/>
      <c r="AH31" s="1937"/>
      <c r="AI31" s="1937"/>
      <c r="AJ31" s="1938"/>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900" t="s">
        <v>599</v>
      </c>
      <c r="C33" s="1900"/>
      <c r="D33" s="581"/>
      <c r="E33" s="1901" t="s">
        <v>2321</v>
      </c>
      <c r="F33" s="1902"/>
      <c r="G33" s="1902"/>
      <c r="H33" s="1902"/>
      <c r="I33" s="1902"/>
      <c r="J33" s="1902"/>
      <c r="K33" s="1902"/>
      <c r="L33" s="1902"/>
      <c r="M33" s="1902"/>
      <c r="N33" s="1902"/>
      <c r="O33" s="1902"/>
      <c r="P33" s="1902"/>
      <c r="Q33" s="1902"/>
      <c r="R33" s="1902"/>
      <c r="S33" s="1902"/>
      <c r="T33" s="1902"/>
      <c r="U33" s="1902"/>
      <c r="V33" s="1902"/>
      <c r="W33" s="1902"/>
      <c r="X33" s="1902"/>
      <c r="Y33" s="1902"/>
      <c r="Z33" s="1902"/>
      <c r="AA33" s="1902"/>
      <c r="AB33" s="1902"/>
      <c r="AC33" s="1902"/>
      <c r="AD33" s="1902"/>
      <c r="AE33" s="1902"/>
      <c r="AF33" s="1902"/>
      <c r="AG33" s="1902"/>
      <c r="AH33" s="1902"/>
      <c r="AI33" s="1902"/>
      <c r="AJ33" s="1903"/>
      <c r="AK33" s="574"/>
      <c r="AL33" s="574"/>
      <c r="AM33" s="574"/>
      <c r="AN33" s="569"/>
    </row>
    <row r="34" spans="1:41" s="570" customFormat="1" ht="12.75" customHeight="1">
      <c r="A34" s="574"/>
      <c r="B34" s="574"/>
      <c r="C34" s="574"/>
      <c r="E34" s="1907"/>
      <c r="F34" s="1908"/>
      <c r="G34" s="1908"/>
      <c r="H34" s="1908"/>
      <c r="I34" s="1908"/>
      <c r="J34" s="1908"/>
      <c r="K34" s="1908"/>
      <c r="L34" s="1908"/>
      <c r="M34" s="1908"/>
      <c r="N34" s="1908"/>
      <c r="O34" s="1908"/>
      <c r="P34" s="1908"/>
      <c r="Q34" s="1908"/>
      <c r="R34" s="1908"/>
      <c r="S34" s="1908"/>
      <c r="T34" s="1908"/>
      <c r="U34" s="1908"/>
      <c r="V34" s="1908"/>
      <c r="W34" s="1908"/>
      <c r="X34" s="1908"/>
      <c r="Y34" s="1908"/>
      <c r="Z34" s="1908"/>
      <c r="AA34" s="1908"/>
      <c r="AB34" s="1908"/>
      <c r="AC34" s="1908"/>
      <c r="AD34" s="1908"/>
      <c r="AE34" s="1908"/>
      <c r="AF34" s="1908"/>
      <c r="AG34" s="1908"/>
      <c r="AH34" s="1908"/>
      <c r="AI34" s="1908"/>
      <c r="AJ34" s="1909"/>
      <c r="AK34" s="574"/>
      <c r="AL34" s="574"/>
      <c r="AM34" s="574"/>
      <c r="AN34" s="569"/>
    </row>
    <row r="35" spans="1:41" s="570" customFormat="1" ht="12.75" customHeight="1">
      <c r="A35" s="574"/>
      <c r="B35" s="574"/>
      <c r="C35" s="574"/>
      <c r="E35" s="1904"/>
      <c r="F35" s="1905"/>
      <c r="G35" s="1905"/>
      <c r="H35" s="1905"/>
      <c r="I35" s="1905"/>
      <c r="J35" s="1905"/>
      <c r="K35" s="1905"/>
      <c r="L35" s="1905"/>
      <c r="M35" s="1905"/>
      <c r="N35" s="1905"/>
      <c r="O35" s="1905"/>
      <c r="P35" s="1905"/>
      <c r="Q35" s="1905"/>
      <c r="R35" s="1905"/>
      <c r="S35" s="1905"/>
      <c r="T35" s="1905"/>
      <c r="U35" s="1905"/>
      <c r="V35" s="1905"/>
      <c r="W35" s="1905"/>
      <c r="X35" s="1905"/>
      <c r="Y35" s="1905"/>
      <c r="Z35" s="1905"/>
      <c r="AA35" s="1905"/>
      <c r="AB35" s="1905"/>
      <c r="AC35" s="1905"/>
      <c r="AD35" s="1905"/>
      <c r="AE35" s="1905"/>
      <c r="AF35" s="1905"/>
      <c r="AG35" s="1905"/>
      <c r="AH35" s="1905"/>
      <c r="AI35" s="1905"/>
      <c r="AJ35" s="1906"/>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2323</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900" t="s">
        <v>599</v>
      </c>
      <c r="C39" s="1900"/>
      <c r="D39" s="1186"/>
      <c r="E39" s="1901" t="s">
        <v>2322</v>
      </c>
      <c r="F39" s="1902"/>
      <c r="G39" s="1902"/>
      <c r="H39" s="1902"/>
      <c r="I39" s="1902"/>
      <c r="J39" s="1902"/>
      <c r="K39" s="1902"/>
      <c r="L39" s="1902"/>
      <c r="M39" s="1902"/>
      <c r="N39" s="1902"/>
      <c r="O39" s="1902"/>
      <c r="P39" s="1902"/>
      <c r="Q39" s="1902"/>
      <c r="R39" s="1902"/>
      <c r="S39" s="1902"/>
      <c r="T39" s="1902"/>
      <c r="U39" s="1902"/>
      <c r="V39" s="1902"/>
      <c r="W39" s="1902"/>
      <c r="X39" s="1902"/>
      <c r="Y39" s="1902"/>
      <c r="Z39" s="1902"/>
      <c r="AA39" s="1902"/>
      <c r="AB39" s="1902"/>
      <c r="AC39" s="1902"/>
      <c r="AD39" s="1902"/>
      <c r="AE39" s="1902"/>
      <c r="AF39" s="1902"/>
      <c r="AG39" s="1902"/>
      <c r="AH39" s="1902"/>
      <c r="AI39" s="1902"/>
      <c r="AJ39" s="1903"/>
      <c r="AK39" s="1186"/>
      <c r="AL39" s="574"/>
      <c r="AM39" s="574"/>
      <c r="AN39" s="569"/>
    </row>
    <row r="40" spans="1:41" s="570" customFormat="1" ht="12.75" customHeight="1">
      <c r="A40" s="574"/>
      <c r="B40" s="574"/>
      <c r="C40" s="574"/>
      <c r="E40" s="1907"/>
      <c r="F40" s="1908"/>
      <c r="G40" s="1908"/>
      <c r="H40" s="1908"/>
      <c r="I40" s="1908"/>
      <c r="J40" s="1908"/>
      <c r="K40" s="1908"/>
      <c r="L40" s="1908"/>
      <c r="M40" s="1908"/>
      <c r="N40" s="1908"/>
      <c r="O40" s="1908"/>
      <c r="P40" s="1908"/>
      <c r="Q40" s="1908"/>
      <c r="R40" s="1908"/>
      <c r="S40" s="1908"/>
      <c r="T40" s="1908"/>
      <c r="U40" s="1908"/>
      <c r="V40" s="1908"/>
      <c r="W40" s="1908"/>
      <c r="X40" s="1908"/>
      <c r="Y40" s="1908"/>
      <c r="Z40" s="1908"/>
      <c r="AA40" s="1908"/>
      <c r="AB40" s="1908"/>
      <c r="AC40" s="1908"/>
      <c r="AD40" s="1908"/>
      <c r="AE40" s="1908"/>
      <c r="AF40" s="1908"/>
      <c r="AG40" s="1908"/>
      <c r="AH40" s="1908"/>
      <c r="AI40" s="1908"/>
      <c r="AJ40" s="1909"/>
      <c r="AK40" s="574"/>
      <c r="AL40" s="574"/>
      <c r="AM40" s="574"/>
      <c r="AN40" s="569"/>
    </row>
    <row r="41" spans="1:41" s="570" customFormat="1" ht="12.75" customHeight="1">
      <c r="A41" s="574"/>
      <c r="D41" s="581"/>
      <c r="E41" s="1904"/>
      <c r="F41" s="1905"/>
      <c r="G41" s="1905"/>
      <c r="H41" s="1905"/>
      <c r="I41" s="1905"/>
      <c r="J41" s="1905"/>
      <c r="K41" s="1905"/>
      <c r="L41" s="1905"/>
      <c r="M41" s="1905"/>
      <c r="N41" s="1905"/>
      <c r="O41" s="1905"/>
      <c r="P41" s="1905"/>
      <c r="Q41" s="1905"/>
      <c r="R41" s="1905"/>
      <c r="S41" s="1905"/>
      <c r="T41" s="1905"/>
      <c r="U41" s="1905"/>
      <c r="V41" s="1905"/>
      <c r="W41" s="1905"/>
      <c r="X41" s="1905"/>
      <c r="Y41" s="1905"/>
      <c r="Z41" s="1905"/>
      <c r="AA41" s="1905"/>
      <c r="AB41" s="1905"/>
      <c r="AC41" s="1905"/>
      <c r="AD41" s="1905"/>
      <c r="AE41" s="1905"/>
      <c r="AF41" s="1905"/>
      <c r="AG41" s="1905"/>
      <c r="AH41" s="1905"/>
      <c r="AI41" s="1905"/>
      <c r="AJ41" s="1906"/>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2325</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2326</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900" t="s">
        <v>599</v>
      </c>
      <c r="C46" s="1900"/>
      <c r="D46" s="574"/>
      <c r="E46" s="1901" t="s">
        <v>2327</v>
      </c>
      <c r="F46" s="1902"/>
      <c r="G46" s="1902"/>
      <c r="H46" s="1902"/>
      <c r="I46" s="1902"/>
      <c r="J46" s="1902"/>
      <c r="K46" s="1902"/>
      <c r="L46" s="1902"/>
      <c r="M46" s="1902"/>
      <c r="N46" s="1902"/>
      <c r="O46" s="1902"/>
      <c r="P46" s="1902"/>
      <c r="Q46" s="1902"/>
      <c r="R46" s="1902"/>
      <c r="S46" s="1902"/>
      <c r="T46" s="1902"/>
      <c r="U46" s="1902"/>
      <c r="V46" s="1902"/>
      <c r="W46" s="1902"/>
      <c r="X46" s="1902"/>
      <c r="Y46" s="1902"/>
      <c r="Z46" s="1902"/>
      <c r="AA46" s="1902"/>
      <c r="AB46" s="1902"/>
      <c r="AC46" s="1902"/>
      <c r="AD46" s="1902"/>
      <c r="AE46" s="1902"/>
      <c r="AF46" s="1902"/>
      <c r="AG46" s="1902"/>
      <c r="AH46" s="1902"/>
      <c r="AI46" s="1902"/>
      <c r="AJ46" s="1903"/>
      <c r="AK46" s="574"/>
      <c r="AL46" s="574"/>
      <c r="AM46" s="574"/>
      <c r="AN46" s="569"/>
      <c r="AO46" s="593"/>
    </row>
    <row r="47" spans="1:41" s="570" customFormat="1" ht="12.75" customHeight="1">
      <c r="A47" s="574"/>
      <c r="D47" s="581"/>
      <c r="E47" s="1907"/>
      <c r="F47" s="1908"/>
      <c r="G47" s="1908"/>
      <c r="H47" s="1908"/>
      <c r="I47" s="1908"/>
      <c r="J47" s="1908"/>
      <c r="K47" s="1908"/>
      <c r="L47" s="1908"/>
      <c r="M47" s="1908"/>
      <c r="N47" s="1908"/>
      <c r="O47" s="1908"/>
      <c r="P47" s="1908"/>
      <c r="Q47" s="1908"/>
      <c r="R47" s="1908"/>
      <c r="S47" s="1908"/>
      <c r="T47" s="1908"/>
      <c r="U47" s="1908"/>
      <c r="V47" s="1908"/>
      <c r="W47" s="1908"/>
      <c r="X47" s="1908"/>
      <c r="Y47" s="1908"/>
      <c r="Z47" s="1908"/>
      <c r="AA47" s="1908"/>
      <c r="AB47" s="1908"/>
      <c r="AC47" s="1908"/>
      <c r="AD47" s="1908"/>
      <c r="AE47" s="1908"/>
      <c r="AF47" s="1908"/>
      <c r="AG47" s="1908"/>
      <c r="AH47" s="1908"/>
      <c r="AI47" s="1908"/>
      <c r="AJ47" s="1909"/>
      <c r="AK47" s="574"/>
      <c r="AL47" s="574"/>
      <c r="AM47" s="574"/>
      <c r="AN47" s="569"/>
      <c r="AO47" s="593"/>
    </row>
    <row r="48" spans="1:41" s="570" customFormat="1" ht="12.75" customHeight="1">
      <c r="A48" s="574"/>
      <c r="D48" s="574"/>
      <c r="E48" s="1904"/>
      <c r="F48" s="1905"/>
      <c r="G48" s="1905"/>
      <c r="H48" s="1905"/>
      <c r="I48" s="1905"/>
      <c r="J48" s="1905"/>
      <c r="K48" s="1905"/>
      <c r="L48" s="1905"/>
      <c r="M48" s="1905"/>
      <c r="N48" s="1905"/>
      <c r="O48" s="1905"/>
      <c r="P48" s="1905"/>
      <c r="Q48" s="1905"/>
      <c r="R48" s="1905"/>
      <c r="S48" s="1905"/>
      <c r="T48" s="1905"/>
      <c r="U48" s="1905"/>
      <c r="V48" s="1905"/>
      <c r="W48" s="1905"/>
      <c r="X48" s="1905"/>
      <c r="Y48" s="1905"/>
      <c r="Z48" s="1905"/>
      <c r="AA48" s="1905"/>
      <c r="AB48" s="1905"/>
      <c r="AC48" s="1905"/>
      <c r="AD48" s="1905"/>
      <c r="AE48" s="1905"/>
      <c r="AF48" s="1905"/>
      <c r="AG48" s="1905"/>
      <c r="AH48" s="1905"/>
      <c r="AI48" s="1905"/>
      <c r="AJ48" s="1906"/>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900" t="s">
        <v>599</v>
      </c>
      <c r="C50" s="1900"/>
      <c r="D50" s="574"/>
      <c r="E50" s="1921" t="s">
        <v>2328</v>
      </c>
      <c r="F50" s="1922"/>
      <c r="G50" s="1922"/>
      <c r="H50" s="1922"/>
      <c r="I50" s="1922"/>
      <c r="J50" s="1922"/>
      <c r="K50" s="1922"/>
      <c r="L50" s="1922"/>
      <c r="M50" s="1922"/>
      <c r="N50" s="1922"/>
      <c r="O50" s="1922"/>
      <c r="P50" s="1922"/>
      <c r="Q50" s="1922"/>
      <c r="R50" s="1922"/>
      <c r="S50" s="1922"/>
      <c r="T50" s="1922"/>
      <c r="U50" s="1922"/>
      <c r="V50" s="1922"/>
      <c r="W50" s="1922"/>
      <c r="X50" s="1922"/>
      <c r="Y50" s="1922"/>
      <c r="Z50" s="1922"/>
      <c r="AA50" s="1922"/>
      <c r="AB50" s="1922"/>
      <c r="AC50" s="1922"/>
      <c r="AD50" s="1922"/>
      <c r="AE50" s="1922"/>
      <c r="AF50" s="1922"/>
      <c r="AG50" s="1922"/>
      <c r="AH50" s="1922"/>
      <c r="AI50" s="1922"/>
      <c r="AJ50" s="1923"/>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900" t="s">
        <v>599</v>
      </c>
      <c r="C52" s="1900"/>
      <c r="D52" s="574"/>
      <c r="E52" s="1901" t="s">
        <v>2329</v>
      </c>
      <c r="F52" s="1902"/>
      <c r="G52" s="1902"/>
      <c r="H52" s="1902"/>
      <c r="I52" s="1902"/>
      <c r="J52" s="1902"/>
      <c r="K52" s="1902"/>
      <c r="L52" s="1902"/>
      <c r="M52" s="1902"/>
      <c r="N52" s="1902"/>
      <c r="O52" s="1902"/>
      <c r="P52" s="1902"/>
      <c r="Q52" s="1902"/>
      <c r="R52" s="1902"/>
      <c r="S52" s="1902"/>
      <c r="T52" s="1902"/>
      <c r="U52" s="1902"/>
      <c r="V52" s="1902"/>
      <c r="W52" s="1902"/>
      <c r="X52" s="1902"/>
      <c r="Y52" s="1902"/>
      <c r="Z52" s="1902"/>
      <c r="AA52" s="1902"/>
      <c r="AB52" s="1902"/>
      <c r="AC52" s="1902"/>
      <c r="AD52" s="1902"/>
      <c r="AE52" s="1902"/>
      <c r="AF52" s="1902"/>
      <c r="AG52" s="1902"/>
      <c r="AH52" s="1902"/>
      <c r="AI52" s="1902"/>
      <c r="AJ52" s="1903"/>
      <c r="AK52" s="574"/>
      <c r="AL52" s="574"/>
      <c r="AM52" s="574"/>
      <c r="AN52" s="569"/>
    </row>
    <row r="53" spans="1:50" s="570" customFormat="1" ht="12.75" customHeight="1">
      <c r="A53" s="574"/>
      <c r="B53" s="581"/>
      <c r="C53" s="581"/>
      <c r="D53" s="581"/>
      <c r="E53" s="1904"/>
      <c r="F53" s="1905"/>
      <c r="G53" s="1905"/>
      <c r="H53" s="1905"/>
      <c r="I53" s="1905"/>
      <c r="J53" s="1905"/>
      <c r="K53" s="1905"/>
      <c r="L53" s="1905"/>
      <c r="M53" s="1905"/>
      <c r="N53" s="1905"/>
      <c r="O53" s="1905"/>
      <c r="P53" s="1905"/>
      <c r="Q53" s="1905"/>
      <c r="R53" s="1905"/>
      <c r="S53" s="1905"/>
      <c r="T53" s="1905"/>
      <c r="U53" s="1905"/>
      <c r="V53" s="1905"/>
      <c r="W53" s="1905"/>
      <c r="X53" s="1905"/>
      <c r="Y53" s="1905"/>
      <c r="Z53" s="1905"/>
      <c r="AA53" s="1905"/>
      <c r="AB53" s="1905"/>
      <c r="AC53" s="1905"/>
      <c r="AD53" s="1905"/>
      <c r="AE53" s="1905"/>
      <c r="AF53" s="1905"/>
      <c r="AG53" s="1905"/>
      <c r="AH53" s="1905"/>
      <c r="AI53" s="1905"/>
      <c r="AJ53" s="1906"/>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1422</v>
      </c>
      <c r="AK56" s="1930">
        <f>AO36</f>
        <v>0</v>
      </c>
      <c r="AL56" s="1931"/>
      <c r="AM56" s="1932"/>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1423</v>
      </c>
      <c r="B59" s="573" t="s">
        <v>1424</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10" t="s">
        <v>1425</v>
      </c>
      <c r="AF59" s="1910"/>
      <c r="AG59" s="1910"/>
      <c r="AH59" s="1910"/>
      <c r="AI59" s="1910"/>
      <c r="AJ59" s="1910"/>
      <c r="AK59" s="1910"/>
      <c r="AL59" s="574"/>
      <c r="AM59" s="574"/>
      <c r="AN59" s="569"/>
    </row>
    <row r="60" spans="1:50" s="570" customFormat="1" ht="12.75" customHeight="1">
      <c r="A60" s="572"/>
      <c r="B60" s="573" t="s">
        <v>1918</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900" t="s">
        <v>599</v>
      </c>
      <c r="C62" s="1900"/>
      <c r="D62" s="581" t="s">
        <v>1426</v>
      </c>
      <c r="E62" s="1911" t="s">
        <v>2330</v>
      </c>
      <c r="F62" s="1912"/>
      <c r="G62" s="1912"/>
      <c r="H62" s="1912"/>
      <c r="I62" s="1912"/>
      <c r="J62" s="1912"/>
      <c r="K62" s="1912"/>
      <c r="L62" s="1912"/>
      <c r="M62" s="1912"/>
      <c r="N62" s="1912"/>
      <c r="O62" s="1912"/>
      <c r="P62" s="1912"/>
      <c r="Q62" s="1912"/>
      <c r="R62" s="1912"/>
      <c r="S62" s="1912"/>
      <c r="T62" s="1912"/>
      <c r="U62" s="1912"/>
      <c r="V62" s="1912"/>
      <c r="W62" s="1912"/>
      <c r="X62" s="1912"/>
      <c r="Y62" s="1912"/>
      <c r="Z62" s="1912"/>
      <c r="AA62" s="1912"/>
      <c r="AB62" s="1912"/>
      <c r="AC62" s="1912"/>
      <c r="AD62" s="1912"/>
      <c r="AE62" s="1912"/>
      <c r="AF62" s="1912"/>
      <c r="AG62" s="1912"/>
      <c r="AH62" s="1912"/>
      <c r="AI62" s="1912"/>
      <c r="AJ62" s="1913"/>
      <c r="AK62" s="577"/>
      <c r="AL62" s="574"/>
      <c r="AM62" s="574"/>
      <c r="AN62" s="569"/>
      <c r="AO62" s="584">
        <f>IF($B62="yes",10,0)</f>
        <v>0</v>
      </c>
    </row>
    <row r="63" spans="1:50" s="570" customFormat="1" ht="12.75" customHeight="1">
      <c r="A63" s="572"/>
      <c r="B63" s="574"/>
      <c r="C63" s="574"/>
      <c r="D63" s="585"/>
      <c r="E63" s="1914"/>
      <c r="F63" s="1915"/>
      <c r="G63" s="1915"/>
      <c r="H63" s="1915"/>
      <c r="I63" s="1915"/>
      <c r="J63" s="1915"/>
      <c r="K63" s="1915"/>
      <c r="L63" s="1915"/>
      <c r="M63" s="1915"/>
      <c r="N63" s="1915"/>
      <c r="O63" s="1915"/>
      <c r="P63" s="1915"/>
      <c r="Q63" s="1915"/>
      <c r="R63" s="1915"/>
      <c r="S63" s="1915"/>
      <c r="T63" s="1915"/>
      <c r="U63" s="1915"/>
      <c r="V63" s="1915"/>
      <c r="W63" s="1915"/>
      <c r="X63" s="1915"/>
      <c r="Y63" s="1915"/>
      <c r="Z63" s="1915"/>
      <c r="AA63" s="1915"/>
      <c r="AB63" s="1915"/>
      <c r="AC63" s="1915"/>
      <c r="AD63" s="1915"/>
      <c r="AE63" s="1915"/>
      <c r="AF63" s="1915"/>
      <c r="AG63" s="1915"/>
      <c r="AH63" s="1915"/>
      <c r="AI63" s="1915"/>
      <c r="AJ63" s="1916"/>
      <c r="AK63" s="577"/>
      <c r="AL63" s="574"/>
      <c r="AM63" s="574"/>
      <c r="AN63" s="569"/>
      <c r="AO63" s="584">
        <f>IF($B68="yes",10,0)</f>
        <v>10</v>
      </c>
    </row>
    <row r="64" spans="1:50" s="570" customFormat="1" ht="12.75" customHeight="1">
      <c r="A64" s="572"/>
      <c r="B64" s="574"/>
      <c r="C64" s="574"/>
      <c r="D64" s="585"/>
      <c r="E64" s="1914"/>
      <c r="F64" s="1915"/>
      <c r="G64" s="1915"/>
      <c r="H64" s="1915"/>
      <c r="I64" s="1915"/>
      <c r="J64" s="1915"/>
      <c r="K64" s="1915"/>
      <c r="L64" s="1915"/>
      <c r="M64" s="1915"/>
      <c r="N64" s="1915"/>
      <c r="O64" s="1915"/>
      <c r="P64" s="1915"/>
      <c r="Q64" s="1915"/>
      <c r="R64" s="1915"/>
      <c r="S64" s="1915"/>
      <c r="T64" s="1915"/>
      <c r="U64" s="1915"/>
      <c r="V64" s="1915"/>
      <c r="W64" s="1915"/>
      <c r="X64" s="1915"/>
      <c r="Y64" s="1915"/>
      <c r="Z64" s="1915"/>
      <c r="AA64" s="1915"/>
      <c r="AB64" s="1915"/>
      <c r="AC64" s="1915"/>
      <c r="AD64" s="1915"/>
      <c r="AE64" s="1915"/>
      <c r="AF64" s="1915"/>
      <c r="AG64" s="1915"/>
      <c r="AH64" s="1915"/>
      <c r="AI64" s="1915"/>
      <c r="AJ64" s="1916"/>
      <c r="AK64" s="577"/>
      <c r="AL64" s="574"/>
      <c r="AM64" s="574"/>
      <c r="AN64" s="569"/>
      <c r="AO64" s="584">
        <f>IF($B75="yes",10,0)</f>
        <v>0</v>
      </c>
    </row>
    <row r="65" spans="1:42" s="570" customFormat="1" ht="12.75" customHeight="1">
      <c r="A65" s="572"/>
      <c r="B65" s="574"/>
      <c r="C65" s="574"/>
      <c r="D65" s="585"/>
      <c r="E65" s="1914"/>
      <c r="F65" s="1915"/>
      <c r="G65" s="1915"/>
      <c r="H65" s="1915"/>
      <c r="I65" s="1915"/>
      <c r="J65" s="1915"/>
      <c r="K65" s="1915"/>
      <c r="L65" s="1915"/>
      <c r="M65" s="1915"/>
      <c r="N65" s="1915"/>
      <c r="O65" s="1915"/>
      <c r="P65" s="1915"/>
      <c r="Q65" s="1915"/>
      <c r="R65" s="1915"/>
      <c r="S65" s="1915"/>
      <c r="T65" s="1915"/>
      <c r="U65" s="1915"/>
      <c r="V65" s="1915"/>
      <c r="W65" s="1915"/>
      <c r="X65" s="1915"/>
      <c r="Y65" s="1915"/>
      <c r="Z65" s="1915"/>
      <c r="AA65" s="1915"/>
      <c r="AB65" s="1915"/>
      <c r="AC65" s="1915"/>
      <c r="AD65" s="1915"/>
      <c r="AE65" s="1915"/>
      <c r="AF65" s="1915"/>
      <c r="AG65" s="1915"/>
      <c r="AH65" s="1915"/>
      <c r="AI65" s="1915"/>
      <c r="AJ65" s="1916"/>
      <c r="AK65" s="577"/>
      <c r="AL65" s="574"/>
      <c r="AM65" s="574"/>
      <c r="AN65" s="569"/>
      <c r="AO65" s="570">
        <f>IF(SUM(AO62:AO64)&gt;10,10,(SUM(AO62:AO64)))</f>
        <v>10</v>
      </c>
      <c r="AP65" s="608" t="s">
        <v>1427</v>
      </c>
    </row>
    <row r="66" spans="1:42" s="570" customFormat="1" ht="12.75" customHeight="1">
      <c r="A66" s="572"/>
      <c r="B66" s="574"/>
      <c r="C66" s="574"/>
      <c r="D66" s="585"/>
      <c r="E66" s="1917"/>
      <c r="F66" s="1918"/>
      <c r="G66" s="1918"/>
      <c r="H66" s="1918"/>
      <c r="I66" s="1918"/>
      <c r="J66" s="1918"/>
      <c r="K66" s="1918"/>
      <c r="L66" s="1918"/>
      <c r="M66" s="1918"/>
      <c r="N66" s="1918"/>
      <c r="O66" s="1918"/>
      <c r="P66" s="1918"/>
      <c r="Q66" s="1918"/>
      <c r="R66" s="1918"/>
      <c r="S66" s="1918"/>
      <c r="T66" s="1918"/>
      <c r="U66" s="1918"/>
      <c r="V66" s="1918"/>
      <c r="W66" s="1918"/>
      <c r="X66" s="1918"/>
      <c r="Y66" s="1918"/>
      <c r="Z66" s="1918"/>
      <c r="AA66" s="1918"/>
      <c r="AB66" s="1918"/>
      <c r="AC66" s="1918"/>
      <c r="AD66" s="1918"/>
      <c r="AE66" s="1918"/>
      <c r="AF66" s="1918"/>
      <c r="AG66" s="1918"/>
      <c r="AH66" s="1918"/>
      <c r="AI66" s="1918"/>
      <c r="AJ66" s="1919"/>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900" t="s">
        <v>553</v>
      </c>
      <c r="C68" s="1900"/>
      <c r="D68" s="581" t="s">
        <v>1428</v>
      </c>
      <c r="E68" s="1006" t="s">
        <v>1914</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20" t="s">
        <v>553</v>
      </c>
      <c r="F69" s="1900"/>
      <c r="G69" s="609"/>
      <c r="H69" s="592" t="s">
        <v>1429</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98" t="s">
        <v>599</v>
      </c>
      <c r="F70" s="1899"/>
      <c r="G70" s="609"/>
      <c r="H70" s="592" t="s">
        <v>1430</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98" t="s">
        <v>599</v>
      </c>
      <c r="F71" s="1899"/>
      <c r="G71" s="609"/>
      <c r="H71" s="592" t="s">
        <v>1929</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20" t="s">
        <v>599</v>
      </c>
      <c r="F73" s="1900"/>
      <c r="G73" s="941"/>
      <c r="H73" s="1011" t="s">
        <v>1928</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900" t="s">
        <v>599</v>
      </c>
      <c r="C75" s="1900"/>
      <c r="D75" s="581" t="s">
        <v>1431</v>
      </c>
      <c r="E75" s="1901" t="s">
        <v>1930</v>
      </c>
      <c r="F75" s="1902"/>
      <c r="G75" s="1902"/>
      <c r="H75" s="1902"/>
      <c r="I75" s="1902"/>
      <c r="J75" s="1902"/>
      <c r="K75" s="1902"/>
      <c r="L75" s="1902"/>
      <c r="M75" s="1902"/>
      <c r="N75" s="1902"/>
      <c r="O75" s="1902"/>
      <c r="P75" s="1902"/>
      <c r="Q75" s="1902"/>
      <c r="R75" s="1902"/>
      <c r="S75" s="1902"/>
      <c r="T75" s="1902"/>
      <c r="U75" s="1902"/>
      <c r="V75" s="1902"/>
      <c r="W75" s="1902"/>
      <c r="X75" s="1902"/>
      <c r="Y75" s="1902"/>
      <c r="Z75" s="1902"/>
      <c r="AA75" s="1902"/>
      <c r="AB75" s="1902"/>
      <c r="AC75" s="1902"/>
      <c r="AD75" s="1902"/>
      <c r="AE75" s="1902"/>
      <c r="AF75" s="1902"/>
      <c r="AG75" s="1902"/>
      <c r="AH75" s="1902"/>
      <c r="AI75" s="1902"/>
      <c r="AJ75" s="1903"/>
      <c r="AK75" s="577"/>
      <c r="AL75" s="574"/>
      <c r="AM75" s="574"/>
      <c r="AN75" s="569"/>
    </row>
    <row r="76" spans="1:42" s="570" customFormat="1" ht="12.75" customHeight="1">
      <c r="A76" s="572"/>
      <c r="B76" s="574"/>
      <c r="C76" s="574"/>
      <c r="D76" s="584"/>
      <c r="E76" s="1904"/>
      <c r="F76" s="1905"/>
      <c r="G76" s="1905"/>
      <c r="H76" s="1905"/>
      <c r="I76" s="1905"/>
      <c r="J76" s="1905"/>
      <c r="K76" s="1905"/>
      <c r="L76" s="1905"/>
      <c r="M76" s="1905"/>
      <c r="N76" s="1905"/>
      <c r="O76" s="1905"/>
      <c r="P76" s="1905"/>
      <c r="Q76" s="1905"/>
      <c r="R76" s="1905"/>
      <c r="S76" s="1905"/>
      <c r="T76" s="1905"/>
      <c r="U76" s="1905"/>
      <c r="V76" s="1905"/>
      <c r="W76" s="1905"/>
      <c r="X76" s="1905"/>
      <c r="Y76" s="1905"/>
      <c r="Z76" s="1905"/>
      <c r="AA76" s="1905"/>
      <c r="AB76" s="1905"/>
      <c r="AC76" s="1905"/>
      <c r="AD76" s="1905"/>
      <c r="AE76" s="1905"/>
      <c r="AF76" s="1905"/>
      <c r="AG76" s="1905"/>
      <c r="AH76" s="1905"/>
      <c r="AI76" s="1905"/>
      <c r="AJ76" s="1906"/>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1432</v>
      </c>
      <c r="AK78" s="1930">
        <f>IF(AK56&gt;0,0,AO65)</f>
        <v>10</v>
      </c>
      <c r="AL78" s="1931"/>
      <c r="AM78" s="1932"/>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1433</v>
      </c>
      <c r="B81" s="573" t="s">
        <v>1434</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10" t="s">
        <v>1416</v>
      </c>
      <c r="AF81" s="1910"/>
      <c r="AG81" s="1910"/>
      <c r="AH81" s="1910"/>
      <c r="AI81" s="1910"/>
      <c r="AJ81" s="1910"/>
      <c r="AK81" s="1910"/>
      <c r="AL81" s="574"/>
      <c r="AM81" s="574"/>
      <c r="AN81" s="569"/>
    </row>
    <row r="82" spans="1:43" s="570" customFormat="1" ht="12.75" customHeight="1">
      <c r="A82" s="572"/>
      <c r="B82" s="573" t="s">
        <v>1435</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900" t="s">
        <v>553</v>
      </c>
      <c r="C84" s="1900"/>
      <c r="D84" s="581" t="s">
        <v>1426</v>
      </c>
      <c r="E84" s="1911" t="s">
        <v>1436</v>
      </c>
      <c r="F84" s="1912"/>
      <c r="G84" s="1912"/>
      <c r="H84" s="1912"/>
      <c r="I84" s="1912"/>
      <c r="J84" s="1912"/>
      <c r="K84" s="1912"/>
      <c r="L84" s="1912"/>
      <c r="M84" s="1912"/>
      <c r="N84" s="1912"/>
      <c r="O84" s="1912"/>
      <c r="P84" s="1912"/>
      <c r="Q84" s="1912"/>
      <c r="R84" s="1912"/>
      <c r="S84" s="1912"/>
      <c r="T84" s="1912"/>
      <c r="U84" s="1912"/>
      <c r="V84" s="1912"/>
      <c r="W84" s="1912"/>
      <c r="X84" s="1912"/>
      <c r="Y84" s="1912"/>
      <c r="Z84" s="1912"/>
      <c r="AA84" s="1912"/>
      <c r="AB84" s="1912"/>
      <c r="AC84" s="1912"/>
      <c r="AD84" s="1912"/>
      <c r="AE84" s="1912"/>
      <c r="AF84" s="1912"/>
      <c r="AG84" s="1912"/>
      <c r="AH84" s="1912"/>
      <c r="AI84" s="1912"/>
      <c r="AJ84" s="1913"/>
      <c r="AK84" s="577"/>
      <c r="AL84" s="574"/>
      <c r="AM84" s="574"/>
      <c r="AN84" s="569"/>
    </row>
    <row r="85" spans="1:43" s="570" customFormat="1" ht="12.75" customHeight="1">
      <c r="A85" s="572"/>
      <c r="B85" s="573"/>
      <c r="C85" s="573"/>
      <c r="D85" s="573"/>
      <c r="E85" s="1914"/>
      <c r="F85" s="1915"/>
      <c r="G85" s="1915"/>
      <c r="H85" s="1915"/>
      <c r="I85" s="1915"/>
      <c r="J85" s="1915"/>
      <c r="K85" s="1915"/>
      <c r="L85" s="1915"/>
      <c r="M85" s="1915"/>
      <c r="N85" s="1915"/>
      <c r="O85" s="1915"/>
      <c r="P85" s="1915"/>
      <c r="Q85" s="1915"/>
      <c r="R85" s="1915"/>
      <c r="S85" s="1915"/>
      <c r="T85" s="1915"/>
      <c r="U85" s="1915"/>
      <c r="V85" s="1915"/>
      <c r="W85" s="1915"/>
      <c r="X85" s="1915"/>
      <c r="Y85" s="1915"/>
      <c r="Z85" s="1915"/>
      <c r="AA85" s="1915"/>
      <c r="AB85" s="1915"/>
      <c r="AC85" s="1915"/>
      <c r="AD85" s="1915"/>
      <c r="AE85" s="1915"/>
      <c r="AF85" s="1915"/>
      <c r="AG85" s="1915"/>
      <c r="AH85" s="1915"/>
      <c r="AI85" s="1915"/>
      <c r="AJ85" s="1916"/>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94">
        <f>Application!AC753</f>
        <v>0.44936708860759494</v>
      </c>
      <c r="F87" s="1895"/>
      <c r="G87" s="1895"/>
      <c r="H87" s="1895"/>
      <c r="I87" s="611"/>
      <c r="J87" s="614" t="s">
        <v>1437</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96">
        <f>0.6-ROUNDUP(E87,2)</f>
        <v>0.14999999999999997</v>
      </c>
      <c r="F88" s="1897"/>
      <c r="G88" s="1897"/>
      <c r="H88" s="1897"/>
      <c r="I88" s="611"/>
      <c r="J88" s="614" t="s">
        <v>1438</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24">
        <f>IF(E88*200&gt;20,20,E88*200)</f>
        <v>20</v>
      </c>
      <c r="F89" s="1925"/>
      <c r="G89" s="1925"/>
      <c r="H89" s="1925"/>
      <c r="I89" s="611"/>
      <c r="J89" s="614" t="s">
        <v>1439</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20</v>
      </c>
      <c r="AQ89" s="570" t="s">
        <v>1419</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900" t="s">
        <v>599</v>
      </c>
      <c r="C92" s="1900"/>
      <c r="D92" s="581" t="s">
        <v>1428</v>
      </c>
      <c r="E92" s="1911" t="s">
        <v>1915</v>
      </c>
      <c r="F92" s="1912"/>
      <c r="G92" s="1912"/>
      <c r="H92" s="1912"/>
      <c r="I92" s="1912"/>
      <c r="J92" s="1912"/>
      <c r="K92" s="1912"/>
      <c r="L92" s="1912"/>
      <c r="M92" s="1912"/>
      <c r="N92" s="1912"/>
      <c r="O92" s="1912"/>
      <c r="P92" s="1912"/>
      <c r="Q92" s="1912"/>
      <c r="R92" s="1912"/>
      <c r="S92" s="1912"/>
      <c r="T92" s="1912"/>
      <c r="U92" s="1912"/>
      <c r="V92" s="1912"/>
      <c r="W92" s="1912"/>
      <c r="X92" s="1912"/>
      <c r="Y92" s="1912"/>
      <c r="Z92" s="1912"/>
      <c r="AA92" s="1912"/>
      <c r="AB92" s="1912"/>
      <c r="AC92" s="1912"/>
      <c r="AD92" s="1912"/>
      <c r="AE92" s="1912"/>
      <c r="AF92" s="1912"/>
      <c r="AG92" s="1912"/>
      <c r="AH92" s="1912"/>
      <c r="AI92" s="1912"/>
      <c r="AJ92" s="1913"/>
      <c r="AK92" s="577"/>
      <c r="AL92" s="574"/>
      <c r="AM92" s="574"/>
      <c r="AN92" s="569"/>
    </row>
    <row r="93" spans="1:43" s="570" customFormat="1" ht="12.75" customHeight="1">
      <c r="A93" s="572"/>
      <c r="B93" s="573"/>
      <c r="C93" s="573"/>
      <c r="D93" s="573"/>
      <c r="E93" s="1914"/>
      <c r="F93" s="1915"/>
      <c r="G93" s="1915"/>
      <c r="H93" s="1915"/>
      <c r="I93" s="1915"/>
      <c r="J93" s="1915"/>
      <c r="K93" s="1915"/>
      <c r="L93" s="1915"/>
      <c r="M93" s="1915"/>
      <c r="N93" s="1915"/>
      <c r="O93" s="1915"/>
      <c r="P93" s="1915"/>
      <c r="Q93" s="1915"/>
      <c r="R93" s="1915"/>
      <c r="S93" s="1915"/>
      <c r="T93" s="1915"/>
      <c r="U93" s="1915"/>
      <c r="V93" s="1915"/>
      <c r="W93" s="1915"/>
      <c r="X93" s="1915"/>
      <c r="Y93" s="1915"/>
      <c r="Z93" s="1915"/>
      <c r="AA93" s="1915"/>
      <c r="AB93" s="1915"/>
      <c r="AC93" s="1915"/>
      <c r="AD93" s="1915"/>
      <c r="AE93" s="1915"/>
      <c r="AF93" s="1915"/>
      <c r="AG93" s="1915"/>
      <c r="AH93" s="1915"/>
      <c r="AI93" s="1915"/>
      <c r="AJ93" s="1916"/>
      <c r="AK93" s="577"/>
      <c r="AL93" s="574"/>
      <c r="AM93" s="574"/>
      <c r="AN93" s="569"/>
    </row>
    <row r="94" spans="1:43" s="570" customFormat="1" ht="12.75" customHeight="1">
      <c r="A94" s="572"/>
      <c r="B94" s="573"/>
      <c r="C94" s="573"/>
      <c r="D94" s="573"/>
      <c r="E94" s="1914"/>
      <c r="F94" s="1915"/>
      <c r="G94" s="1915"/>
      <c r="H94" s="1915"/>
      <c r="I94" s="1915"/>
      <c r="J94" s="1915"/>
      <c r="K94" s="1915"/>
      <c r="L94" s="1915"/>
      <c r="M94" s="1915"/>
      <c r="N94" s="1915"/>
      <c r="O94" s="1915"/>
      <c r="P94" s="1915"/>
      <c r="Q94" s="1915"/>
      <c r="R94" s="1915"/>
      <c r="S94" s="1915"/>
      <c r="T94" s="1915"/>
      <c r="U94" s="1915"/>
      <c r="V94" s="1915"/>
      <c r="W94" s="1915"/>
      <c r="X94" s="1915"/>
      <c r="Y94" s="1915"/>
      <c r="Z94" s="1915"/>
      <c r="AA94" s="1915"/>
      <c r="AB94" s="1915"/>
      <c r="AC94" s="1915"/>
      <c r="AD94" s="1915"/>
      <c r="AE94" s="1915"/>
      <c r="AF94" s="1915"/>
      <c r="AG94" s="1915"/>
      <c r="AH94" s="1915"/>
      <c r="AI94" s="1915"/>
      <c r="AJ94" s="1916"/>
      <c r="AK94" s="577"/>
      <c r="AL94" s="574"/>
      <c r="AM94" s="574"/>
      <c r="AN94" s="569"/>
    </row>
    <row r="95" spans="1:43" s="570" customFormat="1" ht="12.75" customHeight="1">
      <c r="A95" s="572"/>
      <c r="B95" s="573"/>
      <c r="C95" s="573"/>
      <c r="D95" s="573"/>
      <c r="E95" s="1914"/>
      <c r="F95" s="1915"/>
      <c r="G95" s="1915"/>
      <c r="H95" s="1915"/>
      <c r="I95" s="1915"/>
      <c r="J95" s="1915"/>
      <c r="K95" s="1915"/>
      <c r="L95" s="1915"/>
      <c r="M95" s="1915"/>
      <c r="N95" s="1915"/>
      <c r="O95" s="1915"/>
      <c r="P95" s="1915"/>
      <c r="Q95" s="1915"/>
      <c r="R95" s="1915"/>
      <c r="S95" s="1915"/>
      <c r="T95" s="1915"/>
      <c r="U95" s="1915"/>
      <c r="V95" s="1915"/>
      <c r="W95" s="1915"/>
      <c r="X95" s="1915"/>
      <c r="Y95" s="1915"/>
      <c r="Z95" s="1915"/>
      <c r="AA95" s="1915"/>
      <c r="AB95" s="1915"/>
      <c r="AC95" s="1915"/>
      <c r="AD95" s="1915"/>
      <c r="AE95" s="1915"/>
      <c r="AF95" s="1915"/>
      <c r="AG95" s="1915"/>
      <c r="AH95" s="1915"/>
      <c r="AI95" s="1915"/>
      <c r="AJ95" s="1916"/>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94">
        <f>Application!AC753</f>
        <v>0.44936708860759494</v>
      </c>
      <c r="F97" s="1895"/>
      <c r="G97" s="1895"/>
      <c r="H97" s="1895"/>
      <c r="I97" s="611"/>
      <c r="J97" s="614" t="s">
        <v>1437</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94">
        <f ca="1">SUMIF(Application!AC718:AG752,0.2,Application!G718:J752)/Application!G753+SUMIF(Application!AC718:AG752,0.25,Application!G718:J752)/Application!G753+SUMIF(Application!AC718:AG752,0.3,Application!G718:J752)/Application!G753</f>
        <v>0.44936708860759494</v>
      </c>
      <c r="F98" s="1895"/>
      <c r="G98" s="1895"/>
      <c r="H98" s="1895"/>
      <c r="I98" s="611"/>
      <c r="J98" s="614" t="s">
        <v>1440</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94">
        <f ca="1">SUMIF(Application!AC718:AG752,0.35,Application!G718:J752)/Application!G753+SUMIF(Application!AC718:AG752,0.4,Application!G718:J752)/Application!G753+SUMIF(Application!AC718:AG752,0.45,Application!G718:J752)/Application!G753+SUMIF(Application!AC718:AG752,0.5,Application!G718:J752)/Application!G753</f>
        <v>0.15822784810126583</v>
      </c>
      <c r="F99" s="1895"/>
      <c r="G99" s="1895"/>
      <c r="H99" s="1895"/>
      <c r="I99" s="611"/>
      <c r="J99" s="614" t="s">
        <v>1441</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49">
        <f ca="1">IF(AND(E97&lt;=0.6,E98&gt;=0.1,OR(E99&gt;=0.1,E98&gt;=0.2)),20,0)</f>
        <v>20</v>
      </c>
      <c r="F100" s="1950"/>
      <c r="G100" s="1950"/>
      <c r="H100" s="1950"/>
      <c r="I100" s="587"/>
      <c r="J100" s="621" t="s">
        <v>1439</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1419</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1442</v>
      </c>
      <c r="AK103" s="1930">
        <f>MAX(AP89,AP100)</f>
        <v>20</v>
      </c>
      <c r="AL103" s="1931"/>
      <c r="AM103" s="1932"/>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1443</v>
      </c>
      <c r="B106" s="573" t="s">
        <v>1444</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10" t="s">
        <v>1425</v>
      </c>
      <c r="AF106" s="1910"/>
      <c r="AG106" s="1910"/>
      <c r="AH106" s="1910"/>
      <c r="AI106" s="1910"/>
      <c r="AJ106" s="1910"/>
      <c r="AK106" s="1910"/>
      <c r="AL106" s="574"/>
      <c r="AM106" s="574"/>
      <c r="AN106" s="569"/>
      <c r="AO106" s="570" t="str">
        <f>Application!B718</f>
        <v>SRO/Studio</v>
      </c>
      <c r="AQ106" s="570">
        <f>Application!O718</f>
        <v>1827</v>
      </c>
    </row>
    <row r="107" spans="1:49" s="570" customFormat="1" ht="12.75" customHeight="1">
      <c r="A107" s="574"/>
      <c r="B107" s="573" t="s">
        <v>1435</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890</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f>Application!B720</f>
        <v>0</v>
      </c>
      <c r="AQ108" s="570">
        <f>Application!O720</f>
        <v>0</v>
      </c>
    </row>
    <row r="109" spans="1:49" s="570" customFormat="1" ht="12.75" customHeight="1">
      <c r="A109" s="574"/>
      <c r="B109" s="1900" t="s">
        <v>553</v>
      </c>
      <c r="C109" s="1900"/>
      <c r="D109" s="581" t="s">
        <v>1426</v>
      </c>
      <c r="E109" s="1911" t="s">
        <v>2049</v>
      </c>
      <c r="F109" s="1912"/>
      <c r="G109" s="1912"/>
      <c r="H109" s="1912"/>
      <c r="I109" s="1912"/>
      <c r="J109" s="1912"/>
      <c r="K109" s="1912"/>
      <c r="L109" s="1912"/>
      <c r="M109" s="1912"/>
      <c r="N109" s="1912"/>
      <c r="O109" s="1912"/>
      <c r="P109" s="1912"/>
      <c r="Q109" s="1912"/>
      <c r="R109" s="1912"/>
      <c r="S109" s="1912"/>
      <c r="T109" s="1912"/>
      <c r="U109" s="1912"/>
      <c r="V109" s="1912"/>
      <c r="W109" s="1912"/>
      <c r="X109" s="1912"/>
      <c r="Y109" s="1912"/>
      <c r="Z109" s="1912"/>
      <c r="AA109" s="1912"/>
      <c r="AB109" s="1912"/>
      <c r="AC109" s="1912"/>
      <c r="AD109" s="1912"/>
      <c r="AE109" s="1912"/>
      <c r="AF109" s="1912"/>
      <c r="AG109" s="1912"/>
      <c r="AH109" s="1912"/>
      <c r="AI109" s="1912"/>
      <c r="AJ109" s="1913"/>
      <c r="AK109" s="574"/>
      <c r="AL109" s="574"/>
      <c r="AM109" s="574"/>
      <c r="AN109" s="569"/>
      <c r="AO109" s="570" t="str">
        <f>Application!B721</f>
        <v>1 Bedroom</v>
      </c>
      <c r="AQ109" s="570">
        <f>Application!O721</f>
        <v>1955</v>
      </c>
      <c r="AU109" s="570" t="s">
        <v>2031</v>
      </c>
      <c r="AV109" s="629" t="s">
        <v>2032</v>
      </c>
      <c r="AW109" s="570" t="s">
        <v>2033</v>
      </c>
    </row>
    <row r="110" spans="1:49" s="570" customFormat="1" ht="12.75" customHeight="1">
      <c r="A110" s="574"/>
      <c r="B110" s="573"/>
      <c r="C110" s="573"/>
      <c r="D110" s="573"/>
      <c r="E110" s="1914"/>
      <c r="F110" s="1915"/>
      <c r="G110" s="1915"/>
      <c r="H110" s="1915"/>
      <c r="I110" s="1915"/>
      <c r="J110" s="1915"/>
      <c r="K110" s="1915"/>
      <c r="L110" s="1915"/>
      <c r="M110" s="1915"/>
      <c r="N110" s="1915"/>
      <c r="O110" s="1915"/>
      <c r="P110" s="1915"/>
      <c r="Q110" s="1915"/>
      <c r="R110" s="1915"/>
      <c r="S110" s="1915"/>
      <c r="T110" s="1915"/>
      <c r="U110" s="1915"/>
      <c r="V110" s="1915"/>
      <c r="W110" s="1915"/>
      <c r="X110" s="1915"/>
      <c r="Y110" s="1915"/>
      <c r="Z110" s="1915"/>
      <c r="AA110" s="1915"/>
      <c r="AB110" s="1915"/>
      <c r="AC110" s="1915"/>
      <c r="AD110" s="1915"/>
      <c r="AE110" s="1915"/>
      <c r="AF110" s="1915"/>
      <c r="AG110" s="1915"/>
      <c r="AH110" s="1915"/>
      <c r="AI110" s="1915"/>
      <c r="AJ110" s="1916"/>
      <c r="AK110" s="574"/>
      <c r="AL110" s="574"/>
      <c r="AM110" s="574"/>
      <c r="AN110" s="569"/>
      <c r="AO110" s="570" t="str">
        <f>Application!B722</f>
        <v>1 Bedroom</v>
      </c>
      <c r="AQ110" s="570">
        <f>Application!O722</f>
        <v>1620</v>
      </c>
      <c r="AU110" s="890" t="str">
        <f>E118</f>
        <v>Studio/SRO</v>
      </c>
      <c r="AV110" s="570">
        <f t="array" ref="AV110">SUM(IF(Application!B718:F752="SRO/Studio",Application!G718:J752))</f>
        <v>60</v>
      </c>
      <c r="AW110" s="1046">
        <f>AV110/AV116</f>
        <v>0.379746835443038</v>
      </c>
    </row>
    <row r="111" spans="1:49" s="570" customFormat="1" ht="12.75" customHeight="1">
      <c r="A111" s="574"/>
      <c r="B111" s="573"/>
      <c r="C111" s="573"/>
      <c r="D111" s="573"/>
      <c r="E111" s="1914"/>
      <c r="F111" s="1915"/>
      <c r="G111" s="1915"/>
      <c r="H111" s="1915"/>
      <c r="I111" s="1915"/>
      <c r="J111" s="1915"/>
      <c r="K111" s="1915"/>
      <c r="L111" s="1915"/>
      <c r="M111" s="1915"/>
      <c r="N111" s="1915"/>
      <c r="O111" s="1915"/>
      <c r="P111" s="1915"/>
      <c r="Q111" s="1915"/>
      <c r="R111" s="1915"/>
      <c r="S111" s="1915"/>
      <c r="T111" s="1915"/>
      <c r="U111" s="1915"/>
      <c r="V111" s="1915"/>
      <c r="W111" s="1915"/>
      <c r="X111" s="1915"/>
      <c r="Y111" s="1915"/>
      <c r="Z111" s="1915"/>
      <c r="AA111" s="1915"/>
      <c r="AB111" s="1915"/>
      <c r="AC111" s="1915"/>
      <c r="AD111" s="1915"/>
      <c r="AE111" s="1915"/>
      <c r="AF111" s="1915"/>
      <c r="AG111" s="1915"/>
      <c r="AH111" s="1915"/>
      <c r="AI111" s="1915"/>
      <c r="AJ111" s="1916"/>
      <c r="AK111" s="574"/>
      <c r="AL111" s="574"/>
      <c r="AM111" s="574"/>
      <c r="AN111" s="569"/>
      <c r="AO111" s="570" t="str">
        <f>Application!B723</f>
        <v>1 Bedroom</v>
      </c>
      <c r="AQ111" s="570">
        <f>Application!O723</f>
        <v>1003</v>
      </c>
      <c r="AU111" s="890" t="str">
        <f>J118</f>
        <v>1-bedroom</v>
      </c>
      <c r="AV111" s="570">
        <f t="array" ref="AV111">SUM(IF(Application!B718:F752="1 Bedroom",Application!G718:J752))</f>
        <v>64</v>
      </c>
      <c r="AW111" s="1046">
        <f>AV111/AV116</f>
        <v>0.4050632911392405</v>
      </c>
    </row>
    <row r="112" spans="1:49" s="570" customFormat="1" ht="12.75" customHeight="1">
      <c r="A112" s="574"/>
      <c r="B112" s="573"/>
      <c r="C112" s="573"/>
      <c r="D112" s="573"/>
      <c r="E112" s="1914"/>
      <c r="F112" s="1915"/>
      <c r="G112" s="1915"/>
      <c r="H112" s="1915"/>
      <c r="I112" s="1915"/>
      <c r="J112" s="1915"/>
      <c r="K112" s="1915"/>
      <c r="L112" s="1915"/>
      <c r="M112" s="1915"/>
      <c r="N112" s="1915"/>
      <c r="O112" s="1915"/>
      <c r="P112" s="1915"/>
      <c r="Q112" s="1915"/>
      <c r="R112" s="1915"/>
      <c r="S112" s="1915"/>
      <c r="T112" s="1915"/>
      <c r="U112" s="1915"/>
      <c r="V112" s="1915"/>
      <c r="W112" s="1915"/>
      <c r="X112" s="1915"/>
      <c r="Y112" s="1915"/>
      <c r="Z112" s="1915"/>
      <c r="AA112" s="1915"/>
      <c r="AB112" s="1915"/>
      <c r="AC112" s="1915"/>
      <c r="AD112" s="1915"/>
      <c r="AE112" s="1915"/>
      <c r="AF112" s="1915"/>
      <c r="AG112" s="1915"/>
      <c r="AH112" s="1915"/>
      <c r="AI112" s="1915"/>
      <c r="AJ112" s="1916"/>
      <c r="AK112" s="574"/>
      <c r="AL112" s="574"/>
      <c r="AM112" s="574"/>
      <c r="AN112" s="569"/>
      <c r="AO112" s="570">
        <f>Application!B724</f>
        <v>0</v>
      </c>
      <c r="AQ112" s="570">
        <f>Application!O724</f>
        <v>0</v>
      </c>
      <c r="AU112" s="890" t="str">
        <f>O118</f>
        <v>2-bedroom</v>
      </c>
      <c r="AV112" s="570">
        <f t="array" ref="AV112">SUM(IF(Application!B718:F752="2 Bedrooms",Application!G718:J752))</f>
        <v>26</v>
      </c>
      <c r="AW112" s="1046">
        <f>AV112/AV116</f>
        <v>0.16455696202531644</v>
      </c>
    </row>
    <row r="113" spans="1:52" s="570" customFormat="1" ht="12.75" customHeight="1">
      <c r="A113" s="574"/>
      <c r="B113" s="573"/>
      <c r="C113" s="573"/>
      <c r="D113" s="573"/>
      <c r="E113" s="1914"/>
      <c r="F113" s="1915"/>
      <c r="G113" s="1915"/>
      <c r="H113" s="1915"/>
      <c r="I113" s="1915"/>
      <c r="J113" s="1915"/>
      <c r="K113" s="1915"/>
      <c r="L113" s="1915"/>
      <c r="M113" s="1915"/>
      <c r="N113" s="1915"/>
      <c r="O113" s="1915"/>
      <c r="P113" s="1915"/>
      <c r="Q113" s="1915"/>
      <c r="R113" s="1915"/>
      <c r="S113" s="1915"/>
      <c r="T113" s="1915"/>
      <c r="U113" s="1915"/>
      <c r="V113" s="1915"/>
      <c r="W113" s="1915"/>
      <c r="X113" s="1915"/>
      <c r="Y113" s="1915"/>
      <c r="Z113" s="1915"/>
      <c r="AA113" s="1915"/>
      <c r="AB113" s="1915"/>
      <c r="AC113" s="1915"/>
      <c r="AD113" s="1915"/>
      <c r="AE113" s="1915"/>
      <c r="AF113" s="1915"/>
      <c r="AG113" s="1915"/>
      <c r="AH113" s="1915"/>
      <c r="AI113" s="1915"/>
      <c r="AJ113" s="1916"/>
      <c r="AK113" s="574"/>
      <c r="AL113" s="574"/>
      <c r="AM113" s="574"/>
      <c r="AN113" s="569"/>
      <c r="AO113" s="570" t="str">
        <f>Application!B725</f>
        <v>2 Bedrooms</v>
      </c>
      <c r="AQ113" s="570">
        <f>Application!O725</f>
        <v>2335</v>
      </c>
      <c r="AU113" s="890" t="str">
        <f>T118</f>
        <v>3-bedroom</v>
      </c>
      <c r="AV113" s="570">
        <f t="array" ref="AV113">SUM(IF(Application!B718:F752="3 Bedrooms",Application!G718:J752))</f>
        <v>8</v>
      </c>
      <c r="AW113" s="1046">
        <f>AV113/AV116</f>
        <v>5.0632911392405063E-2</v>
      </c>
    </row>
    <row r="114" spans="1:52" s="570" customFormat="1" ht="12.75" customHeight="1">
      <c r="A114" s="574"/>
      <c r="B114" s="573"/>
      <c r="C114" s="573"/>
      <c r="D114" s="573"/>
      <c r="E114" s="1914"/>
      <c r="F114" s="1915"/>
      <c r="G114" s="1915"/>
      <c r="H114" s="1915"/>
      <c r="I114" s="1915"/>
      <c r="J114" s="1915"/>
      <c r="K114" s="1915"/>
      <c r="L114" s="1915"/>
      <c r="M114" s="1915"/>
      <c r="N114" s="1915"/>
      <c r="O114" s="1915"/>
      <c r="P114" s="1915"/>
      <c r="Q114" s="1915"/>
      <c r="R114" s="1915"/>
      <c r="S114" s="1915"/>
      <c r="T114" s="1915"/>
      <c r="U114" s="1915"/>
      <c r="V114" s="1915"/>
      <c r="W114" s="1915"/>
      <c r="X114" s="1915"/>
      <c r="Y114" s="1915"/>
      <c r="Z114" s="1915"/>
      <c r="AA114" s="1915"/>
      <c r="AB114" s="1915"/>
      <c r="AC114" s="1915"/>
      <c r="AD114" s="1915"/>
      <c r="AE114" s="1915"/>
      <c r="AF114" s="1915"/>
      <c r="AG114" s="1915"/>
      <c r="AH114" s="1915"/>
      <c r="AI114" s="1915"/>
      <c r="AJ114" s="1916"/>
      <c r="AK114" s="574"/>
      <c r="AL114" s="574"/>
      <c r="AM114" s="574"/>
      <c r="AN114" s="569"/>
      <c r="AO114" s="570" t="str">
        <f>Application!B726</f>
        <v>2 Bedrooms</v>
      </c>
      <c r="AQ114" s="570">
        <f>Application!O726</f>
        <v>1203</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14"/>
      <c r="F115" s="1915"/>
      <c r="G115" s="1915"/>
      <c r="H115" s="1915"/>
      <c r="I115" s="1915"/>
      <c r="J115" s="1915"/>
      <c r="K115" s="1915"/>
      <c r="L115" s="1915"/>
      <c r="M115" s="1915"/>
      <c r="N115" s="1915"/>
      <c r="O115" s="1915"/>
      <c r="P115" s="1915"/>
      <c r="Q115" s="1915"/>
      <c r="R115" s="1915"/>
      <c r="S115" s="1915"/>
      <c r="T115" s="1915"/>
      <c r="U115" s="1915"/>
      <c r="V115" s="1915"/>
      <c r="W115" s="1915"/>
      <c r="X115" s="1915"/>
      <c r="Y115" s="1915"/>
      <c r="Z115" s="1915"/>
      <c r="AA115" s="1915"/>
      <c r="AB115" s="1915"/>
      <c r="AC115" s="1915"/>
      <c r="AD115" s="1915"/>
      <c r="AE115" s="1915"/>
      <c r="AF115" s="1915"/>
      <c r="AG115" s="1915"/>
      <c r="AH115" s="1915"/>
      <c r="AI115" s="1915"/>
      <c r="AJ115" s="1916"/>
      <c r="AK115" s="574"/>
      <c r="AL115" s="574"/>
      <c r="AM115" s="574"/>
      <c r="AN115" s="569"/>
      <c r="AO115" s="570" t="str">
        <f>Application!B727</f>
        <v>2 Bedrooms</v>
      </c>
      <c r="AQ115" s="570">
        <f>Application!O727</f>
        <v>1203</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14"/>
      <c r="F116" s="1915"/>
      <c r="G116" s="1915"/>
      <c r="H116" s="1915"/>
      <c r="I116" s="1915"/>
      <c r="J116" s="1915"/>
      <c r="K116" s="1915"/>
      <c r="L116" s="1915"/>
      <c r="M116" s="1915"/>
      <c r="N116" s="1915"/>
      <c r="O116" s="1915"/>
      <c r="P116" s="1915"/>
      <c r="Q116" s="1915"/>
      <c r="R116" s="1915"/>
      <c r="S116" s="1915"/>
      <c r="T116" s="1915"/>
      <c r="U116" s="1915"/>
      <c r="V116" s="1915"/>
      <c r="W116" s="1915"/>
      <c r="X116" s="1915"/>
      <c r="Y116" s="1915"/>
      <c r="Z116" s="1915"/>
      <c r="AA116" s="1915"/>
      <c r="AB116" s="1915"/>
      <c r="AC116" s="1915"/>
      <c r="AD116" s="1915"/>
      <c r="AE116" s="1915"/>
      <c r="AF116" s="1915"/>
      <c r="AG116" s="1915"/>
      <c r="AH116" s="1915"/>
      <c r="AI116" s="1915"/>
      <c r="AJ116" s="1916"/>
      <c r="AK116" s="574"/>
      <c r="AL116" s="574"/>
      <c r="AM116" s="574"/>
      <c r="AN116" s="569"/>
      <c r="AO116" s="570" t="str">
        <f>Application!B728</f>
        <v>2 Bedrooms</v>
      </c>
      <c r="AQ116" s="570">
        <f>Application!O728</f>
        <v>1203</v>
      </c>
      <c r="AV116" s="570">
        <f>SUM(AV110:AV115)</f>
        <v>158</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894" t="s">
        <v>1700</v>
      </c>
      <c r="F118" s="1895"/>
      <c r="G118" s="1895"/>
      <c r="H118" s="1895"/>
      <c r="I118" s="611"/>
      <c r="J118" s="1895" t="s">
        <v>1744</v>
      </c>
      <c r="K118" s="1895"/>
      <c r="L118" s="1895"/>
      <c r="M118" s="1895"/>
      <c r="N118" s="611"/>
      <c r="O118" s="1895" t="s">
        <v>1745</v>
      </c>
      <c r="P118" s="1895"/>
      <c r="Q118" s="1895"/>
      <c r="R118" s="1895"/>
      <c r="S118" s="611"/>
      <c r="T118" s="1895" t="s">
        <v>1445</v>
      </c>
      <c r="U118" s="1895"/>
      <c r="V118" s="1895"/>
      <c r="W118" s="1895"/>
      <c r="X118" s="611"/>
      <c r="Y118" s="1895" t="s">
        <v>1746</v>
      </c>
      <c r="Z118" s="1895"/>
      <c r="AA118" s="1895"/>
      <c r="AB118" s="1895"/>
      <c r="AC118" s="611"/>
      <c r="AD118" s="1895" t="s">
        <v>1747</v>
      </c>
      <c r="AE118" s="1895"/>
      <c r="AF118" s="1895"/>
      <c r="AG118" s="1895"/>
      <c r="AH118" s="611"/>
      <c r="AI118" s="611"/>
      <c r="AJ118" s="613"/>
      <c r="AK118" s="574"/>
      <c r="AL118" s="574"/>
      <c r="AM118" s="574"/>
      <c r="AN118" s="569"/>
      <c r="AO118" s="570" t="str">
        <f>Application!B730</f>
        <v>3 Bedrooms</v>
      </c>
      <c r="AQ118" s="570">
        <f>Application!O730</f>
        <v>1391</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1748</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51">
        <v>2241</v>
      </c>
      <c r="F121" s="1952"/>
      <c r="G121" s="1952"/>
      <c r="H121" s="1952"/>
      <c r="I121" s="898"/>
      <c r="J121" s="1952">
        <v>2841</v>
      </c>
      <c r="K121" s="1952"/>
      <c r="L121" s="1952"/>
      <c r="M121" s="1952"/>
      <c r="N121" s="898"/>
      <c r="O121" s="1952">
        <v>3247</v>
      </c>
      <c r="P121" s="1952"/>
      <c r="Q121" s="1952"/>
      <c r="R121" s="1952"/>
      <c r="S121" s="898"/>
      <c r="T121" s="1952">
        <v>3736</v>
      </c>
      <c r="U121" s="1952"/>
      <c r="V121" s="1952"/>
      <c r="W121" s="1952"/>
      <c r="X121" s="898"/>
      <c r="Y121" s="1952"/>
      <c r="Z121" s="1952"/>
      <c r="AA121" s="1952"/>
      <c r="AB121" s="1952"/>
      <c r="AC121" s="898"/>
      <c r="AD121" s="1952"/>
      <c r="AE121" s="1952"/>
      <c r="AF121" s="1952"/>
      <c r="AG121" s="1952"/>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2035</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44">
        <f>Application!DX670</f>
        <v>1342.8833333333332</v>
      </c>
      <c r="F124" s="1945"/>
      <c r="G124" s="1945"/>
      <c r="H124" s="1945"/>
      <c r="I124" s="898"/>
      <c r="J124" s="1945">
        <f>Application!EC670</f>
        <v>1660.515625</v>
      </c>
      <c r="K124" s="1945"/>
      <c r="L124" s="1945"/>
      <c r="M124" s="1945"/>
      <c r="N124" s="898"/>
      <c r="O124" s="1945">
        <f>Application!EH670</f>
        <v>1420.6923076923076</v>
      </c>
      <c r="P124" s="1945"/>
      <c r="Q124" s="1945"/>
      <c r="R124" s="1945"/>
      <c r="S124" s="902"/>
      <c r="T124" s="1945">
        <f>Application!EM670</f>
        <v>1391</v>
      </c>
      <c r="U124" s="1945"/>
      <c r="V124" s="1945"/>
      <c r="W124" s="1945"/>
      <c r="X124" s="902"/>
      <c r="Y124" s="1945">
        <f>Application!ER670</f>
        <v>0</v>
      </c>
      <c r="Z124" s="1945"/>
      <c r="AA124" s="1945"/>
      <c r="AB124" s="1945"/>
      <c r="AC124" s="902"/>
      <c r="AD124" s="1945">
        <f>Application!EW670</f>
        <v>0</v>
      </c>
      <c r="AE124" s="1945"/>
      <c r="AF124" s="1945"/>
      <c r="AG124" s="1945"/>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2036</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41">
        <f>(E121-E124)/E121</f>
        <v>0.40076602707124803</v>
      </c>
      <c r="F127" s="1897"/>
      <c r="G127" s="1897"/>
      <c r="H127" s="2142"/>
      <c r="I127" s="611"/>
      <c r="J127" s="2141">
        <f>(J121-J124)/J121</f>
        <v>0.41551720344948961</v>
      </c>
      <c r="K127" s="1897"/>
      <c r="L127" s="1897"/>
      <c r="M127" s="2142"/>
      <c r="N127" s="611"/>
      <c r="O127" s="2141">
        <f>(O121-O124)/O121</f>
        <v>0.56246002226907676</v>
      </c>
      <c r="P127" s="1897"/>
      <c r="Q127" s="1897"/>
      <c r="R127" s="2142"/>
      <c r="S127" s="611"/>
      <c r="T127" s="2141">
        <f>(T121-T124)/T121</f>
        <v>0.62767665952890794</v>
      </c>
      <c r="U127" s="1897"/>
      <c r="V127" s="1897"/>
      <c r="W127" s="2142"/>
      <c r="X127" s="611"/>
      <c r="Y127" s="2141" t="e">
        <f>(Y121-Y124)/Y121</f>
        <v>#DIV/0!</v>
      </c>
      <c r="Z127" s="1897"/>
      <c r="AA127" s="1897"/>
      <c r="AB127" s="2142"/>
      <c r="AC127" s="611"/>
      <c r="AD127" s="2141" t="e">
        <f>(AD121-AD124)/AD121</f>
        <v>#DIV/0!</v>
      </c>
      <c r="AE127" s="1897"/>
      <c r="AF127" s="1897"/>
      <c r="AG127" s="2142"/>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2037</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46">
        <f>IF(((E127-0.1)*AW110)&gt;0,((E127-0.1)*AW110),0)</f>
        <v>0.11421494698908152</v>
      </c>
      <c r="F130" s="1947"/>
      <c r="G130" s="1947"/>
      <c r="H130" s="1948"/>
      <c r="I130" s="611"/>
      <c r="J130" s="1946">
        <f>IF(((J127-0.1)*AW111)&gt;0,((J127-0.1)*AW111),0)</f>
        <v>0.1278044368402996</v>
      </c>
      <c r="K130" s="1947"/>
      <c r="L130" s="1947"/>
      <c r="M130" s="1948"/>
      <c r="N130" s="611"/>
      <c r="O130" s="1946">
        <f>IF(((O127-0.1)*AW112)&gt;0,((O127-0.1)*AW112),0)</f>
        <v>7.6101016322759465E-2</v>
      </c>
      <c r="P130" s="1947"/>
      <c r="Q130" s="1947"/>
      <c r="R130" s="1948"/>
      <c r="S130" s="611"/>
      <c r="T130" s="1946">
        <f>IF(((T127-0.1)*AW113)&gt;0,((T127-0.1)*AW113),0)</f>
        <v>2.6717805545767491E-2</v>
      </c>
      <c r="U130" s="1947"/>
      <c r="V130" s="1947"/>
      <c r="W130" s="1948"/>
      <c r="X130" s="611"/>
      <c r="Y130" s="1946" t="e">
        <f>IF(((Y127-0.1)*AW114)&gt;0,((Y127-0.1)*AW114),0)</f>
        <v>#DIV/0!</v>
      </c>
      <c r="Z130" s="1947"/>
      <c r="AA130" s="1947"/>
      <c r="AB130" s="1948"/>
      <c r="AC130" s="611"/>
      <c r="AD130" s="1946" t="e">
        <f>IF(((AD127-0.1)*AW115)&gt;0,((AD127-0.1)*AW115),0)</f>
        <v>#DIV/0!</v>
      </c>
      <c r="AE130" s="1947"/>
      <c r="AF130" s="1947"/>
      <c r="AG130" s="1948"/>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41">
        <f>ROUNDDOWN(SUMIF(E130:AG130,"&gt;0"),2)</f>
        <v>0.34</v>
      </c>
      <c r="F132" s="1897"/>
      <c r="G132" s="1897"/>
      <c r="H132" s="2142"/>
      <c r="I132" s="611"/>
      <c r="J132" s="614" t="s">
        <v>2038</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30">
        <f>IF((E132*100)&gt;10,10,E132*100)</f>
        <v>10</v>
      </c>
      <c r="F133" s="1931"/>
      <c r="G133" s="1931"/>
      <c r="H133" s="1932"/>
      <c r="I133" s="611"/>
      <c r="J133" s="614" t="s">
        <v>1439</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1446</v>
      </c>
      <c r="AK137" s="1930">
        <f>E133</f>
        <v>10</v>
      </c>
      <c r="AL137" s="1931"/>
      <c r="AM137" s="1932"/>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1447</v>
      </c>
      <c r="AE140" s="1910" t="s">
        <v>1425</v>
      </c>
      <c r="AF140" s="1910"/>
      <c r="AG140" s="1910"/>
      <c r="AH140" s="1910"/>
      <c r="AI140" s="1910"/>
      <c r="AJ140" s="1910"/>
      <c r="AK140" s="1910"/>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1448</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42" t="s">
        <v>1449</v>
      </c>
      <c r="AG142" s="1942"/>
      <c r="AH142" s="1942"/>
      <c r="AI142" s="1942"/>
      <c r="AJ142" s="1942"/>
      <c r="AK142" s="1942"/>
      <c r="AL142" s="1942"/>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43" t="s">
        <v>2652</v>
      </c>
      <c r="C144" s="1943"/>
      <c r="D144" s="1943"/>
      <c r="E144" s="1943"/>
      <c r="F144" s="1943"/>
      <c r="G144" s="1943"/>
      <c r="H144" s="1943"/>
      <c r="I144" s="1943"/>
      <c r="J144" s="1943"/>
      <c r="K144" s="1943"/>
      <c r="L144" s="1943"/>
      <c r="M144" s="1943"/>
      <c r="N144" s="1943"/>
      <c r="O144" s="1943"/>
      <c r="P144" s="1943"/>
      <c r="Q144" s="1943"/>
      <c r="R144" s="1943"/>
      <c r="S144" s="1943"/>
      <c r="T144" s="1943"/>
      <c r="U144" s="1943"/>
      <c r="V144" s="1943"/>
      <c r="W144" s="1943"/>
      <c r="X144" s="1943"/>
      <c r="Y144" s="1943"/>
      <c r="Z144" s="1943"/>
      <c r="AA144" s="1943"/>
      <c r="AB144" s="1943"/>
      <c r="AC144" s="1943"/>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1450</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1451</v>
      </c>
      <c r="AP146" s="523">
        <v>5</v>
      </c>
    </row>
    <row r="147" spans="1:42" s="570" customFormat="1" ht="12.75" customHeight="1">
      <c r="A147" s="572"/>
      <c r="B147" s="1968" t="s">
        <v>1452</v>
      </c>
      <c r="C147" s="1968"/>
      <c r="D147" s="1968"/>
      <c r="E147" s="1968"/>
      <c r="F147" s="1968"/>
      <c r="G147" s="1968"/>
      <c r="H147" s="1968"/>
      <c r="I147" s="1968"/>
      <c r="J147" s="1968"/>
      <c r="K147" s="1968"/>
      <c r="L147" s="1968"/>
      <c r="M147" s="1968"/>
      <c r="N147" s="1968"/>
      <c r="O147" s="1968"/>
      <c r="P147" s="1968"/>
      <c r="Q147" s="1968"/>
      <c r="R147" s="1968"/>
      <c r="S147" s="1968"/>
      <c r="T147" s="1968"/>
      <c r="U147" s="1968"/>
      <c r="V147" s="1968"/>
      <c r="W147" s="1968"/>
      <c r="X147" s="1968"/>
      <c r="Y147" s="1968"/>
      <c r="Z147" s="1968"/>
      <c r="AA147" s="1968"/>
      <c r="AB147" s="1968"/>
      <c r="AC147" s="1968"/>
      <c r="AD147" s="1968"/>
      <c r="AE147" s="1968"/>
      <c r="AF147" s="1968"/>
      <c r="AG147" s="1968"/>
      <c r="AH147" s="1968"/>
      <c r="AI147" s="1968"/>
      <c r="AM147" s="573"/>
      <c r="AN147" s="569"/>
      <c r="AO147" s="510" t="s">
        <v>1452</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2331</v>
      </c>
      <c r="AP148" s="523">
        <v>7</v>
      </c>
    </row>
    <row r="149" spans="1:42" s="570" customFormat="1" ht="12.75" customHeight="1">
      <c r="A149" s="572"/>
      <c r="B149" s="573" t="s">
        <v>1453</v>
      </c>
      <c r="AB149" s="1969" t="s">
        <v>599</v>
      </c>
      <c r="AC149" s="1969"/>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1454</v>
      </c>
      <c r="AP150" s="523"/>
    </row>
    <row r="151" spans="1:42" s="570" customFormat="1" ht="12.75" customHeight="1">
      <c r="A151" s="572"/>
      <c r="B151" s="572" t="s">
        <v>1455</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1456</v>
      </c>
      <c r="AP151" s="523">
        <v>5</v>
      </c>
    </row>
    <row r="152" spans="1:42" s="570" customFormat="1" ht="12.75" customHeight="1">
      <c r="A152" s="572"/>
      <c r="B152" s="1968" t="s">
        <v>1454</v>
      </c>
      <c r="C152" s="1968"/>
      <c r="D152" s="1968"/>
      <c r="E152" s="1968"/>
      <c r="F152" s="1968"/>
      <c r="G152" s="1968"/>
      <c r="H152" s="1968"/>
      <c r="I152" s="1968"/>
      <c r="J152" s="1968"/>
      <c r="K152" s="1968"/>
      <c r="L152" s="1968"/>
      <c r="M152" s="1968"/>
      <c r="N152" s="1968"/>
      <c r="O152" s="1968"/>
      <c r="P152" s="1968"/>
      <c r="Q152" s="1968"/>
      <c r="R152" s="1968"/>
      <c r="S152" s="1968"/>
      <c r="T152" s="1968"/>
      <c r="U152" s="1968"/>
      <c r="V152" s="1968"/>
      <c r="W152" s="1968"/>
      <c r="X152" s="1968"/>
      <c r="Y152" s="1968"/>
      <c r="Z152" s="1968"/>
      <c r="AA152" s="1968"/>
      <c r="AB152" s="1968"/>
      <c r="AC152" s="1968"/>
      <c r="AD152" s="1968"/>
      <c r="AE152" s="1968"/>
      <c r="AF152" s="1968"/>
      <c r="AG152" s="1968"/>
      <c r="AH152" s="1968"/>
      <c r="AI152" s="1968"/>
      <c r="AJ152" s="1968"/>
      <c r="AN152" s="569"/>
      <c r="AO152" s="510" t="s">
        <v>1457</v>
      </c>
      <c r="AP152" s="523">
        <v>7</v>
      </c>
    </row>
    <row r="153" spans="1:42" s="570" customFormat="1" ht="12.75" customHeight="1">
      <c r="B153" s="573" t="s">
        <v>1458</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1460</v>
      </c>
      <c r="AJ155" s="1971">
        <f>IF($AB$149="N/A",VLOOKUP($B$147,$AO$145:$AP$148,2,FALSE),VLOOKUP($B$152,$AO$150:$AP$152,2,FALSE))</f>
        <v>7</v>
      </c>
      <c r="AK155" s="1971"/>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1462</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42" t="s">
        <v>1463</v>
      </c>
      <c r="AG157" s="1942"/>
      <c r="AH157" s="1942"/>
      <c r="AI157" s="1942"/>
      <c r="AJ157" s="1942"/>
      <c r="AK157" s="1942"/>
      <c r="AL157" s="1942"/>
      <c r="AM157" s="637"/>
      <c r="AN157" s="632"/>
    </row>
    <row r="158" spans="1:42" s="584" customFormat="1" ht="12.75" customHeight="1">
      <c r="A158" s="570"/>
      <c r="B158" s="573" t="s">
        <v>1464</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68" t="s">
        <v>1461</v>
      </c>
      <c r="D159" s="1968"/>
      <c r="E159" s="1968"/>
      <c r="F159" s="1968"/>
      <c r="G159" s="1968"/>
      <c r="H159" s="1968"/>
      <c r="I159" s="1968"/>
      <c r="J159" s="1968"/>
      <c r="K159" s="1968"/>
      <c r="L159" s="1968"/>
      <c r="M159" s="1968"/>
      <c r="N159" s="1968"/>
      <c r="O159" s="1968"/>
      <c r="P159" s="1968"/>
      <c r="Q159" s="1968"/>
      <c r="R159" s="1968"/>
      <c r="S159" s="1968"/>
      <c r="T159" s="1968"/>
      <c r="U159" s="1968"/>
      <c r="V159" s="1968"/>
      <c r="W159" s="1968"/>
      <c r="X159" s="1968"/>
      <c r="Y159" s="1968"/>
      <c r="Z159" s="1968"/>
      <c r="AA159" s="1968"/>
      <c r="AB159" s="1968"/>
      <c r="AC159" s="1968"/>
      <c r="AD159" s="1968"/>
      <c r="AE159" s="1968"/>
      <c r="AF159" s="1968"/>
      <c r="AG159" s="1968"/>
      <c r="AH159" s="1968"/>
      <c r="AI159" s="1968"/>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1459</v>
      </c>
      <c r="AP160" s="633">
        <v>2</v>
      </c>
    </row>
    <row r="161" spans="1:73" s="584" customFormat="1" ht="12.75" customHeight="1">
      <c r="A161" s="570"/>
      <c r="B161" s="570"/>
      <c r="C161" s="573" t="s">
        <v>1466</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69" t="s">
        <v>599</v>
      </c>
      <c r="AG161" s="1969"/>
      <c r="AH161" s="570"/>
      <c r="AI161" s="570"/>
      <c r="AJ161" s="570"/>
      <c r="AK161" s="570"/>
      <c r="AL161" s="570"/>
      <c r="AM161" s="637"/>
      <c r="AN161" s="631"/>
      <c r="AO161" s="510" t="s">
        <v>1461</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2533</v>
      </c>
      <c r="AP162" s="633">
        <v>3</v>
      </c>
    </row>
    <row r="163" spans="1:73" s="584" customFormat="1" ht="12.75" customHeight="1">
      <c r="A163" s="570"/>
      <c r="B163" s="570"/>
      <c r="C163" s="1968" t="s">
        <v>1454</v>
      </c>
      <c r="D163" s="1968"/>
      <c r="E163" s="1968"/>
      <c r="F163" s="1968"/>
      <c r="G163" s="1968"/>
      <c r="H163" s="1968"/>
      <c r="I163" s="1968"/>
      <c r="J163" s="1968"/>
      <c r="K163" s="1968"/>
      <c r="L163" s="1968"/>
      <c r="M163" s="1968"/>
      <c r="N163" s="1968"/>
      <c r="O163" s="1968"/>
      <c r="P163" s="1968"/>
      <c r="Q163" s="1968"/>
      <c r="R163" s="1968"/>
      <c r="S163" s="1968"/>
      <c r="T163" s="1968"/>
      <c r="U163" s="1968"/>
      <c r="V163" s="1968"/>
      <c r="W163" s="1968"/>
      <c r="X163" s="1968"/>
      <c r="Y163" s="1968"/>
      <c r="Z163" s="1968"/>
      <c r="AA163" s="1968"/>
      <c r="AB163" s="1968"/>
      <c r="AC163" s="1968"/>
      <c r="AD163" s="1968"/>
      <c r="AE163" s="570"/>
      <c r="AF163" s="570"/>
      <c r="AG163" s="570"/>
      <c r="AH163" s="570"/>
      <c r="AI163" s="570"/>
      <c r="AJ163" s="570"/>
      <c r="AK163" s="570"/>
      <c r="AL163" s="570"/>
      <c r="AM163" s="637"/>
      <c r="AN163" s="631"/>
      <c r="AO163" s="636"/>
      <c r="AP163" s="633"/>
    </row>
    <row r="164" spans="1:73" s="584" customFormat="1" ht="12.75" customHeight="1">
      <c r="A164" s="570"/>
      <c r="B164" s="570"/>
      <c r="C164" s="573" t="s">
        <v>1458</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1468</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1454</v>
      </c>
      <c r="AP166" s="510"/>
    </row>
    <row r="167" spans="1:73" s="584" customFormat="1" ht="12.75" customHeight="1">
      <c r="A167" s="570"/>
      <c r="B167" s="570"/>
      <c r="C167" s="1943" t="s">
        <v>2678</v>
      </c>
      <c r="D167" s="1943"/>
      <c r="E167" s="1943"/>
      <c r="F167" s="1943"/>
      <c r="G167" s="1943"/>
      <c r="H167" s="1943"/>
      <c r="I167" s="1943"/>
      <c r="J167" s="1943"/>
      <c r="K167" s="1943"/>
      <c r="L167" s="1943"/>
      <c r="M167" s="1943"/>
      <c r="N167" s="1943"/>
      <c r="O167" s="1943"/>
      <c r="P167" s="1943"/>
      <c r="Q167" s="1943"/>
      <c r="R167" s="1943"/>
      <c r="S167" s="1943"/>
      <c r="T167" s="1943"/>
      <c r="U167" s="1943"/>
      <c r="V167" s="1943"/>
      <c r="W167" s="1943"/>
      <c r="X167" s="1943"/>
      <c r="Y167" s="1943"/>
      <c r="Z167" s="1943"/>
      <c r="AA167" s="1943"/>
      <c r="AB167" s="1943"/>
      <c r="AC167" s="1943"/>
      <c r="AD167" s="1943"/>
      <c r="AE167" s="570"/>
      <c r="AF167" s="570"/>
      <c r="AG167" s="570"/>
      <c r="AH167" s="570"/>
      <c r="AI167" s="570"/>
      <c r="AJ167" s="570"/>
      <c r="AK167" s="570"/>
      <c r="AL167" s="570"/>
      <c r="AM167" s="637"/>
      <c r="AN167" s="631"/>
      <c r="AO167" s="510" t="s">
        <v>1465</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1467</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1469</v>
      </c>
      <c r="AJ169" s="1970">
        <f>IF($AF$161="N/A",VLOOKUP($C$159,$AO$159:$AP$162,2,FALSE),VLOOKUP($C$163,$AO$166:$AP$168,2,FALSE))</f>
        <v>3</v>
      </c>
      <c r="AK169" s="1970"/>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1470</v>
      </c>
      <c r="AK172" s="1930">
        <f>$AJ$155+$AJ$169</f>
        <v>10</v>
      </c>
      <c r="AL172" s="1931"/>
      <c r="AM172" s="1932"/>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1471</v>
      </c>
      <c r="AQ174" s="646">
        <v>0</v>
      </c>
    </row>
    <row r="175" spans="1:73" s="584" customFormat="1" ht="12.75" customHeight="1">
      <c r="A175" s="572" t="s">
        <v>1472</v>
      </c>
      <c r="B175" s="572" t="s">
        <v>1917</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10" t="s">
        <v>1425</v>
      </c>
      <c r="AF175" s="1910"/>
      <c r="AG175" s="1910"/>
      <c r="AH175" s="1910"/>
      <c r="AI175" s="1910"/>
      <c r="AJ175" s="1910"/>
      <c r="AK175" s="1910"/>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1473</v>
      </c>
      <c r="AQ176" s="584">
        <v>10</v>
      </c>
    </row>
    <row r="177" spans="1:45" s="584" customFormat="1" ht="12.75" customHeight="1">
      <c r="A177" s="570"/>
      <c r="B177" s="1966" t="s">
        <v>1478</v>
      </c>
      <c r="C177" s="1966"/>
      <c r="D177" s="1966"/>
      <c r="E177" s="1966"/>
      <c r="F177" s="1966"/>
      <c r="G177" s="1966"/>
      <c r="H177" s="1966"/>
      <c r="I177" s="1966"/>
      <c r="J177" s="1966"/>
      <c r="K177" s="1966"/>
      <c r="L177" s="1966"/>
      <c r="M177" s="1966"/>
      <c r="N177" s="1966"/>
      <c r="O177" s="1966"/>
      <c r="P177" s="1966"/>
      <c r="Q177" s="1966"/>
      <c r="R177" s="1966"/>
      <c r="S177" s="1966"/>
      <c r="T177" s="1966"/>
      <c r="U177" s="1966"/>
      <c r="V177" s="1966"/>
      <c r="W177" s="1966"/>
      <c r="X177" s="1966"/>
      <c r="Y177" s="1966"/>
      <c r="Z177" s="1966"/>
      <c r="AA177" s="1966"/>
      <c r="AB177" s="1966"/>
      <c r="AC177" s="1966"/>
      <c r="AD177" s="570"/>
      <c r="AE177" s="570"/>
      <c r="AF177" s="1942" t="s">
        <v>1474</v>
      </c>
      <c r="AG177" s="1942"/>
      <c r="AH177" s="1942"/>
      <c r="AI177" s="1942"/>
      <c r="AJ177" s="1942"/>
      <c r="AK177" s="1942"/>
      <c r="AL177" s="1942"/>
      <c r="AN177" s="631"/>
      <c r="AP177" s="584" t="s">
        <v>1067</v>
      </c>
      <c r="AQ177" s="584">
        <v>10</v>
      </c>
    </row>
    <row r="178" spans="1:45" s="584" customFormat="1" ht="12.75" customHeight="1">
      <c r="A178" s="570"/>
      <c r="B178" s="1967" t="s">
        <v>1916</v>
      </c>
      <c r="C178" s="1967"/>
      <c r="D178" s="1967"/>
      <c r="E178" s="1967"/>
      <c r="F178" s="1967"/>
      <c r="G178" s="1967"/>
      <c r="H178" s="1967"/>
      <c r="I178" s="1967"/>
      <c r="J178" s="1967"/>
      <c r="K178" s="1967"/>
      <c r="L178" s="1967"/>
      <c r="M178" s="1967"/>
      <c r="N178" s="1967"/>
      <c r="O178" s="1967"/>
      <c r="P178" s="1967"/>
      <c r="Q178" s="1967"/>
      <c r="R178" s="1967"/>
      <c r="S178" s="1967"/>
      <c r="T178" s="1943" t="s">
        <v>599</v>
      </c>
      <c r="U178" s="1943"/>
      <c r="V178" s="1943"/>
      <c r="W178" s="1943"/>
      <c r="X178" s="1943"/>
      <c r="Y178" s="1943"/>
      <c r="Z178" s="1943"/>
      <c r="AA178" s="1943"/>
      <c r="AB178" s="1943"/>
      <c r="AC178" s="1943"/>
      <c r="AD178" s="570"/>
      <c r="AE178" s="570"/>
      <c r="AF178" s="570"/>
      <c r="AG178" s="570"/>
      <c r="AH178" s="570"/>
      <c r="AI178" s="570"/>
      <c r="AJ178" s="577"/>
      <c r="AK178" s="629"/>
      <c r="AL178" s="629"/>
      <c r="AM178" s="629"/>
      <c r="AN178" s="631"/>
      <c r="AP178" s="584" t="s">
        <v>1475</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1478</v>
      </c>
      <c r="AQ179" s="584">
        <v>10</v>
      </c>
      <c r="AS179" s="584" t="s">
        <v>1476</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1477</v>
      </c>
      <c r="AK180" s="1975">
        <f>IF(AK78&gt;0,VLOOKUP($B$177,AP174:AQ180,2,FALSE),0)</f>
        <v>10</v>
      </c>
      <c r="AL180" s="1976"/>
      <c r="AM180" s="1977"/>
      <c r="AN180" s="569"/>
      <c r="AP180" s="584" t="s">
        <v>1480</v>
      </c>
      <c r="AQ180" s="584">
        <v>10</v>
      </c>
      <c r="AS180" s="584" t="s">
        <v>1479</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1481</v>
      </c>
      <c r="B183" s="572" t="s">
        <v>1482</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10" t="s">
        <v>1483</v>
      </c>
      <c r="AF183" s="1910"/>
      <c r="AG183" s="1910"/>
      <c r="AH183" s="1910"/>
      <c r="AI183" s="1910"/>
      <c r="AJ183" s="1910"/>
      <c r="AK183" s="1910"/>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1701</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1737</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54" t="s">
        <v>2639</v>
      </c>
      <c r="C188" s="1954"/>
      <c r="D188" s="1954"/>
      <c r="E188" s="1954"/>
      <c r="F188" s="1954"/>
      <c r="G188" s="1954"/>
      <c r="H188" s="1954"/>
      <c r="I188" s="1954"/>
      <c r="J188" s="1954"/>
      <c r="K188" s="1954"/>
      <c r="L188" s="1954"/>
      <c r="M188" s="1954"/>
      <c r="N188" s="1954"/>
      <c r="O188" s="1954"/>
      <c r="P188" s="1954"/>
      <c r="Q188" s="1954"/>
      <c r="R188" s="1954"/>
      <c r="S188" s="1954"/>
      <c r="T188" s="1954"/>
      <c r="U188" s="1954"/>
      <c r="V188" s="1954"/>
      <c r="W188" s="1954"/>
      <c r="X188" s="1954"/>
      <c r="Y188" s="1954"/>
      <c r="Z188" s="1954"/>
      <c r="AA188" s="1954"/>
      <c r="AB188" s="1954"/>
      <c r="AC188" s="880"/>
      <c r="AD188" s="1955">
        <v>20000000</v>
      </c>
      <c r="AE188" s="1955"/>
      <c r="AF188" s="1955"/>
      <c r="AG188" s="1955"/>
      <c r="AH188" s="1955"/>
      <c r="AI188" s="1955"/>
      <c r="AJ188" s="1955"/>
      <c r="AK188" s="644"/>
    </row>
    <row r="189" spans="1:45">
      <c r="A189" s="639"/>
      <c r="B189" s="1954" t="s">
        <v>2639</v>
      </c>
      <c r="C189" s="1954"/>
      <c r="D189" s="1954"/>
      <c r="E189" s="1954"/>
      <c r="F189" s="1954"/>
      <c r="G189" s="1954"/>
      <c r="H189" s="1954"/>
      <c r="I189" s="1954"/>
      <c r="J189" s="1954"/>
      <c r="K189" s="1954"/>
      <c r="L189" s="1954"/>
      <c r="M189" s="1954"/>
      <c r="N189" s="1954"/>
      <c r="O189" s="1954"/>
      <c r="P189" s="1954"/>
      <c r="Q189" s="1954"/>
      <c r="R189" s="1954"/>
      <c r="S189" s="1954"/>
      <c r="T189" s="1954"/>
      <c r="U189" s="1954"/>
      <c r="V189" s="1954"/>
      <c r="W189" s="1954"/>
      <c r="X189" s="1954"/>
      <c r="Y189" s="1954"/>
      <c r="Z189" s="1954"/>
      <c r="AA189" s="1954"/>
      <c r="AB189" s="1954"/>
      <c r="AC189" s="880"/>
      <c r="AD189" s="1955">
        <v>6500000</v>
      </c>
      <c r="AE189" s="1955"/>
      <c r="AF189" s="1955"/>
      <c r="AG189" s="1955"/>
      <c r="AH189" s="1955"/>
      <c r="AI189" s="1955"/>
      <c r="AJ189" s="1955"/>
      <c r="AK189" s="644"/>
    </row>
    <row r="190" spans="1:45">
      <c r="A190" s="639"/>
      <c r="B190" s="1954" t="s">
        <v>2792</v>
      </c>
      <c r="C190" s="1954"/>
      <c r="D190" s="1954"/>
      <c r="E190" s="1954"/>
      <c r="F190" s="1954"/>
      <c r="G190" s="1954"/>
      <c r="H190" s="1954"/>
      <c r="I190" s="1954"/>
      <c r="J190" s="1954"/>
      <c r="K190" s="1954"/>
      <c r="L190" s="1954"/>
      <c r="M190" s="1954"/>
      <c r="N190" s="1954"/>
      <c r="O190" s="1954"/>
      <c r="P190" s="1954"/>
      <c r="Q190" s="1954"/>
      <c r="R190" s="1954"/>
      <c r="S190" s="1954"/>
      <c r="T190" s="1954"/>
      <c r="U190" s="1954"/>
      <c r="V190" s="1954"/>
      <c r="W190" s="1954"/>
      <c r="X190" s="1954"/>
      <c r="Y190" s="1954"/>
      <c r="Z190" s="1954"/>
      <c r="AA190" s="1954"/>
      <c r="AB190" s="1954"/>
      <c r="AC190" s="880"/>
      <c r="AD190" s="1955">
        <v>8000000</v>
      </c>
      <c r="AE190" s="1955"/>
      <c r="AF190" s="1955"/>
      <c r="AG190" s="1955"/>
      <c r="AH190" s="1955"/>
      <c r="AI190" s="1955"/>
      <c r="AJ190" s="1955"/>
      <c r="AK190" s="644"/>
    </row>
    <row r="191" spans="1:45">
      <c r="A191" s="639"/>
      <c r="B191" s="1954" t="s">
        <v>2687</v>
      </c>
      <c r="C191" s="1954"/>
      <c r="D191" s="1954"/>
      <c r="E191" s="1954"/>
      <c r="F191" s="1954"/>
      <c r="G191" s="1954"/>
      <c r="H191" s="1954"/>
      <c r="I191" s="1954"/>
      <c r="J191" s="1954"/>
      <c r="K191" s="1954"/>
      <c r="L191" s="1954"/>
      <c r="M191" s="1954"/>
      <c r="N191" s="1954"/>
      <c r="O191" s="1954"/>
      <c r="P191" s="1954"/>
      <c r="Q191" s="1954"/>
      <c r="R191" s="1954"/>
      <c r="S191" s="1954"/>
      <c r="T191" s="1954"/>
      <c r="U191" s="1954"/>
      <c r="V191" s="1954"/>
      <c r="W191" s="1954"/>
      <c r="X191" s="1954"/>
      <c r="Y191" s="1954"/>
      <c r="Z191" s="1954"/>
      <c r="AA191" s="1954"/>
      <c r="AB191" s="1954"/>
      <c r="AC191" s="880"/>
      <c r="AD191" s="1955">
        <v>4000000</v>
      </c>
      <c r="AE191" s="1955"/>
      <c r="AF191" s="1955"/>
      <c r="AG191" s="1955"/>
      <c r="AH191" s="1955"/>
      <c r="AI191" s="1955"/>
      <c r="AJ191" s="1955"/>
      <c r="AK191" s="644"/>
    </row>
    <row r="192" spans="1:45">
      <c r="A192" s="639"/>
      <c r="B192" s="1954"/>
      <c r="C192" s="1954"/>
      <c r="D192" s="1954"/>
      <c r="E192" s="1954"/>
      <c r="F192" s="1954"/>
      <c r="G192" s="1954"/>
      <c r="H192" s="1954"/>
      <c r="I192" s="1954"/>
      <c r="J192" s="1954"/>
      <c r="K192" s="1954"/>
      <c r="L192" s="1954"/>
      <c r="M192" s="1954"/>
      <c r="N192" s="1954"/>
      <c r="O192" s="1954"/>
      <c r="P192" s="1954"/>
      <c r="Q192" s="1954"/>
      <c r="R192" s="1954"/>
      <c r="S192" s="1954"/>
      <c r="T192" s="1954"/>
      <c r="U192" s="1954"/>
      <c r="V192" s="1954"/>
      <c r="W192" s="1954"/>
      <c r="X192" s="1954"/>
      <c r="Y192" s="1954"/>
      <c r="Z192" s="1954"/>
      <c r="AA192" s="1954"/>
      <c r="AB192" s="1954"/>
      <c r="AC192" s="880"/>
      <c r="AD192" s="1955"/>
      <c r="AE192" s="1955"/>
      <c r="AF192" s="1955"/>
      <c r="AG192" s="1955"/>
      <c r="AH192" s="1955"/>
      <c r="AI192" s="1955"/>
      <c r="AJ192" s="1955"/>
      <c r="AK192" s="644"/>
    </row>
    <row r="193" spans="1:37">
      <c r="A193" s="639"/>
      <c r="B193" s="1954"/>
      <c r="C193" s="1954"/>
      <c r="D193" s="1954"/>
      <c r="E193" s="1954"/>
      <c r="F193" s="1954"/>
      <c r="G193" s="1954"/>
      <c r="H193" s="1954"/>
      <c r="I193" s="1954"/>
      <c r="J193" s="1954"/>
      <c r="K193" s="1954"/>
      <c r="L193" s="1954"/>
      <c r="M193" s="1954"/>
      <c r="N193" s="1954"/>
      <c r="O193" s="1954"/>
      <c r="P193" s="1954"/>
      <c r="Q193" s="1954"/>
      <c r="R193" s="1954"/>
      <c r="S193" s="1954"/>
      <c r="T193" s="1954"/>
      <c r="U193" s="1954"/>
      <c r="V193" s="1954"/>
      <c r="W193" s="1954"/>
      <c r="X193" s="1954"/>
      <c r="Y193" s="1954"/>
      <c r="Z193" s="1954"/>
      <c r="AA193" s="1954"/>
      <c r="AB193" s="1954"/>
      <c r="AC193" s="880"/>
      <c r="AD193" s="1955"/>
      <c r="AE193" s="1955"/>
      <c r="AF193" s="1955"/>
      <c r="AG193" s="1955"/>
      <c r="AH193" s="1955"/>
      <c r="AI193" s="1955"/>
      <c r="AJ193" s="1955"/>
      <c r="AK193" s="644"/>
    </row>
    <row r="194" spans="1:37">
      <c r="A194" s="639"/>
      <c r="B194" s="1954"/>
      <c r="C194" s="1954"/>
      <c r="D194" s="1954"/>
      <c r="E194" s="1954"/>
      <c r="F194" s="1954"/>
      <c r="G194" s="1954"/>
      <c r="H194" s="1954"/>
      <c r="I194" s="1954"/>
      <c r="J194" s="1954"/>
      <c r="K194" s="1954"/>
      <c r="L194" s="1954"/>
      <c r="M194" s="1954"/>
      <c r="N194" s="1954"/>
      <c r="O194" s="1954"/>
      <c r="P194" s="1954"/>
      <c r="Q194" s="1954"/>
      <c r="R194" s="1954"/>
      <c r="S194" s="1954"/>
      <c r="T194" s="1954"/>
      <c r="U194" s="1954"/>
      <c r="V194" s="1954"/>
      <c r="W194" s="1954"/>
      <c r="X194" s="1954"/>
      <c r="Y194" s="1954"/>
      <c r="Z194" s="1954"/>
      <c r="AA194" s="1954"/>
      <c r="AB194" s="1954"/>
      <c r="AC194" s="880"/>
      <c r="AD194" s="1955"/>
      <c r="AE194" s="1955"/>
      <c r="AF194" s="1955"/>
      <c r="AG194" s="1955"/>
      <c r="AH194" s="1955"/>
      <c r="AI194" s="1955"/>
      <c r="AJ194" s="1955"/>
      <c r="AK194" s="644"/>
    </row>
    <row r="195" spans="1:37">
      <c r="A195" s="639"/>
      <c r="B195" s="1954"/>
      <c r="C195" s="1954"/>
      <c r="D195" s="1954"/>
      <c r="E195" s="1954"/>
      <c r="F195" s="1954"/>
      <c r="G195" s="1954"/>
      <c r="H195" s="1954"/>
      <c r="I195" s="1954"/>
      <c r="J195" s="1954"/>
      <c r="K195" s="1954"/>
      <c r="L195" s="1954"/>
      <c r="M195" s="1954"/>
      <c r="N195" s="1954"/>
      <c r="O195" s="1954"/>
      <c r="P195" s="1954"/>
      <c r="Q195" s="1954"/>
      <c r="R195" s="1954"/>
      <c r="S195" s="1954"/>
      <c r="T195" s="1954"/>
      <c r="U195" s="1954"/>
      <c r="V195" s="1954"/>
      <c r="W195" s="1954"/>
      <c r="X195" s="1954"/>
      <c r="Y195" s="1954"/>
      <c r="Z195" s="1954"/>
      <c r="AA195" s="1954"/>
      <c r="AB195" s="1954"/>
      <c r="AC195" s="880"/>
      <c r="AD195" s="1955"/>
      <c r="AE195" s="1955"/>
      <c r="AF195" s="1955"/>
      <c r="AG195" s="1955"/>
      <c r="AH195" s="1955"/>
      <c r="AI195" s="1955"/>
      <c r="AJ195" s="1955"/>
      <c r="AK195" s="644"/>
    </row>
    <row r="196" spans="1:37">
      <c r="A196" s="639"/>
      <c r="B196" s="1954"/>
      <c r="C196" s="1954"/>
      <c r="D196" s="1954"/>
      <c r="E196" s="1954"/>
      <c r="F196" s="1954"/>
      <c r="G196" s="1954"/>
      <c r="H196" s="1954"/>
      <c r="I196" s="1954"/>
      <c r="J196" s="1954"/>
      <c r="K196" s="1954"/>
      <c r="L196" s="1954"/>
      <c r="M196" s="1954"/>
      <c r="N196" s="1954"/>
      <c r="O196" s="1954"/>
      <c r="P196" s="1954"/>
      <c r="Q196" s="1954"/>
      <c r="R196" s="1954"/>
      <c r="S196" s="1954"/>
      <c r="T196" s="1954"/>
      <c r="U196" s="1954"/>
      <c r="V196" s="1954"/>
      <c r="W196" s="1954"/>
      <c r="X196" s="1954"/>
      <c r="Y196" s="1954"/>
      <c r="Z196" s="1954"/>
      <c r="AA196" s="1954"/>
      <c r="AB196" s="1954"/>
      <c r="AC196" s="880"/>
      <c r="AD196" s="1955"/>
      <c r="AE196" s="1955"/>
      <c r="AF196" s="1955"/>
      <c r="AG196" s="1955"/>
      <c r="AH196" s="1955"/>
      <c r="AI196" s="1955"/>
      <c r="AJ196" s="1955"/>
      <c r="AK196" s="644"/>
    </row>
    <row r="197" spans="1:37">
      <c r="A197" s="639"/>
      <c r="B197" s="1954"/>
      <c r="C197" s="1954"/>
      <c r="D197" s="1954"/>
      <c r="E197" s="1954"/>
      <c r="F197" s="1954"/>
      <c r="G197" s="1954"/>
      <c r="H197" s="1954"/>
      <c r="I197" s="1954"/>
      <c r="J197" s="1954"/>
      <c r="K197" s="1954"/>
      <c r="L197" s="1954"/>
      <c r="M197" s="1954"/>
      <c r="N197" s="1954"/>
      <c r="O197" s="1954"/>
      <c r="P197" s="1954"/>
      <c r="Q197" s="1954"/>
      <c r="R197" s="1954"/>
      <c r="S197" s="1954"/>
      <c r="T197" s="1954"/>
      <c r="U197" s="1954"/>
      <c r="V197" s="1954"/>
      <c r="W197" s="1954"/>
      <c r="X197" s="1954"/>
      <c r="Y197" s="1954"/>
      <c r="Z197" s="1954"/>
      <c r="AA197" s="1954"/>
      <c r="AB197" s="1954"/>
      <c r="AC197" s="880"/>
      <c r="AD197" s="1955"/>
      <c r="AE197" s="1955"/>
      <c r="AF197" s="1955"/>
      <c r="AG197" s="1955"/>
      <c r="AH197" s="1955"/>
      <c r="AI197" s="1955"/>
      <c r="AJ197" s="1955"/>
      <c r="AK197" s="644"/>
    </row>
    <row r="198" spans="1:37">
      <c r="A198" s="639"/>
      <c r="B198" s="2118" t="s">
        <v>1739</v>
      </c>
      <c r="C198" s="2118"/>
      <c r="D198" s="2118"/>
      <c r="E198" s="2118"/>
      <c r="F198" s="2118"/>
      <c r="G198" s="2118"/>
      <c r="H198" s="2118"/>
      <c r="I198" s="2118"/>
      <c r="J198" s="2118"/>
      <c r="K198" s="2118"/>
      <c r="L198" s="2118"/>
      <c r="M198" s="2118"/>
      <c r="N198" s="2118"/>
      <c r="O198" s="2118"/>
      <c r="P198" s="2118"/>
      <c r="Q198" s="2118"/>
      <c r="R198" s="2118"/>
      <c r="S198" s="2118"/>
      <c r="T198" s="2118"/>
      <c r="U198" s="2118"/>
      <c r="V198" s="2118"/>
      <c r="W198" s="2118"/>
      <c r="X198" s="2118"/>
      <c r="Y198" s="2118"/>
      <c r="Z198" s="2118"/>
      <c r="AA198" s="2118"/>
      <c r="AB198" s="2118"/>
      <c r="AC198" s="570"/>
      <c r="AD198" s="1982">
        <f>AB249</f>
        <v>10956970.973615915</v>
      </c>
      <c r="AE198" s="1982"/>
      <c r="AF198" s="1982"/>
      <c r="AG198" s="1982"/>
      <c r="AH198" s="1982"/>
      <c r="AI198" s="1982"/>
      <c r="AJ198" s="1982"/>
      <c r="AK198" s="644"/>
    </row>
    <row r="199" spans="1:37">
      <c r="A199" s="639"/>
      <c r="B199" s="2116" t="s">
        <v>1702</v>
      </c>
      <c r="C199" s="2116"/>
      <c r="D199" s="2116"/>
      <c r="E199" s="2116"/>
      <c r="F199" s="2116"/>
      <c r="G199" s="2116"/>
      <c r="H199" s="2116"/>
      <c r="I199" s="2116"/>
      <c r="J199" s="2116"/>
      <c r="K199" s="2116"/>
      <c r="L199" s="2116"/>
      <c r="M199" s="2116"/>
      <c r="N199" s="2116"/>
      <c r="O199" s="2116"/>
      <c r="P199" s="2116"/>
      <c r="Q199" s="2116"/>
      <c r="R199" s="2116"/>
      <c r="S199" s="2116"/>
      <c r="T199" s="2116"/>
      <c r="U199" s="2116"/>
      <c r="V199" s="2116"/>
      <c r="W199" s="2116"/>
      <c r="X199" s="2116"/>
      <c r="Y199" s="2116"/>
      <c r="Z199" s="2116"/>
      <c r="AA199" s="2116"/>
      <c r="AB199" s="2116"/>
      <c r="AC199" s="880"/>
      <c r="AD199" s="1983">
        <f>'Sources and Uses Budget'!B15</f>
        <v>0</v>
      </c>
      <c r="AE199" s="1983"/>
      <c r="AF199" s="1983"/>
      <c r="AG199" s="1983"/>
      <c r="AH199" s="1983"/>
      <c r="AI199" s="1983"/>
      <c r="AJ199" s="1983"/>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1987">
        <f>SUM(AD188:AJ198)-AD199</f>
        <v>49456970.973615915</v>
      </c>
      <c r="AE200" s="1987"/>
      <c r="AF200" s="1987"/>
      <c r="AG200" s="1987"/>
      <c r="AH200" s="1987"/>
      <c r="AI200" s="1987"/>
      <c r="AJ200" s="1987"/>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1707</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1738</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1709</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1710</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2338</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1711</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1712</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1749</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58" t="s">
        <v>1719</v>
      </c>
      <c r="J211" s="1958"/>
      <c r="K211" s="1958"/>
      <c r="L211" s="570"/>
      <c r="M211" s="570"/>
      <c r="N211" s="570"/>
      <c r="O211" s="570"/>
      <c r="P211" s="570"/>
      <c r="Q211" s="570"/>
      <c r="R211" s="570"/>
      <c r="S211" s="570"/>
      <c r="T211" s="2144" t="s">
        <v>1713</v>
      </c>
      <c r="U211" s="2144"/>
      <c r="V211" s="2144"/>
      <c r="W211" s="2144"/>
      <c r="X211" s="2144"/>
      <c r="Y211" s="2144"/>
      <c r="Z211" s="883"/>
      <c r="AA211" s="523"/>
      <c r="AB211" s="1953" t="s">
        <v>1714</v>
      </c>
      <c r="AC211" s="1953"/>
      <c r="AD211" s="1953"/>
      <c r="AE211" s="1953"/>
      <c r="AF211" s="1953"/>
      <c r="AG211" s="1953"/>
      <c r="AH211" s="861"/>
      <c r="AI211" s="861"/>
      <c r="AJ211" s="861"/>
      <c r="AK211" s="644"/>
    </row>
    <row r="212" spans="1:37">
      <c r="A212" s="639"/>
      <c r="B212" s="1956" t="s">
        <v>1699</v>
      </c>
      <c r="C212" s="1956"/>
      <c r="D212" s="1956"/>
      <c r="E212" s="1956"/>
      <c r="F212" s="1956"/>
      <c r="G212" s="1956"/>
      <c r="I212" s="1957" t="s">
        <v>1720</v>
      </c>
      <c r="J212" s="1957"/>
      <c r="K212" s="1957"/>
      <c r="L212" s="1043"/>
      <c r="N212" s="1963" t="s">
        <v>1715</v>
      </c>
      <c r="O212" s="1963"/>
      <c r="P212" s="1963"/>
      <c r="Q212" s="1963"/>
      <c r="R212" s="1963"/>
      <c r="T212" s="1963" t="s">
        <v>1716</v>
      </c>
      <c r="U212" s="1963"/>
      <c r="V212" s="1963"/>
      <c r="W212" s="1963"/>
      <c r="X212" s="1963"/>
      <c r="Y212" s="1963"/>
      <c r="Z212" s="884"/>
      <c r="AA212" s="523"/>
      <c r="AB212" s="2119" t="s">
        <v>1717</v>
      </c>
      <c r="AC212" s="2119"/>
      <c r="AD212" s="2119"/>
      <c r="AE212" s="2119"/>
      <c r="AF212" s="2119"/>
      <c r="AG212" s="2119"/>
      <c r="AH212" s="861"/>
      <c r="AI212" s="861"/>
      <c r="AJ212" s="861"/>
      <c r="AK212" s="644"/>
    </row>
    <row r="213" spans="1:37">
      <c r="A213" s="639"/>
      <c r="B213" s="1960" t="s">
        <v>2807</v>
      </c>
      <c r="C213" s="1960"/>
      <c r="D213" s="1960"/>
      <c r="E213" s="1960"/>
      <c r="F213" s="1960"/>
      <c r="G213" s="1960"/>
      <c r="H213" s="886"/>
      <c r="I213" s="1959">
        <v>11</v>
      </c>
      <c r="J213" s="1959"/>
      <c r="K213" s="1959"/>
      <c r="L213" s="1043"/>
      <c r="N213" s="1964">
        <v>1338</v>
      </c>
      <c r="O213" s="1964"/>
      <c r="P213" s="1964"/>
      <c r="Q213" s="1964"/>
      <c r="R213" s="1964"/>
      <c r="T213" s="2117">
        <v>2694</v>
      </c>
      <c r="U213" s="2117"/>
      <c r="V213" s="2117"/>
      <c r="W213" s="2117"/>
      <c r="X213" s="2117"/>
      <c r="Y213" s="2117"/>
      <c r="Z213" s="885"/>
      <c r="AA213" s="885"/>
      <c r="AB213" s="1961">
        <f t="shared" ref="AB213:AB222" si="0">MAX(($T213-$N213)*$I213*12,0)</f>
        <v>178992</v>
      </c>
      <c r="AC213" s="1961"/>
      <c r="AD213" s="1961"/>
      <c r="AE213" s="1961"/>
      <c r="AF213" s="1961"/>
      <c r="AG213" s="1961"/>
      <c r="AH213" s="861"/>
      <c r="AI213" s="861"/>
      <c r="AJ213" s="861"/>
      <c r="AK213" s="644"/>
    </row>
    <row r="214" spans="1:37">
      <c r="A214" s="639"/>
      <c r="B214" s="1960" t="s">
        <v>2807</v>
      </c>
      <c r="C214" s="1960"/>
      <c r="D214" s="1960"/>
      <c r="E214" s="1960"/>
      <c r="F214" s="1960"/>
      <c r="G214" s="1960"/>
      <c r="I214" s="1959">
        <v>25</v>
      </c>
      <c r="J214" s="1959"/>
      <c r="K214" s="1959"/>
      <c r="L214" s="1043"/>
      <c r="N214" s="1964">
        <v>1338</v>
      </c>
      <c r="O214" s="1964"/>
      <c r="P214" s="1964"/>
      <c r="Q214" s="1964"/>
      <c r="R214" s="1964"/>
      <c r="T214" s="2117">
        <f>T213</f>
        <v>2694</v>
      </c>
      <c r="U214" s="2117"/>
      <c r="V214" s="2117"/>
      <c r="W214" s="2117"/>
      <c r="X214" s="2117"/>
      <c r="Y214" s="2117"/>
      <c r="Z214" s="885"/>
      <c r="AA214" s="885"/>
      <c r="AB214" s="1961">
        <f t="shared" si="0"/>
        <v>406800</v>
      </c>
      <c r="AC214" s="1961"/>
      <c r="AD214" s="1961"/>
      <c r="AE214" s="1961"/>
      <c r="AF214" s="1961"/>
      <c r="AG214" s="1961"/>
      <c r="AH214" s="861"/>
      <c r="AI214" s="861"/>
      <c r="AJ214" s="861"/>
      <c r="AK214" s="644"/>
    </row>
    <row r="215" spans="1:37">
      <c r="A215" s="639"/>
      <c r="B215" s="1960" t="s">
        <v>2808</v>
      </c>
      <c r="C215" s="1960"/>
      <c r="D215" s="1960"/>
      <c r="E215" s="1960"/>
      <c r="F215" s="1960"/>
      <c r="G215" s="1960"/>
      <c r="I215" s="1959">
        <v>21</v>
      </c>
      <c r="J215" s="1959"/>
      <c r="K215" s="1959"/>
      <c r="L215" s="1043"/>
      <c r="N215" s="1964">
        <v>1606</v>
      </c>
      <c r="O215" s="1964"/>
      <c r="P215" s="1964"/>
      <c r="Q215" s="1964"/>
      <c r="R215" s="1964"/>
      <c r="T215" s="2117">
        <v>3132</v>
      </c>
      <c r="U215" s="2117"/>
      <c r="V215" s="2117"/>
      <c r="W215" s="2117"/>
      <c r="X215" s="2117"/>
      <c r="Y215" s="2117"/>
      <c r="Z215" s="885"/>
      <c r="AA215" s="885"/>
      <c r="AB215" s="1961">
        <f t="shared" si="0"/>
        <v>384552</v>
      </c>
      <c r="AC215" s="1961"/>
      <c r="AD215" s="1961"/>
      <c r="AE215" s="1961"/>
      <c r="AF215" s="1961"/>
      <c r="AG215" s="1961"/>
      <c r="AH215" s="861"/>
      <c r="AI215" s="861"/>
      <c r="AJ215" s="861"/>
      <c r="AK215" s="644"/>
    </row>
    <row r="216" spans="1:37">
      <c r="A216" s="639"/>
      <c r="B216" s="1960" t="s">
        <v>2809</v>
      </c>
      <c r="C216" s="1960"/>
      <c r="D216" s="1960"/>
      <c r="E216" s="1960"/>
      <c r="F216" s="1960"/>
      <c r="G216" s="1960"/>
      <c r="I216" s="1959">
        <v>8</v>
      </c>
      <c r="J216" s="1959"/>
      <c r="K216" s="1959"/>
      <c r="L216" s="1043"/>
      <c r="N216" s="1964">
        <v>1855</v>
      </c>
      <c r="O216" s="1964"/>
      <c r="P216" s="1964"/>
      <c r="Q216" s="1964"/>
      <c r="R216" s="1964"/>
      <c r="T216" s="2117">
        <v>4011</v>
      </c>
      <c r="U216" s="2117"/>
      <c r="V216" s="2117"/>
      <c r="W216" s="2117"/>
      <c r="X216" s="2117"/>
      <c r="Y216" s="2117"/>
      <c r="Z216" s="885"/>
      <c r="AA216" s="885"/>
      <c r="AB216" s="1961">
        <f t="shared" si="0"/>
        <v>206976</v>
      </c>
      <c r="AC216" s="1961"/>
      <c r="AD216" s="1961"/>
      <c r="AE216" s="1961"/>
      <c r="AF216" s="1961"/>
      <c r="AG216" s="1961"/>
      <c r="AH216" s="861"/>
      <c r="AI216" s="861"/>
      <c r="AJ216" s="861"/>
      <c r="AK216" s="644"/>
    </row>
    <row r="217" spans="1:37">
      <c r="A217" s="639"/>
      <c r="B217" s="1960" t="s">
        <v>1290</v>
      </c>
      <c r="C217" s="1960"/>
      <c r="D217" s="1960"/>
      <c r="E217" s="1960"/>
      <c r="F217" s="1960"/>
      <c r="G217" s="1960"/>
      <c r="I217" s="1959"/>
      <c r="J217" s="1959"/>
      <c r="K217" s="1959"/>
      <c r="L217" s="1050"/>
      <c r="N217" s="1964"/>
      <c r="O217" s="1964"/>
      <c r="P217" s="1964"/>
      <c r="Q217" s="1964"/>
      <c r="R217" s="1964"/>
      <c r="T217" s="2117"/>
      <c r="U217" s="2117"/>
      <c r="V217" s="2117"/>
      <c r="W217" s="2117"/>
      <c r="X217" s="2117"/>
      <c r="Y217" s="2117"/>
      <c r="Z217" s="885"/>
      <c r="AA217" s="885"/>
      <c r="AB217" s="1961">
        <f t="shared" si="0"/>
        <v>0</v>
      </c>
      <c r="AC217" s="1961"/>
      <c r="AD217" s="1961"/>
      <c r="AE217" s="1961"/>
      <c r="AF217" s="1961"/>
      <c r="AG217" s="1961"/>
      <c r="AH217" s="861"/>
      <c r="AI217" s="861"/>
      <c r="AJ217" s="861"/>
      <c r="AK217" s="644"/>
    </row>
    <row r="218" spans="1:37">
      <c r="A218" s="639"/>
      <c r="B218" s="1960" t="s">
        <v>1290</v>
      </c>
      <c r="C218" s="1960"/>
      <c r="D218" s="1960"/>
      <c r="E218" s="1960"/>
      <c r="F218" s="1960"/>
      <c r="G218" s="1960"/>
      <c r="I218" s="1959"/>
      <c r="J218" s="1959"/>
      <c r="K218" s="1959"/>
      <c r="L218" s="1050"/>
      <c r="N218" s="1964"/>
      <c r="O218" s="1964"/>
      <c r="P218" s="1964"/>
      <c r="Q218" s="1964"/>
      <c r="R218" s="1964"/>
      <c r="T218" s="2117"/>
      <c r="U218" s="2117"/>
      <c r="V218" s="2117"/>
      <c r="W218" s="2117"/>
      <c r="X218" s="2117"/>
      <c r="Y218" s="2117"/>
      <c r="Z218" s="885"/>
      <c r="AA218" s="885"/>
      <c r="AB218" s="1961">
        <f t="shared" si="0"/>
        <v>0</v>
      </c>
      <c r="AC218" s="1961"/>
      <c r="AD218" s="1961"/>
      <c r="AE218" s="1961"/>
      <c r="AF218" s="1961"/>
      <c r="AG218" s="1961"/>
      <c r="AH218" s="861"/>
      <c r="AI218" s="861"/>
      <c r="AJ218" s="861"/>
      <c r="AK218" s="644"/>
    </row>
    <row r="219" spans="1:37">
      <c r="A219" s="639"/>
      <c r="B219" s="1960" t="s">
        <v>1290</v>
      </c>
      <c r="C219" s="1960"/>
      <c r="D219" s="1960"/>
      <c r="E219" s="1960"/>
      <c r="F219" s="1960"/>
      <c r="G219" s="1960"/>
      <c r="I219" s="1959"/>
      <c r="J219" s="1959"/>
      <c r="K219" s="1959"/>
      <c r="L219" s="1050"/>
      <c r="N219" s="1964"/>
      <c r="O219" s="1964"/>
      <c r="P219" s="1964"/>
      <c r="Q219" s="1964"/>
      <c r="R219" s="1964"/>
      <c r="T219" s="2117"/>
      <c r="U219" s="2117"/>
      <c r="V219" s="2117"/>
      <c r="W219" s="2117"/>
      <c r="X219" s="2117"/>
      <c r="Y219" s="2117"/>
      <c r="Z219" s="885"/>
      <c r="AA219" s="885"/>
      <c r="AB219" s="1961">
        <f t="shared" si="0"/>
        <v>0</v>
      </c>
      <c r="AC219" s="1961"/>
      <c r="AD219" s="1961"/>
      <c r="AE219" s="1961"/>
      <c r="AF219" s="1961"/>
      <c r="AG219" s="1961"/>
      <c r="AH219" s="861"/>
      <c r="AI219" s="861"/>
      <c r="AJ219" s="861"/>
      <c r="AK219" s="644"/>
    </row>
    <row r="220" spans="1:37">
      <c r="A220" s="639"/>
      <c r="B220" s="1960" t="s">
        <v>1290</v>
      </c>
      <c r="C220" s="1960"/>
      <c r="D220" s="1960"/>
      <c r="E220" s="1960"/>
      <c r="F220" s="1960"/>
      <c r="G220" s="1960"/>
      <c r="I220" s="1959"/>
      <c r="J220" s="1959"/>
      <c r="K220" s="1959"/>
      <c r="L220" s="1050"/>
      <c r="N220" s="1964"/>
      <c r="O220" s="1964"/>
      <c r="P220" s="1964"/>
      <c r="Q220" s="1964"/>
      <c r="R220" s="1964"/>
      <c r="T220" s="2117"/>
      <c r="U220" s="2117"/>
      <c r="V220" s="2117"/>
      <c r="W220" s="2117"/>
      <c r="X220" s="2117"/>
      <c r="Y220" s="2117"/>
      <c r="Z220" s="885"/>
      <c r="AA220" s="885"/>
      <c r="AB220" s="1961">
        <f t="shared" si="0"/>
        <v>0</v>
      </c>
      <c r="AC220" s="1961"/>
      <c r="AD220" s="1961"/>
      <c r="AE220" s="1961"/>
      <c r="AF220" s="1961"/>
      <c r="AG220" s="1961"/>
      <c r="AH220" s="861"/>
      <c r="AI220" s="861"/>
      <c r="AJ220" s="861"/>
      <c r="AK220" s="644"/>
    </row>
    <row r="221" spans="1:37">
      <c r="A221" s="639"/>
      <c r="B221" s="1960" t="s">
        <v>1290</v>
      </c>
      <c r="C221" s="1960"/>
      <c r="D221" s="1960"/>
      <c r="E221" s="1960"/>
      <c r="F221" s="1960"/>
      <c r="G221" s="1960"/>
      <c r="I221" s="1959"/>
      <c r="J221" s="1959"/>
      <c r="K221" s="1959"/>
      <c r="L221" s="1050"/>
      <c r="N221" s="1964"/>
      <c r="O221" s="1964"/>
      <c r="P221" s="1964"/>
      <c r="Q221" s="1964"/>
      <c r="R221" s="1964"/>
      <c r="T221" s="2117"/>
      <c r="U221" s="2117"/>
      <c r="V221" s="2117"/>
      <c r="W221" s="2117"/>
      <c r="X221" s="2117"/>
      <c r="Y221" s="2117"/>
      <c r="Z221" s="885"/>
      <c r="AA221" s="885"/>
      <c r="AB221" s="1961">
        <f t="shared" si="0"/>
        <v>0</v>
      </c>
      <c r="AC221" s="1961"/>
      <c r="AD221" s="1961"/>
      <c r="AE221" s="1961"/>
      <c r="AF221" s="1961"/>
      <c r="AG221" s="1961"/>
      <c r="AH221" s="861"/>
      <c r="AI221" s="861"/>
      <c r="AJ221" s="861"/>
      <c r="AK221" s="644"/>
    </row>
    <row r="222" spans="1:37">
      <c r="A222" s="639"/>
      <c r="B222" s="1960" t="s">
        <v>1290</v>
      </c>
      <c r="C222" s="1960"/>
      <c r="D222" s="1960"/>
      <c r="E222" s="1960"/>
      <c r="F222" s="1960"/>
      <c r="G222" s="1960"/>
      <c r="I222" s="1962"/>
      <c r="J222" s="1962"/>
      <c r="K222" s="1962"/>
      <c r="L222" s="1050"/>
      <c r="N222" s="1964"/>
      <c r="O222" s="1964"/>
      <c r="P222" s="1964"/>
      <c r="Q222" s="1964"/>
      <c r="R222" s="1964"/>
      <c r="T222" s="2117"/>
      <c r="U222" s="2117"/>
      <c r="V222" s="2117"/>
      <c r="W222" s="2117"/>
      <c r="X222" s="2117"/>
      <c r="Y222" s="2117"/>
      <c r="Z222" s="885"/>
      <c r="AA222" s="885"/>
      <c r="AB222" s="2115">
        <f t="shared" si="0"/>
        <v>0</v>
      </c>
      <c r="AC222" s="2115"/>
      <c r="AD222" s="2115"/>
      <c r="AE222" s="2115"/>
      <c r="AF222" s="2115"/>
      <c r="AG222" s="2115"/>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1718</v>
      </c>
      <c r="AA223" s="887"/>
      <c r="AB223" s="1961">
        <f>SUM(AB213:AB222)</f>
        <v>1177320</v>
      </c>
      <c r="AC223" s="1961"/>
      <c r="AD223" s="1961"/>
      <c r="AE223" s="1961"/>
      <c r="AF223" s="1961"/>
      <c r="AG223" s="1961"/>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1708</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1736</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1734</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1728</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20"/>
      <c r="AC229" s="2120"/>
      <c r="AD229" s="2120"/>
      <c r="AE229" s="2120"/>
      <c r="AF229" s="2120"/>
      <c r="AG229" s="2120"/>
      <c r="AH229" s="644"/>
      <c r="AI229" s="644"/>
      <c r="AJ229" s="644"/>
      <c r="AK229" s="644"/>
    </row>
    <row r="230" spans="1:37">
      <c r="A230" s="639"/>
      <c r="B230" s="871" t="s">
        <v>1733</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1735</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1729</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20"/>
      <c r="AC232" s="2120"/>
      <c r="AD232" s="2120"/>
      <c r="AE232" s="2120"/>
      <c r="AF232" s="2120"/>
      <c r="AG232" s="2120"/>
      <c r="AH232" s="644"/>
      <c r="AI232" s="644"/>
      <c r="AJ232" s="644"/>
      <c r="AK232" s="644"/>
    </row>
    <row r="233" spans="1:37">
      <c r="A233" s="639"/>
      <c r="B233" s="872" t="s">
        <v>1730</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43"/>
      <c r="AC233" s="2143"/>
      <c r="AD233" s="2143"/>
      <c r="AE233" s="2143"/>
      <c r="AF233" s="2143"/>
      <c r="AG233" s="2143"/>
      <c r="AH233" s="644"/>
      <c r="AI233" s="644"/>
      <c r="AJ233" s="644"/>
      <c r="AK233" s="644"/>
    </row>
    <row r="234" spans="1:37">
      <c r="A234" s="639"/>
      <c r="B234" s="872" t="s">
        <v>1731</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26">
        <f>IFERROR(AB232/AB233,0)</f>
        <v>0</v>
      </c>
      <c r="AC234" s="2126"/>
      <c r="AD234" s="2126"/>
      <c r="AE234" s="2126"/>
      <c r="AF234" s="2126"/>
      <c r="AG234" s="2126"/>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1732</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15">
        <f>MAX(AB229,AB234)</f>
        <v>0</v>
      </c>
      <c r="AC236" s="2115"/>
      <c r="AD236" s="2115"/>
      <c r="AE236" s="2115"/>
      <c r="AF236" s="2115"/>
      <c r="AG236" s="2115"/>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1721</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61">
        <f>AB223+AB236</f>
        <v>1177320</v>
      </c>
      <c r="AC239" s="1961"/>
      <c r="AD239" s="1961"/>
      <c r="AE239" s="1961"/>
      <c r="AF239" s="1961"/>
      <c r="AG239" s="1961"/>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91">
        <v>0.05</v>
      </c>
      <c r="AC240" s="1991"/>
      <c r="AD240" s="1991"/>
      <c r="AE240" s="1991"/>
      <c r="AF240" s="1991"/>
      <c r="AG240" s="1991"/>
      <c r="AH240" s="644"/>
      <c r="AI240" s="644"/>
      <c r="AJ240" s="644"/>
      <c r="AK240" s="644"/>
    </row>
    <row r="241" spans="1:37">
      <c r="A241" s="639"/>
      <c r="B241" s="510" t="s">
        <v>1722</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92">
        <f>AB239-(AB239*AB240)</f>
        <v>1118454</v>
      </c>
      <c r="AC241" s="1992"/>
      <c r="AD241" s="1992"/>
      <c r="AE241" s="1992"/>
      <c r="AF241" s="1992"/>
      <c r="AG241" s="1992"/>
      <c r="AH241" s="644"/>
      <c r="AI241" s="644"/>
      <c r="AJ241" s="644"/>
      <c r="AK241" s="644"/>
    </row>
    <row r="242" spans="1:37">
      <c r="A242" s="639"/>
      <c r="B242" s="510" t="s">
        <v>1723</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1724</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61">
        <f>AB241/AB247</f>
        <v>972568.69565217395</v>
      </c>
      <c r="AC243" s="1961"/>
      <c r="AD243" s="1961"/>
      <c r="AE243" s="1961"/>
      <c r="AF243" s="1961"/>
      <c r="AG243" s="1961"/>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1725</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53">
        <v>15</v>
      </c>
      <c r="AC245" s="1953"/>
      <c r="AD245" s="1953"/>
      <c r="AE245" s="1953"/>
      <c r="AF245" s="1953"/>
      <c r="AG245" s="1953"/>
      <c r="AH245" s="644"/>
      <c r="AI245" s="644"/>
      <c r="AJ245" s="644"/>
      <c r="AK245" s="644"/>
    </row>
    <row r="246" spans="1:37">
      <c r="A246" s="639"/>
      <c r="B246" s="510" t="s">
        <v>1726</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93">
        <v>0.04</v>
      </c>
      <c r="AC246" s="1993"/>
      <c r="AD246" s="1993"/>
      <c r="AE246" s="1993"/>
      <c r="AF246" s="1993"/>
      <c r="AG246" s="1993"/>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65">
        <v>1.1499999999999999</v>
      </c>
      <c r="AC247" s="1965"/>
      <c r="AD247" s="1965"/>
      <c r="AE247" s="1965"/>
      <c r="AF247" s="1965"/>
      <c r="AG247" s="1965"/>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1727</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84">
        <f>PV(AB246/12,AB245*12,-AB243/12, ,0)</f>
        <v>10956970.973615915</v>
      </c>
      <c r="AC249" s="1985"/>
      <c r="AD249" s="1985"/>
      <c r="AE249" s="1985"/>
      <c r="AF249" s="1985"/>
      <c r="AG249" s="1986"/>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1703</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1706</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1705</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1704</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88">
        <f>IFERROR(('Sources and Uses Budget'!D105/'Sources and Uses Budget'!B105),0)</f>
        <v>0</v>
      </c>
      <c r="AC255" s="1989"/>
      <c r="AD255" s="1989"/>
      <c r="AE255" s="1989"/>
      <c r="AF255" s="1989"/>
      <c r="AG255" s="1990"/>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1484</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78">
        <f>AD200*(1-AB255)</f>
        <v>49456970.973615915</v>
      </c>
      <c r="AH257" s="1978"/>
      <c r="AI257" s="1978"/>
      <c r="AJ257" s="1978"/>
      <c r="AK257" s="1978"/>
    </row>
    <row r="258" spans="1:52">
      <c r="A258" s="656"/>
      <c r="B258" s="659" t="s">
        <v>1485</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78">
        <f>'Sources and Uses Budget'!C105</f>
        <v>121997854.60239539</v>
      </c>
      <c r="AH258" s="1978"/>
      <c r="AI258" s="1978"/>
      <c r="AJ258" s="1978"/>
      <c r="AK258" s="1978"/>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79">
        <f>ROUNDDOWN(IF(AND(C281="Yes",AK78=10),((AG257*2)/AG258),AG257/AG258),2)</f>
        <v>0.4</v>
      </c>
      <c r="AH259" s="1979"/>
      <c r="AI259" s="1979"/>
      <c r="AJ259" s="1979"/>
      <c r="AK259" s="1979"/>
    </row>
    <row r="260" spans="1:52">
      <c r="A260" s="656"/>
      <c r="B260" s="1013" t="s">
        <v>1931</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1486</v>
      </c>
      <c r="AK262" s="1980">
        <f>IFERROR(IF(AG259=0,0,IF((AG259*100)&gt;8,8,(AG259*100))),0)</f>
        <v>8</v>
      </c>
      <c r="AL262" s="1980"/>
      <c r="AM262" s="1981"/>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1487</v>
      </c>
      <c r="B265" s="572" t="s">
        <v>1488</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1425</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72" t="s">
        <v>553</v>
      </c>
      <c r="D267" s="1972"/>
      <c r="E267" s="581"/>
      <c r="F267" s="2129" t="s">
        <v>2339</v>
      </c>
      <c r="G267" s="2130"/>
      <c r="H267" s="2130"/>
      <c r="I267" s="2130"/>
      <c r="J267" s="2130"/>
      <c r="K267" s="2130"/>
      <c r="L267" s="2130"/>
      <c r="M267" s="2130"/>
      <c r="N267" s="2130"/>
      <c r="O267" s="2130"/>
      <c r="P267" s="2130"/>
      <c r="Q267" s="2130"/>
      <c r="R267" s="2130"/>
      <c r="S267" s="2130"/>
      <c r="T267" s="2130"/>
      <c r="U267" s="2130"/>
      <c r="V267" s="2130"/>
      <c r="W267" s="2130"/>
      <c r="X267" s="2130"/>
      <c r="Y267" s="2130"/>
      <c r="Z267" s="2130"/>
      <c r="AA267" s="2130"/>
      <c r="AB267" s="2130"/>
      <c r="AC267" s="2130"/>
      <c r="AD267" s="2131"/>
      <c r="AE267" s="584"/>
      <c r="AF267" s="669"/>
      <c r="AG267" s="1973" t="s">
        <v>1474</v>
      </c>
      <c r="AH267" s="1973"/>
      <c r="AI267" s="1973"/>
      <c r="AJ267" s="1973"/>
      <c r="AK267" s="584"/>
      <c r="AL267" s="584"/>
      <c r="AM267" s="584"/>
      <c r="AO267" s="584"/>
    </row>
    <row r="268" spans="1:52" ht="13.7" customHeight="1">
      <c r="A268" s="584"/>
      <c r="B268" s="630"/>
      <c r="C268" s="670"/>
      <c r="D268" s="584"/>
      <c r="E268" s="581"/>
      <c r="F268" s="2132"/>
      <c r="G268" s="2133"/>
      <c r="H268" s="2133"/>
      <c r="I268" s="2133"/>
      <c r="J268" s="2133"/>
      <c r="K268" s="2133"/>
      <c r="L268" s="2133"/>
      <c r="M268" s="2133"/>
      <c r="N268" s="2133"/>
      <c r="O268" s="2133"/>
      <c r="P268" s="2133"/>
      <c r="Q268" s="2133"/>
      <c r="R268" s="2133"/>
      <c r="S268" s="2133"/>
      <c r="T268" s="2133"/>
      <c r="U268" s="2133"/>
      <c r="V268" s="2133"/>
      <c r="W268" s="2133"/>
      <c r="X268" s="2133"/>
      <c r="Y268" s="2133"/>
      <c r="Z268" s="2133"/>
      <c r="AA268" s="2133"/>
      <c r="AB268" s="2133"/>
      <c r="AC268" s="2133"/>
      <c r="AD268" s="2134"/>
      <c r="AE268" s="584"/>
      <c r="AF268" s="669"/>
      <c r="AG268" s="669"/>
      <c r="AH268" s="669"/>
      <c r="AI268" s="669"/>
      <c r="AJ268" s="584"/>
      <c r="AK268" s="584"/>
      <c r="AL268" s="584"/>
      <c r="AM268" s="584"/>
      <c r="AO268" s="584"/>
    </row>
    <row r="269" spans="1:52">
      <c r="A269" s="584"/>
      <c r="B269" s="630"/>
      <c r="C269" s="670"/>
      <c r="D269" s="584"/>
      <c r="E269" s="581"/>
      <c r="F269" s="2132"/>
      <c r="G269" s="2133"/>
      <c r="H269" s="2133"/>
      <c r="I269" s="2133"/>
      <c r="J269" s="2133"/>
      <c r="K269" s="2133"/>
      <c r="L269" s="2133"/>
      <c r="M269" s="2133"/>
      <c r="N269" s="2133"/>
      <c r="O269" s="2133"/>
      <c r="P269" s="2133"/>
      <c r="Q269" s="2133"/>
      <c r="R269" s="2133"/>
      <c r="S269" s="2133"/>
      <c r="T269" s="2133"/>
      <c r="U269" s="2133"/>
      <c r="V269" s="2133"/>
      <c r="W269" s="2133"/>
      <c r="X269" s="2133"/>
      <c r="Y269" s="2133"/>
      <c r="Z269" s="2133"/>
      <c r="AA269" s="2133"/>
      <c r="AB269" s="2133"/>
      <c r="AC269" s="2133"/>
      <c r="AD269" s="2134"/>
      <c r="AE269" s="584"/>
      <c r="AF269" s="669"/>
      <c r="AG269" s="669"/>
      <c r="AH269" s="669"/>
      <c r="AI269" s="669"/>
      <c r="AJ269" s="584"/>
      <c r="AK269" s="584"/>
      <c r="AL269" s="584"/>
      <c r="AM269" s="584"/>
      <c r="AO269" s="584"/>
      <c r="AP269" s="671"/>
    </row>
    <row r="270" spans="1:52">
      <c r="A270" s="584"/>
      <c r="B270" s="630"/>
      <c r="C270" s="670"/>
      <c r="D270" s="584"/>
      <c r="E270" s="581"/>
      <c r="F270" s="2132"/>
      <c r="G270" s="2133"/>
      <c r="H270" s="2133"/>
      <c r="I270" s="2133"/>
      <c r="J270" s="2133"/>
      <c r="K270" s="2133"/>
      <c r="L270" s="2133"/>
      <c r="M270" s="2133"/>
      <c r="N270" s="2133"/>
      <c r="O270" s="2133"/>
      <c r="P270" s="2133"/>
      <c r="Q270" s="2133"/>
      <c r="R270" s="2133"/>
      <c r="S270" s="2133"/>
      <c r="T270" s="2133"/>
      <c r="U270" s="2133"/>
      <c r="V270" s="2133"/>
      <c r="W270" s="2133"/>
      <c r="X270" s="2133"/>
      <c r="Y270" s="2133"/>
      <c r="Z270" s="2133"/>
      <c r="AA270" s="2133"/>
      <c r="AB270" s="2133"/>
      <c r="AC270" s="2133"/>
      <c r="AD270" s="2134"/>
      <c r="AE270" s="584"/>
      <c r="AF270" s="669"/>
      <c r="AG270" s="669"/>
      <c r="AH270" s="669"/>
      <c r="AI270" s="669"/>
      <c r="AJ270" s="584"/>
      <c r="AK270" s="584"/>
      <c r="AL270" s="584"/>
      <c r="AM270" s="584"/>
      <c r="AO270" s="584"/>
      <c r="AP270" s="671"/>
    </row>
    <row r="271" spans="1:52" ht="13.7" customHeight="1">
      <c r="A271" s="584"/>
      <c r="B271" s="630"/>
      <c r="C271" s="1974"/>
      <c r="D271" s="1974"/>
      <c r="E271" s="581"/>
      <c r="F271" s="2135"/>
      <c r="G271" s="2136"/>
      <c r="H271" s="2136"/>
      <c r="I271" s="2136"/>
      <c r="J271" s="2136"/>
      <c r="K271" s="2136"/>
      <c r="L271" s="2136"/>
      <c r="M271" s="2136"/>
      <c r="N271" s="2136"/>
      <c r="O271" s="2136"/>
      <c r="P271" s="2136"/>
      <c r="Q271" s="2136"/>
      <c r="R271" s="2136"/>
      <c r="S271" s="2136"/>
      <c r="T271" s="2136"/>
      <c r="U271" s="2136"/>
      <c r="V271" s="2136"/>
      <c r="W271" s="2136"/>
      <c r="X271" s="2136"/>
      <c r="Y271" s="2136"/>
      <c r="Z271" s="2136"/>
      <c r="AA271" s="2136"/>
      <c r="AB271" s="2136"/>
      <c r="AC271" s="2136"/>
      <c r="AD271" s="2137"/>
      <c r="AE271" s="584"/>
      <c r="AF271" s="669"/>
      <c r="AG271" s="1973"/>
      <c r="AH271" s="1973"/>
      <c r="AI271" s="1973"/>
      <c r="AJ271" s="1973"/>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1490</v>
      </c>
      <c r="AK274" s="1980">
        <f>IF($C$267="yes",10,0)</f>
        <v>10</v>
      </c>
      <c r="AL274" s="1980"/>
      <c r="AM274" s="1981"/>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1491</v>
      </c>
      <c r="B277" s="572" t="s">
        <v>2045</v>
      </c>
      <c r="AH277" s="625" t="s">
        <v>1425</v>
      </c>
    </row>
    <row r="278" spans="1:49" ht="15" customHeight="1">
      <c r="B278" s="573"/>
    </row>
    <row r="279" spans="1:49" ht="15" customHeight="1">
      <c r="B279" s="573" t="s">
        <v>1918</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33" t="s">
        <v>1493</v>
      </c>
      <c r="B281" s="1633"/>
      <c r="C281" s="1969" t="s">
        <v>599</v>
      </c>
      <c r="D281" s="1972"/>
      <c r="E281" s="581"/>
      <c r="F281" s="2000" t="s">
        <v>1494</v>
      </c>
      <c r="G281" s="2001"/>
      <c r="H281" s="2001"/>
      <c r="I281" s="2001"/>
      <c r="J281" s="2001"/>
      <c r="K281" s="2001"/>
      <c r="L281" s="2001"/>
      <c r="M281" s="2001"/>
      <c r="N281" s="2001"/>
      <c r="O281" s="2001"/>
      <c r="P281" s="2001"/>
      <c r="Q281" s="2001"/>
      <c r="R281" s="2001"/>
      <c r="S281" s="2001"/>
      <c r="T281" s="2001"/>
      <c r="U281" s="2001"/>
      <c r="V281" s="2001"/>
      <c r="W281" s="2001"/>
      <c r="X281" s="2001"/>
      <c r="Y281" s="2001"/>
      <c r="Z281" s="2001"/>
      <c r="AA281" s="2001"/>
      <c r="AB281" s="2001"/>
      <c r="AC281" s="2001"/>
      <c r="AD281" s="2002"/>
      <c r="AE281" s="676"/>
      <c r="AF281" s="584"/>
      <c r="AG281" s="2003" t="s">
        <v>2332</v>
      </c>
      <c r="AH281" s="2003"/>
      <c r="AI281" s="2003"/>
      <c r="AJ281" s="2003"/>
      <c r="AK281" s="2003"/>
      <c r="AL281" s="584"/>
      <c r="AM281" s="584"/>
      <c r="AN281" s="73"/>
      <c r="AO281" s="14"/>
      <c r="AP281" s="30"/>
      <c r="AS281" s="604"/>
      <c r="AT281" s="604"/>
      <c r="AU281" s="604"/>
      <c r="AV281" s="32"/>
      <c r="AW281" s="32"/>
    </row>
    <row r="282" spans="1:49">
      <c r="A282" s="674"/>
      <c r="B282" s="630"/>
      <c r="F282" s="1994"/>
      <c r="G282" s="1995"/>
      <c r="H282" s="1995"/>
      <c r="I282" s="1995"/>
      <c r="J282" s="1995"/>
      <c r="K282" s="1995"/>
      <c r="L282" s="1995"/>
      <c r="M282" s="1995"/>
      <c r="N282" s="1995"/>
      <c r="O282" s="1995"/>
      <c r="P282" s="1995"/>
      <c r="Q282" s="1995"/>
      <c r="R282" s="1995"/>
      <c r="S282" s="1995"/>
      <c r="T282" s="1995"/>
      <c r="U282" s="1995"/>
      <c r="V282" s="1995"/>
      <c r="W282" s="1995"/>
      <c r="X282" s="1995"/>
      <c r="Y282" s="1995"/>
      <c r="Z282" s="1995"/>
      <c r="AA282" s="1995"/>
      <c r="AB282" s="1995"/>
      <c r="AC282" s="1995"/>
      <c r="AD282" s="1996"/>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94"/>
      <c r="G283" s="1995"/>
      <c r="H283" s="1995"/>
      <c r="I283" s="1995"/>
      <c r="J283" s="1995"/>
      <c r="K283" s="1995"/>
      <c r="L283" s="1995"/>
      <c r="M283" s="1995"/>
      <c r="N283" s="1995"/>
      <c r="O283" s="1995"/>
      <c r="P283" s="1995"/>
      <c r="Q283" s="1995"/>
      <c r="R283" s="1995"/>
      <c r="S283" s="1995"/>
      <c r="T283" s="1995"/>
      <c r="U283" s="1995"/>
      <c r="V283" s="1995"/>
      <c r="W283" s="1995"/>
      <c r="X283" s="1995"/>
      <c r="Y283" s="1995"/>
      <c r="Z283" s="1995"/>
      <c r="AA283" s="1995"/>
      <c r="AB283" s="1995"/>
      <c r="AC283" s="1995"/>
      <c r="AD283" s="1996"/>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94" t="s">
        <v>2340</v>
      </c>
      <c r="G284" s="1995"/>
      <c r="H284" s="1995"/>
      <c r="I284" s="1995"/>
      <c r="J284" s="1995"/>
      <c r="K284" s="1995"/>
      <c r="L284" s="1995"/>
      <c r="M284" s="1995"/>
      <c r="N284" s="1995"/>
      <c r="O284" s="1995"/>
      <c r="P284" s="1995"/>
      <c r="Q284" s="1995"/>
      <c r="R284" s="1995"/>
      <c r="S284" s="1995"/>
      <c r="T284" s="1995"/>
      <c r="U284" s="1995"/>
      <c r="V284" s="1995"/>
      <c r="W284" s="1995"/>
      <c r="X284" s="1995"/>
      <c r="Y284" s="1995"/>
      <c r="Z284" s="1995"/>
      <c r="AA284" s="1995"/>
      <c r="AB284" s="1995"/>
      <c r="AC284" s="1995"/>
      <c r="AD284" s="1996"/>
      <c r="AE284" s="676"/>
      <c r="AF284" s="585"/>
      <c r="AH284" s="585"/>
      <c r="AI284" s="585"/>
      <c r="AJ284" s="584"/>
      <c r="AK284" s="584"/>
      <c r="AL284" s="584"/>
      <c r="AM284" s="584"/>
      <c r="AN284" s="73"/>
      <c r="AO284" s="14"/>
      <c r="AP284" s="645">
        <f>MAX(AP282,AP283)</f>
        <v>9</v>
      </c>
      <c r="AQ284" s="608" t="s">
        <v>1427</v>
      </c>
      <c r="AS284" s="604"/>
      <c r="AT284" s="604"/>
      <c r="AU284" s="604"/>
      <c r="AV284" s="32"/>
      <c r="AW284" s="32"/>
    </row>
    <row r="285" spans="1:49">
      <c r="A285" s="674"/>
      <c r="B285" s="630"/>
      <c r="F285" s="1994"/>
      <c r="G285" s="1995"/>
      <c r="H285" s="1995"/>
      <c r="I285" s="1995"/>
      <c r="J285" s="1995"/>
      <c r="K285" s="1995"/>
      <c r="L285" s="1995"/>
      <c r="M285" s="1995"/>
      <c r="N285" s="1995"/>
      <c r="O285" s="1995"/>
      <c r="P285" s="1995"/>
      <c r="Q285" s="1995"/>
      <c r="R285" s="1995"/>
      <c r="S285" s="1995"/>
      <c r="T285" s="1995"/>
      <c r="U285" s="1995"/>
      <c r="V285" s="1995"/>
      <c r="W285" s="1995"/>
      <c r="X285" s="1995"/>
      <c r="Y285" s="1995"/>
      <c r="Z285" s="1995"/>
      <c r="AA285" s="1995"/>
      <c r="AB285" s="1995"/>
      <c r="AC285" s="1995"/>
      <c r="AD285" s="1996"/>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94" t="s">
        <v>1495</v>
      </c>
      <c r="G286" s="1995"/>
      <c r="H286" s="1995"/>
      <c r="I286" s="1995"/>
      <c r="J286" s="1995"/>
      <c r="K286" s="1995"/>
      <c r="L286" s="1995"/>
      <c r="M286" s="1995"/>
      <c r="N286" s="1995"/>
      <c r="O286" s="1995"/>
      <c r="P286" s="1995"/>
      <c r="Q286" s="1995"/>
      <c r="R286" s="1995"/>
      <c r="S286" s="1995"/>
      <c r="T286" s="1995"/>
      <c r="U286" s="1995"/>
      <c r="V286" s="1995"/>
      <c r="W286" s="1995"/>
      <c r="X286" s="1995"/>
      <c r="Y286" s="1995"/>
      <c r="Z286" s="1995"/>
      <c r="AA286" s="1995"/>
      <c r="AB286" s="1995"/>
      <c r="AC286" s="1995"/>
      <c r="AD286" s="1996"/>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94"/>
      <c r="G287" s="1995"/>
      <c r="H287" s="1995"/>
      <c r="I287" s="1995"/>
      <c r="J287" s="1995"/>
      <c r="K287" s="1995"/>
      <c r="L287" s="1995"/>
      <c r="M287" s="1995"/>
      <c r="N287" s="1995"/>
      <c r="O287" s="1995"/>
      <c r="P287" s="1995"/>
      <c r="Q287" s="1995"/>
      <c r="R287" s="1995"/>
      <c r="S287" s="1995"/>
      <c r="T287" s="1995"/>
      <c r="U287" s="1995"/>
      <c r="V287" s="1995"/>
      <c r="W287" s="1995"/>
      <c r="X287" s="1995"/>
      <c r="Y287" s="1995"/>
      <c r="Z287" s="1995"/>
      <c r="AA287" s="1995"/>
      <c r="AB287" s="1995"/>
      <c r="AC287" s="1995"/>
      <c r="AD287" s="1996"/>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94" t="s">
        <v>1496</v>
      </c>
      <c r="G288" s="1995"/>
      <c r="H288" s="1995"/>
      <c r="I288" s="1995"/>
      <c r="J288" s="1995"/>
      <c r="K288" s="1995"/>
      <c r="L288" s="1995"/>
      <c r="M288" s="1995"/>
      <c r="N288" s="1995"/>
      <c r="O288" s="1995"/>
      <c r="P288" s="1995"/>
      <c r="Q288" s="1995"/>
      <c r="R288" s="1995"/>
      <c r="S288" s="1995"/>
      <c r="T288" s="1995"/>
      <c r="U288" s="1995"/>
      <c r="V288" s="1995"/>
      <c r="W288" s="1995"/>
      <c r="X288" s="1995"/>
      <c r="Y288" s="1995"/>
      <c r="Z288" s="1995"/>
      <c r="AA288" s="1995"/>
      <c r="AB288" s="1995"/>
      <c r="AC288" s="1995"/>
      <c r="AD288" s="1996"/>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97"/>
      <c r="G289" s="1998"/>
      <c r="H289" s="1998"/>
      <c r="I289" s="1998"/>
      <c r="J289" s="1998"/>
      <c r="K289" s="1998"/>
      <c r="L289" s="1998"/>
      <c r="M289" s="1998"/>
      <c r="N289" s="1998"/>
      <c r="O289" s="1998"/>
      <c r="P289" s="1998"/>
      <c r="Q289" s="1998"/>
      <c r="R289" s="1998"/>
      <c r="S289" s="1998"/>
      <c r="T289" s="1998"/>
      <c r="U289" s="1998"/>
      <c r="V289" s="1998"/>
      <c r="W289" s="1998"/>
      <c r="X289" s="1998"/>
      <c r="Y289" s="1998"/>
      <c r="Z289" s="1998"/>
      <c r="AA289" s="1998"/>
      <c r="AB289" s="1998"/>
      <c r="AC289" s="1998"/>
      <c r="AD289" s="1999"/>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33" t="s">
        <v>1497</v>
      </c>
      <c r="B291" s="1633"/>
      <c r="C291" s="1972" t="s">
        <v>553</v>
      </c>
      <c r="D291" s="1972"/>
      <c r="E291" s="581"/>
      <c r="F291" s="678" t="s">
        <v>2333</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1499</v>
      </c>
      <c r="AH291" s="585"/>
      <c r="AI291" s="585"/>
      <c r="AJ291" s="584"/>
      <c r="AK291" s="584"/>
      <c r="AL291" s="584"/>
      <c r="AM291" s="584"/>
      <c r="AN291" s="681"/>
      <c r="AO291" s="14"/>
    </row>
    <row r="292" spans="1:49">
      <c r="A292" s="584"/>
      <c r="B292" s="585"/>
      <c r="C292" s="584"/>
      <c r="D292" s="585"/>
      <c r="E292" s="584"/>
      <c r="F292" s="1907" t="s">
        <v>2334</v>
      </c>
      <c r="G292" s="1908"/>
      <c r="H292" s="1908"/>
      <c r="I292" s="1908"/>
      <c r="J292" s="1908"/>
      <c r="K292" s="1908"/>
      <c r="L292" s="1908"/>
      <c r="M292" s="1908"/>
      <c r="N292" s="1908"/>
      <c r="O292" s="1908"/>
      <c r="P292" s="1908"/>
      <c r="Q292" s="1908"/>
      <c r="R292" s="1908"/>
      <c r="S292" s="1908"/>
      <c r="T292" s="1908"/>
      <c r="U292" s="1908"/>
      <c r="V292" s="1908"/>
      <c r="W292" s="1908"/>
      <c r="X292" s="1908"/>
      <c r="Y292" s="1908"/>
      <c r="Z292" s="1908"/>
      <c r="AA292" s="1908"/>
      <c r="AB292" s="1908"/>
      <c r="AC292" s="1908"/>
      <c r="AD292" s="1909"/>
      <c r="AE292" s="585"/>
      <c r="AF292" s="585"/>
      <c r="AG292" s="585"/>
      <c r="AH292" s="585"/>
      <c r="AI292" s="585"/>
      <c r="AJ292" s="584"/>
      <c r="AK292" s="584"/>
      <c r="AL292" s="584"/>
      <c r="AM292" s="584"/>
      <c r="AR292" s="682"/>
    </row>
    <row r="293" spans="1:49" ht="15" customHeight="1">
      <c r="A293" s="584"/>
      <c r="B293" s="585"/>
      <c r="C293" s="584"/>
      <c r="D293" s="585"/>
      <c r="E293" s="584"/>
      <c r="F293" s="1907"/>
      <c r="G293" s="1908"/>
      <c r="H293" s="1908"/>
      <c r="I293" s="1908"/>
      <c r="J293" s="1908"/>
      <c r="K293" s="1908"/>
      <c r="L293" s="1908"/>
      <c r="M293" s="1908"/>
      <c r="N293" s="1908"/>
      <c r="O293" s="1908"/>
      <c r="P293" s="1908"/>
      <c r="Q293" s="1908"/>
      <c r="R293" s="1908"/>
      <c r="S293" s="1908"/>
      <c r="T293" s="1908"/>
      <c r="U293" s="1908"/>
      <c r="V293" s="1908"/>
      <c r="W293" s="1908"/>
      <c r="X293" s="1908"/>
      <c r="Y293" s="1908"/>
      <c r="Z293" s="1908"/>
      <c r="AA293" s="1908"/>
      <c r="AB293" s="1908"/>
      <c r="AC293" s="1908"/>
      <c r="AD293" s="1909"/>
      <c r="AE293" s="585"/>
      <c r="AF293" s="585"/>
      <c r="AG293" s="585"/>
      <c r="AH293" s="585"/>
      <c r="AI293" s="585"/>
      <c r="AJ293" s="584"/>
      <c r="AK293" s="584"/>
      <c r="AL293" s="584"/>
      <c r="AM293" s="584"/>
      <c r="AR293" s="682"/>
    </row>
    <row r="294" spans="1:49">
      <c r="A294" s="584"/>
      <c r="B294" s="585"/>
      <c r="C294" s="584"/>
      <c r="D294" s="585"/>
      <c r="E294" s="584"/>
      <c r="F294" s="1907"/>
      <c r="G294" s="1908"/>
      <c r="H294" s="1908"/>
      <c r="I294" s="1908"/>
      <c r="J294" s="1908"/>
      <c r="K294" s="1908"/>
      <c r="L294" s="1908"/>
      <c r="M294" s="1908"/>
      <c r="N294" s="1908"/>
      <c r="O294" s="1908"/>
      <c r="P294" s="1908"/>
      <c r="Q294" s="1908"/>
      <c r="R294" s="1908"/>
      <c r="S294" s="1908"/>
      <c r="T294" s="1908"/>
      <c r="U294" s="1908"/>
      <c r="V294" s="1908"/>
      <c r="W294" s="1908"/>
      <c r="X294" s="1908"/>
      <c r="Y294" s="1908"/>
      <c r="Z294" s="1908"/>
      <c r="AA294" s="1908"/>
      <c r="AB294" s="1908"/>
      <c r="AC294" s="1908"/>
      <c r="AD294" s="1909"/>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904"/>
      <c r="G295" s="1905"/>
      <c r="H295" s="1905"/>
      <c r="I295" s="1905"/>
      <c r="J295" s="1905"/>
      <c r="K295" s="1905"/>
      <c r="L295" s="1905"/>
      <c r="M295" s="1905"/>
      <c r="N295" s="1905"/>
      <c r="O295" s="1905"/>
      <c r="P295" s="1905"/>
      <c r="Q295" s="1905"/>
      <c r="R295" s="1905"/>
      <c r="S295" s="1905"/>
      <c r="T295" s="1905"/>
      <c r="U295" s="1905"/>
      <c r="V295" s="1905"/>
      <c r="W295" s="1905"/>
      <c r="X295" s="1905"/>
      <c r="Y295" s="1905"/>
      <c r="Z295" s="1905"/>
      <c r="AA295" s="1905"/>
      <c r="AB295" s="1905"/>
      <c r="AC295" s="1905"/>
      <c r="AD295" s="1906"/>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33" t="s">
        <v>1500</v>
      </c>
      <c r="B299" s="1633"/>
      <c r="C299" s="1972" t="s">
        <v>599</v>
      </c>
      <c r="D299" s="1972"/>
      <c r="E299" s="581"/>
      <c r="F299" s="678" t="s">
        <v>1498</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1499</v>
      </c>
      <c r="AH299" s="585"/>
      <c r="AI299" s="585"/>
      <c r="AJ299" s="584"/>
      <c r="AK299" s="584"/>
      <c r="AL299" s="584"/>
      <c r="AM299" s="584"/>
      <c r="AN299" s="73"/>
      <c r="AO299" s="14"/>
    </row>
    <row r="300" spans="1:49" hidden="1">
      <c r="A300" s="89"/>
      <c r="B300" s="89"/>
      <c r="C300" s="764"/>
      <c r="D300" s="764"/>
      <c r="E300" s="581"/>
      <c r="F300" s="1994" t="s">
        <v>2341</v>
      </c>
      <c r="G300" s="1995"/>
      <c r="H300" s="1995"/>
      <c r="I300" s="1995"/>
      <c r="J300" s="1995"/>
      <c r="K300" s="1995"/>
      <c r="L300" s="1995"/>
      <c r="M300" s="1995"/>
      <c r="N300" s="1995"/>
      <c r="O300" s="1995"/>
      <c r="P300" s="1995"/>
      <c r="Q300" s="1995"/>
      <c r="R300" s="1995"/>
      <c r="S300" s="1995"/>
      <c r="T300" s="1995"/>
      <c r="U300" s="1995"/>
      <c r="V300" s="1995"/>
      <c r="W300" s="1995"/>
      <c r="X300" s="1995"/>
      <c r="Y300" s="1995"/>
      <c r="Z300" s="1995"/>
      <c r="AA300" s="1995"/>
      <c r="AB300" s="1995"/>
      <c r="AC300" s="1995"/>
      <c r="AD300" s="1996"/>
      <c r="AE300" s="585"/>
      <c r="AF300" s="585"/>
      <c r="AG300" s="573"/>
      <c r="AH300" s="585"/>
      <c r="AI300" s="585"/>
      <c r="AJ300" s="584"/>
      <c r="AK300" s="584"/>
      <c r="AL300" s="584"/>
      <c r="AM300" s="584"/>
      <c r="AN300" s="73"/>
      <c r="AO300" s="14"/>
      <c r="AP300" s="591" t="s">
        <v>1290</v>
      </c>
    </row>
    <row r="301" spans="1:49" hidden="1">
      <c r="F301" s="1994"/>
      <c r="G301" s="1995"/>
      <c r="H301" s="1995"/>
      <c r="I301" s="1995"/>
      <c r="J301" s="1995"/>
      <c r="K301" s="1995"/>
      <c r="L301" s="1995"/>
      <c r="M301" s="1995"/>
      <c r="N301" s="1995"/>
      <c r="O301" s="1995"/>
      <c r="P301" s="1995"/>
      <c r="Q301" s="1995"/>
      <c r="R301" s="1995"/>
      <c r="S301" s="1995"/>
      <c r="T301" s="1995"/>
      <c r="U301" s="1995"/>
      <c r="V301" s="1995"/>
      <c r="W301" s="1995"/>
      <c r="X301" s="1995"/>
      <c r="Y301" s="1995"/>
      <c r="Z301" s="1995"/>
      <c r="AA301" s="1995"/>
      <c r="AB301" s="1995"/>
      <c r="AC301" s="1995"/>
      <c r="AD301" s="1996"/>
      <c r="AE301" s="585"/>
      <c r="AF301" s="585"/>
      <c r="AH301" s="585"/>
      <c r="AI301" s="585"/>
      <c r="AJ301" s="584"/>
      <c r="AK301" s="584"/>
      <c r="AL301" s="584"/>
      <c r="AM301" s="584"/>
      <c r="AN301" s="73"/>
      <c r="AO301" s="14"/>
      <c r="AP301" s="591" t="s">
        <v>1920</v>
      </c>
    </row>
    <row r="302" spans="1:49" hidden="1">
      <c r="A302" s="584"/>
      <c r="B302" s="585"/>
      <c r="C302" s="764"/>
      <c r="D302" s="764"/>
      <c r="E302" s="581"/>
      <c r="F302" s="686" t="s">
        <v>1501</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1922</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2047</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04" t="s">
        <v>1290</v>
      </c>
      <c r="G305" s="2005"/>
      <c r="H305" s="2005"/>
      <c r="I305" s="2005"/>
      <c r="J305" s="2005"/>
      <c r="K305" s="2005"/>
      <c r="L305" s="2005"/>
      <c r="M305" s="2005"/>
      <c r="N305" s="2005"/>
      <c r="O305" s="2005"/>
      <c r="P305" s="2005"/>
      <c r="Q305" s="2005"/>
      <c r="R305" s="2005"/>
      <c r="S305" s="2005"/>
      <c r="T305" s="2005"/>
      <c r="U305" s="2005"/>
      <c r="V305" s="2005"/>
      <c r="W305" s="2005"/>
      <c r="X305" s="2005"/>
      <c r="Y305" s="2005"/>
      <c r="Z305" s="2005"/>
      <c r="AA305" s="2005"/>
      <c r="AB305" s="2005"/>
      <c r="AC305" s="2005"/>
      <c r="AD305" s="2006"/>
      <c r="AE305" s="676"/>
      <c r="AF305" s="676"/>
      <c r="AG305" s="676"/>
      <c r="AH305" s="676"/>
      <c r="AI305" s="676"/>
      <c r="AJ305" s="676"/>
      <c r="AK305" s="676"/>
      <c r="AL305" s="584"/>
      <c r="AM305" s="584"/>
      <c r="AN305" s="73"/>
      <c r="AO305" s="14"/>
      <c r="AP305" s="30"/>
    </row>
    <row r="306" spans="1:42" hidden="1">
      <c r="A306" s="584"/>
      <c r="B306" s="585"/>
      <c r="C306" s="764"/>
      <c r="D306" s="764"/>
      <c r="E306" s="581"/>
      <c r="F306" s="2004"/>
      <c r="G306" s="2005"/>
      <c r="H306" s="2005"/>
      <c r="I306" s="2005"/>
      <c r="J306" s="2005"/>
      <c r="K306" s="2005"/>
      <c r="L306" s="2005"/>
      <c r="M306" s="2005"/>
      <c r="N306" s="2005"/>
      <c r="O306" s="2005"/>
      <c r="P306" s="2005"/>
      <c r="Q306" s="2005"/>
      <c r="R306" s="2005"/>
      <c r="S306" s="2005"/>
      <c r="T306" s="2005"/>
      <c r="U306" s="2005"/>
      <c r="V306" s="2005"/>
      <c r="W306" s="2005"/>
      <c r="X306" s="2005"/>
      <c r="Y306" s="2005"/>
      <c r="Z306" s="2005"/>
      <c r="AA306" s="2005"/>
      <c r="AB306" s="2005"/>
      <c r="AC306" s="2005"/>
      <c r="AD306" s="2006"/>
      <c r="AE306" s="585"/>
      <c r="AF306" s="585"/>
      <c r="AG306" s="573"/>
      <c r="AH306" s="585"/>
      <c r="AI306" s="585"/>
      <c r="AJ306" s="584"/>
      <c r="AK306" s="584"/>
      <c r="AL306" s="584"/>
      <c r="AM306" s="584"/>
      <c r="AN306" s="73"/>
      <c r="AO306" s="14"/>
      <c r="AP306" s="30"/>
    </row>
    <row r="307" spans="1:42" hidden="1">
      <c r="A307" s="584"/>
      <c r="B307" s="585"/>
      <c r="C307" s="764"/>
      <c r="D307" s="764"/>
      <c r="E307" s="581"/>
      <c r="F307" s="2004"/>
      <c r="G307" s="2005"/>
      <c r="H307" s="2005"/>
      <c r="I307" s="2005"/>
      <c r="J307" s="2005"/>
      <c r="K307" s="2005"/>
      <c r="L307" s="2005"/>
      <c r="M307" s="2005"/>
      <c r="N307" s="2005"/>
      <c r="O307" s="2005"/>
      <c r="P307" s="2005"/>
      <c r="Q307" s="2005"/>
      <c r="R307" s="2005"/>
      <c r="S307" s="2005"/>
      <c r="T307" s="2005"/>
      <c r="U307" s="2005"/>
      <c r="V307" s="2005"/>
      <c r="W307" s="2005"/>
      <c r="X307" s="2005"/>
      <c r="Y307" s="2005"/>
      <c r="Z307" s="2005"/>
      <c r="AA307" s="2005"/>
      <c r="AB307" s="2005"/>
      <c r="AC307" s="2005"/>
      <c r="AD307" s="2006"/>
      <c r="AE307" s="585"/>
      <c r="AF307" s="585"/>
      <c r="AG307" s="573"/>
      <c r="AH307" s="585"/>
      <c r="AI307" s="585"/>
      <c r="AJ307" s="584"/>
      <c r="AK307" s="584"/>
      <c r="AL307" s="584"/>
      <c r="AM307" s="584"/>
      <c r="AN307" s="73"/>
      <c r="AO307" s="14"/>
      <c r="AP307" s="30"/>
    </row>
    <row r="308" spans="1:42" hidden="1">
      <c r="A308" s="584"/>
      <c r="B308" s="585"/>
      <c r="C308" s="764"/>
      <c r="D308" s="764"/>
      <c r="E308" s="581"/>
      <c r="F308" s="2004"/>
      <c r="G308" s="2005"/>
      <c r="H308" s="2005"/>
      <c r="I308" s="2005"/>
      <c r="J308" s="2005"/>
      <c r="K308" s="2005"/>
      <c r="L308" s="2005"/>
      <c r="M308" s="2005"/>
      <c r="N308" s="2005"/>
      <c r="O308" s="2005"/>
      <c r="P308" s="2005"/>
      <c r="Q308" s="2005"/>
      <c r="R308" s="2005"/>
      <c r="S308" s="2005"/>
      <c r="T308" s="2005"/>
      <c r="U308" s="2005"/>
      <c r="V308" s="2005"/>
      <c r="W308" s="2005"/>
      <c r="X308" s="2005"/>
      <c r="Y308" s="2005"/>
      <c r="Z308" s="2005"/>
      <c r="AA308" s="2005"/>
      <c r="AB308" s="2005"/>
      <c r="AC308" s="2005"/>
      <c r="AD308" s="2006"/>
      <c r="AE308" s="585"/>
      <c r="AF308" s="585"/>
      <c r="AG308" s="573"/>
      <c r="AH308" s="585"/>
      <c r="AI308" s="585"/>
      <c r="AJ308" s="584"/>
      <c r="AK308" s="584"/>
      <c r="AL308" s="584"/>
      <c r="AM308" s="584"/>
      <c r="AN308" s="73"/>
      <c r="AO308" s="14"/>
      <c r="AP308" s="30"/>
    </row>
    <row r="309" spans="1:42" hidden="1">
      <c r="A309" s="584"/>
      <c r="B309" s="585"/>
      <c r="C309" s="764"/>
      <c r="D309" s="764"/>
      <c r="E309" s="581"/>
      <c r="F309" s="2007"/>
      <c r="G309" s="2008"/>
      <c r="H309" s="2008"/>
      <c r="I309" s="2008"/>
      <c r="J309" s="2008"/>
      <c r="K309" s="2008"/>
      <c r="L309" s="2008"/>
      <c r="M309" s="2008"/>
      <c r="N309" s="2008"/>
      <c r="O309" s="2008"/>
      <c r="P309" s="2008"/>
      <c r="Q309" s="2008"/>
      <c r="R309" s="2008"/>
      <c r="S309" s="2008"/>
      <c r="T309" s="2008"/>
      <c r="U309" s="2008"/>
      <c r="V309" s="2008"/>
      <c r="W309" s="2008"/>
      <c r="X309" s="2008"/>
      <c r="Y309" s="2008"/>
      <c r="Z309" s="2008"/>
      <c r="AA309" s="2008"/>
      <c r="AB309" s="2008"/>
      <c r="AC309" s="2008"/>
      <c r="AD309" s="2009"/>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1921</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10" t="s">
        <v>1290</v>
      </c>
      <c r="J313" s="2010"/>
      <c r="K313" s="2010"/>
      <c r="L313" s="2010"/>
      <c r="M313" s="2010"/>
      <c r="N313" s="2010"/>
      <c r="O313" s="2010"/>
      <c r="P313" s="2010"/>
      <c r="Q313" s="2010"/>
      <c r="R313" s="2010"/>
      <c r="S313" s="2010"/>
      <c r="T313" s="2010"/>
      <c r="U313" s="2010"/>
      <c r="V313" s="2010"/>
      <c r="W313" s="2010"/>
      <c r="X313" s="2010"/>
      <c r="Y313" s="2010"/>
      <c r="Z313" s="2010"/>
      <c r="AA313" s="2010"/>
      <c r="AB313" s="2010"/>
      <c r="AC313" s="2010"/>
      <c r="AD313" s="2011"/>
      <c r="AE313" s="585"/>
      <c r="AF313" s="585"/>
      <c r="AG313" s="573"/>
      <c r="AH313" s="585"/>
      <c r="AI313" s="585"/>
      <c r="AJ313" s="584"/>
      <c r="AK313" s="584"/>
      <c r="AL313" s="584"/>
      <c r="AM313" s="584"/>
      <c r="AN313" s="73"/>
      <c r="AO313" s="14"/>
      <c r="AP313" s="591" t="s">
        <v>1750</v>
      </c>
    </row>
    <row r="314" spans="1:42" hidden="1">
      <c r="A314" s="584"/>
      <c r="B314" s="585"/>
      <c r="C314" s="764"/>
      <c r="D314" s="764"/>
      <c r="E314" s="581"/>
      <c r="F314" s="690"/>
      <c r="G314" s="609"/>
      <c r="H314" s="609"/>
      <c r="I314" s="2010"/>
      <c r="J314" s="2010"/>
      <c r="K314" s="2010"/>
      <c r="L314" s="2010"/>
      <c r="M314" s="2010"/>
      <c r="N314" s="2010"/>
      <c r="O314" s="2010"/>
      <c r="P314" s="2010"/>
      <c r="Q314" s="2010"/>
      <c r="R314" s="2010"/>
      <c r="S314" s="2010"/>
      <c r="T314" s="2010"/>
      <c r="U314" s="2010"/>
      <c r="V314" s="2010"/>
      <c r="W314" s="2010"/>
      <c r="X314" s="2010"/>
      <c r="Y314" s="2010"/>
      <c r="Z314" s="2010"/>
      <c r="AA314" s="2010"/>
      <c r="AB314" s="2010"/>
      <c r="AC314" s="2010"/>
      <c r="AD314" s="2011"/>
      <c r="AE314" s="585"/>
      <c r="AF314" s="585"/>
      <c r="AG314" s="573"/>
      <c r="AH314" s="585"/>
      <c r="AI314" s="585"/>
      <c r="AJ314" s="584"/>
      <c r="AK314" s="584"/>
      <c r="AL314" s="584"/>
      <c r="AM314" s="584"/>
      <c r="AN314" s="73"/>
      <c r="AO314" s="14"/>
      <c r="AP314" s="591" t="s">
        <v>1923</v>
      </c>
    </row>
    <row r="315" spans="1:42" hidden="1">
      <c r="A315" s="584"/>
      <c r="B315" s="585"/>
      <c r="C315" s="685"/>
      <c r="D315" s="685"/>
      <c r="E315" s="581"/>
      <c r="F315" s="690"/>
      <c r="G315" s="609"/>
      <c r="H315" s="609"/>
      <c r="I315" s="2010"/>
      <c r="J315" s="2010"/>
      <c r="K315" s="2010"/>
      <c r="L315" s="2010"/>
      <c r="M315" s="2010"/>
      <c r="N315" s="2010"/>
      <c r="O315" s="2010"/>
      <c r="P315" s="2010"/>
      <c r="Q315" s="2010"/>
      <c r="R315" s="2010"/>
      <c r="S315" s="2010"/>
      <c r="T315" s="2010"/>
      <c r="U315" s="2010"/>
      <c r="V315" s="2010"/>
      <c r="W315" s="2010"/>
      <c r="X315" s="2010"/>
      <c r="Y315" s="2010"/>
      <c r="Z315" s="2010"/>
      <c r="AA315" s="2010"/>
      <c r="AB315" s="2010"/>
      <c r="AC315" s="2010"/>
      <c r="AD315" s="2011"/>
      <c r="AE315" s="585"/>
      <c r="AF315" s="585"/>
      <c r="AG315" s="573"/>
      <c r="AH315" s="585"/>
      <c r="AI315" s="585"/>
      <c r="AJ315" s="584"/>
      <c r="AK315" s="584"/>
      <c r="AL315" s="584"/>
      <c r="AM315" s="584"/>
      <c r="AN315" s="73"/>
      <c r="AO315" s="14"/>
      <c r="AP315" s="591" t="s">
        <v>1925</v>
      </c>
    </row>
    <row r="316" spans="1:42" hidden="1">
      <c r="A316" s="584"/>
      <c r="B316" s="585"/>
      <c r="C316" s="685"/>
      <c r="D316" s="685"/>
      <c r="E316" s="581"/>
      <c r="F316" s="688"/>
      <c r="G316" s="585"/>
      <c r="H316" s="585"/>
      <c r="I316" s="2012"/>
      <c r="J316" s="2012"/>
      <c r="K316" s="2012"/>
      <c r="L316" s="2012"/>
      <c r="M316" s="2012"/>
      <c r="N316" s="2012"/>
      <c r="O316" s="2012"/>
      <c r="P316" s="2012"/>
      <c r="Q316" s="2012"/>
      <c r="R316" s="2012"/>
      <c r="S316" s="2012"/>
      <c r="T316" s="2012"/>
      <c r="U316" s="2012"/>
      <c r="V316" s="2012"/>
      <c r="W316" s="2012"/>
      <c r="X316" s="2012"/>
      <c r="Y316" s="2012"/>
      <c r="Z316" s="2012"/>
      <c r="AA316" s="2012"/>
      <c r="AB316" s="2012"/>
      <c r="AC316" s="2012"/>
      <c r="AD316" s="2013"/>
      <c r="AE316" s="585"/>
      <c r="AF316" s="585"/>
      <c r="AG316" s="573"/>
      <c r="AH316" s="585"/>
      <c r="AI316" s="585"/>
      <c r="AJ316" s="584"/>
      <c r="AK316" s="584"/>
      <c r="AL316" s="584"/>
      <c r="AM316" s="584"/>
      <c r="AN316" s="73"/>
      <c r="AO316" s="14"/>
      <c r="AP316" s="591" t="s">
        <v>1924</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10" t="s">
        <v>1290</v>
      </c>
      <c r="J318" s="2010"/>
      <c r="K318" s="2010"/>
      <c r="L318" s="2010"/>
      <c r="M318" s="2010"/>
      <c r="N318" s="2010"/>
      <c r="O318" s="2010"/>
      <c r="P318" s="2010"/>
      <c r="Q318" s="2010"/>
      <c r="R318" s="2010"/>
      <c r="S318" s="2010"/>
      <c r="T318" s="2010"/>
      <c r="U318" s="2010"/>
      <c r="V318" s="2010"/>
      <c r="W318" s="2010"/>
      <c r="X318" s="2010"/>
      <c r="Y318" s="2010"/>
      <c r="Z318" s="2010"/>
      <c r="AA318" s="2010"/>
      <c r="AB318" s="2010"/>
      <c r="AC318" s="2010"/>
      <c r="AD318" s="2011"/>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10"/>
      <c r="J319" s="2010"/>
      <c r="K319" s="2010"/>
      <c r="L319" s="2010"/>
      <c r="M319" s="2010"/>
      <c r="N319" s="2010"/>
      <c r="O319" s="2010"/>
      <c r="P319" s="2010"/>
      <c r="Q319" s="2010"/>
      <c r="R319" s="2010"/>
      <c r="S319" s="2010"/>
      <c r="T319" s="2010"/>
      <c r="U319" s="2010"/>
      <c r="V319" s="2010"/>
      <c r="W319" s="2010"/>
      <c r="X319" s="2010"/>
      <c r="Y319" s="2010"/>
      <c r="Z319" s="2010"/>
      <c r="AA319" s="2010"/>
      <c r="AB319" s="2010"/>
      <c r="AC319" s="2010"/>
      <c r="AD319" s="2011"/>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12"/>
      <c r="J320" s="2012"/>
      <c r="K320" s="2012"/>
      <c r="L320" s="2012"/>
      <c r="M320" s="2012"/>
      <c r="N320" s="2012"/>
      <c r="O320" s="2012"/>
      <c r="P320" s="2012"/>
      <c r="Q320" s="2012"/>
      <c r="R320" s="2012"/>
      <c r="S320" s="2012"/>
      <c r="T320" s="2012"/>
      <c r="U320" s="2012"/>
      <c r="V320" s="2012"/>
      <c r="W320" s="2012"/>
      <c r="X320" s="2012"/>
      <c r="Y320" s="2012"/>
      <c r="Z320" s="2012"/>
      <c r="AA320" s="2012"/>
      <c r="AB320" s="2012"/>
      <c r="AC320" s="2012"/>
      <c r="AD320" s="2013"/>
      <c r="AE320" s="585"/>
      <c r="AF320" s="585"/>
      <c r="AG320" s="573"/>
      <c r="AH320" s="585"/>
      <c r="AI320" s="585"/>
      <c r="AJ320" s="584"/>
      <c r="AK320" s="584"/>
      <c r="AL320" s="584"/>
      <c r="AM320" s="584"/>
      <c r="AN320" s="73"/>
      <c r="AO320" s="14"/>
      <c r="AP320" s="591" t="s">
        <v>1502</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1751</v>
      </c>
    </row>
    <row r="322" spans="1:44" ht="12.75" hidden="1" customHeight="1">
      <c r="A322" s="1633" t="s">
        <v>1503</v>
      </c>
      <c r="B322" s="1633"/>
      <c r="C322" s="1972" t="s">
        <v>599</v>
      </c>
      <c r="D322" s="1972"/>
      <c r="E322" s="581"/>
      <c r="F322" s="1901" t="s">
        <v>2342</v>
      </c>
      <c r="G322" s="1902"/>
      <c r="H322" s="1902"/>
      <c r="I322" s="1902"/>
      <c r="J322" s="1902"/>
      <c r="K322" s="1902"/>
      <c r="L322" s="1902"/>
      <c r="M322" s="1902"/>
      <c r="N322" s="1902"/>
      <c r="O322" s="1902"/>
      <c r="P322" s="1902"/>
      <c r="Q322" s="1902"/>
      <c r="R322" s="1902"/>
      <c r="S322" s="1902"/>
      <c r="T322" s="1902"/>
      <c r="U322" s="1902"/>
      <c r="V322" s="1902"/>
      <c r="W322" s="1902"/>
      <c r="X322" s="1902"/>
      <c r="Y322" s="1902"/>
      <c r="Z322" s="1902"/>
      <c r="AA322" s="1902"/>
      <c r="AB322" s="1902"/>
      <c r="AC322" s="1902"/>
      <c r="AD322" s="1903"/>
      <c r="AE322" s="585"/>
      <c r="AF322" s="585"/>
      <c r="AG322" s="573" t="s">
        <v>1499</v>
      </c>
      <c r="AH322" s="585"/>
      <c r="AI322" s="585"/>
      <c r="AJ322" s="584"/>
      <c r="AK322" s="584"/>
      <c r="AL322" s="584"/>
      <c r="AM322" s="584"/>
      <c r="AN322" s="73"/>
      <c r="AO322" s="14"/>
    </row>
    <row r="323" spans="1:44" ht="15" hidden="1" customHeight="1">
      <c r="A323" s="584"/>
      <c r="B323" s="585"/>
      <c r="C323" s="585"/>
      <c r="D323" s="585"/>
      <c r="E323" s="585"/>
      <c r="F323" s="1907"/>
      <c r="G323" s="1908"/>
      <c r="H323" s="1908"/>
      <c r="I323" s="1908"/>
      <c r="J323" s="1908"/>
      <c r="K323" s="1908"/>
      <c r="L323" s="1908"/>
      <c r="M323" s="1908"/>
      <c r="N323" s="1908"/>
      <c r="O323" s="1908"/>
      <c r="P323" s="1908"/>
      <c r="Q323" s="1908"/>
      <c r="R323" s="1908"/>
      <c r="S323" s="1908"/>
      <c r="T323" s="1908"/>
      <c r="U323" s="1908"/>
      <c r="V323" s="1908"/>
      <c r="W323" s="1908"/>
      <c r="X323" s="1908"/>
      <c r="Y323" s="1908"/>
      <c r="Z323" s="1908"/>
      <c r="AA323" s="1908"/>
      <c r="AB323" s="1908"/>
      <c r="AC323" s="1908"/>
      <c r="AD323" s="1909"/>
      <c r="AE323" s="585"/>
      <c r="AF323" s="585"/>
      <c r="AG323" s="585"/>
      <c r="AH323" s="585"/>
      <c r="AI323" s="585"/>
      <c r="AJ323" s="584"/>
      <c r="AK323" s="584"/>
      <c r="AL323" s="584"/>
      <c r="AM323" s="584"/>
      <c r="AN323" s="73"/>
      <c r="AO323" s="14"/>
    </row>
    <row r="324" spans="1:44" ht="15" hidden="1" customHeight="1">
      <c r="A324" s="584"/>
      <c r="B324" s="585"/>
      <c r="C324" s="585"/>
      <c r="D324" s="585"/>
      <c r="E324" s="585"/>
      <c r="F324" s="1907"/>
      <c r="G324" s="1908"/>
      <c r="H324" s="1908"/>
      <c r="I324" s="1908"/>
      <c r="J324" s="1908"/>
      <c r="K324" s="1908"/>
      <c r="L324" s="1908"/>
      <c r="M324" s="1908"/>
      <c r="N324" s="1908"/>
      <c r="O324" s="1908"/>
      <c r="P324" s="1908"/>
      <c r="Q324" s="1908"/>
      <c r="R324" s="1908"/>
      <c r="S324" s="1908"/>
      <c r="T324" s="1908"/>
      <c r="U324" s="1908"/>
      <c r="V324" s="1908"/>
      <c r="W324" s="1908"/>
      <c r="X324" s="1908"/>
      <c r="Y324" s="1908"/>
      <c r="Z324" s="1908"/>
      <c r="AA324" s="1908"/>
      <c r="AB324" s="1908"/>
      <c r="AC324" s="1908"/>
      <c r="AD324" s="1909"/>
      <c r="AE324" s="585"/>
      <c r="AF324" s="585"/>
      <c r="AG324" s="585"/>
      <c r="AH324" s="585"/>
      <c r="AI324" s="585"/>
      <c r="AJ324" s="584"/>
      <c r="AK324" s="584"/>
      <c r="AL324" s="584"/>
      <c r="AM324" s="693"/>
      <c r="AN324" s="14"/>
      <c r="AO324" s="14"/>
    </row>
    <row r="325" spans="1:44" hidden="1">
      <c r="A325" s="584"/>
      <c r="B325" s="585"/>
      <c r="C325" s="584"/>
      <c r="D325" s="585"/>
      <c r="E325" s="584"/>
      <c r="F325" s="694" t="s">
        <v>1504</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1563</v>
      </c>
      <c r="AK327" s="1975">
        <f>IF(NOT(OR(Application!M355="Yes",Application!M356="Yes")),0,AP284)</f>
        <v>9</v>
      </c>
      <c r="AL327" s="1976"/>
      <c r="AM327" s="1977"/>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1564</v>
      </c>
      <c r="B330" s="573" t="s">
        <v>856</v>
      </c>
      <c r="C330" s="570"/>
      <c r="AC330" s="573"/>
      <c r="AE330" s="1910" t="s">
        <v>1425</v>
      </c>
      <c r="AF330" s="1910"/>
      <c r="AG330" s="1910"/>
      <c r="AH330" s="1910"/>
      <c r="AI330" s="1910"/>
      <c r="AJ330" s="1910"/>
      <c r="AK330" s="1910"/>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14" t="s">
        <v>1565</v>
      </c>
      <c r="D332" s="2014"/>
      <c r="E332" s="2014"/>
      <c r="F332" s="2014"/>
      <c r="G332" s="2014"/>
      <c r="H332" s="2014"/>
      <c r="I332" s="2014"/>
      <c r="J332" s="2014"/>
      <c r="K332" s="2014"/>
      <c r="L332" s="2014"/>
      <c r="M332" s="2014"/>
      <c r="N332" s="2014"/>
      <c r="O332" s="2014"/>
      <c r="P332" s="2014"/>
      <c r="Q332" s="2014"/>
      <c r="R332" s="2014"/>
      <c r="S332" s="2014"/>
      <c r="T332" s="2014"/>
      <c r="U332" s="2014"/>
      <c r="V332" s="2014"/>
      <c r="W332" s="2014"/>
      <c r="X332" s="2014"/>
      <c r="Y332" s="2014"/>
      <c r="Z332" s="2014"/>
      <c r="AA332" s="2014"/>
      <c r="AB332" s="2014"/>
      <c r="AC332" s="2014"/>
      <c r="AD332" s="2014"/>
      <c r="AE332" s="2014"/>
      <c r="AF332" s="2014"/>
      <c r="AG332" s="2014"/>
      <c r="AH332" s="2014"/>
      <c r="AI332" s="2014"/>
      <c r="AJ332" s="2014"/>
      <c r="AK332" s="637"/>
      <c r="AL332" s="637"/>
      <c r="AM332" s="637"/>
      <c r="AN332" s="631"/>
    </row>
    <row r="333" spans="1:44" s="584" customFormat="1" ht="12.75" customHeight="1">
      <c r="A333" s="637"/>
      <c r="B333" s="645"/>
      <c r="C333" s="2014"/>
      <c r="D333" s="2014"/>
      <c r="E333" s="2014"/>
      <c r="F333" s="2014"/>
      <c r="G333" s="2014"/>
      <c r="H333" s="2014"/>
      <c r="I333" s="2014"/>
      <c r="J333" s="2014"/>
      <c r="K333" s="2014"/>
      <c r="L333" s="2014"/>
      <c r="M333" s="2014"/>
      <c r="N333" s="2014"/>
      <c r="O333" s="2014"/>
      <c r="P333" s="2014"/>
      <c r="Q333" s="2014"/>
      <c r="R333" s="2014"/>
      <c r="S333" s="2014"/>
      <c r="T333" s="2014"/>
      <c r="U333" s="2014"/>
      <c r="V333" s="2014"/>
      <c r="W333" s="2014"/>
      <c r="X333" s="2014"/>
      <c r="Y333" s="2014"/>
      <c r="Z333" s="2014"/>
      <c r="AA333" s="2014"/>
      <c r="AB333" s="2014"/>
      <c r="AC333" s="2014"/>
      <c r="AD333" s="2014"/>
      <c r="AE333" s="2014"/>
      <c r="AF333" s="2014"/>
      <c r="AG333" s="2014"/>
      <c r="AH333" s="2014"/>
      <c r="AI333" s="2014"/>
      <c r="AJ333" s="2014"/>
      <c r="AK333" s="637"/>
      <c r="AL333" s="637"/>
      <c r="AM333" s="637"/>
      <c r="AN333" s="631"/>
    </row>
    <row r="334" spans="1:44" s="584" customFormat="1" ht="12.75" customHeight="1">
      <c r="A334" s="637"/>
      <c r="B334" s="645"/>
      <c r="C334" s="2014"/>
      <c r="D334" s="2014"/>
      <c r="E334" s="2014"/>
      <c r="F334" s="2014"/>
      <c r="G334" s="2014"/>
      <c r="H334" s="2014"/>
      <c r="I334" s="2014"/>
      <c r="J334" s="2014"/>
      <c r="K334" s="2014"/>
      <c r="L334" s="2014"/>
      <c r="M334" s="2014"/>
      <c r="N334" s="2014"/>
      <c r="O334" s="2014"/>
      <c r="P334" s="2014"/>
      <c r="Q334" s="2014"/>
      <c r="R334" s="2014"/>
      <c r="S334" s="2014"/>
      <c r="T334" s="2014"/>
      <c r="U334" s="2014"/>
      <c r="V334" s="2014"/>
      <c r="W334" s="2014"/>
      <c r="X334" s="2014"/>
      <c r="Y334" s="2014"/>
      <c r="Z334" s="2014"/>
      <c r="AA334" s="2014"/>
      <c r="AB334" s="2014"/>
      <c r="AC334" s="2014"/>
      <c r="AD334" s="2014"/>
      <c r="AE334" s="2014"/>
      <c r="AF334" s="2014"/>
      <c r="AG334" s="2014"/>
      <c r="AH334" s="2014"/>
      <c r="AI334" s="2014"/>
      <c r="AJ334" s="2014"/>
      <c r="AK334" s="637"/>
      <c r="AL334" s="637"/>
      <c r="AM334" s="637"/>
      <c r="AN334" s="631"/>
      <c r="AQ334" s="604"/>
    </row>
    <row r="335" spans="1:44" s="584" customFormat="1" ht="12.75" customHeight="1">
      <c r="A335" s="637"/>
      <c r="B335" s="645"/>
      <c r="C335" s="2014"/>
      <c r="D335" s="2014"/>
      <c r="E335" s="2014"/>
      <c r="F335" s="2014"/>
      <c r="G335" s="2014"/>
      <c r="H335" s="2014"/>
      <c r="I335" s="2014"/>
      <c r="J335" s="2014"/>
      <c r="K335" s="2014"/>
      <c r="L335" s="2014"/>
      <c r="M335" s="2014"/>
      <c r="N335" s="2014"/>
      <c r="O335" s="2014"/>
      <c r="P335" s="2014"/>
      <c r="Q335" s="2014"/>
      <c r="R335" s="2014"/>
      <c r="S335" s="2014"/>
      <c r="T335" s="2014"/>
      <c r="U335" s="2014"/>
      <c r="V335" s="2014"/>
      <c r="W335" s="2014"/>
      <c r="X335" s="2014"/>
      <c r="Y335" s="2014"/>
      <c r="Z335" s="2014"/>
      <c r="AA335" s="2014"/>
      <c r="AB335" s="2014"/>
      <c r="AC335" s="2014"/>
      <c r="AD335" s="2014"/>
      <c r="AE335" s="2014"/>
      <c r="AF335" s="2014"/>
      <c r="AG335" s="2014"/>
      <c r="AH335" s="2014"/>
      <c r="AI335" s="2014"/>
      <c r="AJ335" s="2014"/>
      <c r="AK335" s="637"/>
      <c r="AL335" s="637"/>
      <c r="AM335" s="637"/>
      <c r="AN335" s="631"/>
      <c r="AQ335" s="604"/>
    </row>
    <row r="336" spans="1:44" s="584" customFormat="1" ht="12.4" customHeight="1">
      <c r="A336" s="637"/>
      <c r="B336" s="645"/>
      <c r="C336" s="2014"/>
      <c r="D336" s="2014"/>
      <c r="E336" s="2014"/>
      <c r="F336" s="2014"/>
      <c r="G336" s="2014"/>
      <c r="H336" s="2014"/>
      <c r="I336" s="2014"/>
      <c r="J336" s="2014"/>
      <c r="K336" s="2014"/>
      <c r="L336" s="2014"/>
      <c r="M336" s="2014"/>
      <c r="N336" s="2014"/>
      <c r="O336" s="2014"/>
      <c r="P336" s="2014"/>
      <c r="Q336" s="2014"/>
      <c r="R336" s="2014"/>
      <c r="S336" s="2014"/>
      <c r="T336" s="2014"/>
      <c r="U336" s="2014"/>
      <c r="V336" s="2014"/>
      <c r="W336" s="2014"/>
      <c r="X336" s="2014"/>
      <c r="Y336" s="2014"/>
      <c r="Z336" s="2014"/>
      <c r="AA336" s="2014"/>
      <c r="AB336" s="2014"/>
      <c r="AC336" s="2014"/>
      <c r="AD336" s="2014"/>
      <c r="AE336" s="2014"/>
      <c r="AF336" s="2014"/>
      <c r="AG336" s="2014"/>
      <c r="AH336" s="2014"/>
      <c r="AI336" s="2014"/>
      <c r="AJ336" s="2014"/>
      <c r="AK336" s="637"/>
      <c r="AL336" s="637"/>
      <c r="AM336" s="637"/>
      <c r="AN336" s="631"/>
      <c r="AQ336" s="604"/>
      <c r="AR336" s="604"/>
    </row>
    <row r="337" spans="1:46" s="584" customFormat="1" ht="45.75" customHeight="1">
      <c r="A337" s="637"/>
      <c r="B337" s="645"/>
      <c r="C337" s="2014" t="s">
        <v>2409</v>
      </c>
      <c r="D337" s="2014"/>
      <c r="E337" s="2014"/>
      <c r="F337" s="2014"/>
      <c r="G337" s="2014"/>
      <c r="H337" s="2014"/>
      <c r="I337" s="2014"/>
      <c r="J337" s="2014"/>
      <c r="K337" s="2014"/>
      <c r="L337" s="2014"/>
      <c r="M337" s="2014"/>
      <c r="N337" s="2014"/>
      <c r="O337" s="2014"/>
      <c r="P337" s="2014"/>
      <c r="Q337" s="2014"/>
      <c r="R337" s="2014"/>
      <c r="S337" s="2014"/>
      <c r="T337" s="2014"/>
      <c r="U337" s="2014"/>
      <c r="V337" s="2014"/>
      <c r="W337" s="2014"/>
      <c r="X337" s="2014"/>
      <c r="Y337" s="2014"/>
      <c r="Z337" s="2014"/>
      <c r="AA337" s="2014"/>
      <c r="AB337" s="2014"/>
      <c r="AC337" s="2014"/>
      <c r="AD337" s="2014"/>
      <c r="AE337" s="2014"/>
      <c r="AF337" s="2014"/>
      <c r="AG337" s="2014"/>
      <c r="AH337" s="2014"/>
      <c r="AI337" s="2014"/>
      <c r="AJ337" s="2014"/>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14" t="s">
        <v>2573</v>
      </c>
      <c r="D339" s="2014"/>
      <c r="E339" s="2014"/>
      <c r="F339" s="2014"/>
      <c r="G339" s="2014"/>
      <c r="H339" s="2014"/>
      <c r="I339" s="2014"/>
      <c r="J339" s="2014"/>
      <c r="K339" s="2014"/>
      <c r="L339" s="2014"/>
      <c r="M339" s="2014"/>
      <c r="N339" s="2014"/>
      <c r="O339" s="2014"/>
      <c r="P339" s="2014"/>
      <c r="Q339" s="2014"/>
      <c r="R339" s="2014"/>
      <c r="S339" s="2014"/>
      <c r="T339" s="2014"/>
      <c r="U339" s="2014"/>
      <c r="V339" s="2014"/>
      <c r="W339" s="2014"/>
      <c r="X339" s="2014"/>
      <c r="Y339" s="2014"/>
      <c r="Z339" s="2014"/>
      <c r="AA339" s="2014"/>
      <c r="AB339" s="2014"/>
      <c r="AC339" s="2014"/>
      <c r="AD339" s="2014"/>
      <c r="AE339" s="2014"/>
      <c r="AF339" s="2014"/>
      <c r="AG339" s="2014"/>
      <c r="AH339" s="2014"/>
      <c r="AI339" s="2014"/>
      <c r="AJ339" s="2014"/>
      <c r="AK339" s="637"/>
      <c r="AL339" s="637"/>
      <c r="AM339" s="637"/>
      <c r="AN339" s="631"/>
      <c r="AQ339" s="604"/>
      <c r="AR339" s="604"/>
    </row>
    <row r="340" spans="1:46" s="584" customFormat="1" ht="30" customHeight="1">
      <c r="A340" s="637"/>
      <c r="B340" s="645"/>
      <c r="C340" s="2014"/>
      <c r="D340" s="2014"/>
      <c r="E340" s="2014"/>
      <c r="F340" s="2014"/>
      <c r="G340" s="2014"/>
      <c r="H340" s="2014"/>
      <c r="I340" s="2014"/>
      <c r="J340" s="2014"/>
      <c r="K340" s="2014"/>
      <c r="L340" s="2014"/>
      <c r="M340" s="2014"/>
      <c r="N340" s="2014"/>
      <c r="O340" s="2014"/>
      <c r="P340" s="2014"/>
      <c r="Q340" s="2014"/>
      <c r="R340" s="2014"/>
      <c r="S340" s="2014"/>
      <c r="T340" s="2014"/>
      <c r="U340" s="2014"/>
      <c r="V340" s="2014"/>
      <c r="W340" s="2014"/>
      <c r="X340" s="2014"/>
      <c r="Y340" s="2014"/>
      <c r="Z340" s="2014"/>
      <c r="AA340" s="2014"/>
      <c r="AB340" s="2014"/>
      <c r="AC340" s="2014"/>
      <c r="AD340" s="2014"/>
      <c r="AE340" s="2014"/>
      <c r="AF340" s="2014"/>
      <c r="AG340" s="2014"/>
      <c r="AH340" s="2014"/>
      <c r="AI340" s="2014"/>
      <c r="AJ340" s="2014"/>
      <c r="AK340" s="637"/>
      <c r="AL340" s="637"/>
      <c r="AM340" s="637"/>
      <c r="AN340" s="631"/>
      <c r="AR340" s="604"/>
    </row>
    <row r="341" spans="1:46" s="584" customFormat="1" ht="12.75" customHeight="1">
      <c r="A341" s="637"/>
      <c r="B341" s="645"/>
      <c r="C341" s="2014"/>
      <c r="D341" s="2014"/>
      <c r="E341" s="2014"/>
      <c r="F341" s="2014"/>
      <c r="G341" s="2014"/>
      <c r="H341" s="2014"/>
      <c r="I341" s="2014"/>
      <c r="J341" s="2014"/>
      <c r="K341" s="2014"/>
      <c r="L341" s="2014"/>
      <c r="M341" s="2014"/>
      <c r="N341" s="2014"/>
      <c r="O341" s="2014"/>
      <c r="P341" s="2014"/>
      <c r="Q341" s="2014"/>
      <c r="R341" s="2014"/>
      <c r="S341" s="2014"/>
      <c r="T341" s="2014"/>
      <c r="U341" s="2014"/>
      <c r="V341" s="2014"/>
      <c r="W341" s="2014"/>
      <c r="X341" s="2014"/>
      <c r="Y341" s="2014"/>
      <c r="Z341" s="2014"/>
      <c r="AA341" s="2014"/>
      <c r="AB341" s="2014"/>
      <c r="AC341" s="2014"/>
      <c r="AD341" s="2014"/>
      <c r="AE341" s="2014"/>
      <c r="AF341" s="2014"/>
      <c r="AG341" s="2014"/>
      <c r="AH341" s="2014"/>
      <c r="AI341" s="2014"/>
      <c r="AJ341" s="2014"/>
      <c r="AK341" s="637"/>
      <c r="AL341" s="637"/>
      <c r="AM341" s="637"/>
      <c r="AN341" s="631"/>
      <c r="AR341" s="604"/>
    </row>
    <row r="342" spans="1:46" s="584" customFormat="1" ht="12.75" customHeight="1">
      <c r="A342" s="637"/>
      <c r="B342" s="645"/>
      <c r="C342" s="2014" t="s">
        <v>1566</v>
      </c>
      <c r="D342" s="2014"/>
      <c r="E342" s="2014"/>
      <c r="F342" s="2014"/>
      <c r="G342" s="2014"/>
      <c r="H342" s="2014"/>
      <c r="I342" s="2014"/>
      <c r="J342" s="2014"/>
      <c r="K342" s="2014"/>
      <c r="L342" s="2014"/>
      <c r="M342" s="2014"/>
      <c r="N342" s="2014"/>
      <c r="O342" s="2014"/>
      <c r="P342" s="2014"/>
      <c r="Q342" s="2014"/>
      <c r="R342" s="2014"/>
      <c r="S342" s="2014"/>
      <c r="T342" s="2014"/>
      <c r="U342" s="2014"/>
      <c r="V342" s="2014"/>
      <c r="W342" s="2014"/>
      <c r="X342" s="2014"/>
      <c r="Y342" s="2014"/>
      <c r="Z342" s="2014"/>
      <c r="AA342" s="2014"/>
      <c r="AB342" s="2014"/>
      <c r="AC342" s="2014"/>
      <c r="AD342" s="2014"/>
      <c r="AE342" s="2014"/>
      <c r="AF342" s="2014"/>
      <c r="AG342" s="2014"/>
      <c r="AH342" s="2014"/>
      <c r="AI342" s="2014"/>
      <c r="AJ342" s="2014"/>
      <c r="AK342" s="637"/>
      <c r="AL342" s="637"/>
      <c r="AM342" s="637"/>
      <c r="AN342" s="631"/>
      <c r="AQ342" s="604"/>
      <c r="AR342" s="604"/>
    </row>
    <row r="343" spans="1:46" s="584" customFormat="1" ht="12.75" customHeight="1">
      <c r="A343" s="637"/>
      <c r="B343" s="645"/>
      <c r="C343" s="2014"/>
      <c r="D343" s="2014"/>
      <c r="E343" s="2014"/>
      <c r="F343" s="2014"/>
      <c r="G343" s="2014"/>
      <c r="H343" s="2014"/>
      <c r="I343" s="2014"/>
      <c r="J343" s="2014"/>
      <c r="K343" s="2014"/>
      <c r="L343" s="2014"/>
      <c r="M343" s="2014"/>
      <c r="N343" s="2014"/>
      <c r="O343" s="2014"/>
      <c r="P343" s="2014"/>
      <c r="Q343" s="2014"/>
      <c r="R343" s="2014"/>
      <c r="S343" s="2014"/>
      <c r="T343" s="2014"/>
      <c r="U343" s="2014"/>
      <c r="V343" s="2014"/>
      <c r="W343" s="2014"/>
      <c r="X343" s="2014"/>
      <c r="Y343" s="2014"/>
      <c r="Z343" s="2014"/>
      <c r="AA343" s="2014"/>
      <c r="AB343" s="2014"/>
      <c r="AC343" s="2014"/>
      <c r="AD343" s="2014"/>
      <c r="AE343" s="2014"/>
      <c r="AF343" s="2014"/>
      <c r="AG343" s="2014"/>
      <c r="AH343" s="2014"/>
      <c r="AI343" s="2014"/>
      <c r="AJ343" s="2014"/>
      <c r="AK343" s="637"/>
      <c r="AL343" s="637"/>
      <c r="AM343" s="637"/>
      <c r="AN343" s="631"/>
      <c r="AQ343" s="604"/>
      <c r="AR343" s="604"/>
    </row>
    <row r="344" spans="1:46" s="584" customFormat="1" ht="13.15" customHeight="1">
      <c r="A344" s="637"/>
      <c r="B344" s="645"/>
      <c r="C344" s="2014"/>
      <c r="D344" s="2014"/>
      <c r="E344" s="2014"/>
      <c r="F344" s="2014"/>
      <c r="G344" s="2014"/>
      <c r="H344" s="2014"/>
      <c r="I344" s="2014"/>
      <c r="J344" s="2014"/>
      <c r="K344" s="2014"/>
      <c r="L344" s="2014"/>
      <c r="M344" s="2014"/>
      <c r="N344" s="2014"/>
      <c r="O344" s="2014"/>
      <c r="P344" s="2014"/>
      <c r="Q344" s="2014"/>
      <c r="R344" s="2014"/>
      <c r="S344" s="2014"/>
      <c r="T344" s="2014"/>
      <c r="U344" s="2014"/>
      <c r="V344" s="2014"/>
      <c r="W344" s="2014"/>
      <c r="X344" s="2014"/>
      <c r="Y344" s="2014"/>
      <c r="Z344" s="2014"/>
      <c r="AA344" s="2014"/>
      <c r="AB344" s="2014"/>
      <c r="AC344" s="2014"/>
      <c r="AD344" s="2014"/>
      <c r="AE344" s="2014"/>
      <c r="AF344" s="2014"/>
      <c r="AG344" s="2014"/>
      <c r="AH344" s="2014"/>
      <c r="AI344" s="2014"/>
      <c r="AJ344" s="2014"/>
      <c r="AK344" s="637"/>
      <c r="AL344" s="637"/>
      <c r="AM344" s="637"/>
      <c r="AN344" s="631"/>
      <c r="AQ344" s="604"/>
      <c r="AR344" s="604"/>
    </row>
    <row r="345" spans="1:46" s="584" customFormat="1" ht="12.75" customHeight="1">
      <c r="A345" s="637"/>
      <c r="B345" s="645"/>
      <c r="C345" s="2014"/>
      <c r="D345" s="2014"/>
      <c r="E345" s="2014"/>
      <c r="F345" s="2014"/>
      <c r="G345" s="2014"/>
      <c r="H345" s="2014"/>
      <c r="I345" s="2014"/>
      <c r="J345" s="2014"/>
      <c r="K345" s="2014"/>
      <c r="L345" s="2014"/>
      <c r="M345" s="2014"/>
      <c r="N345" s="2014"/>
      <c r="O345" s="2014"/>
      <c r="P345" s="2014"/>
      <c r="Q345" s="2014"/>
      <c r="R345" s="2014"/>
      <c r="S345" s="2014"/>
      <c r="T345" s="2014"/>
      <c r="U345" s="2014"/>
      <c r="V345" s="2014"/>
      <c r="W345" s="2014"/>
      <c r="X345" s="2014"/>
      <c r="Y345" s="2014"/>
      <c r="Z345" s="2014"/>
      <c r="AA345" s="2014"/>
      <c r="AB345" s="2014"/>
      <c r="AC345" s="2014"/>
      <c r="AD345" s="2014"/>
      <c r="AE345" s="2014"/>
      <c r="AF345" s="2014"/>
      <c r="AG345" s="2014"/>
      <c r="AH345" s="2014"/>
      <c r="AI345" s="2014"/>
      <c r="AJ345" s="2014"/>
      <c r="AK345" s="637"/>
      <c r="AL345" s="637"/>
      <c r="AM345" s="637"/>
      <c r="AN345" s="631"/>
      <c r="AO345" s="728"/>
      <c r="AP345" s="728"/>
      <c r="AQ345" s="604"/>
    </row>
    <row r="346" spans="1:46" s="584" customFormat="1" ht="11.85" customHeight="1">
      <c r="A346" s="637"/>
      <c r="B346" s="645"/>
      <c r="C346" s="2014"/>
      <c r="D346" s="2014"/>
      <c r="E346" s="2014"/>
      <c r="F346" s="2014"/>
      <c r="G346" s="2014"/>
      <c r="H346" s="2014"/>
      <c r="I346" s="2014"/>
      <c r="J346" s="2014"/>
      <c r="K346" s="2014"/>
      <c r="L346" s="2014"/>
      <c r="M346" s="2014"/>
      <c r="N346" s="2014"/>
      <c r="O346" s="2014"/>
      <c r="P346" s="2014"/>
      <c r="Q346" s="2014"/>
      <c r="R346" s="2014"/>
      <c r="S346" s="2014"/>
      <c r="T346" s="2014"/>
      <c r="U346" s="2014"/>
      <c r="V346" s="2014"/>
      <c r="W346" s="2014"/>
      <c r="X346" s="2014"/>
      <c r="Y346" s="2014"/>
      <c r="Z346" s="2014"/>
      <c r="AA346" s="2014"/>
      <c r="AB346" s="2014"/>
      <c r="AC346" s="2014"/>
      <c r="AD346" s="2014"/>
      <c r="AE346" s="2014"/>
      <c r="AF346" s="2014"/>
      <c r="AG346" s="2014"/>
      <c r="AH346" s="2014"/>
      <c r="AI346" s="2014"/>
      <c r="AJ346" s="2014"/>
      <c r="AK346" s="637"/>
      <c r="AL346" s="637"/>
      <c r="AM346" s="637"/>
      <c r="AN346" s="631"/>
      <c r="AO346" s="729" t="s">
        <v>112</v>
      </c>
      <c r="AP346" s="730">
        <f>IF(C370="Yes",5,0)</f>
        <v>5</v>
      </c>
      <c r="AS346" s="573" t="s">
        <v>1567</v>
      </c>
    </row>
    <row r="347" spans="1:46" s="584" customFormat="1" ht="12.75" customHeight="1">
      <c r="A347" s="637"/>
      <c r="B347" s="645"/>
      <c r="C347" s="2014"/>
      <c r="D347" s="2014"/>
      <c r="E347" s="2014"/>
      <c r="F347" s="2014"/>
      <c r="G347" s="2014"/>
      <c r="H347" s="2014"/>
      <c r="I347" s="2014"/>
      <c r="J347" s="2014"/>
      <c r="K347" s="2014"/>
      <c r="L347" s="2014"/>
      <c r="M347" s="2014"/>
      <c r="N347" s="2014"/>
      <c r="O347" s="2014"/>
      <c r="P347" s="2014"/>
      <c r="Q347" s="2014"/>
      <c r="R347" s="2014"/>
      <c r="S347" s="2014"/>
      <c r="T347" s="2014"/>
      <c r="U347" s="2014"/>
      <c r="V347" s="2014"/>
      <c r="W347" s="2014"/>
      <c r="X347" s="2014"/>
      <c r="Y347" s="2014"/>
      <c r="Z347" s="2014"/>
      <c r="AA347" s="2014"/>
      <c r="AB347" s="2014"/>
      <c r="AC347" s="2014"/>
      <c r="AD347" s="2014"/>
      <c r="AE347" s="2014"/>
      <c r="AF347" s="2014"/>
      <c r="AG347" s="2014"/>
      <c r="AH347" s="2014"/>
      <c r="AI347" s="2014"/>
      <c r="AJ347" s="2014"/>
      <c r="AK347" s="637"/>
      <c r="AL347" s="637"/>
      <c r="AM347" s="637"/>
      <c r="AN347" s="631"/>
      <c r="AO347" s="729" t="s">
        <v>113</v>
      </c>
      <c r="AP347" s="730">
        <f>IF(C378="Yes",5,0)</f>
        <v>0</v>
      </c>
      <c r="AS347" s="2035">
        <f>IF(Application!D211="Non-Targeted",(SUM(AQ355+AQ364)),AS351)</f>
        <v>12</v>
      </c>
      <c r="AT347" s="2035"/>
    </row>
    <row r="348" spans="1:46" s="584" customFormat="1" ht="12.75" customHeight="1">
      <c r="A348" s="637"/>
      <c r="B348" s="645"/>
      <c r="C348" s="2014"/>
      <c r="D348" s="2014"/>
      <c r="E348" s="2014"/>
      <c r="F348" s="2014"/>
      <c r="G348" s="2014"/>
      <c r="H348" s="2014"/>
      <c r="I348" s="2014"/>
      <c r="J348" s="2014"/>
      <c r="K348" s="2014"/>
      <c r="L348" s="2014"/>
      <c r="M348" s="2014"/>
      <c r="N348" s="2014"/>
      <c r="O348" s="2014"/>
      <c r="P348" s="2014"/>
      <c r="Q348" s="2014"/>
      <c r="R348" s="2014"/>
      <c r="S348" s="2014"/>
      <c r="T348" s="2014"/>
      <c r="U348" s="2014"/>
      <c r="V348" s="2014"/>
      <c r="W348" s="2014"/>
      <c r="X348" s="2014"/>
      <c r="Y348" s="2014"/>
      <c r="Z348" s="2014"/>
      <c r="AA348" s="2014"/>
      <c r="AB348" s="2014"/>
      <c r="AC348" s="2014"/>
      <c r="AD348" s="2014"/>
      <c r="AE348" s="2014"/>
      <c r="AF348" s="2014"/>
      <c r="AG348" s="2014"/>
      <c r="AH348" s="2014"/>
      <c r="AI348" s="2014"/>
      <c r="AJ348" s="2014"/>
      <c r="AK348" s="637"/>
      <c r="AL348" s="637"/>
      <c r="AM348" s="637"/>
      <c r="AN348" s="631"/>
      <c r="AO348" s="729" t="s">
        <v>119</v>
      </c>
      <c r="AP348" s="730">
        <f>IF(C386="Yes",7,0)</f>
        <v>7</v>
      </c>
      <c r="AS348" s="573" t="s">
        <v>1568</v>
      </c>
    </row>
    <row r="349" spans="1:46" s="584" customFormat="1" ht="12.75" customHeight="1">
      <c r="A349" s="637"/>
      <c r="B349" s="645"/>
      <c r="C349" s="2014"/>
      <c r="D349" s="2014"/>
      <c r="E349" s="2014"/>
      <c r="F349" s="2014"/>
      <c r="G349" s="2014"/>
      <c r="H349" s="2014"/>
      <c r="I349" s="2014"/>
      <c r="J349" s="2014"/>
      <c r="K349" s="2014"/>
      <c r="L349" s="2014"/>
      <c r="M349" s="2014"/>
      <c r="N349" s="2014"/>
      <c r="O349" s="2014"/>
      <c r="P349" s="2014"/>
      <c r="Q349" s="2014"/>
      <c r="R349" s="2014"/>
      <c r="S349" s="2014"/>
      <c r="T349" s="2014"/>
      <c r="U349" s="2014"/>
      <c r="V349" s="2014"/>
      <c r="W349" s="2014"/>
      <c r="X349" s="2014"/>
      <c r="Y349" s="2014"/>
      <c r="Z349" s="2014"/>
      <c r="AA349" s="2014"/>
      <c r="AB349" s="2014"/>
      <c r="AC349" s="2014"/>
      <c r="AD349" s="2014"/>
      <c r="AE349" s="2014"/>
      <c r="AF349" s="2014"/>
      <c r="AG349" s="2014"/>
      <c r="AH349" s="2014"/>
      <c r="AI349" s="2014"/>
      <c r="AJ349" s="2014"/>
      <c r="AK349" s="637"/>
      <c r="AL349" s="637"/>
      <c r="AM349" s="637"/>
      <c r="AN349" s="631"/>
      <c r="AO349" s="631"/>
      <c r="AP349" s="730">
        <f>IF(C388="Yes",5,0)</f>
        <v>0</v>
      </c>
      <c r="AS349" s="2035">
        <f>IF(AND(AQ355&gt;0,AQ364&gt;0),(AQ355+AQ364)/2,0)</f>
        <v>0</v>
      </c>
      <c r="AT349" s="2035"/>
    </row>
    <row r="350" spans="1:46" s="584" customFormat="1" ht="12.75" customHeight="1">
      <c r="A350" s="637"/>
      <c r="B350" s="645"/>
      <c r="C350" s="2014"/>
      <c r="D350" s="2014"/>
      <c r="E350" s="2014"/>
      <c r="F350" s="2014"/>
      <c r="G350" s="2014"/>
      <c r="H350" s="2014"/>
      <c r="I350" s="2014"/>
      <c r="J350" s="2014"/>
      <c r="K350" s="2014"/>
      <c r="L350" s="2014"/>
      <c r="M350" s="2014"/>
      <c r="N350" s="2014"/>
      <c r="O350" s="2014"/>
      <c r="P350" s="2014"/>
      <c r="Q350" s="2014"/>
      <c r="R350" s="2014"/>
      <c r="S350" s="2014"/>
      <c r="T350" s="2014"/>
      <c r="U350" s="2014"/>
      <c r="V350" s="2014"/>
      <c r="W350" s="2014"/>
      <c r="X350" s="2014"/>
      <c r="Y350" s="2014"/>
      <c r="Z350" s="2014"/>
      <c r="AA350" s="2014"/>
      <c r="AB350" s="2014"/>
      <c r="AC350" s="2014"/>
      <c r="AD350" s="2014"/>
      <c r="AE350" s="2014"/>
      <c r="AF350" s="2014"/>
      <c r="AG350" s="2014"/>
      <c r="AH350" s="2014"/>
      <c r="AI350" s="2014"/>
      <c r="AJ350" s="2014"/>
      <c r="AK350" s="637"/>
      <c r="AL350" s="637"/>
      <c r="AM350" s="637"/>
      <c r="AN350" s="631"/>
      <c r="AO350" s="729" t="s">
        <v>589</v>
      </c>
      <c r="AP350" s="730">
        <f>IF(C396="Yes",5,0)</f>
        <v>0</v>
      </c>
      <c r="AS350" s="573" t="s">
        <v>2070</v>
      </c>
    </row>
    <row r="351" spans="1:46" s="584" customFormat="1" ht="12.75" customHeight="1">
      <c r="A351" s="637"/>
      <c r="B351" s="645"/>
      <c r="C351" s="2036" t="s">
        <v>1569</v>
      </c>
      <c r="D351" s="2036"/>
      <c r="E351" s="2036"/>
      <c r="F351" s="2036"/>
      <c r="G351" s="2036"/>
      <c r="H351" s="2036"/>
      <c r="I351" s="2036"/>
      <c r="J351" s="2036"/>
      <c r="K351" s="2036"/>
      <c r="L351" s="2036"/>
      <c r="M351" s="2036"/>
      <c r="N351" s="2036"/>
      <c r="O351" s="2036"/>
      <c r="P351" s="2036"/>
      <c r="Q351" s="2036"/>
      <c r="R351" s="2036"/>
      <c r="S351" s="2036"/>
      <c r="T351" s="2036"/>
      <c r="U351" s="2036"/>
      <c r="V351" s="2036"/>
      <c r="W351" s="2036"/>
      <c r="X351" s="2036"/>
      <c r="Y351" s="2036"/>
      <c r="Z351" s="2036"/>
      <c r="AA351" s="2036"/>
      <c r="AB351" s="2036"/>
      <c r="AC351" s="2036"/>
      <c r="AD351" s="2036"/>
      <c r="AE351" s="2036"/>
      <c r="AF351" s="2036"/>
      <c r="AG351" s="2036"/>
      <c r="AH351" s="2036"/>
      <c r="AI351" s="2036"/>
      <c r="AJ351" s="2036"/>
      <c r="AK351" s="637"/>
      <c r="AL351" s="637"/>
      <c r="AM351" s="637"/>
      <c r="AN351" s="631"/>
      <c r="AO351" s="631"/>
      <c r="AP351" s="730">
        <f>IF(C398="Yes",3,0)</f>
        <v>0</v>
      </c>
      <c r="AS351" s="2035">
        <f>IF(AQ355=0,AQ364,AQ355)</f>
        <v>12</v>
      </c>
      <c r="AT351" s="2035"/>
    </row>
    <row r="352" spans="1:46" s="584" customFormat="1" ht="12.75" customHeight="1">
      <c r="A352" s="637"/>
      <c r="B352" s="645"/>
      <c r="C352" s="2036"/>
      <c r="D352" s="2036"/>
      <c r="E352" s="2036"/>
      <c r="F352" s="2036"/>
      <c r="G352" s="2036"/>
      <c r="H352" s="2036"/>
      <c r="I352" s="2036"/>
      <c r="J352" s="2036"/>
      <c r="K352" s="2036"/>
      <c r="L352" s="2036"/>
      <c r="M352" s="2036"/>
      <c r="N352" s="2036"/>
      <c r="O352" s="2036"/>
      <c r="P352" s="2036"/>
      <c r="Q352" s="2036"/>
      <c r="R352" s="2036"/>
      <c r="S352" s="2036"/>
      <c r="T352" s="2036"/>
      <c r="U352" s="2036"/>
      <c r="V352" s="2036"/>
      <c r="W352" s="2036"/>
      <c r="X352" s="2036"/>
      <c r="Y352" s="2036"/>
      <c r="Z352" s="2036"/>
      <c r="AA352" s="2036"/>
      <c r="AB352" s="2036"/>
      <c r="AC352" s="2036"/>
      <c r="AD352" s="2036"/>
      <c r="AE352" s="2036"/>
      <c r="AF352" s="2036"/>
      <c r="AG352" s="2036"/>
      <c r="AH352" s="2036"/>
      <c r="AI352" s="2036"/>
      <c r="AJ352" s="2036"/>
      <c r="AK352" s="637"/>
      <c r="AL352" s="637"/>
      <c r="AM352" s="637"/>
      <c r="AN352" s="631"/>
      <c r="AO352" s="729" t="s">
        <v>772</v>
      </c>
      <c r="AP352" s="730">
        <f>IF(C401="Yes",5,0)</f>
        <v>0</v>
      </c>
    </row>
    <row r="353" spans="1:81" s="584" customFormat="1" ht="12.75" customHeight="1">
      <c r="A353" s="637"/>
      <c r="B353" s="645"/>
      <c r="C353" s="2036"/>
      <c r="D353" s="2036"/>
      <c r="E353" s="2036"/>
      <c r="F353" s="2036"/>
      <c r="G353" s="2036"/>
      <c r="H353" s="2036"/>
      <c r="I353" s="2036"/>
      <c r="J353" s="2036"/>
      <c r="K353" s="2036"/>
      <c r="L353" s="2036"/>
      <c r="M353" s="2036"/>
      <c r="N353" s="2036"/>
      <c r="O353" s="2036"/>
      <c r="P353" s="2036"/>
      <c r="Q353" s="2036"/>
      <c r="R353" s="2036"/>
      <c r="S353" s="2036"/>
      <c r="T353" s="2036"/>
      <c r="U353" s="2036"/>
      <c r="V353" s="2036"/>
      <c r="W353" s="2036"/>
      <c r="X353" s="2036"/>
      <c r="Y353" s="2036"/>
      <c r="Z353" s="2036"/>
      <c r="AA353" s="2036"/>
      <c r="AB353" s="2036"/>
      <c r="AC353" s="2036"/>
      <c r="AD353" s="2036"/>
      <c r="AE353" s="2036"/>
      <c r="AF353" s="2036"/>
      <c r="AG353" s="2036"/>
      <c r="AH353" s="2036"/>
      <c r="AI353" s="2036"/>
      <c r="AJ353" s="2036"/>
      <c r="AK353" s="637"/>
      <c r="AL353" s="637"/>
      <c r="AM353" s="637"/>
      <c r="AN353" s="631"/>
      <c r="AO353" s="729" t="s">
        <v>592</v>
      </c>
      <c r="AP353" s="730">
        <f>IF(C410="Yes",5,0)</f>
        <v>0</v>
      </c>
    </row>
    <row r="354" spans="1:81" s="584" customFormat="1" ht="11.85" customHeight="1">
      <c r="A354" s="637"/>
      <c r="B354" s="645"/>
      <c r="C354" s="2036"/>
      <c r="D354" s="2036"/>
      <c r="E354" s="2036"/>
      <c r="F354" s="2036"/>
      <c r="G354" s="2036"/>
      <c r="H354" s="2036"/>
      <c r="I354" s="2036"/>
      <c r="J354" s="2036"/>
      <c r="K354" s="2036"/>
      <c r="L354" s="2036"/>
      <c r="M354" s="2036"/>
      <c r="N354" s="2036"/>
      <c r="O354" s="2036"/>
      <c r="P354" s="2036"/>
      <c r="Q354" s="2036"/>
      <c r="R354" s="2036"/>
      <c r="S354" s="2036"/>
      <c r="T354" s="2036"/>
      <c r="U354" s="2036"/>
      <c r="V354" s="2036"/>
      <c r="W354" s="2036"/>
      <c r="X354" s="2036"/>
      <c r="Y354" s="2036"/>
      <c r="Z354" s="2036"/>
      <c r="AA354" s="2036"/>
      <c r="AB354" s="2036"/>
      <c r="AC354" s="2036"/>
      <c r="AD354" s="2036"/>
      <c r="AE354" s="2036"/>
      <c r="AF354" s="2036"/>
      <c r="AG354" s="2036"/>
      <c r="AH354" s="2036"/>
      <c r="AI354" s="2036"/>
      <c r="AJ354" s="2036"/>
      <c r="AK354" s="637"/>
      <c r="AL354" s="637"/>
      <c r="AM354" s="637"/>
      <c r="AN354" s="631"/>
      <c r="AO354" s="731"/>
      <c r="AP354" s="732">
        <f>IF(C412="Yes",3,0)</f>
        <v>0</v>
      </c>
    </row>
    <row r="355" spans="1:81" s="584" customFormat="1" ht="12.4" customHeight="1">
      <c r="A355" s="637"/>
      <c r="B355" s="645"/>
      <c r="C355" s="2036"/>
      <c r="D355" s="2036"/>
      <c r="E355" s="2036"/>
      <c r="F355" s="2036"/>
      <c r="G355" s="2036"/>
      <c r="H355" s="2036"/>
      <c r="I355" s="2036"/>
      <c r="J355" s="2036"/>
      <c r="K355" s="2036"/>
      <c r="L355" s="2036"/>
      <c r="M355" s="2036"/>
      <c r="N355" s="2036"/>
      <c r="O355" s="2036"/>
      <c r="P355" s="2036"/>
      <c r="Q355" s="2036"/>
      <c r="R355" s="2036"/>
      <c r="S355" s="2036"/>
      <c r="T355" s="2036"/>
      <c r="U355" s="2036"/>
      <c r="V355" s="2036"/>
      <c r="W355" s="2036"/>
      <c r="X355" s="2036"/>
      <c r="Y355" s="2036"/>
      <c r="Z355" s="2036"/>
      <c r="AA355" s="2036"/>
      <c r="AB355" s="2036"/>
      <c r="AC355" s="2036"/>
      <c r="AD355" s="2036"/>
      <c r="AE355" s="2036"/>
      <c r="AF355" s="2036"/>
      <c r="AG355" s="2036"/>
      <c r="AH355" s="2036"/>
      <c r="AI355" s="2036"/>
      <c r="AJ355" s="2036"/>
      <c r="AK355" s="637"/>
      <c r="AL355" s="637"/>
      <c r="AM355" s="637"/>
      <c r="AN355" s="631"/>
      <c r="AO355" s="733" t="s">
        <v>228</v>
      </c>
      <c r="AP355" s="734">
        <f>SUM(AP346:AP354)</f>
        <v>12</v>
      </c>
      <c r="AQ355" s="2037">
        <f>IF(AP355&gt;0,AP355,0)</f>
        <v>12</v>
      </c>
      <c r="AR355" s="2037"/>
    </row>
    <row r="356" spans="1:81" s="584" customFormat="1" ht="12.75" customHeight="1">
      <c r="A356" s="637"/>
      <c r="B356" s="645"/>
      <c r="C356" s="2036"/>
      <c r="D356" s="2036"/>
      <c r="E356" s="2036"/>
      <c r="F356" s="2036"/>
      <c r="G356" s="2036"/>
      <c r="H356" s="2036"/>
      <c r="I356" s="2036"/>
      <c r="J356" s="2036"/>
      <c r="K356" s="2036"/>
      <c r="L356" s="2036"/>
      <c r="M356" s="2036"/>
      <c r="N356" s="2036"/>
      <c r="O356" s="2036"/>
      <c r="P356" s="2036"/>
      <c r="Q356" s="2036"/>
      <c r="R356" s="2036"/>
      <c r="S356" s="2036"/>
      <c r="T356" s="2036"/>
      <c r="U356" s="2036"/>
      <c r="V356" s="2036"/>
      <c r="W356" s="2036"/>
      <c r="X356" s="2036"/>
      <c r="Y356" s="2036"/>
      <c r="Z356" s="2036"/>
      <c r="AA356" s="2036"/>
      <c r="AB356" s="2036"/>
      <c r="AC356" s="2036"/>
      <c r="AD356" s="2036"/>
      <c r="AE356" s="2036"/>
      <c r="AF356" s="2036"/>
      <c r="AG356" s="2036"/>
      <c r="AH356" s="2036"/>
      <c r="AI356" s="2036"/>
      <c r="AJ356" s="2036"/>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2014" t="s">
        <v>1570</v>
      </c>
      <c r="D358" s="2014"/>
      <c r="E358" s="2014"/>
      <c r="F358" s="2014"/>
      <c r="G358" s="2014"/>
      <c r="H358" s="2014"/>
      <c r="I358" s="2014"/>
      <c r="J358" s="2014"/>
      <c r="K358" s="2014"/>
      <c r="L358" s="2014"/>
      <c r="M358" s="2014"/>
      <c r="N358" s="2014"/>
      <c r="O358" s="2014"/>
      <c r="P358" s="2014"/>
      <c r="Q358" s="2014"/>
      <c r="R358" s="2014"/>
      <c r="S358" s="2014"/>
      <c r="T358" s="2014"/>
      <c r="U358" s="2014"/>
      <c r="V358" s="2014"/>
      <c r="W358" s="2014"/>
      <c r="X358" s="2014"/>
      <c r="Y358" s="2014"/>
      <c r="Z358" s="2014"/>
      <c r="AA358" s="2014"/>
      <c r="AB358" s="2014"/>
      <c r="AC358" s="2014"/>
      <c r="AD358" s="2014"/>
      <c r="AE358" s="2014"/>
      <c r="AF358" s="2014"/>
      <c r="AG358" s="2014"/>
      <c r="AH358" s="2014"/>
      <c r="AI358" s="2014"/>
      <c r="AJ358" s="2014"/>
      <c r="AK358" s="637"/>
      <c r="AL358" s="637"/>
      <c r="AM358" s="637"/>
      <c r="AN358" s="631"/>
      <c r="AO358" s="729" t="s">
        <v>464</v>
      </c>
      <c r="AP358" s="730">
        <f>IF(C431="Yes",5,0)</f>
        <v>0</v>
      </c>
    </row>
    <row r="359" spans="1:81" s="584" customFormat="1" ht="12.75" customHeight="1">
      <c r="A359" s="637"/>
      <c r="B359" s="645"/>
      <c r="C359" s="2014"/>
      <c r="D359" s="2014"/>
      <c r="E359" s="2014"/>
      <c r="F359" s="2014"/>
      <c r="G359" s="2014"/>
      <c r="H359" s="2014"/>
      <c r="I359" s="2014"/>
      <c r="J359" s="2014"/>
      <c r="K359" s="2014"/>
      <c r="L359" s="2014"/>
      <c r="M359" s="2014"/>
      <c r="N359" s="2014"/>
      <c r="O359" s="2014"/>
      <c r="P359" s="2014"/>
      <c r="Q359" s="2014"/>
      <c r="R359" s="2014"/>
      <c r="S359" s="2014"/>
      <c r="T359" s="2014"/>
      <c r="U359" s="2014"/>
      <c r="V359" s="2014"/>
      <c r="W359" s="2014"/>
      <c r="X359" s="2014"/>
      <c r="Y359" s="2014"/>
      <c r="Z359" s="2014"/>
      <c r="AA359" s="2014"/>
      <c r="AB359" s="2014"/>
      <c r="AC359" s="2014"/>
      <c r="AD359" s="2014"/>
      <c r="AE359" s="2014"/>
      <c r="AF359" s="2014"/>
      <c r="AG359" s="2014"/>
      <c r="AH359" s="2014"/>
      <c r="AI359" s="2014"/>
      <c r="AJ359" s="2014"/>
      <c r="AK359" s="637"/>
      <c r="AL359" s="637"/>
      <c r="AM359" s="637"/>
      <c r="AN359" s="631"/>
      <c r="AO359" s="729" t="s">
        <v>469</v>
      </c>
      <c r="AP359" s="730">
        <f>IF(C438="Yes",5,0)</f>
        <v>0</v>
      </c>
    </row>
    <row r="360" spans="1:81" s="584" customFormat="1" ht="68.099999999999994" customHeight="1">
      <c r="A360" s="637"/>
      <c r="B360" s="645"/>
      <c r="C360" s="2014"/>
      <c r="D360" s="2014"/>
      <c r="E360" s="2014"/>
      <c r="F360" s="2014"/>
      <c r="G360" s="2014"/>
      <c r="H360" s="2014"/>
      <c r="I360" s="2014"/>
      <c r="J360" s="2014"/>
      <c r="K360" s="2014"/>
      <c r="L360" s="2014"/>
      <c r="M360" s="2014"/>
      <c r="N360" s="2014"/>
      <c r="O360" s="2014"/>
      <c r="P360" s="2014"/>
      <c r="Q360" s="2014"/>
      <c r="R360" s="2014"/>
      <c r="S360" s="2014"/>
      <c r="T360" s="2014"/>
      <c r="U360" s="2014"/>
      <c r="V360" s="2014"/>
      <c r="W360" s="2014"/>
      <c r="X360" s="2014"/>
      <c r="Y360" s="2014"/>
      <c r="Z360" s="2014"/>
      <c r="AA360" s="2014"/>
      <c r="AB360" s="2014"/>
      <c r="AC360" s="2014"/>
      <c r="AD360" s="2014"/>
      <c r="AE360" s="2014"/>
      <c r="AF360" s="2014"/>
      <c r="AG360" s="2014"/>
      <c r="AH360" s="2014"/>
      <c r="AI360" s="2014"/>
      <c r="AJ360" s="2014"/>
      <c r="AK360" s="637"/>
      <c r="AL360" s="637"/>
      <c r="AM360" s="637"/>
      <c r="AN360" s="631"/>
      <c r="AO360" s="729" t="s">
        <v>654</v>
      </c>
      <c r="AP360" s="735">
        <f>IF(C442="Yes",5,0)</f>
        <v>0</v>
      </c>
    </row>
    <row r="361" spans="1:81" s="584" customFormat="1" ht="12.4" customHeight="1">
      <c r="A361" s="637"/>
      <c r="B361" s="645"/>
      <c r="C361" s="584" t="s">
        <v>1571</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2576</v>
      </c>
      <c r="D362" s="737"/>
      <c r="E362" s="737"/>
      <c r="F362" s="737"/>
      <c r="G362" s="737"/>
      <c r="H362" s="737"/>
      <c r="I362" s="737"/>
      <c r="J362" s="737"/>
      <c r="K362" s="737"/>
      <c r="L362" s="737"/>
      <c r="M362" s="701"/>
      <c r="N362" s="701"/>
      <c r="O362" s="738"/>
      <c r="P362" s="737"/>
      <c r="Q362" s="737"/>
      <c r="R362" s="701"/>
      <c r="S362" s="701"/>
      <c r="T362" s="737"/>
      <c r="U362" s="2123">
        <f>Application!CS660-U363</f>
        <v>200</v>
      </c>
      <c r="V362" s="2123"/>
      <c r="W362" s="2123"/>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2577</v>
      </c>
      <c r="D363" s="728"/>
      <c r="E363" s="728"/>
      <c r="F363" s="728"/>
      <c r="G363" s="728"/>
      <c r="H363" s="728"/>
      <c r="I363" s="728"/>
      <c r="J363" s="728"/>
      <c r="K363" s="728"/>
      <c r="L363" s="728"/>
      <c r="M363" s="728"/>
      <c r="N363" s="728"/>
      <c r="O363" s="728"/>
      <c r="P363" s="728"/>
      <c r="Q363" s="728"/>
      <c r="R363" s="728"/>
      <c r="S363" s="728"/>
      <c r="T363" s="728"/>
      <c r="U363" s="2124">
        <f>Application!AG756</f>
        <v>0</v>
      </c>
      <c r="V363" s="2124"/>
      <c r="W363" s="2124"/>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37">
        <f>IF(AP364&gt;0,AP364,0)</f>
        <v>0</v>
      </c>
      <c r="AR364" s="2037"/>
    </row>
    <row r="365" spans="1:81" s="584" customFormat="1" ht="12.75" customHeight="1">
      <c r="A365" s="637"/>
      <c r="B365" s="14"/>
      <c r="C365" s="746" t="s">
        <v>2574</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1426</v>
      </c>
      <c r="F366" s="2018" t="s">
        <v>1572</v>
      </c>
      <c r="G366" s="2018"/>
      <c r="H366" s="2018"/>
      <c r="I366" s="2018"/>
      <c r="J366" s="2018"/>
      <c r="K366" s="2018"/>
      <c r="L366" s="2018"/>
      <c r="M366" s="2018"/>
      <c r="N366" s="2018"/>
      <c r="O366" s="2018"/>
      <c r="P366" s="2018"/>
      <c r="Q366" s="2018"/>
      <c r="R366" s="2018"/>
      <c r="S366" s="2018"/>
      <c r="T366" s="2018"/>
      <c r="U366" s="2018"/>
      <c r="V366" s="2018"/>
      <c r="W366" s="2018"/>
      <c r="X366" s="2018"/>
      <c r="Y366" s="2018"/>
      <c r="Z366" s="2018"/>
      <c r="AA366" s="2018"/>
      <c r="AB366" s="2018"/>
      <c r="AC366" s="2018"/>
      <c r="AD366" s="2018"/>
      <c r="AE366" s="2018"/>
      <c r="AF366" s="2018"/>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19"/>
      <c r="G367" s="2019"/>
      <c r="H367" s="2019"/>
      <c r="I367" s="2019"/>
      <c r="J367" s="2019"/>
      <c r="K367" s="2019"/>
      <c r="L367" s="2019"/>
      <c r="M367" s="2019"/>
      <c r="N367" s="2019"/>
      <c r="O367" s="2019"/>
      <c r="P367" s="2019"/>
      <c r="Q367" s="2019"/>
      <c r="R367" s="2019"/>
      <c r="S367" s="2019"/>
      <c r="T367" s="2019"/>
      <c r="U367" s="2019"/>
      <c r="V367" s="2019"/>
      <c r="W367" s="2019"/>
      <c r="X367" s="2019"/>
      <c r="Y367" s="2019"/>
      <c r="Z367" s="2019"/>
      <c r="AA367" s="2019"/>
      <c r="AB367" s="2019"/>
      <c r="AC367" s="2019"/>
      <c r="AD367" s="2019"/>
      <c r="AE367" s="2019"/>
      <c r="AF367" s="2019"/>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19"/>
      <c r="G368" s="2019"/>
      <c r="H368" s="2019"/>
      <c r="I368" s="2019"/>
      <c r="J368" s="2019"/>
      <c r="K368" s="2019"/>
      <c r="L368" s="2019"/>
      <c r="M368" s="2019"/>
      <c r="N368" s="2019"/>
      <c r="O368" s="2019"/>
      <c r="P368" s="2019"/>
      <c r="Q368" s="2019"/>
      <c r="R368" s="2019"/>
      <c r="S368" s="2019"/>
      <c r="T368" s="2019"/>
      <c r="U368" s="2019"/>
      <c r="V368" s="2019"/>
      <c r="W368" s="2019"/>
      <c r="X368" s="2019"/>
      <c r="Y368" s="2019"/>
      <c r="Z368" s="2019"/>
      <c r="AA368" s="2019"/>
      <c r="AB368" s="2019"/>
      <c r="AC368" s="2019"/>
      <c r="AD368" s="2019"/>
      <c r="AE368" s="2019"/>
      <c r="AF368" s="2019"/>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19"/>
      <c r="G369" s="2019"/>
      <c r="H369" s="2019"/>
      <c r="I369" s="2019"/>
      <c r="J369" s="2019"/>
      <c r="K369" s="2019"/>
      <c r="L369" s="2019"/>
      <c r="M369" s="2019"/>
      <c r="N369" s="2019"/>
      <c r="O369" s="2019"/>
      <c r="P369" s="2019"/>
      <c r="Q369" s="2019"/>
      <c r="R369" s="2019"/>
      <c r="S369" s="2019"/>
      <c r="T369" s="2019"/>
      <c r="U369" s="2019"/>
      <c r="V369" s="2019"/>
      <c r="W369" s="2019"/>
      <c r="X369" s="2019"/>
      <c r="Y369" s="2019"/>
      <c r="Z369" s="2019"/>
      <c r="AA369" s="2019"/>
      <c r="AB369" s="2019"/>
      <c r="AC369" s="2019"/>
      <c r="AD369" s="2019"/>
      <c r="AE369" s="2019"/>
      <c r="AF369" s="2019"/>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15" t="s">
        <v>553</v>
      </c>
      <c r="D370" s="1972"/>
      <c r="E370" s="753"/>
      <c r="F370" s="755" t="s">
        <v>1573</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16" t="s">
        <v>1574</v>
      </c>
      <c r="AG370" s="2016"/>
      <c r="AH370" s="2016"/>
      <c r="AI370" s="2016"/>
      <c r="AJ370" s="2016"/>
      <c r="AK370" s="2016"/>
      <c r="AL370" s="2017"/>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1428</v>
      </c>
      <c r="F373" s="2018" t="s">
        <v>1575</v>
      </c>
      <c r="G373" s="2018"/>
      <c r="H373" s="2018"/>
      <c r="I373" s="2018"/>
      <c r="J373" s="2018"/>
      <c r="K373" s="2018"/>
      <c r="L373" s="2018"/>
      <c r="M373" s="2018"/>
      <c r="N373" s="2018"/>
      <c r="O373" s="2018"/>
      <c r="P373" s="2018"/>
      <c r="Q373" s="2018"/>
      <c r="R373" s="2018"/>
      <c r="S373" s="2018"/>
      <c r="T373" s="2018"/>
      <c r="U373" s="2018"/>
      <c r="V373" s="2018"/>
      <c r="W373" s="2018"/>
      <c r="X373" s="2018"/>
      <c r="Y373" s="2018"/>
      <c r="Z373" s="2018"/>
      <c r="AA373" s="2018"/>
      <c r="AB373" s="2018"/>
      <c r="AC373" s="2018"/>
      <c r="AD373" s="2018"/>
      <c r="AE373" s="2018"/>
      <c r="AF373" s="2018"/>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19"/>
      <c r="G374" s="2019"/>
      <c r="H374" s="2019"/>
      <c r="I374" s="2019"/>
      <c r="J374" s="2019"/>
      <c r="K374" s="2019"/>
      <c r="L374" s="2019"/>
      <c r="M374" s="2019"/>
      <c r="N374" s="2019"/>
      <c r="O374" s="2019"/>
      <c r="P374" s="2019"/>
      <c r="Q374" s="2019"/>
      <c r="R374" s="2019"/>
      <c r="S374" s="2019"/>
      <c r="T374" s="2019"/>
      <c r="U374" s="2019"/>
      <c r="V374" s="2019"/>
      <c r="W374" s="2019"/>
      <c r="X374" s="2019"/>
      <c r="Y374" s="2019"/>
      <c r="Z374" s="2019"/>
      <c r="AA374" s="2019"/>
      <c r="AB374" s="2019"/>
      <c r="AC374" s="2019"/>
      <c r="AD374" s="2019"/>
      <c r="AE374" s="2019"/>
      <c r="AF374" s="2019"/>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19"/>
      <c r="G375" s="2019"/>
      <c r="H375" s="2019"/>
      <c r="I375" s="2019"/>
      <c r="J375" s="2019"/>
      <c r="K375" s="2019"/>
      <c r="L375" s="2019"/>
      <c r="M375" s="2019"/>
      <c r="N375" s="2019"/>
      <c r="O375" s="2019"/>
      <c r="P375" s="2019"/>
      <c r="Q375" s="2019"/>
      <c r="R375" s="2019"/>
      <c r="S375" s="2019"/>
      <c r="T375" s="2019"/>
      <c r="U375" s="2019"/>
      <c r="V375" s="2019"/>
      <c r="W375" s="2019"/>
      <c r="X375" s="2019"/>
      <c r="Y375" s="2019"/>
      <c r="Z375" s="2019"/>
      <c r="AA375" s="2019"/>
      <c r="AB375" s="2019"/>
      <c r="AC375" s="2019"/>
      <c r="AD375" s="2019"/>
      <c r="AE375" s="2019"/>
      <c r="AF375" s="2019"/>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19"/>
      <c r="G376" s="2019"/>
      <c r="H376" s="2019"/>
      <c r="I376" s="2019"/>
      <c r="J376" s="2019"/>
      <c r="K376" s="2019"/>
      <c r="L376" s="2019"/>
      <c r="M376" s="2019"/>
      <c r="N376" s="2019"/>
      <c r="O376" s="2019"/>
      <c r="P376" s="2019"/>
      <c r="Q376" s="2019"/>
      <c r="R376" s="2019"/>
      <c r="S376" s="2019"/>
      <c r="T376" s="2019"/>
      <c r="U376" s="2019"/>
      <c r="V376" s="2019"/>
      <c r="W376" s="2019"/>
      <c r="X376" s="2019"/>
      <c r="Y376" s="2019"/>
      <c r="Z376" s="2019"/>
      <c r="AA376" s="2019"/>
      <c r="AB376" s="2019"/>
      <c r="AC376" s="2019"/>
      <c r="AD376" s="2019"/>
      <c r="AE376" s="2019"/>
      <c r="AF376" s="2019"/>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19"/>
      <c r="G377" s="2019"/>
      <c r="H377" s="2019"/>
      <c r="I377" s="2019"/>
      <c r="J377" s="2019"/>
      <c r="K377" s="2019"/>
      <c r="L377" s="2019"/>
      <c r="M377" s="2019"/>
      <c r="N377" s="2019"/>
      <c r="O377" s="2019"/>
      <c r="P377" s="2019"/>
      <c r="Q377" s="2019"/>
      <c r="R377" s="2019"/>
      <c r="S377" s="2019"/>
      <c r="T377" s="2019"/>
      <c r="U377" s="2019"/>
      <c r="V377" s="2019"/>
      <c r="W377" s="2019"/>
      <c r="X377" s="2019"/>
      <c r="Y377" s="2019"/>
      <c r="Z377" s="2019"/>
      <c r="AA377" s="2019"/>
      <c r="AB377" s="2019"/>
      <c r="AC377" s="2019"/>
      <c r="AD377" s="2019"/>
      <c r="AE377" s="2019"/>
      <c r="AF377" s="2019"/>
      <c r="AL377" s="766"/>
      <c r="AN377" s="631"/>
      <c r="BS377" s="30"/>
      <c r="BT377" s="30"/>
      <c r="BU377" s="14"/>
      <c r="BV377" s="14"/>
      <c r="BW377" s="14"/>
      <c r="BX377" s="14"/>
      <c r="BY377" s="14"/>
      <c r="BZ377" s="14"/>
      <c r="CA377" s="14"/>
      <c r="CB377" s="14"/>
      <c r="CC377" s="14"/>
    </row>
    <row r="378" spans="1:81" s="584" customFormat="1" ht="12.75" customHeight="1">
      <c r="A378" s="570"/>
      <c r="B378" s="14"/>
      <c r="C378" s="2015" t="s">
        <v>599</v>
      </c>
      <c r="D378" s="1972"/>
      <c r="E378" s="725"/>
      <c r="F378" s="755" t="s">
        <v>1576</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16" t="s">
        <v>1574</v>
      </c>
      <c r="AG378" s="2016"/>
      <c r="AH378" s="2016"/>
      <c r="AI378" s="2016"/>
      <c r="AJ378" s="2016"/>
      <c r="AK378" s="2016"/>
      <c r="AL378" s="2017"/>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1431</v>
      </c>
      <c r="F381" s="2018" t="s">
        <v>1577</v>
      </c>
      <c r="G381" s="2018"/>
      <c r="H381" s="2018"/>
      <c r="I381" s="2018"/>
      <c r="J381" s="2018"/>
      <c r="K381" s="2018"/>
      <c r="L381" s="2018"/>
      <c r="M381" s="2018"/>
      <c r="N381" s="2018"/>
      <c r="O381" s="2018"/>
      <c r="P381" s="2018"/>
      <c r="Q381" s="2018"/>
      <c r="R381" s="2018"/>
      <c r="S381" s="2018"/>
      <c r="T381" s="2018"/>
      <c r="U381" s="2018"/>
      <c r="V381" s="2018"/>
      <c r="W381" s="2018"/>
      <c r="X381" s="2018"/>
      <c r="Y381" s="2018"/>
      <c r="Z381" s="2018"/>
      <c r="AA381" s="2018"/>
      <c r="AB381" s="2018"/>
      <c r="AC381" s="2018"/>
      <c r="AD381" s="2018"/>
      <c r="AE381" s="2018"/>
      <c r="AF381" s="2018"/>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19"/>
      <c r="G382" s="2019"/>
      <c r="H382" s="2019"/>
      <c r="I382" s="2019"/>
      <c r="J382" s="2019"/>
      <c r="K382" s="2019"/>
      <c r="L382" s="2019"/>
      <c r="M382" s="2019"/>
      <c r="N382" s="2019"/>
      <c r="O382" s="2019"/>
      <c r="P382" s="2019"/>
      <c r="Q382" s="2019"/>
      <c r="R382" s="2019"/>
      <c r="S382" s="2019"/>
      <c r="T382" s="2019"/>
      <c r="U382" s="2019"/>
      <c r="V382" s="2019"/>
      <c r="W382" s="2019"/>
      <c r="X382" s="2019"/>
      <c r="Y382" s="2019"/>
      <c r="Z382" s="2019"/>
      <c r="AA382" s="2019"/>
      <c r="AB382" s="2019"/>
      <c r="AC382" s="2019"/>
      <c r="AD382" s="2019"/>
      <c r="AE382" s="2019"/>
      <c r="AF382" s="2019"/>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19"/>
      <c r="G383" s="2019"/>
      <c r="H383" s="2019"/>
      <c r="I383" s="2019"/>
      <c r="J383" s="2019"/>
      <c r="K383" s="2019"/>
      <c r="L383" s="2019"/>
      <c r="M383" s="2019"/>
      <c r="N383" s="2019"/>
      <c r="O383" s="2019"/>
      <c r="P383" s="2019"/>
      <c r="Q383" s="2019"/>
      <c r="R383" s="2019"/>
      <c r="S383" s="2019"/>
      <c r="T383" s="2019"/>
      <c r="U383" s="2019"/>
      <c r="V383" s="2019"/>
      <c r="W383" s="2019"/>
      <c r="X383" s="2019"/>
      <c r="Y383" s="2019"/>
      <c r="Z383" s="2019"/>
      <c r="AA383" s="2019"/>
      <c r="AB383" s="2019"/>
      <c r="AC383" s="2019"/>
      <c r="AD383" s="2019"/>
      <c r="AE383" s="2019"/>
      <c r="AF383" s="2019"/>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19"/>
      <c r="G384" s="2019"/>
      <c r="H384" s="2019"/>
      <c r="I384" s="2019"/>
      <c r="J384" s="2019"/>
      <c r="K384" s="2019"/>
      <c r="L384" s="2019"/>
      <c r="M384" s="2019"/>
      <c r="N384" s="2019"/>
      <c r="O384" s="2019"/>
      <c r="P384" s="2019"/>
      <c r="Q384" s="2019"/>
      <c r="R384" s="2019"/>
      <c r="S384" s="2019"/>
      <c r="T384" s="2019"/>
      <c r="U384" s="2019"/>
      <c r="V384" s="2019"/>
      <c r="W384" s="2019"/>
      <c r="X384" s="2019"/>
      <c r="Y384" s="2019"/>
      <c r="Z384" s="2019"/>
      <c r="AA384" s="2019"/>
      <c r="AB384" s="2019"/>
      <c r="AC384" s="2019"/>
      <c r="AD384" s="2019"/>
      <c r="AE384" s="2019"/>
      <c r="AF384" s="2019"/>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19"/>
      <c r="G385" s="2019"/>
      <c r="H385" s="2019"/>
      <c r="I385" s="2019"/>
      <c r="J385" s="2019"/>
      <c r="K385" s="2019"/>
      <c r="L385" s="2019"/>
      <c r="M385" s="2019"/>
      <c r="N385" s="2019"/>
      <c r="O385" s="2019"/>
      <c r="P385" s="2019"/>
      <c r="Q385" s="2019"/>
      <c r="R385" s="2019"/>
      <c r="S385" s="2019"/>
      <c r="T385" s="2019"/>
      <c r="U385" s="2019"/>
      <c r="V385" s="2019"/>
      <c r="W385" s="2019"/>
      <c r="X385" s="2019"/>
      <c r="Y385" s="2019"/>
      <c r="Z385" s="2019"/>
      <c r="AA385" s="2019"/>
      <c r="AB385" s="2019"/>
      <c r="AC385" s="2019"/>
      <c r="AD385" s="2019"/>
      <c r="AE385" s="2019"/>
      <c r="AF385" s="2019"/>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15" t="s">
        <v>553</v>
      </c>
      <c r="D386" s="1972"/>
      <c r="E386" s="725"/>
      <c r="F386" s="755" t="s">
        <v>1578</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16" t="s">
        <v>1579</v>
      </c>
      <c r="AG386" s="2016"/>
      <c r="AH386" s="2016"/>
      <c r="AI386" s="2016"/>
      <c r="AJ386" s="2016"/>
      <c r="AK386" s="2016"/>
      <c r="AL386" s="2017"/>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15" t="s">
        <v>599</v>
      </c>
      <c r="D388" s="1972"/>
      <c r="E388" s="725"/>
      <c r="F388" s="772" t="s">
        <v>1580</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16" t="s">
        <v>1574</v>
      </c>
      <c r="AG388" s="2016"/>
      <c r="AH388" s="2016"/>
      <c r="AI388" s="2016"/>
      <c r="AJ388" s="2016"/>
      <c r="AK388" s="2016"/>
      <c r="AL388" s="2017"/>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1581</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1582</v>
      </c>
      <c r="F392" s="2018" t="s">
        <v>1583</v>
      </c>
      <c r="G392" s="2018"/>
      <c r="H392" s="2018"/>
      <c r="I392" s="2018"/>
      <c r="J392" s="2018"/>
      <c r="K392" s="2018"/>
      <c r="L392" s="2018"/>
      <c r="M392" s="2018"/>
      <c r="N392" s="2018"/>
      <c r="O392" s="2018"/>
      <c r="P392" s="2018"/>
      <c r="Q392" s="2018"/>
      <c r="R392" s="2018"/>
      <c r="S392" s="2018"/>
      <c r="T392" s="2018"/>
      <c r="U392" s="2018"/>
      <c r="V392" s="2018"/>
      <c r="W392" s="2018"/>
      <c r="X392" s="2018"/>
      <c r="Y392" s="2018"/>
      <c r="Z392" s="2018"/>
      <c r="AA392" s="2018"/>
      <c r="AB392" s="2018"/>
      <c r="AC392" s="2018"/>
      <c r="AD392" s="2018"/>
      <c r="AE392" s="2018"/>
      <c r="AF392" s="2018"/>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19"/>
      <c r="G393" s="2019"/>
      <c r="H393" s="2019"/>
      <c r="I393" s="2019"/>
      <c r="J393" s="2019"/>
      <c r="K393" s="2019"/>
      <c r="L393" s="2019"/>
      <c r="M393" s="2019"/>
      <c r="N393" s="2019"/>
      <c r="O393" s="2019"/>
      <c r="P393" s="2019"/>
      <c r="Q393" s="2019"/>
      <c r="R393" s="2019"/>
      <c r="S393" s="2019"/>
      <c r="T393" s="2019"/>
      <c r="U393" s="2019"/>
      <c r="V393" s="2019"/>
      <c r="W393" s="2019"/>
      <c r="X393" s="2019"/>
      <c r="Y393" s="2019"/>
      <c r="Z393" s="2019"/>
      <c r="AA393" s="2019"/>
      <c r="AB393" s="2019"/>
      <c r="AC393" s="2019"/>
      <c r="AD393" s="2019"/>
      <c r="AE393" s="2019"/>
      <c r="AF393" s="2019"/>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19"/>
      <c r="G394" s="2019"/>
      <c r="H394" s="2019"/>
      <c r="I394" s="2019"/>
      <c r="J394" s="2019"/>
      <c r="K394" s="2019"/>
      <c r="L394" s="2019"/>
      <c r="M394" s="2019"/>
      <c r="N394" s="2019"/>
      <c r="O394" s="2019"/>
      <c r="P394" s="2019"/>
      <c r="Q394" s="2019"/>
      <c r="R394" s="2019"/>
      <c r="S394" s="2019"/>
      <c r="T394" s="2019"/>
      <c r="U394" s="2019"/>
      <c r="V394" s="2019"/>
      <c r="W394" s="2019"/>
      <c r="X394" s="2019"/>
      <c r="Y394" s="2019"/>
      <c r="Z394" s="2019"/>
      <c r="AA394" s="2019"/>
      <c r="AB394" s="2019"/>
      <c r="AC394" s="2019"/>
      <c r="AD394" s="2019"/>
      <c r="AE394" s="2019"/>
      <c r="AF394" s="2019"/>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19"/>
      <c r="G395" s="2019"/>
      <c r="H395" s="2019"/>
      <c r="I395" s="2019"/>
      <c r="J395" s="2019"/>
      <c r="K395" s="2019"/>
      <c r="L395" s="2019"/>
      <c r="M395" s="2019"/>
      <c r="N395" s="2019"/>
      <c r="O395" s="2019"/>
      <c r="P395" s="2019"/>
      <c r="Q395" s="2019"/>
      <c r="R395" s="2019"/>
      <c r="S395" s="2019"/>
      <c r="T395" s="2019"/>
      <c r="U395" s="2019"/>
      <c r="V395" s="2019"/>
      <c r="W395" s="2019"/>
      <c r="X395" s="2019"/>
      <c r="Y395" s="2019"/>
      <c r="Z395" s="2019"/>
      <c r="AA395" s="2019"/>
      <c r="AB395" s="2019"/>
      <c r="AC395" s="2019"/>
      <c r="AD395" s="2019"/>
      <c r="AE395" s="2019"/>
      <c r="AF395" s="2019"/>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15" t="s">
        <v>599</v>
      </c>
      <c r="D396" s="1972"/>
      <c r="E396" s="725"/>
      <c r="F396" s="755" t="s">
        <v>1584</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16" t="s">
        <v>1574</v>
      </c>
      <c r="AG396" s="2016"/>
      <c r="AH396" s="2016"/>
      <c r="AI396" s="2016"/>
      <c r="AJ396" s="2016"/>
      <c r="AK396" s="2016"/>
      <c r="AL396" s="2017"/>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15" t="s">
        <v>599</v>
      </c>
      <c r="D398" s="1972"/>
      <c r="E398" s="753"/>
      <c r="F398" s="755" t="s">
        <v>1585</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16" t="s">
        <v>1586</v>
      </c>
      <c r="AG398" s="2016"/>
      <c r="AH398" s="2016"/>
      <c r="AI398" s="2016"/>
      <c r="AJ398" s="2016"/>
      <c r="AK398" s="2016"/>
      <c r="AL398" s="2017"/>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15" t="s">
        <v>599</v>
      </c>
      <c r="D401" s="1972"/>
      <c r="E401" s="749" t="s">
        <v>1587</v>
      </c>
      <c r="F401" s="2018" t="s">
        <v>1588</v>
      </c>
      <c r="G401" s="2018"/>
      <c r="H401" s="2018"/>
      <c r="I401" s="2018"/>
      <c r="J401" s="2018"/>
      <c r="K401" s="2018"/>
      <c r="L401" s="2018"/>
      <c r="M401" s="2018"/>
      <c r="N401" s="2018"/>
      <c r="O401" s="2018"/>
      <c r="P401" s="2018"/>
      <c r="Q401" s="2018"/>
      <c r="R401" s="2018"/>
      <c r="S401" s="2018"/>
      <c r="T401" s="2018"/>
      <c r="U401" s="2018"/>
      <c r="V401" s="2018"/>
      <c r="W401" s="2018"/>
      <c r="X401" s="2018"/>
      <c r="Y401" s="2018"/>
      <c r="Z401" s="2018"/>
      <c r="AA401" s="2018"/>
      <c r="AB401" s="2018"/>
      <c r="AC401" s="2018"/>
      <c r="AD401" s="2018"/>
      <c r="AE401" s="2018"/>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19"/>
      <c r="G402" s="2019"/>
      <c r="H402" s="2019"/>
      <c r="I402" s="2019"/>
      <c r="J402" s="2019"/>
      <c r="K402" s="2019"/>
      <c r="L402" s="2019"/>
      <c r="M402" s="2019"/>
      <c r="N402" s="2019"/>
      <c r="O402" s="2019"/>
      <c r="P402" s="2019"/>
      <c r="Q402" s="2019"/>
      <c r="R402" s="2019"/>
      <c r="S402" s="2019"/>
      <c r="T402" s="2019"/>
      <c r="U402" s="2019"/>
      <c r="V402" s="2019"/>
      <c r="W402" s="2019"/>
      <c r="X402" s="2019"/>
      <c r="Y402" s="2019"/>
      <c r="Z402" s="2019"/>
      <c r="AA402" s="2019"/>
      <c r="AB402" s="2019"/>
      <c r="AC402" s="2019"/>
      <c r="AD402" s="2019"/>
      <c r="AE402" s="2019"/>
      <c r="AF402" s="1942" t="s">
        <v>1574</v>
      </c>
      <c r="AG402" s="1942"/>
      <c r="AH402" s="1942"/>
      <c r="AI402" s="1942"/>
      <c r="AJ402" s="1942"/>
      <c r="AK402" s="1942"/>
      <c r="AL402" s="2020"/>
      <c r="AM402" s="604"/>
      <c r="AN402" s="631"/>
      <c r="BS402" s="604"/>
      <c r="BT402" s="604"/>
      <c r="BY402" s="604"/>
      <c r="BZ402" s="604"/>
      <c r="CA402" s="604"/>
      <c r="CB402" s="604"/>
      <c r="CC402" s="604"/>
    </row>
    <row r="403" spans="1:81" s="584" customFormat="1" ht="12.75" customHeight="1">
      <c r="A403" s="570"/>
      <c r="B403" s="14"/>
      <c r="C403" s="765"/>
      <c r="D403" s="14"/>
      <c r="E403" s="725"/>
      <c r="F403" s="2019"/>
      <c r="G403" s="2019"/>
      <c r="H403" s="2019"/>
      <c r="I403" s="2019"/>
      <c r="J403" s="2019"/>
      <c r="K403" s="2019"/>
      <c r="L403" s="2019"/>
      <c r="M403" s="2019"/>
      <c r="N403" s="2019"/>
      <c r="O403" s="2019"/>
      <c r="P403" s="2019"/>
      <c r="Q403" s="2019"/>
      <c r="R403" s="2019"/>
      <c r="S403" s="2019"/>
      <c r="T403" s="2019"/>
      <c r="U403" s="2019"/>
      <c r="V403" s="2019"/>
      <c r="W403" s="2019"/>
      <c r="X403" s="2019"/>
      <c r="Y403" s="2019"/>
      <c r="Z403" s="2019"/>
      <c r="AA403" s="2019"/>
      <c r="AB403" s="2019"/>
      <c r="AC403" s="2019"/>
      <c r="AD403" s="2019"/>
      <c r="AE403" s="2019"/>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38"/>
      <c r="G404" s="2038"/>
      <c r="H404" s="2038"/>
      <c r="I404" s="2038"/>
      <c r="J404" s="2038"/>
      <c r="K404" s="2038"/>
      <c r="L404" s="2038"/>
      <c r="M404" s="2038"/>
      <c r="N404" s="2038"/>
      <c r="O404" s="2038"/>
      <c r="P404" s="2038"/>
      <c r="Q404" s="2038"/>
      <c r="R404" s="2038"/>
      <c r="S404" s="2038"/>
      <c r="T404" s="2038"/>
      <c r="U404" s="2038"/>
      <c r="V404" s="2038"/>
      <c r="W404" s="2038"/>
      <c r="X404" s="2038"/>
      <c r="Y404" s="2038"/>
      <c r="Z404" s="2038"/>
      <c r="AA404" s="2038"/>
      <c r="AB404" s="2038"/>
      <c r="AC404" s="2038"/>
      <c r="AD404" s="2038"/>
      <c r="AE404" s="2038"/>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1589</v>
      </c>
      <c r="F406" s="2018" t="s">
        <v>1590</v>
      </c>
      <c r="G406" s="2018"/>
      <c r="H406" s="2018"/>
      <c r="I406" s="2018"/>
      <c r="J406" s="2018"/>
      <c r="K406" s="2018"/>
      <c r="L406" s="2018"/>
      <c r="M406" s="2018"/>
      <c r="N406" s="2018"/>
      <c r="O406" s="2018"/>
      <c r="P406" s="2018"/>
      <c r="Q406" s="2018"/>
      <c r="R406" s="2018"/>
      <c r="S406" s="2018"/>
      <c r="T406" s="2018"/>
      <c r="U406" s="2018"/>
      <c r="V406" s="2018"/>
      <c r="W406" s="2018"/>
      <c r="X406" s="2018"/>
      <c r="Y406" s="2018"/>
      <c r="Z406" s="2018"/>
      <c r="AA406" s="2018"/>
      <c r="AB406" s="2018"/>
      <c r="AC406" s="2018"/>
      <c r="AD406" s="2018"/>
      <c r="AE406" s="2018"/>
      <c r="AF406" s="781"/>
      <c r="AG406" s="781"/>
      <c r="AH406" s="781"/>
      <c r="AI406" s="781"/>
      <c r="AJ406" s="781"/>
      <c r="AK406" s="781"/>
      <c r="AL406" s="782"/>
      <c r="AM406" s="604"/>
    </row>
    <row r="407" spans="1:81">
      <c r="A407" s="570"/>
      <c r="C407" s="765"/>
      <c r="E407" s="725"/>
      <c r="F407" s="2019"/>
      <c r="G407" s="2019"/>
      <c r="H407" s="2019"/>
      <c r="I407" s="2019"/>
      <c r="J407" s="2019"/>
      <c r="K407" s="2019"/>
      <c r="L407" s="2019"/>
      <c r="M407" s="2019"/>
      <c r="N407" s="2019"/>
      <c r="O407" s="2019"/>
      <c r="P407" s="2019"/>
      <c r="Q407" s="2019"/>
      <c r="R407" s="2019"/>
      <c r="S407" s="2019"/>
      <c r="T407" s="2019"/>
      <c r="U407" s="2019"/>
      <c r="V407" s="2019"/>
      <c r="W407" s="2019"/>
      <c r="X407" s="2019"/>
      <c r="Y407" s="2019"/>
      <c r="Z407" s="2019"/>
      <c r="AA407" s="2019"/>
      <c r="AB407" s="2019"/>
      <c r="AC407" s="2019"/>
      <c r="AD407" s="2019"/>
      <c r="AE407" s="2019"/>
      <c r="AF407" s="573"/>
      <c r="AG407" s="570"/>
      <c r="AH407" s="584"/>
      <c r="AI407" s="584"/>
      <c r="AJ407" s="584"/>
      <c r="AK407" s="584"/>
      <c r="AL407" s="766"/>
      <c r="AM407" s="604"/>
    </row>
    <row r="408" spans="1:81" s="584" customFormat="1" ht="12.75" customHeight="1">
      <c r="A408" s="570"/>
      <c r="B408" s="14"/>
      <c r="C408" s="765"/>
      <c r="D408" s="14"/>
      <c r="E408" s="725"/>
      <c r="F408" s="2019"/>
      <c r="G408" s="2019"/>
      <c r="H408" s="2019"/>
      <c r="I408" s="2019"/>
      <c r="J408" s="2019"/>
      <c r="K408" s="2019"/>
      <c r="L408" s="2019"/>
      <c r="M408" s="2019"/>
      <c r="N408" s="2019"/>
      <c r="O408" s="2019"/>
      <c r="P408" s="2019"/>
      <c r="Q408" s="2019"/>
      <c r="R408" s="2019"/>
      <c r="S408" s="2019"/>
      <c r="T408" s="2019"/>
      <c r="U408" s="2019"/>
      <c r="V408" s="2019"/>
      <c r="W408" s="2019"/>
      <c r="X408" s="2019"/>
      <c r="Y408" s="2019"/>
      <c r="Z408" s="2019"/>
      <c r="AA408" s="2019"/>
      <c r="AB408" s="2019"/>
      <c r="AC408" s="2019"/>
      <c r="AD408" s="2019"/>
      <c r="AE408" s="2019"/>
      <c r="AL408" s="766"/>
      <c r="AM408" s="604"/>
      <c r="AN408" s="631"/>
    </row>
    <row r="409" spans="1:81" s="584" customFormat="1" ht="12.75" customHeight="1">
      <c r="A409" s="570"/>
      <c r="B409" s="14"/>
      <c r="C409" s="773"/>
      <c r="F409" s="2019"/>
      <c r="G409" s="2019"/>
      <c r="H409" s="2019"/>
      <c r="I409" s="2019"/>
      <c r="J409" s="2019"/>
      <c r="K409" s="2019"/>
      <c r="L409" s="2019"/>
      <c r="M409" s="2019"/>
      <c r="N409" s="2019"/>
      <c r="O409" s="2019"/>
      <c r="P409" s="2019"/>
      <c r="Q409" s="2019"/>
      <c r="R409" s="2019"/>
      <c r="S409" s="2019"/>
      <c r="T409" s="2019"/>
      <c r="U409" s="2019"/>
      <c r="V409" s="2019"/>
      <c r="W409" s="2019"/>
      <c r="X409" s="2019"/>
      <c r="Y409" s="2019"/>
      <c r="Z409" s="2019"/>
      <c r="AA409" s="2019"/>
      <c r="AB409" s="2019"/>
      <c r="AC409" s="2019"/>
      <c r="AD409" s="2019"/>
      <c r="AE409" s="2019"/>
      <c r="AL409" s="766"/>
      <c r="AM409" s="604"/>
      <c r="AN409" s="631"/>
    </row>
    <row r="410" spans="1:81" s="584" customFormat="1" ht="12.75" customHeight="1">
      <c r="A410" s="570"/>
      <c r="B410" s="14"/>
      <c r="C410" s="2015" t="s">
        <v>599</v>
      </c>
      <c r="D410" s="1972"/>
      <c r="E410" s="725"/>
      <c r="F410" s="755" t="s">
        <v>1591</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42" t="s">
        <v>1574</v>
      </c>
      <c r="AG410" s="1942"/>
      <c r="AH410" s="1942"/>
      <c r="AI410" s="1942"/>
      <c r="AJ410" s="1942"/>
      <c r="AK410" s="1942"/>
      <c r="AL410" s="2020"/>
      <c r="AM410" s="604"/>
      <c r="AN410" s="631"/>
    </row>
    <row r="411" spans="1:81" s="584" customFormat="1" ht="12.75" customHeight="1">
      <c r="A411" s="570"/>
      <c r="B411" s="14"/>
      <c r="C411" s="773"/>
      <c r="AL411" s="766"/>
      <c r="AM411" s="604"/>
      <c r="AN411" s="631"/>
    </row>
    <row r="412" spans="1:81" s="584" customFormat="1" ht="12.75" customHeight="1">
      <c r="A412" s="570"/>
      <c r="B412" s="14"/>
      <c r="C412" s="2015" t="s">
        <v>599</v>
      </c>
      <c r="D412" s="1972"/>
      <c r="E412" s="753"/>
      <c r="F412" s="755" t="s">
        <v>1592</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42" t="s">
        <v>1586</v>
      </c>
      <c r="AG412" s="1942"/>
      <c r="AH412" s="1942"/>
      <c r="AI412" s="1942"/>
      <c r="AJ412" s="1942"/>
      <c r="AK412" s="1942"/>
      <c r="AL412" s="2020"/>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2575</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1593</v>
      </c>
      <c r="F416" s="2018" t="s">
        <v>1594</v>
      </c>
      <c r="G416" s="2018"/>
      <c r="H416" s="2018"/>
      <c r="I416" s="2018"/>
      <c r="J416" s="2018"/>
      <c r="K416" s="2018"/>
      <c r="L416" s="2018"/>
      <c r="M416" s="2018"/>
      <c r="N416" s="2018"/>
      <c r="O416" s="2018"/>
      <c r="P416" s="2018"/>
      <c r="Q416" s="2018"/>
      <c r="R416" s="2018"/>
      <c r="S416" s="2018"/>
      <c r="T416" s="2018"/>
      <c r="U416" s="2018"/>
      <c r="V416" s="2018"/>
      <c r="W416" s="2018"/>
      <c r="X416" s="2018"/>
      <c r="Y416" s="2018"/>
      <c r="Z416" s="2018"/>
      <c r="AA416" s="2018"/>
      <c r="AB416" s="2018"/>
      <c r="AC416" s="2018"/>
      <c r="AD416" s="2018"/>
      <c r="AE416" s="2018"/>
      <c r="AF416" s="748"/>
      <c r="AG416" s="748"/>
      <c r="AH416" s="748"/>
      <c r="AI416" s="748"/>
      <c r="AJ416" s="748"/>
      <c r="AK416" s="748"/>
      <c r="AL416" s="779"/>
      <c r="AM416" s="604"/>
      <c r="AN416" s="631"/>
    </row>
    <row r="417" spans="1:60" s="584" customFormat="1" ht="12.75" customHeight="1">
      <c r="A417" s="570"/>
      <c r="B417" s="14"/>
      <c r="C417" s="765"/>
      <c r="D417" s="14"/>
      <c r="E417" s="725"/>
      <c r="F417" s="2019"/>
      <c r="G417" s="2019"/>
      <c r="H417" s="2019"/>
      <c r="I417" s="2019"/>
      <c r="J417" s="2019"/>
      <c r="K417" s="2019"/>
      <c r="L417" s="2019"/>
      <c r="M417" s="2019"/>
      <c r="N417" s="2019"/>
      <c r="O417" s="2019"/>
      <c r="P417" s="2019"/>
      <c r="Q417" s="2019"/>
      <c r="R417" s="2019"/>
      <c r="S417" s="2019"/>
      <c r="T417" s="2019"/>
      <c r="U417" s="2019"/>
      <c r="V417" s="2019"/>
      <c r="W417" s="2019"/>
      <c r="X417" s="2019"/>
      <c r="Y417" s="2019"/>
      <c r="Z417" s="2019"/>
      <c r="AA417" s="2019"/>
      <c r="AB417" s="2019"/>
      <c r="AC417" s="2019"/>
      <c r="AD417" s="2019"/>
      <c r="AE417" s="2019"/>
      <c r="AF417" s="573"/>
      <c r="AG417" s="570"/>
      <c r="AL417" s="766"/>
      <c r="AM417" s="604"/>
      <c r="AN417" s="631"/>
    </row>
    <row r="418" spans="1:60" s="584" customFormat="1" ht="12.4" customHeight="1">
      <c r="A418" s="570"/>
      <c r="B418" s="14"/>
      <c r="C418" s="765"/>
      <c r="D418" s="14"/>
      <c r="E418" s="725"/>
      <c r="F418" s="2019"/>
      <c r="G418" s="2019"/>
      <c r="H418" s="2019"/>
      <c r="I418" s="2019"/>
      <c r="J418" s="2019"/>
      <c r="K418" s="2019"/>
      <c r="L418" s="2019"/>
      <c r="M418" s="2019"/>
      <c r="N418" s="2019"/>
      <c r="O418" s="2019"/>
      <c r="P418" s="2019"/>
      <c r="Q418" s="2019"/>
      <c r="R418" s="2019"/>
      <c r="S418" s="2019"/>
      <c r="T418" s="2019"/>
      <c r="U418" s="2019"/>
      <c r="V418" s="2019"/>
      <c r="W418" s="2019"/>
      <c r="X418" s="2019"/>
      <c r="Y418" s="2019"/>
      <c r="Z418" s="2019"/>
      <c r="AA418" s="2019"/>
      <c r="AB418" s="2019"/>
      <c r="AC418" s="2019"/>
      <c r="AD418" s="2019"/>
      <c r="AE418" s="2019"/>
      <c r="AL418" s="766"/>
      <c r="AM418" s="604"/>
      <c r="AN418" s="631"/>
    </row>
    <row r="419" spans="1:60" s="584" customFormat="1" ht="12.75" customHeight="1">
      <c r="A419" s="570"/>
      <c r="B419" s="14"/>
      <c r="C419" s="2015" t="s">
        <v>599</v>
      </c>
      <c r="D419" s="1972"/>
      <c r="E419" s="725"/>
      <c r="F419" s="755" t="s">
        <v>1595</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42" t="s">
        <v>1574</v>
      </c>
      <c r="AG419" s="1942"/>
      <c r="AH419" s="1942"/>
      <c r="AI419" s="1942"/>
      <c r="AJ419" s="1942"/>
      <c r="AK419" s="1942"/>
      <c r="AL419" s="2020"/>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1596</v>
      </c>
      <c r="F422" s="2018" t="s">
        <v>1597</v>
      </c>
      <c r="G422" s="2018"/>
      <c r="H422" s="2018"/>
      <c r="I422" s="2018"/>
      <c r="J422" s="2018"/>
      <c r="K422" s="2018"/>
      <c r="L422" s="2018"/>
      <c r="M422" s="2018"/>
      <c r="N422" s="2018"/>
      <c r="O422" s="2018"/>
      <c r="P422" s="2018"/>
      <c r="Q422" s="2018"/>
      <c r="R422" s="2018"/>
      <c r="S422" s="2018"/>
      <c r="T422" s="2018"/>
      <c r="U422" s="2018"/>
      <c r="V422" s="2018"/>
      <c r="W422" s="2018"/>
      <c r="X422" s="2018"/>
      <c r="Y422" s="2018"/>
      <c r="Z422" s="2018"/>
      <c r="AA422" s="2018"/>
      <c r="AB422" s="2018"/>
      <c r="AC422" s="2018"/>
      <c r="AD422" s="2018"/>
      <c r="AE422" s="2018"/>
      <c r="AF422" s="781"/>
      <c r="AG422" s="781"/>
      <c r="AH422" s="781"/>
      <c r="AI422" s="781"/>
      <c r="AJ422" s="781"/>
      <c r="AK422" s="781"/>
      <c r="AL422" s="782"/>
      <c r="AM422" s="604"/>
      <c r="AO422" s="584"/>
      <c r="AP422" s="584"/>
      <c r="BD422" s="14"/>
      <c r="BE422" s="14"/>
      <c r="BF422" s="14"/>
      <c r="BG422" s="14"/>
      <c r="BH422" s="14"/>
    </row>
    <row r="423" spans="1:60">
      <c r="A423" s="570"/>
      <c r="C423" s="765"/>
      <c r="E423" s="725"/>
      <c r="F423" s="2019"/>
      <c r="G423" s="2019"/>
      <c r="H423" s="2019"/>
      <c r="I423" s="2019"/>
      <c r="J423" s="2019"/>
      <c r="K423" s="2019"/>
      <c r="L423" s="2019"/>
      <c r="M423" s="2019"/>
      <c r="N423" s="2019"/>
      <c r="O423" s="2019"/>
      <c r="P423" s="2019"/>
      <c r="Q423" s="2019"/>
      <c r="R423" s="2019"/>
      <c r="S423" s="2019"/>
      <c r="T423" s="2019"/>
      <c r="U423" s="2019"/>
      <c r="V423" s="2019"/>
      <c r="W423" s="2019"/>
      <c r="X423" s="2019"/>
      <c r="Y423" s="2019"/>
      <c r="Z423" s="2019"/>
      <c r="AA423" s="2019"/>
      <c r="AB423" s="2019"/>
      <c r="AC423" s="2019"/>
      <c r="AD423" s="2019"/>
      <c r="AE423" s="2019"/>
      <c r="AF423" s="628"/>
      <c r="AG423" s="628"/>
      <c r="AH423" s="628"/>
      <c r="AI423" s="628"/>
      <c r="AJ423" s="628"/>
      <c r="AK423" s="628"/>
      <c r="AL423" s="784"/>
      <c r="AM423" s="604"/>
      <c r="AO423" s="584"/>
      <c r="AP423" s="584"/>
    </row>
    <row r="424" spans="1:60" s="584" customFormat="1" ht="12.75" customHeight="1">
      <c r="A424" s="570"/>
      <c r="B424" s="14"/>
      <c r="C424" s="765"/>
      <c r="D424" s="14"/>
      <c r="E424" s="725"/>
      <c r="F424" s="2019"/>
      <c r="G424" s="2019"/>
      <c r="H424" s="2019"/>
      <c r="I424" s="2019"/>
      <c r="J424" s="2019"/>
      <c r="K424" s="2019"/>
      <c r="L424" s="2019"/>
      <c r="M424" s="2019"/>
      <c r="N424" s="2019"/>
      <c r="O424" s="2019"/>
      <c r="P424" s="2019"/>
      <c r="Q424" s="2019"/>
      <c r="R424" s="2019"/>
      <c r="S424" s="2019"/>
      <c r="T424" s="2019"/>
      <c r="U424" s="2019"/>
      <c r="V424" s="2019"/>
      <c r="W424" s="2019"/>
      <c r="X424" s="2019"/>
      <c r="Y424" s="2019"/>
      <c r="Z424" s="2019"/>
      <c r="AA424" s="2019"/>
      <c r="AB424" s="2019"/>
      <c r="AC424" s="2019"/>
      <c r="AD424" s="2019"/>
      <c r="AE424" s="2019"/>
      <c r="AF424" s="628"/>
      <c r="AG424" s="628"/>
      <c r="AH424" s="628"/>
      <c r="AI424" s="628"/>
      <c r="AJ424" s="628"/>
      <c r="AK424" s="628"/>
      <c r="AL424" s="784"/>
      <c r="AM424" s="604"/>
      <c r="AN424" s="631"/>
    </row>
    <row r="425" spans="1:60" s="584" customFormat="1" ht="12.75" customHeight="1">
      <c r="A425" s="570"/>
      <c r="B425" s="14"/>
      <c r="C425" s="785"/>
      <c r="D425" s="764"/>
      <c r="E425" s="753"/>
      <c r="F425" s="2019"/>
      <c r="G425" s="2019"/>
      <c r="H425" s="2019"/>
      <c r="I425" s="2019"/>
      <c r="J425" s="2019"/>
      <c r="K425" s="2019"/>
      <c r="L425" s="2019"/>
      <c r="M425" s="2019"/>
      <c r="N425" s="2019"/>
      <c r="O425" s="2019"/>
      <c r="P425" s="2019"/>
      <c r="Q425" s="2019"/>
      <c r="R425" s="2019"/>
      <c r="S425" s="2019"/>
      <c r="T425" s="2019"/>
      <c r="U425" s="2019"/>
      <c r="V425" s="2019"/>
      <c r="W425" s="2019"/>
      <c r="X425" s="2019"/>
      <c r="Y425" s="2019"/>
      <c r="Z425" s="2019"/>
      <c r="AA425" s="2019"/>
      <c r="AB425" s="2019"/>
      <c r="AC425" s="2019"/>
      <c r="AD425" s="2019"/>
      <c r="AE425" s="2019"/>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19"/>
      <c r="G426" s="2019"/>
      <c r="H426" s="2019"/>
      <c r="I426" s="2019"/>
      <c r="J426" s="2019"/>
      <c r="K426" s="2019"/>
      <c r="L426" s="2019"/>
      <c r="M426" s="2019"/>
      <c r="N426" s="2019"/>
      <c r="O426" s="2019"/>
      <c r="P426" s="2019"/>
      <c r="Q426" s="2019"/>
      <c r="R426" s="2019"/>
      <c r="S426" s="2019"/>
      <c r="T426" s="2019"/>
      <c r="U426" s="2019"/>
      <c r="V426" s="2019"/>
      <c r="W426" s="2019"/>
      <c r="X426" s="2019"/>
      <c r="Y426" s="2019"/>
      <c r="Z426" s="2019"/>
      <c r="AA426" s="2019"/>
      <c r="AB426" s="2019"/>
      <c r="AC426" s="2019"/>
      <c r="AD426" s="2019"/>
      <c r="AE426" s="2019"/>
      <c r="AF426" s="628"/>
      <c r="AG426" s="628"/>
      <c r="AH426" s="628"/>
      <c r="AI426" s="628"/>
      <c r="AJ426" s="628"/>
      <c r="AK426" s="628"/>
      <c r="AL426" s="784"/>
      <c r="AM426" s="604"/>
      <c r="AN426" s="631"/>
    </row>
    <row r="427" spans="1:60" s="584" customFormat="1" ht="12.75" customHeight="1">
      <c r="A427" s="570"/>
      <c r="B427" s="14"/>
      <c r="C427" s="785"/>
      <c r="D427" s="764"/>
      <c r="E427" s="753"/>
      <c r="F427" s="2019"/>
      <c r="G427" s="2019"/>
      <c r="H427" s="2019"/>
      <c r="I427" s="2019"/>
      <c r="J427" s="2019"/>
      <c r="K427" s="2019"/>
      <c r="L427" s="2019"/>
      <c r="M427" s="2019"/>
      <c r="N427" s="2019"/>
      <c r="O427" s="2019"/>
      <c r="P427" s="2019"/>
      <c r="Q427" s="2019"/>
      <c r="R427" s="2019"/>
      <c r="S427" s="2019"/>
      <c r="T427" s="2019"/>
      <c r="U427" s="2019"/>
      <c r="V427" s="2019"/>
      <c r="W427" s="2019"/>
      <c r="X427" s="2019"/>
      <c r="Y427" s="2019"/>
      <c r="Z427" s="2019"/>
      <c r="AA427" s="2019"/>
      <c r="AB427" s="2019"/>
      <c r="AC427" s="2019"/>
      <c r="AD427" s="2019"/>
      <c r="AE427" s="2019"/>
      <c r="AF427" s="628"/>
      <c r="AG427" s="628"/>
      <c r="AH427" s="628"/>
      <c r="AI427" s="628"/>
      <c r="AJ427" s="628"/>
      <c r="AK427" s="628"/>
      <c r="AL427" s="784"/>
      <c r="AM427" s="604"/>
      <c r="AN427" s="631"/>
    </row>
    <row r="428" spans="1:60" s="584" customFormat="1" ht="12.75" customHeight="1">
      <c r="A428" s="570"/>
      <c r="B428" s="14"/>
      <c r="C428" s="785"/>
      <c r="D428" s="764"/>
      <c r="E428" s="753"/>
      <c r="F428" s="2019"/>
      <c r="G428" s="2019"/>
      <c r="H428" s="2019"/>
      <c r="I428" s="2019"/>
      <c r="J428" s="2019"/>
      <c r="K428" s="2019"/>
      <c r="L428" s="2019"/>
      <c r="M428" s="2019"/>
      <c r="N428" s="2019"/>
      <c r="O428" s="2019"/>
      <c r="P428" s="2019"/>
      <c r="Q428" s="2019"/>
      <c r="R428" s="2019"/>
      <c r="S428" s="2019"/>
      <c r="T428" s="2019"/>
      <c r="U428" s="2019"/>
      <c r="V428" s="2019"/>
      <c r="W428" s="2019"/>
      <c r="X428" s="2019"/>
      <c r="Y428" s="2019"/>
      <c r="Z428" s="2019"/>
      <c r="AA428" s="2019"/>
      <c r="AB428" s="2019"/>
      <c r="AC428" s="2019"/>
      <c r="AD428" s="2019"/>
      <c r="AE428" s="2019"/>
      <c r="AF428" s="628"/>
      <c r="AG428" s="628"/>
      <c r="AH428" s="628"/>
      <c r="AI428" s="628"/>
      <c r="AJ428" s="628"/>
      <c r="AK428" s="628"/>
      <c r="AL428" s="784"/>
      <c r="AM428" s="604"/>
      <c r="AN428" s="631"/>
    </row>
    <row r="429" spans="1:60" s="584" customFormat="1" ht="12.75" customHeight="1">
      <c r="A429" s="570"/>
      <c r="B429" s="14"/>
      <c r="C429" s="785"/>
      <c r="D429" s="764"/>
      <c r="E429" s="753"/>
      <c r="F429" s="2019"/>
      <c r="G429" s="2019"/>
      <c r="H429" s="2019"/>
      <c r="I429" s="2019"/>
      <c r="J429" s="2019"/>
      <c r="K429" s="2019"/>
      <c r="L429" s="2019"/>
      <c r="M429" s="2019"/>
      <c r="N429" s="2019"/>
      <c r="O429" s="2019"/>
      <c r="P429" s="2019"/>
      <c r="Q429" s="2019"/>
      <c r="R429" s="2019"/>
      <c r="S429" s="2019"/>
      <c r="T429" s="2019"/>
      <c r="U429" s="2019"/>
      <c r="V429" s="2019"/>
      <c r="W429" s="2019"/>
      <c r="X429" s="2019"/>
      <c r="Y429" s="2019"/>
      <c r="Z429" s="2019"/>
      <c r="AA429" s="2019"/>
      <c r="AB429" s="2019"/>
      <c r="AC429" s="2019"/>
      <c r="AD429" s="2019"/>
      <c r="AE429" s="2019"/>
      <c r="AF429" s="628"/>
      <c r="AG429" s="628"/>
      <c r="AH429" s="628"/>
      <c r="AI429" s="628"/>
      <c r="AJ429" s="628"/>
      <c r="AK429" s="628"/>
      <c r="AL429" s="784"/>
      <c r="AM429" s="604"/>
      <c r="AN429" s="631"/>
    </row>
    <row r="430" spans="1:60" s="584" customFormat="1" ht="17.25" customHeight="1">
      <c r="A430" s="570"/>
      <c r="B430" s="14"/>
      <c r="C430" s="785"/>
      <c r="D430" s="764"/>
      <c r="E430" s="753"/>
      <c r="F430" s="2019"/>
      <c r="G430" s="2019"/>
      <c r="H430" s="2019"/>
      <c r="I430" s="2019"/>
      <c r="J430" s="2019"/>
      <c r="K430" s="2019"/>
      <c r="L430" s="2019"/>
      <c r="M430" s="2019"/>
      <c r="N430" s="2019"/>
      <c r="O430" s="2019"/>
      <c r="P430" s="2019"/>
      <c r="Q430" s="2019"/>
      <c r="R430" s="2019"/>
      <c r="S430" s="2019"/>
      <c r="T430" s="2019"/>
      <c r="U430" s="2019"/>
      <c r="V430" s="2019"/>
      <c r="W430" s="2019"/>
      <c r="X430" s="2019"/>
      <c r="Y430" s="2019"/>
      <c r="Z430" s="2019"/>
      <c r="AA430" s="2019"/>
      <c r="AB430" s="2019"/>
      <c r="AC430" s="2019"/>
      <c r="AD430" s="2019"/>
      <c r="AE430" s="2019"/>
      <c r="AL430" s="766"/>
      <c r="AM430" s="604"/>
      <c r="AN430" s="631"/>
    </row>
    <row r="431" spans="1:60" s="584" customFormat="1" ht="12.75" customHeight="1">
      <c r="A431" s="570"/>
      <c r="B431" s="14"/>
      <c r="C431" s="2015" t="s">
        <v>599</v>
      </c>
      <c r="D431" s="1972"/>
      <c r="E431" s="753"/>
      <c r="F431" s="630" t="s">
        <v>1598</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42" t="s">
        <v>1574</v>
      </c>
      <c r="AG431" s="1942"/>
      <c r="AH431" s="1942"/>
      <c r="AI431" s="1942"/>
      <c r="AJ431" s="1942"/>
      <c r="AK431" s="1942"/>
      <c r="AL431" s="2020"/>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1599</v>
      </c>
      <c r="F434" s="2018" t="s">
        <v>1600</v>
      </c>
      <c r="G434" s="2018"/>
      <c r="H434" s="2018"/>
      <c r="I434" s="2018"/>
      <c r="J434" s="2018"/>
      <c r="K434" s="2018"/>
      <c r="L434" s="2018"/>
      <c r="M434" s="2018"/>
      <c r="N434" s="2018"/>
      <c r="O434" s="2018"/>
      <c r="P434" s="2018"/>
      <c r="Q434" s="2018"/>
      <c r="R434" s="2018"/>
      <c r="S434" s="2018"/>
      <c r="T434" s="2018"/>
      <c r="U434" s="2018"/>
      <c r="V434" s="2018"/>
      <c r="W434" s="2018"/>
      <c r="X434" s="2018"/>
      <c r="Y434" s="2018"/>
      <c r="Z434" s="2018"/>
      <c r="AA434" s="2018"/>
      <c r="AB434" s="2018"/>
      <c r="AC434" s="2018"/>
      <c r="AD434" s="2018"/>
      <c r="AE434" s="2018"/>
      <c r="AF434" s="748"/>
      <c r="AG434" s="748"/>
      <c r="AH434" s="748"/>
      <c r="AI434" s="748"/>
      <c r="AJ434" s="748"/>
      <c r="AK434" s="748"/>
      <c r="AL434" s="779"/>
      <c r="AM434" s="604"/>
      <c r="AN434" s="631"/>
    </row>
    <row r="435" spans="1:40" s="584" customFormat="1" ht="12.75" customHeight="1">
      <c r="A435" s="570"/>
      <c r="B435" s="14"/>
      <c r="C435" s="785"/>
      <c r="D435" s="764"/>
      <c r="E435" s="753"/>
      <c r="F435" s="2019"/>
      <c r="G435" s="2019"/>
      <c r="H435" s="2019"/>
      <c r="I435" s="2019"/>
      <c r="J435" s="2019"/>
      <c r="K435" s="2019"/>
      <c r="L435" s="2019"/>
      <c r="M435" s="2019"/>
      <c r="N435" s="2019"/>
      <c r="O435" s="2019"/>
      <c r="P435" s="2019"/>
      <c r="Q435" s="2019"/>
      <c r="R435" s="2019"/>
      <c r="S435" s="2019"/>
      <c r="T435" s="2019"/>
      <c r="U435" s="2019"/>
      <c r="V435" s="2019"/>
      <c r="W435" s="2019"/>
      <c r="X435" s="2019"/>
      <c r="Y435" s="2019"/>
      <c r="Z435" s="2019"/>
      <c r="AA435" s="2019"/>
      <c r="AB435" s="2019"/>
      <c r="AC435" s="2019"/>
      <c r="AD435" s="2019"/>
      <c r="AE435" s="2019"/>
      <c r="AF435" s="625"/>
      <c r="AG435" s="625"/>
      <c r="AH435" s="625"/>
      <c r="AI435" s="625"/>
      <c r="AJ435" s="625"/>
      <c r="AK435" s="625"/>
      <c r="AL435" s="754"/>
      <c r="AM435" s="604"/>
      <c r="AN435" s="631"/>
    </row>
    <row r="436" spans="1:40" s="584" customFormat="1" ht="12.75" customHeight="1">
      <c r="A436" s="570"/>
      <c r="B436" s="14"/>
      <c r="C436" s="785"/>
      <c r="D436" s="764"/>
      <c r="E436" s="753"/>
      <c r="F436" s="2019"/>
      <c r="G436" s="2019"/>
      <c r="H436" s="2019"/>
      <c r="I436" s="2019"/>
      <c r="J436" s="2019"/>
      <c r="K436" s="2019"/>
      <c r="L436" s="2019"/>
      <c r="M436" s="2019"/>
      <c r="N436" s="2019"/>
      <c r="O436" s="2019"/>
      <c r="P436" s="2019"/>
      <c r="Q436" s="2019"/>
      <c r="R436" s="2019"/>
      <c r="S436" s="2019"/>
      <c r="T436" s="2019"/>
      <c r="U436" s="2019"/>
      <c r="V436" s="2019"/>
      <c r="W436" s="2019"/>
      <c r="X436" s="2019"/>
      <c r="Y436" s="2019"/>
      <c r="Z436" s="2019"/>
      <c r="AA436" s="2019"/>
      <c r="AB436" s="2019"/>
      <c r="AC436" s="2019"/>
      <c r="AD436" s="2019"/>
      <c r="AE436" s="2019"/>
      <c r="AF436" s="625"/>
      <c r="AG436" s="625"/>
      <c r="AH436" s="625"/>
      <c r="AI436" s="625"/>
      <c r="AJ436" s="625"/>
      <c r="AK436" s="625"/>
      <c r="AL436" s="754"/>
      <c r="AM436" s="604"/>
      <c r="AN436" s="631"/>
    </row>
    <row r="437" spans="1:40" s="584" customFormat="1" ht="12.75" customHeight="1">
      <c r="A437" s="570"/>
      <c r="B437" s="14"/>
      <c r="C437" s="785"/>
      <c r="D437" s="764"/>
      <c r="E437" s="753"/>
      <c r="F437" s="2019"/>
      <c r="G437" s="2019"/>
      <c r="H437" s="2019"/>
      <c r="I437" s="2019"/>
      <c r="J437" s="2019"/>
      <c r="K437" s="2019"/>
      <c r="L437" s="2019"/>
      <c r="M437" s="2019"/>
      <c r="N437" s="2019"/>
      <c r="O437" s="2019"/>
      <c r="P437" s="2019"/>
      <c r="Q437" s="2019"/>
      <c r="R437" s="2019"/>
      <c r="S437" s="2019"/>
      <c r="T437" s="2019"/>
      <c r="U437" s="2019"/>
      <c r="V437" s="2019"/>
      <c r="W437" s="2019"/>
      <c r="X437" s="2019"/>
      <c r="Y437" s="2019"/>
      <c r="Z437" s="2019"/>
      <c r="AA437" s="2019"/>
      <c r="AB437" s="2019"/>
      <c r="AC437" s="2019"/>
      <c r="AD437" s="2019"/>
      <c r="AE437" s="2019"/>
      <c r="AL437" s="766"/>
      <c r="AM437" s="604"/>
      <c r="AN437" s="631"/>
    </row>
    <row r="438" spans="1:40" s="584" customFormat="1" ht="12.75" customHeight="1">
      <c r="A438" s="570"/>
      <c r="B438" s="14"/>
      <c r="C438" s="2015" t="s">
        <v>599</v>
      </c>
      <c r="D438" s="1972"/>
      <c r="E438" s="753"/>
      <c r="F438" s="755" t="s">
        <v>1604</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42" t="s">
        <v>1574</v>
      </c>
      <c r="AG438" s="1942"/>
      <c r="AH438" s="1942"/>
      <c r="AI438" s="1942"/>
      <c r="AJ438" s="1942"/>
      <c r="AK438" s="1942"/>
      <c r="AL438" s="2020"/>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1581</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21" t="s">
        <v>599</v>
      </c>
      <c r="D442" s="2022"/>
      <c r="E442" s="749" t="s">
        <v>1609</v>
      </c>
      <c r="F442" s="2018" t="s">
        <v>1610</v>
      </c>
      <c r="G442" s="2018"/>
      <c r="H442" s="2018"/>
      <c r="I442" s="2018"/>
      <c r="J442" s="2018"/>
      <c r="K442" s="2018"/>
      <c r="L442" s="2018"/>
      <c r="M442" s="2018"/>
      <c r="N442" s="2018"/>
      <c r="O442" s="2018"/>
      <c r="P442" s="2018"/>
      <c r="Q442" s="2018"/>
      <c r="R442" s="2018"/>
      <c r="S442" s="2018"/>
      <c r="T442" s="2018"/>
      <c r="U442" s="2018"/>
      <c r="V442" s="2018"/>
      <c r="W442" s="2018"/>
      <c r="X442" s="2018"/>
      <c r="Y442" s="2018"/>
      <c r="Z442" s="2018"/>
      <c r="AA442" s="2018"/>
      <c r="AB442" s="2018"/>
      <c r="AC442" s="2018"/>
      <c r="AD442" s="2018"/>
      <c r="AE442" s="2018"/>
      <c r="AF442" s="2039" t="s">
        <v>1574</v>
      </c>
      <c r="AG442" s="2039"/>
      <c r="AH442" s="2039"/>
      <c r="AI442" s="2039"/>
      <c r="AJ442" s="2039"/>
      <c r="AK442" s="2039"/>
      <c r="AL442" s="2040"/>
      <c r="AM442" s="604"/>
      <c r="AN442" s="787"/>
    </row>
    <row r="443" spans="1:40" s="584" customFormat="1" ht="12.75" customHeight="1">
      <c r="A443" s="570"/>
      <c r="B443" s="14"/>
      <c r="C443" s="785"/>
      <c r="D443" s="764"/>
      <c r="E443" s="753"/>
      <c r="F443" s="2019"/>
      <c r="G443" s="2019"/>
      <c r="H443" s="2019"/>
      <c r="I443" s="2019"/>
      <c r="J443" s="2019"/>
      <c r="K443" s="2019"/>
      <c r="L443" s="2019"/>
      <c r="M443" s="2019"/>
      <c r="N443" s="2019"/>
      <c r="O443" s="2019"/>
      <c r="P443" s="2019"/>
      <c r="Q443" s="2019"/>
      <c r="R443" s="2019"/>
      <c r="S443" s="2019"/>
      <c r="T443" s="2019"/>
      <c r="U443" s="2019"/>
      <c r="V443" s="2019"/>
      <c r="W443" s="2019"/>
      <c r="X443" s="2019"/>
      <c r="Y443" s="2019"/>
      <c r="Z443" s="2019"/>
      <c r="AA443" s="2019"/>
      <c r="AB443" s="2019"/>
      <c r="AC443" s="2019"/>
      <c r="AD443" s="2019"/>
      <c r="AE443" s="2019"/>
      <c r="AF443" s="625"/>
      <c r="AG443" s="625"/>
      <c r="AH443" s="625"/>
      <c r="AI443" s="625"/>
      <c r="AJ443" s="625"/>
      <c r="AK443" s="625"/>
      <c r="AL443" s="754"/>
      <c r="AM443" s="604"/>
      <c r="AN443" s="788"/>
    </row>
    <row r="444" spans="1:40" s="584" customFormat="1" ht="17.649999999999999" customHeight="1">
      <c r="A444" s="570"/>
      <c r="B444" s="14"/>
      <c r="C444" s="790"/>
      <c r="D444" s="757"/>
      <c r="E444" s="758"/>
      <c r="F444" s="2038"/>
      <c r="G444" s="2038"/>
      <c r="H444" s="2038"/>
      <c r="I444" s="2038"/>
      <c r="J444" s="2038"/>
      <c r="K444" s="2038"/>
      <c r="L444" s="2038"/>
      <c r="M444" s="2038"/>
      <c r="N444" s="2038"/>
      <c r="O444" s="2038"/>
      <c r="P444" s="2038"/>
      <c r="Q444" s="2038"/>
      <c r="R444" s="2038"/>
      <c r="S444" s="2038"/>
      <c r="T444" s="2038"/>
      <c r="U444" s="2038"/>
      <c r="V444" s="2038"/>
      <c r="W444" s="2038"/>
      <c r="X444" s="2038"/>
      <c r="Y444" s="2038"/>
      <c r="Z444" s="2038"/>
      <c r="AA444" s="2038"/>
      <c r="AB444" s="2038"/>
      <c r="AC444" s="2038"/>
      <c r="AD444" s="2038"/>
      <c r="AE444" s="2038"/>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15" t="s">
        <v>599</v>
      </c>
      <c r="D446" s="1972"/>
      <c r="E446" s="749" t="s">
        <v>1615</v>
      </c>
      <c r="F446" s="2018" t="s">
        <v>1616</v>
      </c>
      <c r="G446" s="2018"/>
      <c r="H446" s="2018"/>
      <c r="I446" s="2018"/>
      <c r="J446" s="2018"/>
      <c r="K446" s="2018"/>
      <c r="L446" s="2018"/>
      <c r="M446" s="2018"/>
      <c r="N446" s="2018"/>
      <c r="O446" s="2018"/>
      <c r="P446" s="2018"/>
      <c r="Q446" s="2018"/>
      <c r="R446" s="2018"/>
      <c r="S446" s="2018"/>
      <c r="T446" s="2018"/>
      <c r="U446" s="2018"/>
      <c r="V446" s="2018"/>
      <c r="W446" s="2018"/>
      <c r="X446" s="2018"/>
      <c r="Y446" s="2018"/>
      <c r="Z446" s="2018"/>
      <c r="AA446" s="2018"/>
      <c r="AB446" s="2018"/>
      <c r="AC446" s="2018"/>
      <c r="AD446" s="2018"/>
      <c r="AE446" s="2018"/>
      <c r="AF446" s="2039" t="s">
        <v>1574</v>
      </c>
      <c r="AG446" s="2039"/>
      <c r="AH446" s="2039"/>
      <c r="AI446" s="2039"/>
      <c r="AJ446" s="2039"/>
      <c r="AK446" s="2039"/>
      <c r="AL446" s="2040"/>
      <c r="AM446" s="604"/>
      <c r="AN446" s="569"/>
    </row>
    <row r="447" spans="1:40" s="584" customFormat="1" ht="12.75" customHeight="1">
      <c r="A447" s="570"/>
      <c r="B447" s="14"/>
      <c r="C447" s="765"/>
      <c r="D447" s="14"/>
      <c r="E447" s="725"/>
      <c r="F447" s="2019"/>
      <c r="G447" s="2019"/>
      <c r="H447" s="2019"/>
      <c r="I447" s="2019"/>
      <c r="J447" s="2019"/>
      <c r="K447" s="2019"/>
      <c r="L447" s="2019"/>
      <c r="M447" s="2019"/>
      <c r="N447" s="2019"/>
      <c r="O447" s="2019"/>
      <c r="P447" s="2019"/>
      <c r="Q447" s="2019"/>
      <c r="R447" s="2019"/>
      <c r="S447" s="2019"/>
      <c r="T447" s="2019"/>
      <c r="U447" s="2019"/>
      <c r="V447" s="2019"/>
      <c r="W447" s="2019"/>
      <c r="X447" s="2019"/>
      <c r="Y447" s="2019"/>
      <c r="Z447" s="2019"/>
      <c r="AA447" s="2019"/>
      <c r="AB447" s="2019"/>
      <c r="AC447" s="2019"/>
      <c r="AD447" s="2019"/>
      <c r="AE447" s="2019"/>
      <c r="AF447" s="573"/>
      <c r="AG447" s="570"/>
      <c r="AL447" s="766"/>
      <c r="AM447" s="604"/>
      <c r="AN447" s="569"/>
    </row>
    <row r="448" spans="1:40" s="584" customFormat="1" ht="12.75" customHeight="1">
      <c r="A448" s="570"/>
      <c r="B448" s="14"/>
      <c r="C448" s="765"/>
      <c r="D448" s="14"/>
      <c r="E448" s="725"/>
      <c r="F448" s="2019"/>
      <c r="G448" s="2019"/>
      <c r="H448" s="2019"/>
      <c r="I448" s="2019"/>
      <c r="J448" s="2019"/>
      <c r="K448" s="2019"/>
      <c r="L448" s="2019"/>
      <c r="M448" s="2019"/>
      <c r="N448" s="2019"/>
      <c r="O448" s="2019"/>
      <c r="P448" s="2019"/>
      <c r="Q448" s="2019"/>
      <c r="R448" s="2019"/>
      <c r="S448" s="2019"/>
      <c r="T448" s="2019"/>
      <c r="U448" s="2019"/>
      <c r="V448" s="2019"/>
      <c r="W448" s="2019"/>
      <c r="X448" s="2019"/>
      <c r="Y448" s="2019"/>
      <c r="Z448" s="2019"/>
      <c r="AA448" s="2019"/>
      <c r="AB448" s="2019"/>
      <c r="AC448" s="2019"/>
      <c r="AD448" s="2019"/>
      <c r="AE448" s="2019"/>
      <c r="AF448" s="573"/>
      <c r="AG448" s="570"/>
      <c r="AL448" s="766"/>
      <c r="AM448" s="604"/>
      <c r="AN448" s="569"/>
    </row>
    <row r="449" spans="1:48" s="584" customFormat="1" ht="12.75" customHeight="1">
      <c r="A449" s="570"/>
      <c r="B449" s="14"/>
      <c r="C449" s="790"/>
      <c r="D449" s="757"/>
      <c r="E449" s="758"/>
      <c r="F449" s="2038"/>
      <c r="G449" s="2038"/>
      <c r="H449" s="2038"/>
      <c r="I449" s="2038"/>
      <c r="J449" s="2038"/>
      <c r="K449" s="2038"/>
      <c r="L449" s="2038"/>
      <c r="M449" s="2038"/>
      <c r="N449" s="2038"/>
      <c r="O449" s="2038"/>
      <c r="P449" s="2038"/>
      <c r="Q449" s="2038"/>
      <c r="R449" s="2038"/>
      <c r="S449" s="2038"/>
      <c r="T449" s="2038"/>
      <c r="U449" s="2038"/>
      <c r="V449" s="2038"/>
      <c r="W449" s="2038"/>
      <c r="X449" s="2038"/>
      <c r="Y449" s="2038"/>
      <c r="Z449" s="2038"/>
      <c r="AA449" s="2038"/>
      <c r="AB449" s="2038"/>
      <c r="AC449" s="2038"/>
      <c r="AD449" s="2038"/>
      <c r="AE449" s="2038"/>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1618</v>
      </c>
      <c r="F451" s="2018" t="s">
        <v>1619</v>
      </c>
      <c r="G451" s="2018"/>
      <c r="H451" s="2018"/>
      <c r="I451" s="2018"/>
      <c r="J451" s="2018"/>
      <c r="K451" s="2018"/>
      <c r="L451" s="2018"/>
      <c r="M451" s="2018"/>
      <c r="N451" s="2018"/>
      <c r="O451" s="2018"/>
      <c r="P451" s="2018"/>
      <c r="Q451" s="2018"/>
      <c r="R451" s="2018"/>
      <c r="S451" s="2018"/>
      <c r="T451" s="2018"/>
      <c r="U451" s="2018"/>
      <c r="V451" s="2018"/>
      <c r="W451" s="2018"/>
      <c r="X451" s="2018"/>
      <c r="Y451" s="2018"/>
      <c r="Z451" s="2018"/>
      <c r="AA451" s="2018"/>
      <c r="AB451" s="2018"/>
      <c r="AC451" s="2018"/>
      <c r="AD451" s="2018"/>
      <c r="AE451" s="2018"/>
      <c r="AF451" s="2018"/>
      <c r="AG451" s="778"/>
      <c r="AH451" s="748"/>
      <c r="AI451" s="748"/>
      <c r="AJ451" s="748"/>
      <c r="AK451" s="748"/>
      <c r="AL451" s="779"/>
      <c r="AM451" s="604"/>
      <c r="AN451" s="631"/>
    </row>
    <row r="452" spans="1:48" s="584" customFormat="1" ht="12.75" customHeight="1">
      <c r="A452" s="570"/>
      <c r="B452" s="14"/>
      <c r="C452" s="765"/>
      <c r="D452" s="14"/>
      <c r="E452" s="725"/>
      <c r="F452" s="2019"/>
      <c r="G452" s="2019"/>
      <c r="H452" s="2019"/>
      <c r="I452" s="2019"/>
      <c r="J452" s="2019"/>
      <c r="K452" s="2019"/>
      <c r="L452" s="2019"/>
      <c r="M452" s="2019"/>
      <c r="N452" s="2019"/>
      <c r="O452" s="2019"/>
      <c r="P452" s="2019"/>
      <c r="Q452" s="2019"/>
      <c r="R452" s="2019"/>
      <c r="S452" s="2019"/>
      <c r="T452" s="2019"/>
      <c r="U452" s="2019"/>
      <c r="V452" s="2019"/>
      <c r="W452" s="2019"/>
      <c r="X452" s="2019"/>
      <c r="Y452" s="2019"/>
      <c r="Z452" s="2019"/>
      <c r="AA452" s="2019"/>
      <c r="AB452" s="2019"/>
      <c r="AC452" s="2019"/>
      <c r="AD452" s="2019"/>
      <c r="AE452" s="2019"/>
      <c r="AF452" s="2019"/>
      <c r="AL452" s="766"/>
      <c r="AM452" s="604"/>
      <c r="AN452" s="631"/>
    </row>
    <row r="453" spans="1:48" s="584" customFormat="1" ht="12.75" customHeight="1">
      <c r="A453" s="570"/>
      <c r="B453" s="14"/>
      <c r="C453" s="773"/>
      <c r="F453" s="2019"/>
      <c r="G453" s="2019"/>
      <c r="H453" s="2019"/>
      <c r="I453" s="2019"/>
      <c r="J453" s="2019"/>
      <c r="K453" s="2019"/>
      <c r="L453" s="2019"/>
      <c r="M453" s="2019"/>
      <c r="N453" s="2019"/>
      <c r="O453" s="2019"/>
      <c r="P453" s="2019"/>
      <c r="Q453" s="2019"/>
      <c r="R453" s="2019"/>
      <c r="S453" s="2019"/>
      <c r="T453" s="2019"/>
      <c r="U453" s="2019"/>
      <c r="V453" s="2019"/>
      <c r="W453" s="2019"/>
      <c r="X453" s="2019"/>
      <c r="Y453" s="2019"/>
      <c r="Z453" s="2019"/>
      <c r="AA453" s="2019"/>
      <c r="AB453" s="2019"/>
      <c r="AC453" s="2019"/>
      <c r="AD453" s="2019"/>
      <c r="AE453" s="2019"/>
      <c r="AF453" s="2019"/>
      <c r="AL453" s="766"/>
      <c r="AM453" s="604"/>
      <c r="AN453" s="631"/>
    </row>
    <row r="454" spans="1:48" s="584" customFormat="1" ht="12.75" customHeight="1">
      <c r="A454" s="570"/>
      <c r="B454" s="14"/>
      <c r="C454" s="773"/>
      <c r="F454" s="2019"/>
      <c r="G454" s="2019"/>
      <c r="H454" s="2019"/>
      <c r="I454" s="2019"/>
      <c r="J454" s="2019"/>
      <c r="K454" s="2019"/>
      <c r="L454" s="2019"/>
      <c r="M454" s="2019"/>
      <c r="N454" s="2019"/>
      <c r="O454" s="2019"/>
      <c r="P454" s="2019"/>
      <c r="Q454" s="2019"/>
      <c r="R454" s="2019"/>
      <c r="S454" s="2019"/>
      <c r="T454" s="2019"/>
      <c r="U454" s="2019"/>
      <c r="V454" s="2019"/>
      <c r="W454" s="2019"/>
      <c r="X454" s="2019"/>
      <c r="Y454" s="2019"/>
      <c r="Z454" s="2019"/>
      <c r="AA454" s="2019"/>
      <c r="AB454" s="2019"/>
      <c r="AC454" s="2019"/>
      <c r="AD454" s="2019"/>
      <c r="AE454" s="2019"/>
      <c r="AF454" s="2019"/>
      <c r="AL454" s="766"/>
      <c r="AM454" s="604"/>
      <c r="AN454" s="631"/>
    </row>
    <row r="455" spans="1:48" s="584" customFormat="1" ht="12.75" customHeight="1">
      <c r="A455" s="570"/>
      <c r="B455" s="14"/>
      <c r="C455" s="2015" t="s">
        <v>599</v>
      </c>
      <c r="D455" s="1972"/>
      <c r="E455" s="753"/>
      <c r="F455" s="755" t="s">
        <v>1591</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16" t="s">
        <v>1574</v>
      </c>
      <c r="AG455" s="2016"/>
      <c r="AH455" s="2016"/>
      <c r="AI455" s="2016"/>
      <c r="AJ455" s="2016"/>
      <c r="AK455" s="2016"/>
      <c r="AL455" s="2017"/>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1620</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1621</v>
      </c>
      <c r="AK458" s="1975">
        <f>IF(Application!D214="N/A",AS347,AS349)</f>
        <v>12</v>
      </c>
      <c r="AL458" s="1976"/>
      <c r="AM458" s="1977"/>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1622</v>
      </c>
      <c r="C461" s="573"/>
      <c r="E461" s="630"/>
      <c r="AE461" s="2016" t="s">
        <v>1623</v>
      </c>
      <c r="AF461" s="2016"/>
      <c r="AG461" s="2016"/>
      <c r="AH461" s="2016"/>
      <c r="AI461" s="2016"/>
      <c r="AJ461" s="2016"/>
      <c r="AK461" s="2016"/>
      <c r="AL461" s="625"/>
      <c r="AN461" s="631"/>
      <c r="AO461" s="584" t="s">
        <v>1601</v>
      </c>
      <c r="AP461" s="584">
        <v>5</v>
      </c>
      <c r="AT461" s="584" t="s">
        <v>1601</v>
      </c>
      <c r="AU461" s="584">
        <v>5</v>
      </c>
      <c r="AV461" s="786"/>
    </row>
    <row r="462" spans="1:48" s="584" customFormat="1" ht="12.75" hidden="1" customHeight="1">
      <c r="A462" s="573"/>
      <c r="B462" s="570" t="s">
        <v>1624</v>
      </c>
      <c r="C462" s="573"/>
      <c r="E462" s="630"/>
      <c r="AE462" s="625"/>
      <c r="AF462" s="625"/>
      <c r="AG462" s="625"/>
      <c r="AH462" s="625"/>
      <c r="AI462" s="625"/>
      <c r="AJ462" s="625"/>
      <c r="AK462" s="625"/>
      <c r="AL462" s="625"/>
      <c r="AN462" s="631"/>
      <c r="AO462" s="584" t="s">
        <v>1625</v>
      </c>
      <c r="AP462" s="584">
        <v>5</v>
      </c>
      <c r="AT462" s="584" t="s">
        <v>1602</v>
      </c>
      <c r="AU462" s="584">
        <v>5</v>
      </c>
      <c r="AV462" s="786"/>
    </row>
    <row r="463" spans="1:48" s="584" customFormat="1" ht="12.75" hidden="1" customHeight="1">
      <c r="A463" s="573"/>
      <c r="B463" s="573" t="s">
        <v>1626</v>
      </c>
      <c r="C463" s="573"/>
      <c r="E463" s="630"/>
      <c r="AE463" s="625"/>
      <c r="AF463" s="625"/>
      <c r="AG463" s="625"/>
      <c r="AH463" s="625"/>
      <c r="AI463" s="625"/>
      <c r="AJ463" s="625"/>
      <c r="AK463" s="625"/>
      <c r="AL463" s="625"/>
      <c r="AN463" s="631"/>
      <c r="AO463" s="584" t="s">
        <v>1603</v>
      </c>
      <c r="AP463" s="584">
        <v>5</v>
      </c>
      <c r="AQ463" s="573"/>
      <c r="AR463" s="573"/>
      <c r="AS463" s="789"/>
      <c r="AT463" s="584" t="s">
        <v>1603</v>
      </c>
      <c r="AU463" s="584">
        <v>5</v>
      </c>
      <c r="AV463" s="570"/>
    </row>
    <row r="464" spans="1:48" s="584" customFormat="1" ht="12.75" hidden="1" customHeight="1">
      <c r="A464" s="573"/>
      <c r="B464" s="573" t="s">
        <v>1627</v>
      </c>
      <c r="C464" s="573"/>
      <c r="E464" s="630"/>
      <c r="AE464" s="625"/>
      <c r="AF464" s="625"/>
      <c r="AG464" s="625"/>
      <c r="AH464" s="625"/>
      <c r="AI464" s="625"/>
      <c r="AJ464" s="625"/>
      <c r="AK464" s="625"/>
      <c r="AL464" s="625"/>
      <c r="AN464" s="631"/>
      <c r="AO464" s="584" t="s">
        <v>1605</v>
      </c>
      <c r="AP464" s="584">
        <v>5</v>
      </c>
      <c r="AQ464" s="573"/>
      <c r="AR464" s="573"/>
      <c r="AT464" s="584" t="s">
        <v>1605</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1606</v>
      </c>
      <c r="AP465" s="584">
        <v>5</v>
      </c>
      <c r="AQ465" s="573"/>
      <c r="AR465" s="573"/>
      <c r="AT465" s="584" t="s">
        <v>1606</v>
      </c>
      <c r="AU465" s="584">
        <v>5</v>
      </c>
    </row>
    <row r="466" spans="1:59" s="584" customFormat="1" ht="12.75" hidden="1" customHeight="1">
      <c r="A466" s="573"/>
      <c r="C466" s="746" t="s">
        <v>1628</v>
      </c>
      <c r="D466" s="604"/>
      <c r="AE466" s="625"/>
      <c r="AF466" s="625"/>
      <c r="AG466" s="630"/>
      <c r="AH466" s="630"/>
      <c r="AI466" s="630"/>
      <c r="AJ466" s="630"/>
      <c r="AK466" s="630"/>
      <c r="AL466" s="630"/>
      <c r="AN466" s="631"/>
      <c r="AO466" s="584" t="s">
        <v>1607</v>
      </c>
      <c r="AP466" s="584">
        <v>5</v>
      </c>
      <c r="AT466" s="584" t="s">
        <v>1607</v>
      </c>
      <c r="AU466" s="584">
        <v>5</v>
      </c>
    </row>
    <row r="467" spans="1:59" s="584" customFormat="1" ht="12.75" hidden="1" customHeight="1">
      <c r="A467" s="573"/>
      <c r="C467" s="2041" t="s">
        <v>599</v>
      </c>
      <c r="D467" s="2042"/>
      <c r="E467" s="795" t="s">
        <v>515</v>
      </c>
      <c r="F467" s="2043" t="s">
        <v>1629</v>
      </c>
      <c r="G467" s="2043"/>
      <c r="H467" s="2043"/>
      <c r="I467" s="2043"/>
      <c r="J467" s="2043"/>
      <c r="K467" s="2043"/>
      <c r="L467" s="2043"/>
      <c r="M467" s="2043"/>
      <c r="N467" s="2043"/>
      <c r="O467" s="2043"/>
      <c r="P467" s="2043"/>
      <c r="Q467" s="2043"/>
      <c r="R467" s="2043"/>
      <c r="S467" s="2043"/>
      <c r="T467" s="2043"/>
      <c r="U467" s="2043"/>
      <c r="V467" s="2043"/>
      <c r="W467" s="2043"/>
      <c r="X467" s="2043"/>
      <c r="Y467" s="2043"/>
      <c r="Z467" s="2043"/>
      <c r="AA467" s="2043"/>
      <c r="AB467" s="2043"/>
      <c r="AC467" s="2043"/>
      <c r="AD467" s="2043"/>
      <c r="AE467" s="2043"/>
      <c r="AF467" s="748"/>
      <c r="AG467" s="748"/>
      <c r="AH467" s="748"/>
      <c r="AI467" s="748"/>
      <c r="AJ467" s="748"/>
      <c r="AK467" s="779"/>
      <c r="AN467" s="631"/>
      <c r="AO467" s="584" t="s">
        <v>1630</v>
      </c>
      <c r="AP467" s="584">
        <v>5</v>
      </c>
      <c r="AS467" s="792"/>
      <c r="AT467" s="584" t="s">
        <v>1608</v>
      </c>
      <c r="AU467" s="584">
        <v>5</v>
      </c>
    </row>
    <row r="468" spans="1:59" s="584" customFormat="1" ht="12.75" hidden="1" customHeight="1">
      <c r="C468" s="796"/>
      <c r="E468" s="797"/>
      <c r="F468" s="2044"/>
      <c r="G468" s="2044"/>
      <c r="H468" s="2044"/>
      <c r="I468" s="2044"/>
      <c r="J468" s="2044"/>
      <c r="K468" s="2044"/>
      <c r="L468" s="2044"/>
      <c r="M468" s="2044"/>
      <c r="N468" s="2044"/>
      <c r="O468" s="2044"/>
      <c r="P468" s="2044"/>
      <c r="Q468" s="2044"/>
      <c r="R468" s="2044"/>
      <c r="S468" s="2044"/>
      <c r="T468" s="2044"/>
      <c r="U468" s="2044"/>
      <c r="V468" s="2044"/>
      <c r="W468" s="2044"/>
      <c r="X468" s="2044"/>
      <c r="Y468" s="2044"/>
      <c r="Z468" s="2044"/>
      <c r="AA468" s="2044"/>
      <c r="AB468" s="2044"/>
      <c r="AC468" s="2044"/>
      <c r="AD468" s="2044"/>
      <c r="AE468" s="2044"/>
      <c r="AG468" s="585"/>
      <c r="AH468" s="585"/>
      <c r="AI468" s="585"/>
      <c r="AJ468" s="585"/>
      <c r="AK468" s="766"/>
      <c r="AN468" s="631"/>
      <c r="AO468" s="584" t="s">
        <v>1611</v>
      </c>
      <c r="AP468" s="584">
        <v>1</v>
      </c>
      <c r="AT468" s="584" t="s">
        <v>1611</v>
      </c>
      <c r="AU468" s="584">
        <v>1</v>
      </c>
    </row>
    <row r="469" spans="1:59" s="584" customFormat="1" ht="12.75" hidden="1" customHeight="1">
      <c r="C469" s="798"/>
      <c r="D469" s="761"/>
      <c r="E469" s="799"/>
      <c r="F469" s="2045" t="s">
        <v>599</v>
      </c>
      <c r="G469" s="2045"/>
      <c r="H469" s="2045"/>
      <c r="I469" s="2045"/>
      <c r="J469" s="2045"/>
      <c r="K469" s="2045"/>
      <c r="L469" s="2045"/>
      <c r="M469" s="2045"/>
      <c r="N469" s="2045"/>
      <c r="O469" s="2045"/>
      <c r="P469" s="2045"/>
      <c r="Q469" s="2045"/>
      <c r="R469" s="2045"/>
      <c r="S469" s="2045"/>
      <c r="T469" s="2045"/>
      <c r="U469" s="2045"/>
      <c r="V469" s="2045"/>
      <c r="W469" s="2045"/>
      <c r="X469" s="2045"/>
      <c r="Y469" s="2045"/>
      <c r="Z469" s="2045"/>
      <c r="AA469" s="800"/>
      <c r="AB469" s="692"/>
      <c r="AC469" s="692"/>
      <c r="AD469" s="761"/>
      <c r="AE469" s="761"/>
      <c r="AF469" s="761"/>
      <c r="AG469" s="801">
        <f>IF($C$467="Yes",(VLOOKUP($F$469,$AT$460:$AU$468,2,FALSE)),0)</f>
        <v>0</v>
      </c>
      <c r="AH469" s="802" t="s">
        <v>1439</v>
      </c>
      <c r="AI469" s="801"/>
      <c r="AJ469" s="801"/>
      <c r="AK469" s="776"/>
      <c r="AN469" s="631"/>
      <c r="AS469" s="789"/>
      <c r="AX469" s="789"/>
      <c r="BB469" s="789" t="s">
        <v>1612</v>
      </c>
      <c r="BF469" s="789" t="s">
        <v>1613</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46" t="s">
        <v>553</v>
      </c>
      <c r="D471" s="2047"/>
      <c r="E471" s="795" t="s">
        <v>766</v>
      </c>
      <c r="F471" s="803" t="s">
        <v>1631</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1614</v>
      </c>
      <c r="AX471" s="671">
        <v>3</v>
      </c>
      <c r="AY471" s="627"/>
      <c r="BB471" s="792">
        <v>0.4</v>
      </c>
      <c r="BC471" s="627">
        <v>3</v>
      </c>
      <c r="BF471" s="792">
        <v>0.4</v>
      </c>
      <c r="BG471" s="627">
        <v>4</v>
      </c>
    </row>
    <row r="472" spans="1:59" s="584" customFormat="1" ht="12.75" hidden="1" customHeight="1">
      <c r="C472" s="804" t="s">
        <v>1632</v>
      </c>
      <c r="F472" s="805" t="s">
        <v>1633</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1617</v>
      </c>
      <c r="AX472" s="671">
        <v>5</v>
      </c>
      <c r="AY472" s="627"/>
      <c r="BB472" s="792">
        <v>0.6</v>
      </c>
      <c r="BC472" s="627">
        <v>4</v>
      </c>
      <c r="BF472" s="792">
        <v>0.6</v>
      </c>
      <c r="BG472" s="627">
        <v>5</v>
      </c>
    </row>
    <row r="473" spans="1:59" s="584" customFormat="1" ht="12.75" hidden="1" customHeight="1">
      <c r="C473" s="785"/>
      <c r="D473" s="764"/>
      <c r="E473" s="806"/>
      <c r="F473" s="805" t="s">
        <v>1634</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1635</v>
      </c>
      <c r="G474" s="584"/>
      <c r="H474" s="584"/>
      <c r="I474" s="805"/>
      <c r="J474" s="805"/>
      <c r="K474" s="805"/>
      <c r="L474" s="805"/>
      <c r="M474" s="805"/>
      <c r="N474" s="805"/>
      <c r="O474" s="805"/>
      <c r="P474" s="805"/>
      <c r="Q474" s="805"/>
      <c r="R474" s="805"/>
      <c r="S474" s="805"/>
      <c r="T474" s="805"/>
      <c r="U474" s="805"/>
      <c r="V474" s="2053" t="s">
        <v>599</v>
      </c>
      <c r="W474" s="2053"/>
      <c r="X474" s="2053"/>
      <c r="Y474" s="805"/>
      <c r="Z474" s="805"/>
      <c r="AA474" s="805"/>
      <c r="AB474" s="805"/>
      <c r="AC474" s="805"/>
      <c r="AD474" s="643"/>
      <c r="AE474" s="643"/>
      <c r="AF474" s="643"/>
      <c r="AG474" s="647">
        <f>IF(AND($C$471="Yes",$V$476="N/A",$V$481="N/A",$V$485="N/A",$V$487="N/A"),(VLOOKUP(V474,$AW$470:$AX$472,2,FALSE)),0)</f>
        <v>0</v>
      </c>
      <c r="AH474" s="674" t="s">
        <v>1439</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1636</v>
      </c>
      <c r="G476" s="584"/>
      <c r="H476" s="584"/>
      <c r="I476" s="805"/>
      <c r="J476" s="805"/>
      <c r="K476" s="805"/>
      <c r="L476" s="805"/>
      <c r="M476" s="805"/>
      <c r="N476" s="805"/>
      <c r="O476" s="805"/>
      <c r="P476" s="805"/>
      <c r="Q476" s="805"/>
      <c r="R476" s="805"/>
      <c r="S476" s="805"/>
      <c r="T476" s="805"/>
      <c r="U476" s="805"/>
      <c r="V476" s="2053" t="s">
        <v>599</v>
      </c>
      <c r="W476" s="2053"/>
      <c r="X476" s="2053"/>
      <c r="Y476" s="805"/>
      <c r="Z476" s="805"/>
      <c r="AA476" s="805"/>
      <c r="AB476" s="805"/>
      <c r="AC476" s="805"/>
      <c r="AD476" s="643"/>
      <c r="AE476" s="643"/>
      <c r="AF476" s="643"/>
      <c r="AG476" s="647">
        <f>IF(AND($C$471="Yes",$V$474="N/A", $V$481="N/A",$V$485="N/A",$V$487="N/A"),(VLOOKUP(V476,$AT$470:$AU$472,2,FALSE)),0)</f>
        <v>0</v>
      </c>
      <c r="AH476" s="674" t="s">
        <v>1439</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1637</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1638</v>
      </c>
      <c r="AP478" s="671">
        <v>2</v>
      </c>
    </row>
    <row r="479" spans="1:59" s="584" customFormat="1" ht="12.75" hidden="1" customHeight="1">
      <c r="C479" s="796"/>
      <c r="F479" s="643" t="s">
        <v>1639</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1640</v>
      </c>
      <c r="AP479" s="584">
        <v>2</v>
      </c>
    </row>
    <row r="480" spans="1:59" s="630" customFormat="1" ht="12.75" hidden="1" customHeight="1">
      <c r="A480" s="584"/>
      <c r="B480" s="584"/>
      <c r="C480" s="773"/>
      <c r="D480" s="604"/>
      <c r="E480" s="604"/>
      <c r="F480" s="643" t="s">
        <v>1641</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1642</v>
      </c>
      <c r="AP480" s="584">
        <v>2</v>
      </c>
    </row>
    <row r="481" spans="1:81" s="584" customFormat="1" ht="12.75" hidden="1" customHeight="1">
      <c r="C481" s="811"/>
      <c r="F481" s="809" t="s">
        <v>1643</v>
      </c>
      <c r="M481" s="797"/>
      <c r="N481" s="797"/>
      <c r="O481" s="797"/>
      <c r="P481" s="797"/>
      <c r="Q481" s="585"/>
      <c r="R481" s="585"/>
      <c r="S481" s="585"/>
      <c r="T481" s="585"/>
      <c r="U481" s="585"/>
      <c r="V481" s="2053" t="s">
        <v>599</v>
      </c>
      <c r="W481" s="2053"/>
      <c r="X481" s="2053"/>
      <c r="Y481" s="585"/>
      <c r="Z481" s="585"/>
      <c r="AA481" s="585"/>
      <c r="AB481" s="585"/>
      <c r="AC481" s="585"/>
      <c r="AG481" s="647">
        <f>IF(AND($C$471="Yes",$V$474="N/A",$V$476="N/A", $V$485="N/A",$V$487="N/A"),(VLOOKUP($V$481,$AT$474:$AU$476,2,FALSE)),0)</f>
        <v>0</v>
      </c>
      <c r="AH481" s="674" t="s">
        <v>1439</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1644</v>
      </c>
      <c r="D483" s="748"/>
      <c r="E483" s="748"/>
      <c r="F483" s="814" t="s">
        <v>1645</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52"/>
      <c r="E484" s="2052"/>
      <c r="F484" s="805" t="s">
        <v>1646</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1647</v>
      </c>
      <c r="AP484" s="671">
        <v>5</v>
      </c>
      <c r="AQ484" s="573"/>
    </row>
    <row r="485" spans="1:81" s="604" customFormat="1" ht="12.75" hidden="1" customHeight="1">
      <c r="A485" s="713"/>
      <c r="B485" s="584"/>
      <c r="C485" s="796"/>
      <c r="D485" s="584"/>
      <c r="E485" s="584"/>
      <c r="F485" s="816" t="s">
        <v>1635</v>
      </c>
      <c r="G485" s="584"/>
      <c r="H485" s="584"/>
      <c r="I485" s="584"/>
      <c r="J485" s="584"/>
      <c r="K485" s="584"/>
      <c r="L485" s="584"/>
      <c r="M485" s="584"/>
      <c r="N485" s="584"/>
      <c r="O485" s="584"/>
      <c r="P485" s="584"/>
      <c r="Q485" s="584"/>
      <c r="R485" s="584"/>
      <c r="S485" s="584"/>
      <c r="T485" s="584"/>
      <c r="U485" s="584"/>
      <c r="V485" s="2053" t="s">
        <v>599</v>
      </c>
      <c r="W485" s="2053"/>
      <c r="X485" s="2053"/>
      <c r="Y485" s="584"/>
      <c r="Z485" s="584"/>
      <c r="AA485" s="584"/>
      <c r="AB485" s="584"/>
      <c r="AC485" s="584"/>
      <c r="AD485" s="584"/>
      <c r="AE485" s="584"/>
      <c r="AF485" s="584"/>
      <c r="AG485" s="647">
        <f>IF(AND($C$471="Yes",$V$474="N/A",V476="N/A",$V$481="N/A",$V$487="N/A"),(VLOOKUP($V$485,$BB$470:$BC$473,2,FALSE)),0)</f>
        <v>0</v>
      </c>
      <c r="AH485" s="674" t="s">
        <v>1439</v>
      </c>
      <c r="AI485" s="585"/>
      <c r="AJ485" s="584"/>
      <c r="AK485" s="766"/>
      <c r="AL485" s="584"/>
      <c r="AM485" s="584"/>
      <c r="AN485" s="718"/>
      <c r="AO485" s="584" t="s">
        <v>1648</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1649</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1636</v>
      </c>
      <c r="G487" s="800"/>
      <c r="H487" s="800"/>
      <c r="I487" s="761"/>
      <c r="J487" s="761"/>
      <c r="K487" s="761"/>
      <c r="L487" s="761"/>
      <c r="M487" s="761"/>
      <c r="N487" s="761"/>
      <c r="O487" s="761"/>
      <c r="P487" s="761"/>
      <c r="Q487" s="761"/>
      <c r="R487" s="761"/>
      <c r="S487" s="761"/>
      <c r="T487" s="761"/>
      <c r="U487" s="761"/>
      <c r="V487" s="2053" t="s">
        <v>599</v>
      </c>
      <c r="W487" s="2053"/>
      <c r="X487" s="2053"/>
      <c r="Y487" s="761"/>
      <c r="Z487" s="761"/>
      <c r="AA487" s="761"/>
      <c r="AB487" s="761"/>
      <c r="AC487" s="761"/>
      <c r="AD487" s="761"/>
      <c r="AE487" s="761"/>
      <c r="AF487" s="761"/>
      <c r="AG487" s="817">
        <f>IF(AND($C$471="Yes",$V$474="N/A",$V$476="N/A",$V$481="N/A",$V$485="N/A"),(VLOOKUP($V$487,$BF$470:$BG$472,2,FALSE)),0)</f>
        <v>0</v>
      </c>
      <c r="AH487" s="802" t="s">
        <v>1439</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1650</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41" t="s">
        <v>599</v>
      </c>
      <c r="D490" s="2042"/>
      <c r="E490" s="795" t="s">
        <v>515</v>
      </c>
      <c r="F490" s="2043" t="s">
        <v>1629</v>
      </c>
      <c r="G490" s="2043"/>
      <c r="H490" s="2043"/>
      <c r="I490" s="2043"/>
      <c r="J490" s="2043"/>
      <c r="K490" s="2043"/>
      <c r="L490" s="2043"/>
      <c r="M490" s="2043"/>
      <c r="N490" s="2043"/>
      <c r="O490" s="2043"/>
      <c r="P490" s="2043"/>
      <c r="Q490" s="2043"/>
      <c r="R490" s="2043"/>
      <c r="S490" s="2043"/>
      <c r="T490" s="2043"/>
      <c r="U490" s="2043"/>
      <c r="V490" s="2043"/>
      <c r="W490" s="2043"/>
      <c r="X490" s="2043"/>
      <c r="Y490" s="2043"/>
      <c r="Z490" s="2043"/>
      <c r="AA490" s="2043"/>
      <c r="AB490" s="2043"/>
      <c r="AC490" s="2043"/>
      <c r="AD490" s="2043"/>
      <c r="AE490" s="2043"/>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44"/>
      <c r="G491" s="2044"/>
      <c r="H491" s="2044"/>
      <c r="I491" s="2044"/>
      <c r="J491" s="2044"/>
      <c r="K491" s="2044"/>
      <c r="L491" s="2044"/>
      <c r="M491" s="2044"/>
      <c r="N491" s="2044"/>
      <c r="O491" s="2044"/>
      <c r="P491" s="2044"/>
      <c r="Q491" s="2044"/>
      <c r="R491" s="2044"/>
      <c r="S491" s="2044"/>
      <c r="T491" s="2044"/>
      <c r="U491" s="2044"/>
      <c r="V491" s="2044"/>
      <c r="W491" s="2044"/>
      <c r="X491" s="2044"/>
      <c r="Y491" s="2044"/>
      <c r="Z491" s="2044"/>
      <c r="AA491" s="2044"/>
      <c r="AB491" s="2044"/>
      <c r="AC491" s="2044"/>
      <c r="AD491" s="2044"/>
      <c r="AE491" s="2044"/>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48" t="s">
        <v>599</v>
      </c>
      <c r="G492" s="2048"/>
      <c r="H492" s="2048"/>
      <c r="I492" s="2048"/>
      <c r="J492" s="2048"/>
      <c r="K492" s="2048"/>
      <c r="L492" s="2048"/>
      <c r="M492" s="2048"/>
      <c r="N492" s="2048"/>
      <c r="O492" s="2048"/>
      <c r="P492" s="2048"/>
      <c r="Q492" s="2048"/>
      <c r="R492" s="2048"/>
      <c r="S492" s="2048"/>
      <c r="T492" s="2048"/>
      <c r="U492" s="2048"/>
      <c r="V492" s="2048"/>
      <c r="W492" s="2048"/>
      <c r="X492" s="2048"/>
      <c r="Y492" s="2048"/>
      <c r="Z492" s="2048"/>
      <c r="AA492" s="800"/>
      <c r="AB492" s="692"/>
      <c r="AC492" s="692"/>
      <c r="AD492" s="761"/>
      <c r="AE492" s="761"/>
      <c r="AF492" s="761"/>
      <c r="AG492" s="801">
        <f>IF($C$490="Yes",(VLOOKUP($F$492,$AO$460:$AP$468,2,FALSE)),0)</f>
        <v>0</v>
      </c>
      <c r="AH492" s="802" t="s">
        <v>1439</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41" t="s">
        <v>599</v>
      </c>
      <c r="D494" s="2042"/>
      <c r="E494" s="795" t="s">
        <v>766</v>
      </c>
      <c r="F494" s="2049" t="s">
        <v>1651</v>
      </c>
      <c r="G494" s="2049"/>
      <c r="H494" s="2049"/>
      <c r="I494" s="2049"/>
      <c r="J494" s="2049"/>
      <c r="K494" s="2049"/>
      <c r="L494" s="2049"/>
      <c r="M494" s="2049"/>
      <c r="N494" s="2049"/>
      <c r="O494" s="2049"/>
      <c r="P494" s="2049"/>
      <c r="Q494" s="2049"/>
      <c r="R494" s="2049"/>
      <c r="S494" s="2049"/>
      <c r="T494" s="2049"/>
      <c r="U494" s="2049"/>
      <c r="V494" s="2049"/>
      <c r="W494" s="2049"/>
      <c r="X494" s="2049"/>
      <c r="Y494" s="2049"/>
      <c r="Z494" s="2049"/>
      <c r="AA494" s="2049"/>
      <c r="AB494" s="2049"/>
      <c r="AC494" s="2049"/>
      <c r="AD494" s="2049"/>
      <c r="AE494" s="2049"/>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50"/>
      <c r="G495" s="2050"/>
      <c r="H495" s="2050"/>
      <c r="I495" s="2050"/>
      <c r="J495" s="2050"/>
      <c r="K495" s="2050"/>
      <c r="L495" s="2050"/>
      <c r="M495" s="2050"/>
      <c r="N495" s="2050"/>
      <c r="O495" s="2050"/>
      <c r="P495" s="2050"/>
      <c r="Q495" s="2050"/>
      <c r="R495" s="2050"/>
      <c r="S495" s="2050"/>
      <c r="T495" s="2050"/>
      <c r="U495" s="2050"/>
      <c r="V495" s="2050"/>
      <c r="W495" s="2050"/>
      <c r="X495" s="2050"/>
      <c r="Y495" s="2050"/>
      <c r="Z495" s="2050"/>
      <c r="AA495" s="2050"/>
      <c r="AB495" s="2050"/>
      <c r="AC495" s="2050"/>
      <c r="AD495" s="2050"/>
      <c r="AE495" s="2050"/>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1652</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51" t="s">
        <v>599</v>
      </c>
      <c r="G497" s="2051"/>
      <c r="H497" s="2051"/>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1439</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41" t="s">
        <v>599</v>
      </c>
      <c r="D499" s="2042"/>
      <c r="E499" s="795" t="s">
        <v>1653</v>
      </c>
      <c r="F499" s="814" t="s">
        <v>1654</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64"/>
      <c r="D501" s="2052"/>
      <c r="E501" s="806"/>
      <c r="F501" s="585" t="s">
        <v>1655</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1439</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65" t="s">
        <v>599</v>
      </c>
      <c r="H502" s="2065"/>
      <c r="I502" s="2065"/>
      <c r="J502" s="2065"/>
      <c r="K502" s="2065"/>
      <c r="L502" s="2065"/>
      <c r="M502" s="2065"/>
      <c r="N502" s="2065"/>
      <c r="O502" s="2065"/>
      <c r="P502" s="2065"/>
      <c r="Q502" s="2065"/>
      <c r="R502" s="2065"/>
      <c r="S502" s="2065"/>
      <c r="T502" s="2065"/>
      <c r="U502" s="2065"/>
      <c r="V502" s="2065"/>
      <c r="W502" s="2065"/>
      <c r="X502" s="2065"/>
      <c r="Y502" s="2065"/>
      <c r="Z502" s="2065"/>
      <c r="AA502" s="2065"/>
      <c r="AB502" s="2065"/>
      <c r="AC502" s="2065"/>
      <c r="AD502" s="2065"/>
      <c r="AE502" s="2065"/>
      <c r="AF502" s="2065"/>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66" t="s">
        <v>599</v>
      </c>
      <c r="D504" s="2067"/>
      <c r="F504" s="585" t="s">
        <v>1656</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1439</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1657</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1658</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66" t="s">
        <v>599</v>
      </c>
      <c r="D508" s="2067"/>
      <c r="F508" s="829" t="s">
        <v>1659</v>
      </c>
      <c r="G508" s="2019" t="s">
        <v>1660</v>
      </c>
      <c r="H508" s="2019"/>
      <c r="I508" s="2019"/>
      <c r="J508" s="2019"/>
      <c r="K508" s="2019"/>
      <c r="L508" s="2019"/>
      <c r="M508" s="2019"/>
      <c r="N508" s="2019"/>
      <c r="O508" s="2019"/>
      <c r="P508" s="2019"/>
      <c r="Q508" s="2019"/>
      <c r="R508" s="2019"/>
      <c r="S508" s="2019"/>
      <c r="T508" s="2019"/>
      <c r="U508" s="2019"/>
      <c r="V508" s="2019"/>
      <c r="W508" s="2019"/>
      <c r="X508" s="2019"/>
      <c r="Y508" s="2019"/>
      <c r="Z508" s="2019"/>
      <c r="AA508" s="2019"/>
      <c r="AB508" s="2019"/>
      <c r="AC508" s="2019"/>
      <c r="AD508" s="2019"/>
      <c r="AE508" s="2019"/>
      <c r="AF508" s="2019"/>
      <c r="AG508" s="647">
        <f>IF(AND($C$508="Yes",$C$499="Yes"),2,0)</f>
        <v>0</v>
      </c>
      <c r="AH508" s="674" t="s">
        <v>1439</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38"/>
      <c r="H509" s="2038"/>
      <c r="I509" s="2038"/>
      <c r="J509" s="2038"/>
      <c r="K509" s="2038"/>
      <c r="L509" s="2038"/>
      <c r="M509" s="2038"/>
      <c r="N509" s="2038"/>
      <c r="O509" s="2038"/>
      <c r="P509" s="2038"/>
      <c r="Q509" s="2038"/>
      <c r="R509" s="2038"/>
      <c r="S509" s="2038"/>
      <c r="T509" s="2038"/>
      <c r="U509" s="2038"/>
      <c r="V509" s="2038"/>
      <c r="W509" s="2038"/>
      <c r="X509" s="2038"/>
      <c r="Y509" s="2038"/>
      <c r="Z509" s="2038"/>
      <c r="AA509" s="2038"/>
      <c r="AB509" s="2038"/>
      <c r="AC509" s="2038"/>
      <c r="AD509" s="2038"/>
      <c r="AE509" s="2038"/>
      <c r="AF509" s="2038"/>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1661</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54" t="s">
        <v>599</v>
      </c>
      <c r="D512" s="2055"/>
      <c r="E512" s="836" t="s">
        <v>1662</v>
      </c>
      <c r="F512" s="805" t="s">
        <v>1663</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1439</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56" t="s">
        <v>599</v>
      </c>
      <c r="G513" s="2056"/>
      <c r="H513" s="2056"/>
      <c r="I513" s="2056"/>
      <c r="J513" s="2056"/>
      <c r="K513" s="2056"/>
      <c r="L513" s="2056"/>
      <c r="M513" s="2056"/>
      <c r="N513" s="2056"/>
      <c r="O513" s="2056"/>
      <c r="P513" s="2056"/>
      <c r="Q513" s="2056"/>
      <c r="R513" s="2056"/>
      <c r="S513" s="2056"/>
      <c r="T513" s="2056"/>
      <c r="U513" s="2056"/>
      <c r="V513" s="2056"/>
      <c r="W513" s="2056"/>
      <c r="X513" s="2056"/>
      <c r="Y513" s="2056"/>
      <c r="Z513" s="2056"/>
      <c r="AA513" s="2056"/>
      <c r="AB513" s="2056"/>
      <c r="AC513" s="2056"/>
      <c r="AD513" s="2056"/>
      <c r="AE513" s="2056"/>
      <c r="AF513" s="2056"/>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57"/>
      <c r="G514" s="2057"/>
      <c r="H514" s="2057"/>
      <c r="I514" s="2057"/>
      <c r="J514" s="2057"/>
      <c r="K514" s="2057"/>
      <c r="L514" s="2057"/>
      <c r="M514" s="2057"/>
      <c r="N514" s="2057"/>
      <c r="O514" s="2057"/>
      <c r="P514" s="2057"/>
      <c r="Q514" s="2057"/>
      <c r="R514" s="2057"/>
      <c r="S514" s="2057"/>
      <c r="T514" s="2057"/>
      <c r="U514" s="2057"/>
      <c r="V514" s="2057"/>
      <c r="W514" s="2057"/>
      <c r="X514" s="2057"/>
      <c r="Y514" s="2057"/>
      <c r="Z514" s="2057"/>
      <c r="AA514" s="2057"/>
      <c r="AB514" s="2057"/>
      <c r="AC514" s="2057"/>
      <c r="AD514" s="2057"/>
      <c r="AE514" s="2057"/>
      <c r="AF514" s="2057"/>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1664</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1665</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2343</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1666</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2344</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1667</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1668</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1669</v>
      </c>
      <c r="AK524" s="1975">
        <f>SUM(AG468:AG513)</f>
        <v>0</v>
      </c>
      <c r="AL524" s="1976"/>
      <c r="AM524" s="1977"/>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1670</v>
      </c>
      <c r="B527" s="573" t="s">
        <v>1671</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10" t="s">
        <v>1672</v>
      </c>
      <c r="AF527" s="1910"/>
      <c r="AG527" s="1910"/>
      <c r="AH527" s="1910"/>
      <c r="AI527" s="1910"/>
      <c r="AJ527" s="1910"/>
      <c r="AK527" s="1910"/>
      <c r="AL527" s="629"/>
      <c r="AM527" s="629"/>
      <c r="AN527" s="631"/>
    </row>
    <row r="528" spans="1:81" s="584" customFormat="1" ht="12.75" customHeight="1">
      <c r="A528" s="573"/>
      <c r="B528" s="573" t="s">
        <v>1435</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72" t="s">
        <v>553</v>
      </c>
      <c r="D530" s="1972"/>
      <c r="E530" s="585"/>
      <c r="F530" s="2058" t="s">
        <v>1673</v>
      </c>
      <c r="G530" s="2059"/>
      <c r="H530" s="2059"/>
      <c r="I530" s="2059"/>
      <c r="J530" s="2059"/>
      <c r="K530" s="2059"/>
      <c r="L530" s="2059"/>
      <c r="M530" s="2059"/>
      <c r="N530" s="2059"/>
      <c r="O530" s="2059"/>
      <c r="P530" s="2059"/>
      <c r="Q530" s="2059"/>
      <c r="R530" s="2059"/>
      <c r="S530" s="2059"/>
      <c r="T530" s="2059"/>
      <c r="U530" s="2059"/>
      <c r="V530" s="2059"/>
      <c r="W530" s="2059"/>
      <c r="X530" s="2059"/>
      <c r="Y530" s="2059"/>
      <c r="Z530" s="2059"/>
      <c r="AA530" s="2059"/>
      <c r="AB530" s="2059"/>
      <c r="AC530" s="2059"/>
      <c r="AD530" s="2059"/>
      <c r="AE530" s="2059"/>
      <c r="AF530" s="2059"/>
      <c r="AG530" s="2059"/>
      <c r="AH530" s="2059"/>
      <c r="AI530" s="2059"/>
      <c r="AJ530" s="2059"/>
      <c r="AK530" s="2059"/>
      <c r="AL530" s="2060"/>
      <c r="AM530" s="629"/>
      <c r="AN530" s="631"/>
    </row>
    <row r="531" spans="1:49" s="584" customFormat="1" ht="12.75" customHeight="1">
      <c r="A531" s="573"/>
      <c r="B531" s="573"/>
      <c r="C531" s="585"/>
      <c r="D531" s="585"/>
      <c r="E531" s="585"/>
      <c r="F531" s="2061"/>
      <c r="G531" s="2062"/>
      <c r="H531" s="2062"/>
      <c r="I531" s="2062"/>
      <c r="J531" s="2062"/>
      <c r="K531" s="2062"/>
      <c r="L531" s="2062"/>
      <c r="M531" s="2062"/>
      <c r="N531" s="2062"/>
      <c r="O531" s="2062"/>
      <c r="P531" s="2062"/>
      <c r="Q531" s="2062"/>
      <c r="R531" s="2062"/>
      <c r="S531" s="2062"/>
      <c r="T531" s="2062"/>
      <c r="U531" s="2062"/>
      <c r="V531" s="2062"/>
      <c r="W531" s="2062"/>
      <c r="X531" s="2062"/>
      <c r="Y531" s="2062"/>
      <c r="Z531" s="2062"/>
      <c r="AA531" s="2062"/>
      <c r="AB531" s="2062"/>
      <c r="AC531" s="2062"/>
      <c r="AD531" s="2062"/>
      <c r="AE531" s="2062"/>
      <c r="AF531" s="2062"/>
      <c r="AG531" s="2062"/>
      <c r="AH531" s="2062"/>
      <c r="AI531" s="2062"/>
      <c r="AJ531" s="2062"/>
      <c r="AK531" s="2062"/>
      <c r="AL531" s="2063"/>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72" t="s">
        <v>599</v>
      </c>
      <c r="D533" s="1972"/>
      <c r="E533" s="840"/>
      <c r="F533" s="678" t="s">
        <v>1674</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94" t="s">
        <v>1675</v>
      </c>
      <c r="G534" s="1995"/>
      <c r="H534" s="1995"/>
      <c r="I534" s="1995"/>
      <c r="J534" s="1995"/>
      <c r="K534" s="1995"/>
      <c r="L534" s="1995"/>
      <c r="M534" s="1995"/>
      <c r="N534" s="1995"/>
      <c r="O534" s="1995"/>
      <c r="P534" s="1995"/>
      <c r="Q534" s="1995"/>
      <c r="R534" s="1995"/>
      <c r="S534" s="1995"/>
      <c r="T534" s="1995"/>
      <c r="U534" s="1995"/>
      <c r="V534" s="1995"/>
      <c r="W534" s="1995"/>
      <c r="X534" s="1995"/>
      <c r="Y534" s="1995"/>
      <c r="Z534" s="1995"/>
      <c r="AA534" s="1995"/>
      <c r="AB534" s="1995"/>
      <c r="AC534" s="1995"/>
      <c r="AD534" s="1995"/>
      <c r="AE534" s="1995"/>
      <c r="AF534" s="1995"/>
      <c r="AG534" s="1995"/>
      <c r="AH534" s="1995"/>
      <c r="AI534" s="1995"/>
      <c r="AJ534" s="1995"/>
      <c r="AK534" s="1995"/>
      <c r="AL534" s="1996"/>
      <c r="AM534" s="629"/>
      <c r="AN534" s="631"/>
      <c r="AS534" s="904"/>
      <c r="AT534" s="904"/>
      <c r="AU534" s="904"/>
      <c r="AV534" s="904"/>
      <c r="AW534" s="904"/>
    </row>
    <row r="535" spans="1:49" s="584" customFormat="1" ht="12.75" customHeight="1">
      <c r="B535" s="840"/>
      <c r="C535" s="840"/>
      <c r="D535" s="840"/>
      <c r="E535" s="840"/>
      <c r="F535" s="1994"/>
      <c r="G535" s="1995"/>
      <c r="H535" s="1995"/>
      <c r="I535" s="1995"/>
      <c r="J535" s="1995"/>
      <c r="K535" s="1995"/>
      <c r="L535" s="1995"/>
      <c r="M535" s="1995"/>
      <c r="N535" s="1995"/>
      <c r="O535" s="1995"/>
      <c r="P535" s="1995"/>
      <c r="Q535" s="1995"/>
      <c r="R535" s="1995"/>
      <c r="S535" s="1995"/>
      <c r="T535" s="1995"/>
      <c r="U535" s="1995"/>
      <c r="V535" s="1995"/>
      <c r="W535" s="1995"/>
      <c r="X535" s="1995"/>
      <c r="Y535" s="1995"/>
      <c r="Z535" s="1995"/>
      <c r="AA535" s="1995"/>
      <c r="AB535" s="1995"/>
      <c r="AC535" s="1995"/>
      <c r="AD535" s="1995"/>
      <c r="AE535" s="1995"/>
      <c r="AF535" s="1995"/>
      <c r="AG535" s="1995"/>
      <c r="AH535" s="1995"/>
      <c r="AI535" s="1995"/>
      <c r="AJ535" s="1995"/>
      <c r="AK535" s="1995"/>
      <c r="AL535" s="1996"/>
      <c r="AM535" s="629"/>
      <c r="AN535" s="631"/>
    </row>
    <row r="536" spans="1:49" s="584" customFormat="1" ht="12.75" customHeight="1">
      <c r="B536" s="840"/>
      <c r="C536" s="840"/>
      <c r="D536" s="840"/>
      <c r="E536" s="840"/>
      <c r="F536" s="845" t="s">
        <v>2345</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94" t="s">
        <v>1676</v>
      </c>
      <c r="G537" s="1995"/>
      <c r="H537" s="1995"/>
      <c r="I537" s="1995"/>
      <c r="J537" s="1995"/>
      <c r="K537" s="1995"/>
      <c r="L537" s="1995"/>
      <c r="M537" s="1995"/>
      <c r="N537" s="1995"/>
      <c r="O537" s="1995"/>
      <c r="P537" s="1995"/>
      <c r="Q537" s="1995"/>
      <c r="R537" s="1995"/>
      <c r="S537" s="1995"/>
      <c r="T537" s="1995"/>
      <c r="U537" s="1995"/>
      <c r="V537" s="1995"/>
      <c r="W537" s="1995"/>
      <c r="X537" s="1995"/>
      <c r="Y537" s="1995"/>
      <c r="Z537" s="1995"/>
      <c r="AA537" s="1995"/>
      <c r="AB537" s="1995"/>
      <c r="AC537" s="1995"/>
      <c r="AD537" s="1995"/>
      <c r="AE537" s="1995"/>
      <c r="AF537" s="1995"/>
      <c r="AG537" s="1995"/>
      <c r="AH537" s="1995"/>
      <c r="AI537" s="1995"/>
      <c r="AJ537" s="1995"/>
      <c r="AK537" s="1995"/>
      <c r="AL537" s="847"/>
      <c r="AM537" s="629"/>
      <c r="AN537" s="631"/>
    </row>
    <row r="538" spans="1:49" s="584" customFormat="1" ht="12.75" customHeight="1">
      <c r="B538" s="840"/>
      <c r="C538" s="840"/>
      <c r="D538" s="840"/>
      <c r="E538" s="840"/>
      <c r="F538" s="1997"/>
      <c r="G538" s="1998"/>
      <c r="H538" s="1998"/>
      <c r="I538" s="1998"/>
      <c r="J538" s="1998"/>
      <c r="K538" s="1998"/>
      <c r="L538" s="1998"/>
      <c r="M538" s="1998"/>
      <c r="N538" s="1998"/>
      <c r="O538" s="1998"/>
      <c r="P538" s="1998"/>
      <c r="Q538" s="1998"/>
      <c r="R538" s="1998"/>
      <c r="S538" s="1998"/>
      <c r="T538" s="1998"/>
      <c r="U538" s="1998"/>
      <c r="V538" s="1998"/>
      <c r="W538" s="1998"/>
      <c r="X538" s="1998"/>
      <c r="Y538" s="1998"/>
      <c r="Z538" s="1998"/>
      <c r="AA538" s="1998"/>
      <c r="AB538" s="1998"/>
      <c r="AC538" s="1998"/>
      <c r="AD538" s="1998"/>
      <c r="AE538" s="1998"/>
      <c r="AF538" s="1998"/>
      <c r="AG538" s="1998"/>
      <c r="AH538" s="1998"/>
      <c r="AI538" s="1998"/>
      <c r="AJ538" s="1998"/>
      <c r="AK538" s="1998"/>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22">
        <f>Application!AJ991</f>
        <v>99482640</v>
      </c>
      <c r="AQ539" s="2122"/>
      <c r="AR539" s="2122"/>
      <c r="AS539" s="584" t="s">
        <v>2534</v>
      </c>
    </row>
    <row r="540" spans="1:49" s="584" customFormat="1" ht="12.75" customHeight="1">
      <c r="A540" s="532"/>
      <c r="B540" s="481" t="s">
        <v>1677</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78">
        <f>'Sources and Uses Budget'!S107+'Sources and Uses Budget'!T107</f>
        <v>110652357.18904419</v>
      </c>
      <c r="AG540" s="1978"/>
      <c r="AH540" s="1978"/>
      <c r="AI540" s="1978"/>
      <c r="AJ540" s="1978"/>
      <c r="AK540" s="629"/>
      <c r="AL540" s="629"/>
      <c r="AM540" s="629"/>
      <c r="AN540" s="631"/>
    </row>
    <row r="541" spans="1:49" s="584" customFormat="1" ht="12.75" customHeight="1">
      <c r="A541" s="659"/>
      <c r="B541" s="659" t="s">
        <v>1678</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27">
        <f>IFERROR(AP548,0)</f>
        <v>210289520</v>
      </c>
      <c r="AG541" s="2127"/>
      <c r="AH541" s="2127"/>
      <c r="AI541" s="2127"/>
      <c r="AJ541" s="2127"/>
      <c r="AK541" s="629"/>
      <c r="AL541" s="629"/>
      <c r="AM541" s="629"/>
      <c r="AN541" s="631"/>
      <c r="AP541" s="2122">
        <f>Application!AJ1044</f>
        <v>14922396</v>
      </c>
      <c r="AQ541" s="2122"/>
      <c r="AR541" s="2122"/>
      <c r="AS541" s="584" t="s">
        <v>2056</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28">
        <f>IFERROR(ROUNDDOWN(IF(C533="YES",((1-(AF540/AF541))*2),(1-(AF540/AF541))),2),0)</f>
        <v>0.47</v>
      </c>
      <c r="AG542" s="2128"/>
      <c r="AH542" s="2128"/>
      <c r="AI542" s="2128"/>
      <c r="AJ542" s="2128"/>
      <c r="AK542" s="629"/>
      <c r="AL542" s="629"/>
      <c r="AM542" s="629"/>
      <c r="AN542" s="631"/>
      <c r="AP542" s="2125">
        <f>Application!AJ1048</f>
        <v>87544723.200000003</v>
      </c>
      <c r="AQ542" s="2125"/>
      <c r="AR542" s="2125"/>
      <c r="AS542" s="584" t="s">
        <v>2535</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21">
        <f>IF(((AP541+AP542)/AP539)&gt;0.8,0.8,((AP541+AP542)/AP539))</f>
        <v>0.8</v>
      </c>
      <c r="AQ543" s="2121"/>
      <c r="AR543" s="2121"/>
      <c r="AS543" s="584" t="s">
        <v>2536</v>
      </c>
    </row>
    <row r="544" spans="1:49" s="584" customFormat="1" ht="12.75" customHeight="1">
      <c r="A544" s="658"/>
      <c r="B544" s="2074" t="s">
        <v>2346</v>
      </c>
      <c r="C544" s="2075"/>
      <c r="D544" s="2075"/>
      <c r="E544" s="2075"/>
      <c r="F544" s="2075"/>
      <c r="G544" s="2075"/>
      <c r="H544" s="2075"/>
      <c r="I544" s="2075"/>
      <c r="J544" s="2075"/>
      <c r="K544" s="2075"/>
      <c r="L544" s="2075"/>
      <c r="M544" s="2075"/>
      <c r="N544" s="2075"/>
      <c r="O544" s="2075"/>
      <c r="P544" s="2075"/>
      <c r="Q544" s="2075"/>
      <c r="R544" s="2075"/>
      <c r="S544" s="2075"/>
      <c r="T544" s="2075"/>
      <c r="U544" s="2075"/>
      <c r="V544" s="2075"/>
      <c r="W544" s="2075"/>
      <c r="X544" s="2075"/>
      <c r="Y544" s="2075"/>
      <c r="Z544" s="2075"/>
      <c r="AA544" s="2075"/>
      <c r="AB544" s="2075"/>
      <c r="AC544" s="2075"/>
      <c r="AD544" s="2075"/>
      <c r="AE544" s="2075"/>
      <c r="AF544" s="2075"/>
      <c r="AG544" s="2075"/>
      <c r="AH544" s="2075"/>
      <c r="AI544" s="2075"/>
      <c r="AJ544" s="2076"/>
      <c r="AK544" s="629"/>
      <c r="AL544" s="629"/>
      <c r="AM544" s="629"/>
      <c r="AN544" s="631"/>
    </row>
    <row r="545" spans="1:45" s="584" customFormat="1" ht="12.75" customHeight="1">
      <c r="A545" s="658"/>
      <c r="B545" s="2077"/>
      <c r="C545" s="2078"/>
      <c r="D545" s="2078"/>
      <c r="E545" s="2078"/>
      <c r="F545" s="2078"/>
      <c r="G545" s="2078"/>
      <c r="H545" s="2078"/>
      <c r="I545" s="2078"/>
      <c r="J545" s="2078"/>
      <c r="K545" s="2078"/>
      <c r="L545" s="2078"/>
      <c r="M545" s="2078"/>
      <c r="N545" s="2078"/>
      <c r="O545" s="2078"/>
      <c r="P545" s="2078"/>
      <c r="Q545" s="2078"/>
      <c r="R545" s="2078"/>
      <c r="S545" s="2078"/>
      <c r="T545" s="2078"/>
      <c r="U545" s="2078"/>
      <c r="V545" s="2078"/>
      <c r="W545" s="2078"/>
      <c r="X545" s="2078"/>
      <c r="Y545" s="2078"/>
      <c r="Z545" s="2078"/>
      <c r="AA545" s="2078"/>
      <c r="AB545" s="2078"/>
      <c r="AC545" s="2078"/>
      <c r="AD545" s="2078"/>
      <c r="AE545" s="2078"/>
      <c r="AF545" s="2078"/>
      <c r="AG545" s="2078"/>
      <c r="AH545" s="2078"/>
      <c r="AI545" s="2078"/>
      <c r="AJ545" s="2079"/>
      <c r="AK545" s="629"/>
      <c r="AL545" s="629"/>
      <c r="AM545" s="629"/>
      <c r="AN545" s="631"/>
      <c r="AP545" s="2122">
        <f>AP546-AP541-AP542</f>
        <v>130703407.99999999</v>
      </c>
      <c r="AQ545" s="2030"/>
      <c r="AR545" s="2030"/>
      <c r="AS545" s="584" t="s">
        <v>2538</v>
      </c>
    </row>
    <row r="546" spans="1:45" s="584" customFormat="1" ht="12.75" customHeight="1">
      <c r="A546" s="658"/>
      <c r="B546" s="2080"/>
      <c r="C546" s="2081"/>
      <c r="D546" s="2081"/>
      <c r="E546" s="2081"/>
      <c r="F546" s="2081"/>
      <c r="G546" s="2081"/>
      <c r="H546" s="2081"/>
      <c r="I546" s="2081"/>
      <c r="J546" s="2081"/>
      <c r="K546" s="2081"/>
      <c r="L546" s="2081"/>
      <c r="M546" s="2081"/>
      <c r="N546" s="2081"/>
      <c r="O546" s="2081"/>
      <c r="P546" s="2081"/>
      <c r="Q546" s="2081"/>
      <c r="R546" s="2081"/>
      <c r="S546" s="2081"/>
      <c r="T546" s="2081"/>
      <c r="U546" s="2081"/>
      <c r="V546" s="2081"/>
      <c r="W546" s="2081"/>
      <c r="X546" s="2081"/>
      <c r="Y546" s="2081"/>
      <c r="Z546" s="2081"/>
      <c r="AA546" s="2081"/>
      <c r="AB546" s="2081"/>
      <c r="AC546" s="2081"/>
      <c r="AD546" s="2081"/>
      <c r="AE546" s="2081"/>
      <c r="AF546" s="2081"/>
      <c r="AG546" s="2081"/>
      <c r="AH546" s="2081"/>
      <c r="AI546" s="2081"/>
      <c r="AJ546" s="2082"/>
      <c r="AK546" s="629"/>
      <c r="AL546" s="629"/>
      <c r="AM546" s="629"/>
      <c r="AN546" s="631"/>
      <c r="AP546" s="2122">
        <f>Application!AJ1052</f>
        <v>233170527.19999999</v>
      </c>
      <c r="AQ546" s="2122"/>
      <c r="AR546" s="2122"/>
      <c r="AS546" s="584" t="s">
        <v>2537</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1679</v>
      </c>
      <c r="AK548" s="2083">
        <f>IFERROR(IF(AND(C530="N/A",C533="N/A"),0,IF(AF542=0,0,IF((AF542*100)&gt;12,12,(AF542*100)))),0)</f>
        <v>12</v>
      </c>
      <c r="AL548" s="2083"/>
      <c r="AM548" s="2084"/>
      <c r="AN548" s="631"/>
      <c r="AP548" s="2138">
        <f>AP545+(AP539*AP543)</f>
        <v>210289520</v>
      </c>
      <c r="AQ548" s="2139"/>
      <c r="AR548" s="2140"/>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2336</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10" t="s">
        <v>1425</v>
      </c>
      <c r="AF551" s="1910"/>
      <c r="AG551" s="1910"/>
      <c r="AH551" s="1910"/>
      <c r="AI551" s="1910"/>
      <c r="AJ551" s="1910"/>
      <c r="AK551" s="1910"/>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95" t="s">
        <v>2337</v>
      </c>
      <c r="C553" s="1995"/>
      <c r="D553" s="1995"/>
      <c r="E553" s="1995"/>
      <c r="F553" s="1995"/>
      <c r="G553" s="1995"/>
      <c r="H553" s="1995"/>
      <c r="I553" s="1995"/>
      <c r="J553" s="1995"/>
      <c r="K553" s="1995"/>
      <c r="L553" s="1995"/>
      <c r="M553" s="1995"/>
      <c r="N553" s="1995"/>
      <c r="O553" s="1995"/>
      <c r="P553" s="1995"/>
      <c r="Q553" s="1995"/>
      <c r="R553" s="1995"/>
      <c r="S553" s="1995"/>
      <c r="T553" s="1995"/>
      <c r="U553" s="1995"/>
      <c r="V553" s="1995"/>
      <c r="W553" s="1995"/>
      <c r="X553" s="1995"/>
      <c r="Y553" s="1995"/>
      <c r="Z553" s="1995"/>
      <c r="AA553" s="1995"/>
      <c r="AB553" s="1995"/>
      <c r="AC553" s="1995"/>
      <c r="AD553" s="1995"/>
      <c r="AE553" s="1995"/>
      <c r="AF553" s="1995"/>
      <c r="AG553" s="1995"/>
      <c r="AH553" s="1995"/>
      <c r="AI553" s="1995"/>
      <c r="AJ553" s="1995"/>
      <c r="AK553" s="676"/>
      <c r="AL553" s="607"/>
      <c r="AM553" s="637"/>
      <c r="AN553" s="631"/>
    </row>
    <row r="554" spans="1:45" s="584" customFormat="1" ht="12.75" customHeight="1">
      <c r="A554" s="637"/>
      <c r="B554" s="1995"/>
      <c r="C554" s="1995"/>
      <c r="D554" s="1995"/>
      <c r="E554" s="1995"/>
      <c r="F554" s="1995"/>
      <c r="G554" s="1995"/>
      <c r="H554" s="1995"/>
      <c r="I554" s="1995"/>
      <c r="J554" s="1995"/>
      <c r="K554" s="1995"/>
      <c r="L554" s="1995"/>
      <c r="M554" s="1995"/>
      <c r="N554" s="1995"/>
      <c r="O554" s="1995"/>
      <c r="P554" s="1995"/>
      <c r="Q554" s="1995"/>
      <c r="R554" s="1995"/>
      <c r="S554" s="1995"/>
      <c r="T554" s="1995"/>
      <c r="U554" s="1995"/>
      <c r="V554" s="1995"/>
      <c r="W554" s="1995"/>
      <c r="X554" s="1995"/>
      <c r="Y554" s="1995"/>
      <c r="Z554" s="1995"/>
      <c r="AA554" s="1995"/>
      <c r="AB554" s="1995"/>
      <c r="AC554" s="1995"/>
      <c r="AD554" s="1995"/>
      <c r="AE554" s="1995"/>
      <c r="AF554" s="1995"/>
      <c r="AG554" s="1995"/>
      <c r="AH554" s="1995"/>
      <c r="AI554" s="1995"/>
      <c r="AJ554" s="1995"/>
      <c r="AK554" s="676"/>
      <c r="AL554" s="607"/>
      <c r="AM554" s="637"/>
      <c r="AN554" s="631"/>
    </row>
    <row r="555" spans="1:45" s="584" customFormat="1" ht="12.75" customHeight="1">
      <c r="A555" s="637"/>
      <c r="B555" s="1995"/>
      <c r="C555" s="1995"/>
      <c r="D555" s="1995"/>
      <c r="E555" s="1995"/>
      <c r="F555" s="1995"/>
      <c r="G555" s="1995"/>
      <c r="H555" s="1995"/>
      <c r="I555" s="1995"/>
      <c r="J555" s="1995"/>
      <c r="K555" s="1995"/>
      <c r="L555" s="1995"/>
      <c r="M555" s="1995"/>
      <c r="N555" s="1995"/>
      <c r="O555" s="1995"/>
      <c r="P555" s="1995"/>
      <c r="Q555" s="1995"/>
      <c r="R555" s="1995"/>
      <c r="S555" s="1995"/>
      <c r="T555" s="1995"/>
      <c r="U555" s="1995"/>
      <c r="V555" s="1995"/>
      <c r="W555" s="1995"/>
      <c r="X555" s="1995"/>
      <c r="Y555" s="1995"/>
      <c r="Z555" s="1995"/>
      <c r="AA555" s="1995"/>
      <c r="AB555" s="1995"/>
      <c r="AC555" s="1995"/>
      <c r="AD555" s="1995"/>
      <c r="AE555" s="1995"/>
      <c r="AF555" s="1995"/>
      <c r="AG555" s="1995"/>
      <c r="AH555" s="1995"/>
      <c r="AI555" s="1995"/>
      <c r="AJ555" s="1995"/>
      <c r="AK555" s="676"/>
      <c r="AL555" s="607"/>
      <c r="AM555" s="637"/>
      <c r="AN555" s="631"/>
    </row>
    <row r="556" spans="1:45" s="584" customFormat="1" ht="12.75" customHeight="1">
      <c r="A556" s="637"/>
      <c r="B556" s="1995"/>
      <c r="C556" s="1995"/>
      <c r="D556" s="1995"/>
      <c r="E556" s="1995"/>
      <c r="F556" s="1995"/>
      <c r="G556" s="1995"/>
      <c r="H556" s="1995"/>
      <c r="I556" s="1995"/>
      <c r="J556" s="1995"/>
      <c r="K556" s="1995"/>
      <c r="L556" s="1995"/>
      <c r="M556" s="1995"/>
      <c r="N556" s="1995"/>
      <c r="O556" s="1995"/>
      <c r="P556" s="1995"/>
      <c r="Q556" s="1995"/>
      <c r="R556" s="1995"/>
      <c r="S556" s="1995"/>
      <c r="T556" s="1995"/>
      <c r="U556" s="1995"/>
      <c r="V556" s="1995"/>
      <c r="W556" s="1995"/>
      <c r="X556" s="1995"/>
      <c r="Y556" s="1995"/>
      <c r="Z556" s="1995"/>
      <c r="AA556" s="1995"/>
      <c r="AB556" s="1995"/>
      <c r="AC556" s="1995"/>
      <c r="AD556" s="1995"/>
      <c r="AE556" s="1995"/>
      <c r="AF556" s="1995"/>
      <c r="AG556" s="1995"/>
      <c r="AH556" s="1995"/>
      <c r="AI556" s="1995"/>
      <c r="AJ556" s="1995"/>
      <c r="AK556" s="676"/>
      <c r="AL556" s="607"/>
      <c r="AM556" s="637"/>
      <c r="AN556" s="631"/>
    </row>
    <row r="557" spans="1:45" s="584" customFormat="1" ht="12.75" customHeight="1">
      <c r="A557" s="637"/>
      <c r="B557" s="1995"/>
      <c r="C557" s="1995"/>
      <c r="D557" s="1995"/>
      <c r="E557" s="1995"/>
      <c r="F557" s="1995"/>
      <c r="G557" s="1995"/>
      <c r="H557" s="1995"/>
      <c r="I557" s="1995"/>
      <c r="J557" s="1995"/>
      <c r="K557" s="1995"/>
      <c r="L557" s="1995"/>
      <c r="M557" s="1995"/>
      <c r="N557" s="1995"/>
      <c r="O557" s="1995"/>
      <c r="P557" s="1995"/>
      <c r="Q557" s="1995"/>
      <c r="R557" s="1995"/>
      <c r="S557" s="1995"/>
      <c r="T557" s="1995"/>
      <c r="U557" s="1995"/>
      <c r="V557" s="1995"/>
      <c r="W557" s="1995"/>
      <c r="X557" s="1995"/>
      <c r="Y557" s="1995"/>
      <c r="Z557" s="1995"/>
      <c r="AA557" s="1995"/>
      <c r="AB557" s="1995"/>
      <c r="AC557" s="1995"/>
      <c r="AD557" s="1995"/>
      <c r="AE557" s="1995"/>
      <c r="AF557" s="1995"/>
      <c r="AG557" s="1995"/>
      <c r="AH557" s="1995"/>
      <c r="AI557" s="1995"/>
      <c r="AJ557" s="1995"/>
      <c r="AK557" s="676"/>
      <c r="AL557" s="607"/>
      <c r="AM557" s="637"/>
      <c r="AN557" s="631"/>
    </row>
    <row r="558" spans="1:45" s="584" customFormat="1" ht="12.75" customHeight="1">
      <c r="A558" s="637"/>
      <c r="B558" s="1995"/>
      <c r="C558" s="1995"/>
      <c r="D558" s="1995"/>
      <c r="E558" s="1995"/>
      <c r="F558" s="1995"/>
      <c r="G558" s="1995"/>
      <c r="H558" s="1995"/>
      <c r="I558" s="1995"/>
      <c r="J558" s="1995"/>
      <c r="K558" s="1995"/>
      <c r="L558" s="1995"/>
      <c r="M558" s="1995"/>
      <c r="N558" s="1995"/>
      <c r="O558" s="1995"/>
      <c r="P558" s="1995"/>
      <c r="Q558" s="1995"/>
      <c r="R558" s="1995"/>
      <c r="S558" s="1995"/>
      <c r="T558" s="1995"/>
      <c r="U558" s="1995"/>
      <c r="V558" s="1995"/>
      <c r="W558" s="1995"/>
      <c r="X558" s="1995"/>
      <c r="Y558" s="1995"/>
      <c r="Z558" s="1995"/>
      <c r="AA558" s="1995"/>
      <c r="AB558" s="1995"/>
      <c r="AC558" s="1995"/>
      <c r="AD558" s="1995"/>
      <c r="AE558" s="1995"/>
      <c r="AF558" s="1995"/>
      <c r="AG558" s="1995"/>
      <c r="AH558" s="1995"/>
      <c r="AI558" s="1995"/>
      <c r="AJ558" s="1995"/>
      <c r="AK558" s="676"/>
      <c r="AL558" s="607"/>
      <c r="AM558" s="637"/>
      <c r="AN558" s="631"/>
    </row>
    <row r="559" spans="1:45" s="584" customFormat="1" ht="12.75" customHeight="1">
      <c r="A559" s="637"/>
      <c r="B559" s="1995"/>
      <c r="C559" s="1995"/>
      <c r="D559" s="1995"/>
      <c r="E559" s="1995"/>
      <c r="F559" s="1995"/>
      <c r="G559" s="1995"/>
      <c r="H559" s="1995"/>
      <c r="I559" s="1995"/>
      <c r="J559" s="1995"/>
      <c r="K559" s="1995"/>
      <c r="L559" s="1995"/>
      <c r="M559" s="1995"/>
      <c r="N559" s="1995"/>
      <c r="O559" s="1995"/>
      <c r="P559" s="1995"/>
      <c r="Q559" s="1995"/>
      <c r="R559" s="1995"/>
      <c r="S559" s="1995"/>
      <c r="T559" s="1995"/>
      <c r="U559" s="1995"/>
      <c r="V559" s="1995"/>
      <c r="W559" s="1995"/>
      <c r="X559" s="1995"/>
      <c r="Y559" s="1995"/>
      <c r="Z559" s="1995"/>
      <c r="AA559" s="1995"/>
      <c r="AB559" s="1995"/>
      <c r="AC559" s="1995"/>
      <c r="AD559" s="1995"/>
      <c r="AE559" s="1995"/>
      <c r="AF559" s="1995"/>
      <c r="AG559" s="1995"/>
      <c r="AH559" s="1995"/>
      <c r="AI559" s="1995"/>
      <c r="AJ559" s="1995"/>
      <c r="AK559" s="676"/>
      <c r="AL559" s="607"/>
      <c r="AM559" s="637"/>
      <c r="AN559" s="631"/>
    </row>
    <row r="560" spans="1:45" ht="12.75" customHeight="1">
      <c r="A560" s="637"/>
      <c r="B560" s="1995"/>
      <c r="C560" s="1995"/>
      <c r="D560" s="1995"/>
      <c r="E560" s="1995"/>
      <c r="F560" s="1995"/>
      <c r="G560" s="1995"/>
      <c r="H560" s="1995"/>
      <c r="I560" s="1995"/>
      <c r="J560" s="1995"/>
      <c r="K560" s="1995"/>
      <c r="L560" s="1995"/>
      <c r="M560" s="1995"/>
      <c r="N560" s="1995"/>
      <c r="O560" s="1995"/>
      <c r="P560" s="1995"/>
      <c r="Q560" s="1995"/>
      <c r="R560" s="1995"/>
      <c r="S560" s="1995"/>
      <c r="T560" s="1995"/>
      <c r="U560" s="1995"/>
      <c r="V560" s="1995"/>
      <c r="W560" s="1995"/>
      <c r="X560" s="1995"/>
      <c r="Y560" s="1995"/>
      <c r="Z560" s="1995"/>
      <c r="AA560" s="1995"/>
      <c r="AB560" s="1995"/>
      <c r="AC560" s="1995"/>
      <c r="AD560" s="1995"/>
      <c r="AE560" s="1995"/>
      <c r="AF560" s="1995"/>
      <c r="AG560" s="1995"/>
      <c r="AH560" s="1995"/>
      <c r="AI560" s="1995"/>
      <c r="AJ560" s="1995"/>
      <c r="AK560" s="676"/>
      <c r="AL560" s="607"/>
      <c r="AM560" s="637"/>
    </row>
    <row r="561" spans="1:42" s="584" customFormat="1" ht="12.75" customHeight="1">
      <c r="B561" s="1995"/>
      <c r="C561" s="1995"/>
      <c r="D561" s="1995"/>
      <c r="E561" s="1995"/>
      <c r="F561" s="1995"/>
      <c r="G561" s="1995"/>
      <c r="H561" s="1995"/>
      <c r="I561" s="1995"/>
      <c r="J561" s="1995"/>
      <c r="K561" s="1995"/>
      <c r="L561" s="1995"/>
      <c r="M561" s="1995"/>
      <c r="N561" s="1995"/>
      <c r="O561" s="1995"/>
      <c r="P561" s="1995"/>
      <c r="Q561" s="1995"/>
      <c r="R561" s="1995"/>
      <c r="S561" s="1995"/>
      <c r="T561" s="1995"/>
      <c r="U561" s="1995"/>
      <c r="V561" s="1995"/>
      <c r="W561" s="1995"/>
      <c r="X561" s="1995"/>
      <c r="Y561" s="1995"/>
      <c r="Z561" s="1995"/>
      <c r="AA561" s="1995"/>
      <c r="AB561" s="1995"/>
      <c r="AC561" s="1995"/>
      <c r="AD561" s="1995"/>
      <c r="AE561" s="1995"/>
      <c r="AF561" s="1995"/>
      <c r="AG561" s="1995"/>
      <c r="AH561" s="1995"/>
      <c r="AI561" s="1995"/>
      <c r="AJ561" s="1995"/>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1505</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1506</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1888</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42" t="s">
        <v>1449</v>
      </c>
      <c r="AG567" s="1942"/>
      <c r="AH567" s="1942"/>
      <c r="AI567" s="1942"/>
      <c r="AJ567" s="1942"/>
      <c r="AK567" s="1942"/>
      <c r="AL567" s="1942"/>
      <c r="AN567" s="631"/>
    </row>
    <row r="568" spans="1:42" s="584" customFormat="1" ht="12.75" customHeight="1">
      <c r="B568" s="570"/>
      <c r="C568" s="650"/>
      <c r="D568" s="697"/>
      <c r="E568" s="872" t="s">
        <v>1889</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1890</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1891</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1892</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2539</v>
      </c>
      <c r="AP571" s="584" t="b">
        <f>IF(Application!AF418&gt;=25,TRUE,FALSE)</f>
        <v>1</v>
      </c>
    </row>
    <row r="572" spans="1:42" s="584" customFormat="1" ht="12.75" customHeight="1">
      <c r="B572" s="570"/>
      <c r="C572" s="650"/>
      <c r="D572" s="697"/>
      <c r="E572" s="872" t="s">
        <v>1893</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2540</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1894</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42" t="s">
        <v>1507</v>
      </c>
      <c r="AG574" s="1942"/>
      <c r="AH574" s="1942"/>
      <c r="AI574" s="1942"/>
      <c r="AJ574" s="1942"/>
      <c r="AK574" s="1942"/>
      <c r="AL574" s="1942"/>
      <c r="AN574" s="631"/>
    </row>
    <row r="575" spans="1:42" s="584" customFormat="1" ht="12.75" customHeight="1">
      <c r="B575" s="570"/>
      <c r="C575" s="968"/>
      <c r="D575" s="697"/>
      <c r="E575" s="872" t="s">
        <v>1895</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1896</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1898</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1897</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1508</v>
      </c>
      <c r="AP579" s="584">
        <v>4</v>
      </c>
    </row>
    <row r="580" spans="1:53" s="584" customFormat="1" ht="12.75" customHeight="1">
      <c r="B580" s="570"/>
      <c r="C580" s="966"/>
      <c r="D580" s="697" t="s">
        <v>279</v>
      </c>
      <c r="E580" s="872" t="s">
        <v>1899</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42" t="s">
        <v>1489</v>
      </c>
      <c r="AG580" s="1942"/>
      <c r="AH580" s="1942"/>
      <c r="AI580" s="1942"/>
      <c r="AJ580" s="1942"/>
      <c r="AK580" s="1942"/>
      <c r="AL580" s="1942"/>
      <c r="AN580" s="631"/>
      <c r="AO580" s="645" t="s">
        <v>1509</v>
      </c>
      <c r="AP580" s="584">
        <v>3</v>
      </c>
    </row>
    <row r="581" spans="1:53" s="584" customFormat="1" ht="12.75" customHeight="1">
      <c r="B581" s="570"/>
      <c r="C581" s="968"/>
      <c r="D581" s="697"/>
      <c r="E581" s="872" t="s">
        <v>1895</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1896</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2542</v>
      </c>
    </row>
    <row r="583" spans="1:53" s="584" customFormat="1" ht="12.75" customHeight="1">
      <c r="B583" s="570"/>
      <c r="C583" s="968"/>
      <c r="D583" s="697"/>
      <c r="E583" s="872" t="s">
        <v>1898</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2543</v>
      </c>
    </row>
    <row r="584" spans="1:53" s="584" customFormat="1" ht="12.75" customHeight="1">
      <c r="B584" s="570"/>
      <c r="C584" s="968"/>
      <c r="D584" s="697"/>
      <c r="E584" s="872" t="s">
        <v>1897</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2544</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1508</v>
      </c>
      <c r="E586" s="872" t="s">
        <v>1900</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42" t="s">
        <v>1510</v>
      </c>
      <c r="AG586" s="1942"/>
      <c r="AH586" s="1942"/>
      <c r="AI586" s="1942"/>
      <c r="AJ586" s="1942"/>
      <c r="AK586" s="1942"/>
      <c r="AL586" s="1942"/>
      <c r="AN586" s="631"/>
      <c r="AO586" s="584" t="str">
        <f>X623</f>
        <v>N/A</v>
      </c>
    </row>
    <row r="587" spans="1:53" s="584" customFormat="1" ht="12.75" customHeight="1">
      <c r="B587" s="570"/>
      <c r="C587" s="968"/>
      <c r="D587" s="697"/>
      <c r="E587" s="872" t="s">
        <v>1901</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1902</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2545</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2546</v>
      </c>
    </row>
    <row r="590" spans="1:53" s="584" customFormat="1" ht="12.75" customHeight="1">
      <c r="B590" s="644"/>
      <c r="C590" s="966"/>
      <c r="D590" s="697"/>
      <c r="E590" s="570" t="s">
        <v>2057</v>
      </c>
      <c r="O590" s="2026" t="s">
        <v>1290</v>
      </c>
      <c r="P590" s="2026"/>
      <c r="Q590" s="2026"/>
      <c r="R590" s="2026"/>
      <c r="S590" s="2026"/>
      <c r="T590" s="2026"/>
      <c r="U590" s="2026"/>
      <c r="V590" s="2026"/>
      <c r="W590" s="2026"/>
      <c r="X590" s="2026"/>
      <c r="Y590" s="2026"/>
      <c r="Z590" s="2026"/>
      <c r="AA590" s="2026"/>
      <c r="AB590" s="2026"/>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1509</v>
      </c>
      <c r="E592" s="872" t="s">
        <v>1904</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42" t="s">
        <v>1463</v>
      </c>
      <c r="AG592" s="1942"/>
      <c r="AH592" s="1942"/>
      <c r="AI592" s="1942"/>
      <c r="AJ592" s="1942"/>
      <c r="AK592" s="1942"/>
      <c r="AL592" s="1942"/>
      <c r="AN592" s="631"/>
    </row>
    <row r="593" spans="2:47" s="584" customFormat="1" ht="12.75" customHeight="1">
      <c r="B593" s="570"/>
      <c r="C593" s="966"/>
      <c r="D593" s="697"/>
      <c r="E593" s="872" t="s">
        <v>1903</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1511</v>
      </c>
      <c r="E595" s="971"/>
      <c r="F595" s="971"/>
      <c r="G595" s="971"/>
      <c r="H595" s="2024" t="s">
        <v>696</v>
      </c>
      <c r="I595" s="2024"/>
      <c r="J595" s="971"/>
      <c r="K595" s="971"/>
      <c r="L595" s="971"/>
      <c r="N595" s="22"/>
      <c r="O595" s="22"/>
      <c r="P595" s="22"/>
      <c r="Q595" s="1195" t="s">
        <v>2541</v>
      </c>
      <c r="R595" s="2027"/>
      <c r="S595" s="2027"/>
      <c r="T595" s="2027"/>
      <c r="U595" s="2027"/>
      <c r="V595" s="2027"/>
      <c r="W595" s="2027"/>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8" t="str">
        <f>IF(AND(H595="(i)",NOT(AP571)),AO588,IF(AND(H595="(iv)",OR(R595=AO584,R595=AO583),NOT(AP572)),AO589,""))</f>
        <v/>
      </c>
      <c r="Z596" s="2028"/>
      <c r="AA596" s="2028"/>
      <c r="AB596" s="2028"/>
      <c r="AC596" s="2028"/>
      <c r="AD596" s="2028"/>
      <c r="AE596" s="2028"/>
      <c r="AF596" s="2028"/>
      <c r="AG596" s="2028"/>
      <c r="AH596" s="2028"/>
      <c r="AI596" s="2028"/>
      <c r="AJ596" s="2028"/>
      <c r="AK596" s="2028"/>
      <c r="AL596" s="2028"/>
      <c r="AM596" s="2029"/>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28"/>
      <c r="Z597" s="2028"/>
      <c r="AA597" s="2028"/>
      <c r="AB597" s="2028"/>
      <c r="AC597" s="2028"/>
      <c r="AD597" s="2028"/>
      <c r="AE597" s="2028"/>
      <c r="AF597" s="2028"/>
      <c r="AG597" s="2028"/>
      <c r="AH597" s="2028"/>
      <c r="AI597" s="2028"/>
      <c r="AJ597" s="2028"/>
      <c r="AK597" s="2028"/>
      <c r="AL597" s="2028"/>
      <c r="AM597" s="2029"/>
      <c r="AN597" s="631"/>
      <c r="AO597" s="645"/>
      <c r="AT597" s="645"/>
    </row>
    <row r="598" spans="2:47" s="584" customFormat="1" ht="12.75" customHeight="1">
      <c r="B598" s="570"/>
      <c r="C598" s="968"/>
      <c r="D598" s="570" t="s">
        <v>1905</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1906</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1907</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1908</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1511</v>
      </c>
      <c r="F603" s="971"/>
      <c r="G603" s="971"/>
      <c r="I603" s="2025" t="s">
        <v>599</v>
      </c>
      <c r="J603" s="2025"/>
      <c r="K603" s="2025"/>
      <c r="L603" s="2025"/>
      <c r="M603" s="2025"/>
      <c r="N603" s="2025"/>
      <c r="O603" s="2025"/>
      <c r="P603" s="2025"/>
      <c r="Q603" s="2025"/>
      <c r="R603" s="2025"/>
      <c r="S603" s="2025"/>
      <c r="T603" s="2025"/>
      <c r="U603" s="2025"/>
      <c r="V603" s="2025"/>
      <c r="W603" s="2025"/>
      <c r="X603" s="2025"/>
      <c r="Y603" s="2025"/>
      <c r="Z603" s="2025"/>
      <c r="AA603" s="2025"/>
      <c r="AB603" s="2025"/>
      <c r="AC603" s="2025"/>
      <c r="AD603" s="2025"/>
      <c r="AE603" s="2025"/>
      <c r="AF603" s="570"/>
      <c r="AG603" s="570"/>
      <c r="AH603" s="570"/>
      <c r="AI603" s="570"/>
      <c r="AJ603" s="570"/>
      <c r="AK603" s="570"/>
      <c r="AL603" s="570"/>
      <c r="AN603" s="631"/>
      <c r="AO603" s="584" t="s">
        <v>1512</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1513</v>
      </c>
      <c r="AP604" s="584">
        <v>2</v>
      </c>
    </row>
    <row r="605" spans="2:47" s="584" customFormat="1" ht="12.75" customHeight="1">
      <c r="B605" s="1969" t="s">
        <v>599</v>
      </c>
      <c r="C605" s="1969"/>
      <c r="D605" s="676"/>
      <c r="E605" s="1995" t="s">
        <v>1514</v>
      </c>
      <c r="F605" s="1995"/>
      <c r="G605" s="1995"/>
      <c r="H605" s="1995"/>
      <c r="I605" s="1995"/>
      <c r="J605" s="1995"/>
      <c r="K605" s="1995"/>
      <c r="L605" s="1995"/>
      <c r="M605" s="1995"/>
      <c r="N605" s="1995"/>
      <c r="O605" s="1995"/>
      <c r="P605" s="1995"/>
      <c r="Q605" s="1995"/>
      <c r="R605" s="1995"/>
      <c r="S605" s="1995"/>
      <c r="T605" s="1995"/>
      <c r="U605" s="1995"/>
      <c r="V605" s="1995"/>
      <c r="W605" s="1995"/>
      <c r="X605" s="1995"/>
      <c r="Y605" s="1995"/>
      <c r="Z605" s="1995"/>
      <c r="AA605" s="1995"/>
      <c r="AB605" s="1995"/>
      <c r="AC605" s="1995"/>
      <c r="AD605" s="1995"/>
      <c r="AE605" s="1995"/>
      <c r="AF605" s="1995"/>
      <c r="AG605" s="1995"/>
      <c r="AH605" s="676"/>
      <c r="AI605" s="676"/>
      <c r="AJ605" s="676"/>
      <c r="AK605" s="676"/>
      <c r="AL605" s="676"/>
      <c r="AN605" s="631"/>
    </row>
    <row r="606" spans="2:47" s="584" customFormat="1" ht="12.75" customHeight="1">
      <c r="B606" s="570"/>
      <c r="C606" s="968"/>
      <c r="D606" s="676"/>
      <c r="E606" s="1995"/>
      <c r="F606" s="1995"/>
      <c r="G606" s="1995"/>
      <c r="H606" s="1995"/>
      <c r="I606" s="1995"/>
      <c r="J606" s="1995"/>
      <c r="K606" s="1995"/>
      <c r="L606" s="1995"/>
      <c r="M606" s="1995"/>
      <c r="N606" s="1995"/>
      <c r="O606" s="1995"/>
      <c r="P606" s="1995"/>
      <c r="Q606" s="1995"/>
      <c r="R606" s="1995"/>
      <c r="S606" s="1995"/>
      <c r="T606" s="1995"/>
      <c r="U606" s="1995"/>
      <c r="V606" s="1995"/>
      <c r="W606" s="1995"/>
      <c r="X606" s="1995"/>
      <c r="Y606" s="1995"/>
      <c r="Z606" s="1995"/>
      <c r="AA606" s="1995"/>
      <c r="AB606" s="1995"/>
      <c r="AC606" s="1995"/>
      <c r="AD606" s="1995"/>
      <c r="AE606" s="1995"/>
      <c r="AF606" s="1995"/>
      <c r="AG606" s="1995"/>
      <c r="AH606" s="676"/>
      <c r="AI606" s="676"/>
      <c r="AJ606" s="676"/>
      <c r="AK606" s="676"/>
      <c r="AL606" s="676"/>
      <c r="AN606" s="631"/>
    </row>
    <row r="607" spans="2:47" s="584" customFormat="1" ht="12.75" customHeight="1">
      <c r="B607" s="570"/>
      <c r="C607" s="968"/>
      <c r="D607" s="676"/>
      <c r="E607" s="1995"/>
      <c r="F607" s="1995"/>
      <c r="G607" s="1995"/>
      <c r="H607" s="1995"/>
      <c r="I607" s="1995"/>
      <c r="J607" s="1995"/>
      <c r="K607" s="1995"/>
      <c r="L607" s="1995"/>
      <c r="M607" s="1995"/>
      <c r="N607" s="1995"/>
      <c r="O607" s="1995"/>
      <c r="P607" s="1995"/>
      <c r="Q607" s="1995"/>
      <c r="R607" s="1995"/>
      <c r="S607" s="1995"/>
      <c r="T607" s="1995"/>
      <c r="U607" s="1995"/>
      <c r="V607" s="1995"/>
      <c r="W607" s="1995"/>
      <c r="X607" s="1995"/>
      <c r="Y607" s="1995"/>
      <c r="Z607" s="1995"/>
      <c r="AA607" s="1995"/>
      <c r="AB607" s="1995"/>
      <c r="AC607" s="1995"/>
      <c r="AD607" s="1995"/>
      <c r="AE607" s="1995"/>
      <c r="AF607" s="1995"/>
      <c r="AG607" s="1995"/>
      <c r="AH607" s="676"/>
      <c r="AI607" s="676"/>
      <c r="AJ607" s="676"/>
      <c r="AK607" s="676"/>
      <c r="AL607" s="676"/>
      <c r="AN607" s="631"/>
    </row>
    <row r="608" spans="2:47" s="584" customFormat="1" ht="12.75" customHeight="1">
      <c r="B608" s="570"/>
      <c r="C608" s="968"/>
      <c r="D608" s="676"/>
      <c r="E608" s="1995"/>
      <c r="F608" s="1995"/>
      <c r="G608" s="1995"/>
      <c r="H608" s="1995"/>
      <c r="I608" s="1995"/>
      <c r="J608" s="1995"/>
      <c r="K608" s="1995"/>
      <c r="L608" s="1995"/>
      <c r="M608" s="1995"/>
      <c r="N608" s="1995"/>
      <c r="O608" s="1995"/>
      <c r="P608" s="1995"/>
      <c r="Q608" s="1995"/>
      <c r="R608" s="1995"/>
      <c r="S608" s="1995"/>
      <c r="T608" s="1995"/>
      <c r="U608" s="1995"/>
      <c r="V608" s="1995"/>
      <c r="W608" s="1995"/>
      <c r="X608" s="1995"/>
      <c r="Y608" s="1995"/>
      <c r="Z608" s="1995"/>
      <c r="AA608" s="1995"/>
      <c r="AB608" s="1995"/>
      <c r="AC608" s="1995"/>
      <c r="AD608" s="1995"/>
      <c r="AE608" s="1995"/>
      <c r="AF608" s="1995"/>
      <c r="AG608" s="1995"/>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1515</v>
      </c>
      <c r="AJ610" s="1975">
        <f>VLOOKUP($H$595,$AO$575:$AP$580,2,FALSE)+IF(R595=AO583,0,VLOOKUP($I$603,$AO$602:$AP$604,2,FALSE))</f>
        <v>7</v>
      </c>
      <c r="AK610" s="1977"/>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1516</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23" t="s">
        <v>1884</v>
      </c>
      <c r="F614" s="2023"/>
      <c r="G614" s="2023"/>
      <c r="H614" s="2023"/>
      <c r="I614" s="2023"/>
      <c r="J614" s="2023"/>
      <c r="K614" s="2023"/>
      <c r="L614" s="2023"/>
      <c r="M614" s="2023"/>
      <c r="N614" s="2023"/>
      <c r="O614" s="2023"/>
      <c r="P614" s="2023"/>
      <c r="Q614" s="2023"/>
      <c r="R614" s="2023"/>
      <c r="S614" s="2023"/>
      <c r="T614" s="2023"/>
      <c r="U614" s="2023"/>
      <c r="V614" s="2023"/>
      <c r="W614" s="2023"/>
      <c r="X614" s="2023"/>
      <c r="Y614" s="2023"/>
      <c r="Z614" s="2023"/>
      <c r="AA614" s="2023"/>
      <c r="AB614" s="2023"/>
      <c r="AC614" s="2023"/>
      <c r="AD614" s="2023"/>
      <c r="AE614" s="573"/>
      <c r="AF614" s="1942" t="s">
        <v>1463</v>
      </c>
      <c r="AG614" s="1942"/>
      <c r="AH614" s="1942"/>
      <c r="AI614" s="1942"/>
      <c r="AJ614" s="1942"/>
      <c r="AK614" s="1942"/>
      <c r="AL614" s="1942"/>
      <c r="AM614" s="584"/>
      <c r="AN614" s="712"/>
    </row>
    <row r="615" spans="1:42" s="584" customFormat="1" ht="12.75" customHeight="1">
      <c r="A615" s="713"/>
      <c r="B615" s="570"/>
      <c r="C615" s="968"/>
      <c r="D615" s="697"/>
      <c r="E615" s="2023"/>
      <c r="F615" s="2023"/>
      <c r="G615" s="2023"/>
      <c r="H615" s="2023"/>
      <c r="I615" s="2023"/>
      <c r="J615" s="2023"/>
      <c r="K615" s="2023"/>
      <c r="L615" s="2023"/>
      <c r="M615" s="2023"/>
      <c r="N615" s="2023"/>
      <c r="O615" s="2023"/>
      <c r="P615" s="2023"/>
      <c r="Q615" s="2023"/>
      <c r="R615" s="2023"/>
      <c r="S615" s="2023"/>
      <c r="T615" s="2023"/>
      <c r="U615" s="2023"/>
      <c r="V615" s="2023"/>
      <c r="W615" s="2023"/>
      <c r="X615" s="2023"/>
      <c r="Y615" s="2023"/>
      <c r="Z615" s="2023"/>
      <c r="AA615" s="2023"/>
      <c r="AB615" s="2023"/>
      <c r="AC615" s="2023"/>
      <c r="AD615" s="2023"/>
      <c r="AE615" s="570"/>
      <c r="AF615" s="570"/>
      <c r="AG615" s="570"/>
      <c r="AH615" s="570"/>
      <c r="AI615" s="570"/>
      <c r="AJ615" s="570"/>
      <c r="AK615" s="570"/>
      <c r="AL615" s="570"/>
      <c r="AN615" s="631"/>
    </row>
    <row r="616" spans="1:42" s="584" customFormat="1" ht="12.75" customHeight="1">
      <c r="B616" s="570"/>
      <c r="C616" s="966"/>
      <c r="D616" s="697"/>
      <c r="E616" s="2023"/>
      <c r="F616" s="2023"/>
      <c r="G616" s="2023"/>
      <c r="H616" s="2023"/>
      <c r="I616" s="2023"/>
      <c r="J616" s="2023"/>
      <c r="K616" s="2023"/>
      <c r="L616" s="2023"/>
      <c r="M616" s="2023"/>
      <c r="N616" s="2023"/>
      <c r="O616" s="2023"/>
      <c r="P616" s="2023"/>
      <c r="Q616" s="2023"/>
      <c r="R616" s="2023"/>
      <c r="S616" s="2023"/>
      <c r="T616" s="2023"/>
      <c r="U616" s="2023"/>
      <c r="V616" s="2023"/>
      <c r="W616" s="2023"/>
      <c r="X616" s="2023"/>
      <c r="Y616" s="2023"/>
      <c r="Z616" s="2023"/>
      <c r="AA616" s="2023"/>
      <c r="AB616" s="2023"/>
      <c r="AC616" s="2023"/>
      <c r="AD616" s="2023"/>
      <c r="AE616" s="570"/>
      <c r="AF616" s="570"/>
      <c r="AG616" s="570"/>
      <c r="AH616" s="570"/>
      <c r="AI616" s="570"/>
      <c r="AJ616" s="570"/>
      <c r="AK616" s="570"/>
      <c r="AL616" s="570"/>
      <c r="AN616" s="631"/>
    </row>
    <row r="617" spans="1:42" s="584" customFormat="1" ht="12.75" customHeight="1">
      <c r="B617" s="570"/>
      <c r="C617" s="966"/>
      <c r="D617" s="697"/>
      <c r="E617" s="2023"/>
      <c r="F617" s="2023"/>
      <c r="G617" s="2023"/>
      <c r="H617" s="2023"/>
      <c r="I617" s="2023"/>
      <c r="J617" s="2023"/>
      <c r="K617" s="2023"/>
      <c r="L617" s="2023"/>
      <c r="M617" s="2023"/>
      <c r="N617" s="2023"/>
      <c r="O617" s="2023"/>
      <c r="P617" s="2023"/>
      <c r="Q617" s="2023"/>
      <c r="R617" s="2023"/>
      <c r="S617" s="2023"/>
      <c r="T617" s="2023"/>
      <c r="U617" s="2023"/>
      <c r="V617" s="2023"/>
      <c r="W617" s="2023"/>
      <c r="X617" s="2023"/>
      <c r="Y617" s="2023"/>
      <c r="Z617" s="2023"/>
      <c r="AA617" s="2023"/>
      <c r="AB617" s="2023"/>
      <c r="AC617" s="2023"/>
      <c r="AD617" s="2023"/>
      <c r="AE617" s="570"/>
      <c r="AF617" s="570"/>
      <c r="AG617" s="570"/>
      <c r="AH617" s="570"/>
      <c r="AI617" s="570"/>
      <c r="AJ617" s="570"/>
      <c r="AK617" s="570"/>
      <c r="AL617" s="570"/>
      <c r="AN617" s="631"/>
    </row>
    <row r="618" spans="1:42" s="584" customFormat="1" ht="12.75" customHeight="1">
      <c r="B618" s="570"/>
      <c r="C618" s="966"/>
      <c r="D618" s="697"/>
      <c r="E618" s="2023"/>
      <c r="F618" s="2023"/>
      <c r="G618" s="2023"/>
      <c r="H618" s="2023"/>
      <c r="I618" s="2023"/>
      <c r="J618" s="2023"/>
      <c r="K618" s="2023"/>
      <c r="L618" s="2023"/>
      <c r="M618" s="2023"/>
      <c r="N618" s="2023"/>
      <c r="O618" s="2023"/>
      <c r="P618" s="2023"/>
      <c r="Q618" s="2023"/>
      <c r="R618" s="2023"/>
      <c r="S618" s="2023"/>
      <c r="T618" s="2023"/>
      <c r="U618" s="2023"/>
      <c r="V618" s="2023"/>
      <c r="W618" s="2023"/>
      <c r="X618" s="2023"/>
      <c r="Y618" s="2023"/>
      <c r="Z618" s="2023"/>
      <c r="AA618" s="2023"/>
      <c r="AB618" s="2023"/>
      <c r="AC618" s="2023"/>
      <c r="AD618" s="2023"/>
      <c r="AE618" s="570"/>
      <c r="AF618" s="570"/>
      <c r="AG618" s="570"/>
      <c r="AH618" s="570"/>
      <c r="AI618" s="570"/>
      <c r="AJ618" s="570"/>
      <c r="AK618" s="570"/>
      <c r="AL618" s="570"/>
      <c r="AN618" s="631"/>
    </row>
    <row r="619" spans="1:42" s="584" customFormat="1" ht="12.75" customHeight="1">
      <c r="B619" s="570"/>
      <c r="C619" s="966"/>
      <c r="D619" s="697"/>
      <c r="E619" s="2023"/>
      <c r="F619" s="2023"/>
      <c r="G619" s="2023"/>
      <c r="H619" s="2023"/>
      <c r="I619" s="2023"/>
      <c r="J619" s="2023"/>
      <c r="K619" s="2023"/>
      <c r="L619" s="2023"/>
      <c r="M619" s="2023"/>
      <c r="N619" s="2023"/>
      <c r="O619" s="2023"/>
      <c r="P619" s="2023"/>
      <c r="Q619" s="2023"/>
      <c r="R619" s="2023"/>
      <c r="S619" s="2023"/>
      <c r="T619" s="2023"/>
      <c r="U619" s="2023"/>
      <c r="V619" s="2023"/>
      <c r="W619" s="2023"/>
      <c r="X619" s="2023"/>
      <c r="Y619" s="2023"/>
      <c r="Z619" s="2023"/>
      <c r="AA619" s="2023"/>
      <c r="AB619" s="2023"/>
      <c r="AC619" s="2023"/>
      <c r="AD619" s="2023"/>
      <c r="AE619" s="570"/>
      <c r="AF619" s="570"/>
      <c r="AG619" s="570"/>
      <c r="AH619" s="570"/>
      <c r="AI619" s="570"/>
      <c r="AJ619" s="570"/>
      <c r="AK619" s="570"/>
      <c r="AL619" s="570"/>
      <c r="AN619" s="631"/>
    </row>
    <row r="620" spans="1:42" s="584" customFormat="1" ht="12.75" customHeight="1">
      <c r="A620" s="671"/>
      <c r="B620" s="650"/>
      <c r="C620" s="975"/>
      <c r="D620" s="697"/>
      <c r="E620" s="2023"/>
      <c r="F620" s="2023"/>
      <c r="G620" s="2023"/>
      <c r="H620" s="2023"/>
      <c r="I620" s="2023"/>
      <c r="J620" s="2023"/>
      <c r="K620" s="2023"/>
      <c r="L620" s="2023"/>
      <c r="M620" s="2023"/>
      <c r="N620" s="2023"/>
      <c r="O620" s="2023"/>
      <c r="P620" s="2023"/>
      <c r="Q620" s="2023"/>
      <c r="R620" s="2023"/>
      <c r="S620" s="2023"/>
      <c r="T620" s="2023"/>
      <c r="U620" s="2023"/>
      <c r="V620" s="2023"/>
      <c r="W620" s="2023"/>
      <c r="X620" s="2023"/>
      <c r="Y620" s="2023"/>
      <c r="Z620" s="2023"/>
      <c r="AA620" s="2023"/>
      <c r="AB620" s="2023"/>
      <c r="AC620" s="2023"/>
      <c r="AD620" s="2023"/>
      <c r="AE620" s="650"/>
      <c r="AF620" s="650"/>
      <c r="AG620" s="650"/>
      <c r="AH620" s="650"/>
      <c r="AI620" s="650"/>
      <c r="AJ620" s="650"/>
      <c r="AK620" s="570"/>
      <c r="AL620" s="570"/>
      <c r="AN620" s="631"/>
    </row>
    <row r="621" spans="1:42" s="584" customFormat="1" ht="12.75" customHeight="1">
      <c r="B621" s="650"/>
      <c r="C621" s="975"/>
      <c r="D621" s="697"/>
      <c r="E621" s="2023"/>
      <c r="F621" s="2023"/>
      <c r="G621" s="2023"/>
      <c r="H621" s="2023"/>
      <c r="I621" s="2023"/>
      <c r="J621" s="2023"/>
      <c r="K621" s="2023"/>
      <c r="L621" s="2023"/>
      <c r="M621" s="2023"/>
      <c r="N621" s="2023"/>
      <c r="O621" s="2023"/>
      <c r="P621" s="2023"/>
      <c r="Q621" s="2023"/>
      <c r="R621" s="2023"/>
      <c r="S621" s="2023"/>
      <c r="T621" s="2023"/>
      <c r="U621" s="2023"/>
      <c r="V621" s="2023"/>
      <c r="W621" s="2023"/>
      <c r="X621" s="2023"/>
      <c r="Y621" s="2023"/>
      <c r="Z621" s="2023"/>
      <c r="AA621" s="2023"/>
      <c r="AB621" s="2023"/>
      <c r="AC621" s="2023"/>
      <c r="AD621" s="2023"/>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1517</v>
      </c>
      <c r="F623" s="976"/>
      <c r="G623" s="976"/>
      <c r="H623" s="976"/>
      <c r="I623" s="976"/>
      <c r="J623" s="976"/>
      <c r="K623" s="976"/>
      <c r="L623" s="976"/>
      <c r="M623" s="976"/>
      <c r="N623" s="976"/>
      <c r="O623" s="976"/>
      <c r="P623" s="976"/>
      <c r="Q623" s="976"/>
      <c r="R623" s="976"/>
      <c r="U623" s="976"/>
      <c r="V623" s="976"/>
      <c r="W623" s="976"/>
      <c r="X623" s="1969" t="s">
        <v>599</v>
      </c>
      <c r="Y623" s="1969"/>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1518</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42" t="s">
        <v>1519</v>
      </c>
      <c r="AG625" s="1942"/>
      <c r="AH625" s="1942"/>
      <c r="AI625" s="1942"/>
      <c r="AJ625" s="1942"/>
      <c r="AK625" s="1942"/>
      <c r="AL625" s="1942"/>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1508</v>
      </c>
      <c r="AP626" s="714">
        <v>4</v>
      </c>
    </row>
    <row r="627" spans="1:42" s="584" customFormat="1" ht="12.75" customHeight="1">
      <c r="B627" s="570"/>
      <c r="C627" s="966"/>
      <c r="D627" s="570" t="s">
        <v>1511</v>
      </c>
      <c r="E627" s="971"/>
      <c r="F627" s="971"/>
      <c r="G627" s="971"/>
      <c r="H627" s="2024" t="s">
        <v>696</v>
      </c>
      <c r="I627" s="2024"/>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1509</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1520</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1521</v>
      </c>
      <c r="AJ629" s="1975">
        <f>VLOOKUP($H$627,$AO$594:$AP$596,2,FALSE)</f>
        <v>3</v>
      </c>
      <c r="AK629" s="1977"/>
      <c r="AL629" s="629"/>
      <c r="AN629" s="631"/>
      <c r="AO629" s="645" t="s">
        <v>1522</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1523</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95" t="s">
        <v>2416</v>
      </c>
      <c r="F633" s="1995"/>
      <c r="G633" s="1995"/>
      <c r="H633" s="1995"/>
      <c r="I633" s="1995"/>
      <c r="J633" s="1995"/>
      <c r="K633" s="1995"/>
      <c r="L633" s="1995"/>
      <c r="M633" s="1995"/>
      <c r="N633" s="1995"/>
      <c r="O633" s="1995"/>
      <c r="P633" s="1995"/>
      <c r="Q633" s="1995"/>
      <c r="R633" s="1995"/>
      <c r="S633" s="1995"/>
      <c r="T633" s="1995"/>
      <c r="U633" s="1995"/>
      <c r="V633" s="1995"/>
      <c r="W633" s="1995"/>
      <c r="X633" s="1995"/>
      <c r="Y633" s="1995"/>
      <c r="Z633" s="1995"/>
      <c r="AA633" s="1995"/>
      <c r="AB633" s="1995"/>
      <c r="AC633" s="1995"/>
      <c r="AD633" s="1995"/>
      <c r="AE633" s="570"/>
      <c r="AF633" s="1942" t="s">
        <v>1463</v>
      </c>
      <c r="AG633" s="1942"/>
      <c r="AH633" s="1942"/>
      <c r="AI633" s="1942"/>
      <c r="AJ633" s="1942"/>
      <c r="AK633" s="1942"/>
      <c r="AL633" s="1942"/>
      <c r="AN633" s="631"/>
    </row>
    <row r="634" spans="1:42" s="584" customFormat="1" ht="12.75" customHeight="1">
      <c r="B634" s="570"/>
      <c r="C634" s="570"/>
      <c r="D634" s="697"/>
      <c r="E634" s="1995"/>
      <c r="F634" s="1995"/>
      <c r="G634" s="1995"/>
      <c r="H634" s="1995"/>
      <c r="I634" s="1995"/>
      <c r="J634" s="1995"/>
      <c r="K634" s="1995"/>
      <c r="L634" s="1995"/>
      <c r="M634" s="1995"/>
      <c r="N634" s="1995"/>
      <c r="O634" s="1995"/>
      <c r="P634" s="1995"/>
      <c r="Q634" s="1995"/>
      <c r="R634" s="1995"/>
      <c r="S634" s="1995"/>
      <c r="T634" s="1995"/>
      <c r="U634" s="1995"/>
      <c r="V634" s="1995"/>
      <c r="W634" s="1995"/>
      <c r="X634" s="1995"/>
      <c r="Y634" s="1995"/>
      <c r="Z634" s="1995"/>
      <c r="AA634" s="1995"/>
      <c r="AB634" s="1995"/>
      <c r="AC634" s="1995"/>
      <c r="AD634" s="1995"/>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1524</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42" t="s">
        <v>1519</v>
      </c>
      <c r="AG636" s="1942"/>
      <c r="AH636" s="1942"/>
      <c r="AI636" s="1942"/>
      <c r="AJ636" s="1942"/>
      <c r="AK636" s="1942"/>
      <c r="AL636" s="1942"/>
      <c r="AN636" s="631"/>
    </row>
    <row r="637" spans="1:42" s="584" customFormat="1" ht="12.75" customHeight="1">
      <c r="B637" s="570"/>
      <c r="C637" s="966"/>
      <c r="D637" s="697"/>
      <c r="E637" s="650" t="s">
        <v>1525</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1511</v>
      </c>
      <c r="E639" s="971"/>
      <c r="F639" s="971"/>
      <c r="G639" s="971"/>
      <c r="H639" s="2024" t="s">
        <v>517</v>
      </c>
      <c r="I639" s="2024"/>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1526</v>
      </c>
      <c r="AJ641" s="1975">
        <f>VLOOKUP(H639,AT594:AU596,2,FALSE)</f>
        <v>2</v>
      </c>
      <c r="AK641" s="1977"/>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1527</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1528</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95" t="s">
        <v>1529</v>
      </c>
      <c r="F646" s="1995"/>
      <c r="G646" s="1995"/>
      <c r="H646" s="1995"/>
      <c r="I646" s="1995"/>
      <c r="J646" s="1995"/>
      <c r="K646" s="1995"/>
      <c r="L646" s="1995"/>
      <c r="M646" s="1995"/>
      <c r="N646" s="1995"/>
      <c r="O646" s="1995"/>
      <c r="P646" s="1995"/>
      <c r="Q646" s="1995"/>
      <c r="R646" s="1995"/>
      <c r="S646" s="1995"/>
      <c r="T646" s="1995"/>
      <c r="U646" s="1995"/>
      <c r="V646" s="1995"/>
      <c r="W646" s="1995"/>
      <c r="X646" s="1995"/>
      <c r="Y646" s="1995"/>
      <c r="Z646" s="1995"/>
      <c r="AA646" s="1995"/>
      <c r="AB646" s="1995"/>
      <c r="AC646" s="1995"/>
      <c r="AD646" s="570"/>
      <c r="AE646" s="570"/>
      <c r="AF646" s="1942" t="s">
        <v>1489</v>
      </c>
      <c r="AG646" s="1942"/>
      <c r="AH646" s="1942"/>
      <c r="AI646" s="1942"/>
      <c r="AJ646" s="1942"/>
      <c r="AK646" s="1942"/>
      <c r="AL646" s="1942"/>
      <c r="AN646" s="631"/>
    </row>
    <row r="647" spans="1:42" s="584" customFormat="1" ht="12.75" customHeight="1">
      <c r="B647" s="570"/>
      <c r="C647" s="573"/>
      <c r="D647" s="570"/>
      <c r="E647" s="1995"/>
      <c r="F647" s="1995"/>
      <c r="G647" s="1995"/>
      <c r="H647" s="1995"/>
      <c r="I647" s="1995"/>
      <c r="J647" s="1995"/>
      <c r="K647" s="1995"/>
      <c r="L647" s="1995"/>
      <c r="M647" s="1995"/>
      <c r="N647" s="1995"/>
      <c r="O647" s="1995"/>
      <c r="P647" s="1995"/>
      <c r="Q647" s="1995"/>
      <c r="R647" s="1995"/>
      <c r="S647" s="1995"/>
      <c r="T647" s="1995"/>
      <c r="U647" s="1995"/>
      <c r="V647" s="1995"/>
      <c r="W647" s="1995"/>
      <c r="X647" s="1995"/>
      <c r="Y647" s="1995"/>
      <c r="Z647" s="1995"/>
      <c r="AA647" s="1995"/>
      <c r="AB647" s="1995"/>
      <c r="AC647" s="1995"/>
      <c r="AD647" s="570"/>
      <c r="AE647" s="570"/>
      <c r="AF647" s="570"/>
      <c r="AG647" s="570"/>
      <c r="AH647" s="570"/>
      <c r="AI647" s="570"/>
      <c r="AJ647" s="570"/>
      <c r="AK647" s="570"/>
      <c r="AL647" s="570"/>
      <c r="AN647" s="631"/>
    </row>
    <row r="648" spans="1:42" s="584" customFormat="1" ht="12.75" customHeight="1">
      <c r="B648" s="570"/>
      <c r="C648" s="573"/>
      <c r="D648" s="697"/>
      <c r="E648" s="1995"/>
      <c r="F648" s="1995"/>
      <c r="G648" s="1995"/>
      <c r="H648" s="1995"/>
      <c r="I648" s="1995"/>
      <c r="J648" s="1995"/>
      <c r="K648" s="1995"/>
      <c r="L648" s="1995"/>
      <c r="M648" s="1995"/>
      <c r="N648" s="1995"/>
      <c r="O648" s="1995"/>
      <c r="P648" s="1995"/>
      <c r="Q648" s="1995"/>
      <c r="R648" s="1995"/>
      <c r="S648" s="1995"/>
      <c r="T648" s="1995"/>
      <c r="U648" s="1995"/>
      <c r="V648" s="1995"/>
      <c r="W648" s="1995"/>
      <c r="X648" s="1995"/>
      <c r="Y648" s="1995"/>
      <c r="Z648" s="1995"/>
      <c r="AA648" s="1995"/>
      <c r="AB648" s="1995"/>
      <c r="AC648" s="1995"/>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95" t="s">
        <v>1530</v>
      </c>
      <c r="F650" s="1995"/>
      <c r="G650" s="1995"/>
      <c r="H650" s="1995"/>
      <c r="I650" s="1995"/>
      <c r="J650" s="1995"/>
      <c r="K650" s="1995"/>
      <c r="L650" s="1995"/>
      <c r="M650" s="1995"/>
      <c r="N650" s="1995"/>
      <c r="O650" s="1995"/>
      <c r="P650" s="1995"/>
      <c r="Q650" s="1995"/>
      <c r="R650" s="1995"/>
      <c r="S650" s="1995"/>
      <c r="T650" s="1995"/>
      <c r="U650" s="1995"/>
      <c r="V650" s="1995"/>
      <c r="W650" s="1995"/>
      <c r="X650" s="1995"/>
      <c r="Y650" s="1995"/>
      <c r="Z650" s="1995"/>
      <c r="AA650" s="1995"/>
      <c r="AB650" s="1995"/>
      <c r="AC650" s="1995"/>
      <c r="AD650" s="570"/>
      <c r="AE650" s="570"/>
      <c r="AF650" s="1942" t="s">
        <v>1510</v>
      </c>
      <c r="AG650" s="1942"/>
      <c r="AH650" s="1942"/>
      <c r="AI650" s="1942"/>
      <c r="AJ650" s="1942"/>
      <c r="AK650" s="1942"/>
      <c r="AL650" s="1942"/>
      <c r="AN650" s="631"/>
    </row>
    <row r="651" spans="1:42" s="584" customFormat="1" ht="12.75" customHeight="1">
      <c r="B651" s="570"/>
      <c r="C651" s="573"/>
      <c r="D651" s="570"/>
      <c r="E651" s="1995"/>
      <c r="F651" s="1995"/>
      <c r="G651" s="1995"/>
      <c r="H651" s="1995"/>
      <c r="I651" s="1995"/>
      <c r="J651" s="1995"/>
      <c r="K651" s="1995"/>
      <c r="L651" s="1995"/>
      <c r="M651" s="1995"/>
      <c r="N651" s="1995"/>
      <c r="O651" s="1995"/>
      <c r="P651" s="1995"/>
      <c r="Q651" s="1995"/>
      <c r="R651" s="1995"/>
      <c r="S651" s="1995"/>
      <c r="T651" s="1995"/>
      <c r="U651" s="1995"/>
      <c r="V651" s="1995"/>
      <c r="W651" s="1995"/>
      <c r="X651" s="1995"/>
      <c r="Y651" s="1995"/>
      <c r="Z651" s="1995"/>
      <c r="AA651" s="1995"/>
      <c r="AB651" s="1995"/>
      <c r="AC651" s="1995"/>
      <c r="AD651" s="570"/>
      <c r="AE651" s="570"/>
      <c r="AF651" s="570"/>
      <c r="AG651" s="570"/>
      <c r="AH651" s="570"/>
      <c r="AI651" s="570"/>
      <c r="AJ651" s="570"/>
      <c r="AK651" s="570"/>
      <c r="AL651" s="570"/>
      <c r="AN651" s="631"/>
    </row>
    <row r="652" spans="1:42" s="584" customFormat="1" ht="15" customHeight="1">
      <c r="B652" s="570"/>
      <c r="C652" s="573"/>
      <c r="D652" s="697"/>
      <c r="E652" s="1995"/>
      <c r="F652" s="1995"/>
      <c r="G652" s="1995"/>
      <c r="H652" s="1995"/>
      <c r="I652" s="1995"/>
      <c r="J652" s="1995"/>
      <c r="K652" s="1995"/>
      <c r="L652" s="1995"/>
      <c r="M652" s="1995"/>
      <c r="N652" s="1995"/>
      <c r="O652" s="1995"/>
      <c r="P652" s="1995"/>
      <c r="Q652" s="1995"/>
      <c r="R652" s="1995"/>
      <c r="S652" s="1995"/>
      <c r="T652" s="1995"/>
      <c r="U652" s="1995"/>
      <c r="V652" s="1995"/>
      <c r="W652" s="1995"/>
      <c r="X652" s="1995"/>
      <c r="Y652" s="1995"/>
      <c r="Z652" s="1995"/>
      <c r="AA652" s="1995"/>
      <c r="AB652" s="1995"/>
      <c r="AC652" s="1995"/>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95" t="s">
        <v>1531</v>
      </c>
      <c r="F654" s="1995"/>
      <c r="G654" s="1995"/>
      <c r="H654" s="1995"/>
      <c r="I654" s="1995"/>
      <c r="J654" s="1995"/>
      <c r="K654" s="1995"/>
      <c r="L654" s="1995"/>
      <c r="M654" s="1995"/>
      <c r="N654" s="1995"/>
      <c r="O654" s="1995"/>
      <c r="P654" s="1995"/>
      <c r="Q654" s="1995"/>
      <c r="R654" s="1995"/>
      <c r="S654" s="1995"/>
      <c r="T654" s="1995"/>
      <c r="U654" s="1995"/>
      <c r="V654" s="1995"/>
      <c r="W654" s="1995"/>
      <c r="X654" s="1995"/>
      <c r="Y654" s="1995"/>
      <c r="Z654" s="1995"/>
      <c r="AA654" s="1995"/>
      <c r="AB654" s="1995"/>
      <c r="AC654" s="1995"/>
      <c r="AD654" s="570"/>
      <c r="AE654" s="570"/>
      <c r="AF654" s="1942" t="s">
        <v>1463</v>
      </c>
      <c r="AG654" s="1942"/>
      <c r="AH654" s="1942"/>
      <c r="AI654" s="1942"/>
      <c r="AJ654" s="1942"/>
      <c r="AK654" s="1942"/>
      <c r="AL654" s="1942"/>
      <c r="AN654" s="631"/>
    </row>
    <row r="655" spans="1:42" s="584" customFormat="1" ht="12.75" customHeight="1">
      <c r="B655" s="570"/>
      <c r="C655" s="966"/>
      <c r="D655" s="570"/>
      <c r="E655" s="1995"/>
      <c r="F655" s="1995"/>
      <c r="G655" s="1995"/>
      <c r="H655" s="1995"/>
      <c r="I655" s="1995"/>
      <c r="J655" s="1995"/>
      <c r="K655" s="1995"/>
      <c r="L655" s="1995"/>
      <c r="M655" s="1995"/>
      <c r="N655" s="1995"/>
      <c r="O655" s="1995"/>
      <c r="P655" s="1995"/>
      <c r="Q655" s="1995"/>
      <c r="R655" s="1995"/>
      <c r="S655" s="1995"/>
      <c r="T655" s="1995"/>
      <c r="U655" s="1995"/>
      <c r="V655" s="1995"/>
      <c r="W655" s="1995"/>
      <c r="X655" s="1995"/>
      <c r="Y655" s="1995"/>
      <c r="Z655" s="1995"/>
      <c r="AA655" s="1995"/>
      <c r="AB655" s="1995"/>
      <c r="AC655" s="1995"/>
      <c r="AD655" s="570"/>
      <c r="AE655" s="1942"/>
      <c r="AF655" s="1942"/>
      <c r="AG655" s="1942"/>
      <c r="AH655" s="1942"/>
      <c r="AI655" s="1942"/>
      <c r="AJ655" s="1942"/>
      <c r="AK655" s="1942"/>
      <c r="AL655" s="628"/>
      <c r="AN655" s="631"/>
      <c r="AO655" s="584" t="s">
        <v>599</v>
      </c>
      <c r="AP655" s="707">
        <v>0</v>
      </c>
    </row>
    <row r="656" spans="1:42" s="584" customFormat="1" ht="12.75" customHeight="1">
      <c r="A656" s="713"/>
      <c r="B656" s="570"/>
      <c r="C656" s="570"/>
      <c r="D656" s="697"/>
      <c r="E656" s="1995"/>
      <c r="F656" s="1995"/>
      <c r="G656" s="1995"/>
      <c r="H656" s="1995"/>
      <c r="I656" s="1995"/>
      <c r="J656" s="1995"/>
      <c r="K656" s="1995"/>
      <c r="L656" s="1995"/>
      <c r="M656" s="1995"/>
      <c r="N656" s="1995"/>
      <c r="O656" s="1995"/>
      <c r="P656" s="1995"/>
      <c r="Q656" s="1995"/>
      <c r="R656" s="1995"/>
      <c r="S656" s="1995"/>
      <c r="T656" s="1995"/>
      <c r="U656" s="1995"/>
      <c r="V656" s="1995"/>
      <c r="W656" s="1995"/>
      <c r="X656" s="1995"/>
      <c r="Y656" s="1995"/>
      <c r="Z656" s="1995"/>
      <c r="AA656" s="1995"/>
      <c r="AB656" s="1995"/>
      <c r="AC656" s="1995"/>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1508</v>
      </c>
      <c r="E658" s="1995" t="s">
        <v>1532</v>
      </c>
      <c r="F658" s="1995"/>
      <c r="G658" s="1995"/>
      <c r="H658" s="1995"/>
      <c r="I658" s="1995"/>
      <c r="J658" s="1995"/>
      <c r="K658" s="1995"/>
      <c r="L658" s="1995"/>
      <c r="M658" s="1995"/>
      <c r="N658" s="1995"/>
      <c r="O658" s="1995"/>
      <c r="P658" s="1995"/>
      <c r="Q658" s="1995"/>
      <c r="R658" s="1995"/>
      <c r="S658" s="1995"/>
      <c r="T658" s="1995"/>
      <c r="U658" s="1995"/>
      <c r="V658" s="1995"/>
      <c r="W658" s="1995"/>
      <c r="X658" s="1995"/>
      <c r="Y658" s="1995"/>
      <c r="Z658" s="1995"/>
      <c r="AA658" s="1995"/>
      <c r="AB658" s="1995"/>
      <c r="AC658" s="1995"/>
      <c r="AD658" s="570"/>
      <c r="AE658" s="570"/>
      <c r="AF658" s="1942" t="s">
        <v>1510</v>
      </c>
      <c r="AG658" s="1942"/>
      <c r="AH658" s="1942"/>
      <c r="AI658" s="1942"/>
      <c r="AJ658" s="1942"/>
      <c r="AK658" s="1942"/>
      <c r="AL658" s="1942"/>
      <c r="AN658" s="631"/>
    </row>
    <row r="659" spans="1:42" s="584" customFormat="1" ht="12.75" customHeight="1">
      <c r="A659" s="704"/>
      <c r="B659" s="570"/>
      <c r="C659" s="982"/>
      <c r="D659" s="697"/>
      <c r="E659" s="1995"/>
      <c r="F659" s="1995"/>
      <c r="G659" s="1995"/>
      <c r="H659" s="1995"/>
      <c r="I659" s="1995"/>
      <c r="J659" s="1995"/>
      <c r="K659" s="1995"/>
      <c r="L659" s="1995"/>
      <c r="M659" s="1995"/>
      <c r="N659" s="1995"/>
      <c r="O659" s="1995"/>
      <c r="P659" s="1995"/>
      <c r="Q659" s="1995"/>
      <c r="R659" s="1995"/>
      <c r="S659" s="1995"/>
      <c r="T659" s="1995"/>
      <c r="U659" s="1995"/>
      <c r="V659" s="1995"/>
      <c r="W659" s="1995"/>
      <c r="X659" s="1995"/>
      <c r="Y659" s="1995"/>
      <c r="Z659" s="1995"/>
      <c r="AA659" s="1995"/>
      <c r="AB659" s="1995"/>
      <c r="AC659" s="1995"/>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95"/>
      <c r="F660" s="1995"/>
      <c r="G660" s="1995"/>
      <c r="H660" s="1995"/>
      <c r="I660" s="1995"/>
      <c r="J660" s="1995"/>
      <c r="K660" s="1995"/>
      <c r="L660" s="1995"/>
      <c r="M660" s="1995"/>
      <c r="N660" s="1995"/>
      <c r="O660" s="1995"/>
      <c r="P660" s="1995"/>
      <c r="Q660" s="1995"/>
      <c r="R660" s="1995"/>
      <c r="S660" s="1995"/>
      <c r="T660" s="1995"/>
      <c r="U660" s="1995"/>
      <c r="V660" s="1995"/>
      <c r="W660" s="1995"/>
      <c r="X660" s="1995"/>
      <c r="Y660" s="1995"/>
      <c r="Z660" s="1995"/>
      <c r="AA660" s="1995"/>
      <c r="AB660" s="1995"/>
      <c r="AC660" s="1995"/>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1509</v>
      </c>
      <c r="E662" s="1995" t="s">
        <v>1533</v>
      </c>
      <c r="F662" s="1995"/>
      <c r="G662" s="1995"/>
      <c r="H662" s="1995"/>
      <c r="I662" s="1995"/>
      <c r="J662" s="1995"/>
      <c r="K662" s="1995"/>
      <c r="L662" s="1995"/>
      <c r="M662" s="1995"/>
      <c r="N662" s="1995"/>
      <c r="O662" s="1995"/>
      <c r="P662" s="1995"/>
      <c r="Q662" s="1995"/>
      <c r="R662" s="1995"/>
      <c r="S662" s="1995"/>
      <c r="T662" s="1995"/>
      <c r="U662" s="1995"/>
      <c r="V662" s="1995"/>
      <c r="W662" s="1995"/>
      <c r="X662" s="1995"/>
      <c r="Y662" s="1995"/>
      <c r="Z662" s="1995"/>
      <c r="AA662" s="1995"/>
      <c r="AB662" s="1995"/>
      <c r="AC662" s="1995"/>
      <c r="AD662" s="570"/>
      <c r="AE662" s="570"/>
      <c r="AF662" s="1942" t="s">
        <v>1463</v>
      </c>
      <c r="AG662" s="1942"/>
      <c r="AH662" s="1942"/>
      <c r="AI662" s="1942"/>
      <c r="AJ662" s="1942"/>
      <c r="AK662" s="1942"/>
      <c r="AL662" s="1942"/>
      <c r="AM662" s="630"/>
      <c r="AN662" s="631"/>
    </row>
    <row r="663" spans="1:42" s="584" customFormat="1" ht="12.75" customHeight="1">
      <c r="B663" s="570"/>
      <c r="C663" s="966"/>
      <c r="D663" s="697"/>
      <c r="E663" s="1995"/>
      <c r="F663" s="1995"/>
      <c r="G663" s="1995"/>
      <c r="H663" s="1995"/>
      <c r="I663" s="1995"/>
      <c r="J663" s="1995"/>
      <c r="K663" s="1995"/>
      <c r="L663" s="1995"/>
      <c r="M663" s="1995"/>
      <c r="N663" s="1995"/>
      <c r="O663" s="1995"/>
      <c r="P663" s="1995"/>
      <c r="Q663" s="1995"/>
      <c r="R663" s="1995"/>
      <c r="S663" s="1995"/>
      <c r="T663" s="1995"/>
      <c r="U663" s="1995"/>
      <c r="V663" s="1995"/>
      <c r="W663" s="1995"/>
      <c r="X663" s="1995"/>
      <c r="Y663" s="1995"/>
      <c r="Z663" s="1995"/>
      <c r="AA663" s="1995"/>
      <c r="AB663" s="1995"/>
      <c r="AC663" s="1995"/>
      <c r="AD663" s="570"/>
      <c r="AE663" s="570"/>
      <c r="AF663" s="570"/>
      <c r="AG663" s="570"/>
      <c r="AH663" s="570"/>
      <c r="AI663" s="570"/>
      <c r="AJ663" s="570"/>
      <c r="AK663" s="570"/>
      <c r="AL663" s="570"/>
      <c r="AM663" s="630"/>
      <c r="AN663" s="631"/>
    </row>
    <row r="664" spans="1:42" s="584" customFormat="1" ht="12.75" customHeight="1">
      <c r="B664" s="570"/>
      <c r="C664" s="966"/>
      <c r="D664" s="697"/>
      <c r="E664" s="1995"/>
      <c r="F664" s="1995"/>
      <c r="G664" s="1995"/>
      <c r="H664" s="1995"/>
      <c r="I664" s="1995"/>
      <c r="J664" s="1995"/>
      <c r="K664" s="1995"/>
      <c r="L664" s="1995"/>
      <c r="M664" s="1995"/>
      <c r="N664" s="1995"/>
      <c r="O664" s="1995"/>
      <c r="P664" s="1995"/>
      <c r="Q664" s="1995"/>
      <c r="R664" s="1995"/>
      <c r="S664" s="1995"/>
      <c r="T664" s="1995"/>
      <c r="U664" s="1995"/>
      <c r="V664" s="1995"/>
      <c r="W664" s="1995"/>
      <c r="X664" s="1995"/>
      <c r="Y664" s="1995"/>
      <c r="Z664" s="1995"/>
      <c r="AA664" s="1995"/>
      <c r="AB664" s="1995"/>
      <c r="AC664" s="1995"/>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1520</v>
      </c>
      <c r="E666" s="1995" t="s">
        <v>1534</v>
      </c>
      <c r="F666" s="1995"/>
      <c r="G666" s="1995"/>
      <c r="H666" s="1995"/>
      <c r="I666" s="1995"/>
      <c r="J666" s="1995"/>
      <c r="K666" s="1995"/>
      <c r="L666" s="1995"/>
      <c r="M666" s="1995"/>
      <c r="N666" s="1995"/>
      <c r="O666" s="1995"/>
      <c r="P666" s="1995"/>
      <c r="Q666" s="1995"/>
      <c r="R666" s="1995"/>
      <c r="S666" s="1995"/>
      <c r="T666" s="1995"/>
      <c r="U666" s="1995"/>
      <c r="V666" s="1995"/>
      <c r="W666" s="1995"/>
      <c r="X666" s="1995"/>
      <c r="Y666" s="1995"/>
      <c r="Z666" s="1995"/>
      <c r="AA666" s="1995"/>
      <c r="AB666" s="1995"/>
      <c r="AC666" s="1995"/>
      <c r="AD666" s="570"/>
      <c r="AE666" s="570"/>
      <c r="AF666" s="1942" t="s">
        <v>1519</v>
      </c>
      <c r="AG666" s="1942"/>
      <c r="AH666" s="1942"/>
      <c r="AI666" s="1942"/>
      <c r="AJ666" s="1942"/>
      <c r="AK666" s="1942"/>
      <c r="AL666" s="1942"/>
      <c r="AM666" s="630"/>
      <c r="AN666" s="631"/>
    </row>
    <row r="667" spans="1:42" s="584" customFormat="1" ht="12.75" customHeight="1">
      <c r="A667" s="713"/>
      <c r="B667" s="570"/>
      <c r="C667" s="966"/>
      <c r="D667" s="697"/>
      <c r="E667" s="1995"/>
      <c r="F667" s="1995"/>
      <c r="G667" s="1995"/>
      <c r="H667" s="1995"/>
      <c r="I667" s="1995"/>
      <c r="J667" s="1995"/>
      <c r="K667" s="1995"/>
      <c r="L667" s="1995"/>
      <c r="M667" s="1995"/>
      <c r="N667" s="1995"/>
      <c r="O667" s="1995"/>
      <c r="P667" s="1995"/>
      <c r="Q667" s="1995"/>
      <c r="R667" s="1995"/>
      <c r="S667" s="1995"/>
      <c r="T667" s="1995"/>
      <c r="U667" s="1995"/>
      <c r="V667" s="1995"/>
      <c r="W667" s="1995"/>
      <c r="X667" s="1995"/>
      <c r="Y667" s="1995"/>
      <c r="Z667" s="1995"/>
      <c r="AA667" s="1995"/>
      <c r="AB667" s="1995"/>
      <c r="AC667" s="1995"/>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95"/>
      <c r="F668" s="1995"/>
      <c r="G668" s="1995"/>
      <c r="H668" s="1995"/>
      <c r="I668" s="1995"/>
      <c r="J668" s="1995"/>
      <c r="K668" s="1995"/>
      <c r="L668" s="1995"/>
      <c r="M668" s="1995"/>
      <c r="N668" s="1995"/>
      <c r="O668" s="1995"/>
      <c r="P668" s="1995"/>
      <c r="Q668" s="1995"/>
      <c r="R668" s="1995"/>
      <c r="S668" s="1995"/>
      <c r="T668" s="1995"/>
      <c r="U668" s="1995"/>
      <c r="V668" s="1995"/>
      <c r="W668" s="1995"/>
      <c r="X668" s="1995"/>
      <c r="Y668" s="1995"/>
      <c r="Z668" s="1995"/>
      <c r="AA668" s="1995"/>
      <c r="AB668" s="1995"/>
      <c r="AC668" s="1995"/>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1522</v>
      </c>
      <c r="E670" s="1995" t="s">
        <v>1535</v>
      </c>
      <c r="F670" s="1995"/>
      <c r="G670" s="1995"/>
      <c r="H670" s="1995"/>
      <c r="I670" s="1995"/>
      <c r="J670" s="1995"/>
      <c r="K670" s="1995"/>
      <c r="L670" s="1995"/>
      <c r="M670" s="1995"/>
      <c r="N670" s="1995"/>
      <c r="O670" s="1995"/>
      <c r="P670" s="1995"/>
      <c r="Q670" s="1995"/>
      <c r="R670" s="1995"/>
      <c r="S670" s="1995"/>
      <c r="T670" s="1995"/>
      <c r="U670" s="1995"/>
      <c r="V670" s="1995"/>
      <c r="W670" s="1995"/>
      <c r="X670" s="1995"/>
      <c r="Y670" s="1995"/>
      <c r="Z670" s="1995"/>
      <c r="AA670" s="1995"/>
      <c r="AB670" s="1995"/>
      <c r="AC670" s="1995"/>
      <c r="AD670" s="570"/>
      <c r="AE670" s="570"/>
      <c r="AF670" s="1942" t="s">
        <v>1536</v>
      </c>
      <c r="AG670" s="1942"/>
      <c r="AH670" s="1942"/>
      <c r="AI670" s="1942"/>
      <c r="AJ670" s="1942"/>
      <c r="AK670" s="1942"/>
      <c r="AL670" s="1942"/>
      <c r="AM670" s="630"/>
      <c r="AN670" s="631"/>
      <c r="AO670" s="645" t="s">
        <v>696</v>
      </c>
      <c r="AP670" s="584">
        <v>3</v>
      </c>
    </row>
    <row r="671" spans="1:42" s="584" customFormat="1" ht="12.75" customHeight="1">
      <c r="A671" s="713"/>
      <c r="B671" s="570"/>
      <c r="C671" s="966"/>
      <c r="D671" s="697"/>
      <c r="E671" s="1995"/>
      <c r="F671" s="1995"/>
      <c r="G671" s="1995"/>
      <c r="H671" s="1995"/>
      <c r="I671" s="1995"/>
      <c r="J671" s="1995"/>
      <c r="K671" s="1995"/>
      <c r="L671" s="1995"/>
      <c r="M671" s="1995"/>
      <c r="N671" s="1995"/>
      <c r="O671" s="1995"/>
      <c r="P671" s="1995"/>
      <c r="Q671" s="1995"/>
      <c r="R671" s="1995"/>
      <c r="S671" s="1995"/>
      <c r="T671" s="1995"/>
      <c r="U671" s="1995"/>
      <c r="V671" s="1995"/>
      <c r="W671" s="1995"/>
      <c r="X671" s="1995"/>
      <c r="Y671" s="1995"/>
      <c r="Z671" s="1995"/>
      <c r="AA671" s="1995"/>
      <c r="AB671" s="1995"/>
      <c r="AC671" s="1995"/>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95"/>
      <c r="F672" s="1995"/>
      <c r="G672" s="1995"/>
      <c r="H672" s="1995"/>
      <c r="I672" s="1995"/>
      <c r="J672" s="1995"/>
      <c r="K672" s="1995"/>
      <c r="L672" s="1995"/>
      <c r="M672" s="1995"/>
      <c r="N672" s="1995"/>
      <c r="O672" s="1995"/>
      <c r="P672" s="1995"/>
      <c r="Q672" s="1995"/>
      <c r="R672" s="1995"/>
      <c r="S672" s="1995"/>
      <c r="T672" s="1995"/>
      <c r="U672" s="1995"/>
      <c r="V672" s="1995"/>
      <c r="W672" s="1995"/>
      <c r="X672" s="1995"/>
      <c r="Y672" s="1995"/>
      <c r="Z672" s="1995"/>
      <c r="AA672" s="1995"/>
      <c r="AB672" s="1995"/>
      <c r="AC672" s="1995"/>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1511</v>
      </c>
      <c r="E674" s="971"/>
      <c r="F674" s="971"/>
      <c r="G674" s="971"/>
      <c r="H674" s="2024" t="s">
        <v>696</v>
      </c>
      <c r="I674" s="2024"/>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1537</v>
      </c>
      <c r="AJ676" s="1975">
        <f>VLOOKUP($H$674,$AO$622:$AP$629,2,FALSE)</f>
        <v>5</v>
      </c>
      <c r="AK676" s="1977"/>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2455</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2547</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2548</v>
      </c>
      <c r="AX679" s="1196">
        <f>Application!G753</f>
        <v>158</v>
      </c>
    </row>
    <row r="680" spans="1:51" s="584" customFormat="1" ht="12.75" customHeight="1">
      <c r="A680" s="713"/>
      <c r="B680" s="570"/>
      <c r="C680" s="983"/>
      <c r="D680" s="697" t="s">
        <v>696</v>
      </c>
      <c r="E680" s="2031" t="s">
        <v>2554</v>
      </c>
      <c r="F680" s="2031"/>
      <c r="G680" s="2031"/>
      <c r="H680" s="2031"/>
      <c r="I680" s="2031"/>
      <c r="J680" s="2031"/>
      <c r="K680" s="2031"/>
      <c r="L680" s="2031"/>
      <c r="M680" s="2031"/>
      <c r="N680" s="2031"/>
      <c r="O680" s="2031"/>
      <c r="P680" s="2031"/>
      <c r="Q680" s="2031"/>
      <c r="R680" s="2031"/>
      <c r="S680" s="2031"/>
      <c r="T680" s="2031"/>
      <c r="U680" s="2031"/>
      <c r="V680" s="2031"/>
      <c r="W680" s="2031"/>
      <c r="X680" s="2031"/>
      <c r="Y680" s="2031"/>
      <c r="Z680" s="2031"/>
      <c r="AA680" s="2031"/>
      <c r="AB680" s="2031"/>
      <c r="AC680" s="570"/>
      <c r="AD680" s="570"/>
      <c r="AE680" s="570"/>
      <c r="AF680" s="1942" t="s">
        <v>1463</v>
      </c>
      <c r="AG680" s="1942"/>
      <c r="AH680" s="1942"/>
      <c r="AI680" s="1942"/>
      <c r="AJ680" s="1942"/>
      <c r="AK680" s="1942"/>
      <c r="AL680" s="1942"/>
      <c r="AN680" s="631"/>
      <c r="AW680" s="22" t="s">
        <v>2549</v>
      </c>
      <c r="AX680" s="584">
        <f>Application!CC632</f>
        <v>8</v>
      </c>
    </row>
    <row r="681" spans="1:51" s="584" customFormat="1" ht="12.75" customHeight="1">
      <c r="A681" s="713"/>
      <c r="B681" s="570"/>
      <c r="C681" s="983"/>
      <c r="D681" s="697"/>
      <c r="E681" s="2031"/>
      <c r="F681" s="2031"/>
      <c r="G681" s="2031"/>
      <c r="H681" s="2031"/>
      <c r="I681" s="2031"/>
      <c r="J681" s="2031"/>
      <c r="K681" s="2031"/>
      <c r="L681" s="2031"/>
      <c r="M681" s="2031"/>
      <c r="N681" s="2031"/>
      <c r="O681" s="2031"/>
      <c r="P681" s="2031"/>
      <c r="Q681" s="2031"/>
      <c r="R681" s="2031"/>
      <c r="S681" s="2031"/>
      <c r="T681" s="2031"/>
      <c r="U681" s="2031"/>
      <c r="V681" s="2031"/>
      <c r="W681" s="2031"/>
      <c r="X681" s="2031"/>
      <c r="Y681" s="2031"/>
      <c r="Z681" s="2031"/>
      <c r="AA681" s="2031"/>
      <c r="AB681" s="2031"/>
      <c r="AC681" s="570"/>
      <c r="AD681" s="570"/>
      <c r="AE681" s="570"/>
      <c r="AF681" s="570"/>
      <c r="AG681" s="570"/>
      <c r="AH681" s="570"/>
      <c r="AI681" s="570"/>
      <c r="AJ681" s="570"/>
      <c r="AK681" s="570"/>
      <c r="AL681" s="570"/>
      <c r="AN681" s="631"/>
      <c r="AW681" s="22" t="s">
        <v>2550</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2551</v>
      </c>
      <c r="AX682" s="584">
        <f>Application!CM632</f>
        <v>0</v>
      </c>
    </row>
    <row r="683" spans="1:51" s="584" customFormat="1" ht="12.75" customHeight="1">
      <c r="B683" s="570"/>
      <c r="C683" s="966"/>
      <c r="D683" s="697" t="s">
        <v>517</v>
      </c>
      <c r="E683" s="1995" t="s">
        <v>2453</v>
      </c>
      <c r="F683" s="1995"/>
      <c r="G683" s="1995"/>
      <c r="H683" s="1995"/>
      <c r="I683" s="1995"/>
      <c r="J683" s="1995"/>
      <c r="K683" s="1995"/>
      <c r="L683" s="1995"/>
      <c r="M683" s="1995"/>
      <c r="N683" s="1995"/>
      <c r="O683" s="1995"/>
      <c r="P683" s="1995"/>
      <c r="Q683" s="1995"/>
      <c r="R683" s="1995"/>
      <c r="S683" s="1995"/>
      <c r="T683" s="1995"/>
      <c r="U683" s="1995"/>
      <c r="V683" s="1995"/>
      <c r="W683" s="1995"/>
      <c r="X683" s="1995"/>
      <c r="Y683" s="1995"/>
      <c r="Z683" s="1995"/>
      <c r="AA683" s="1995"/>
      <c r="AB683" s="1995"/>
      <c r="AC683" s="570"/>
      <c r="AD683" s="570"/>
      <c r="AE683" s="570"/>
      <c r="AF683" s="1942" t="s">
        <v>1463</v>
      </c>
      <c r="AG683" s="1942"/>
      <c r="AH683" s="1942"/>
      <c r="AI683" s="1942"/>
      <c r="AJ683" s="1942"/>
      <c r="AK683" s="1942"/>
      <c r="AL683" s="1942"/>
      <c r="AN683" s="631"/>
      <c r="AW683" s="22" t="s">
        <v>2552</v>
      </c>
      <c r="AX683" s="584">
        <f>AX680+AX681+AX682</f>
        <v>8</v>
      </c>
    </row>
    <row r="684" spans="1:51" s="584" customFormat="1" ht="12.75" customHeight="1">
      <c r="B684" s="570"/>
      <c r="C684" s="975"/>
      <c r="D684" s="697"/>
      <c r="E684" s="1995"/>
      <c r="F684" s="1995"/>
      <c r="G684" s="1995"/>
      <c r="H684" s="1995"/>
      <c r="I684" s="1995"/>
      <c r="J684" s="1995"/>
      <c r="K684" s="1995"/>
      <c r="L684" s="1995"/>
      <c r="M684" s="1995"/>
      <c r="N684" s="1995"/>
      <c r="O684" s="1995"/>
      <c r="P684" s="1995"/>
      <c r="Q684" s="1995"/>
      <c r="R684" s="1995"/>
      <c r="S684" s="1995"/>
      <c r="T684" s="1995"/>
      <c r="U684" s="1995"/>
      <c r="V684" s="1995"/>
      <c r="W684" s="1995"/>
      <c r="X684" s="1995"/>
      <c r="Y684" s="1995"/>
      <c r="Z684" s="1995"/>
      <c r="AA684" s="1995"/>
      <c r="AB684" s="1995"/>
      <c r="AC684" s="570"/>
      <c r="AD684" s="570"/>
      <c r="AE684" s="650"/>
      <c r="AF684" s="570"/>
      <c r="AG684" s="570"/>
      <c r="AH684" s="570"/>
      <c r="AI684" s="570"/>
      <c r="AJ684" s="570"/>
      <c r="AK684" s="570"/>
      <c r="AL684" s="570"/>
      <c r="AN684" s="631"/>
      <c r="AO684" s="2030" t="b">
        <f>IF(Application!D211="Special Needs",IF(AY684&gt;=0.25,TRUE,FALSE),IF(AX684&gt;=0.25,TRUE,FALSE))</f>
        <v>0</v>
      </c>
      <c r="AP684" s="2030"/>
      <c r="AW684" s="22" t="s">
        <v>2553</v>
      </c>
      <c r="AX684" s="584">
        <f>IFERROR(AX683/AX679,0)</f>
        <v>5.0632911392405063E-2</v>
      </c>
      <c r="AY684" s="584">
        <f>IFERROR(AX683/(AX679-AX678),0)</f>
        <v>5.0632911392405063E-2</v>
      </c>
    </row>
    <row r="685" spans="1:51" s="584" customFormat="1" ht="12.75" customHeight="1">
      <c r="B685" s="570"/>
      <c r="C685" s="975"/>
      <c r="E685" s="1995"/>
      <c r="F685" s="1995"/>
      <c r="G685" s="1995"/>
      <c r="H685" s="1995"/>
      <c r="I685" s="1995"/>
      <c r="J685" s="1995"/>
      <c r="K685" s="1995"/>
      <c r="L685" s="1995"/>
      <c r="M685" s="1995"/>
      <c r="N685" s="1995"/>
      <c r="O685" s="1995"/>
      <c r="P685" s="1995"/>
      <c r="Q685" s="1995"/>
      <c r="R685" s="1995"/>
      <c r="S685" s="1995"/>
      <c r="T685" s="1995"/>
      <c r="U685" s="1995"/>
      <c r="V685" s="1995"/>
      <c r="W685" s="1995"/>
      <c r="X685" s="1995"/>
      <c r="Y685" s="1995"/>
      <c r="Z685" s="1995"/>
      <c r="AA685" s="1995"/>
      <c r="AB685" s="1995"/>
      <c r="AC685" s="570"/>
      <c r="AD685" s="570"/>
      <c r="AE685" s="650"/>
      <c r="AF685" s="650"/>
      <c r="AG685" s="650"/>
      <c r="AH685" s="650"/>
      <c r="AI685" s="650"/>
      <c r="AJ685" s="650"/>
      <c r="AK685" s="650"/>
      <c r="AL685" s="650"/>
      <c r="AN685" s="631"/>
      <c r="AW685" s="14"/>
    </row>
    <row r="686" spans="1:51" s="584" customFormat="1" ht="28.5" customHeight="1">
      <c r="B686" s="570"/>
      <c r="C686" s="975"/>
      <c r="D686" s="570"/>
      <c r="E686" s="1995"/>
      <c r="F686" s="1995"/>
      <c r="G686" s="1995"/>
      <c r="H686" s="1995"/>
      <c r="I686" s="1995"/>
      <c r="J686" s="1995"/>
      <c r="K686" s="1995"/>
      <c r="L686" s="1995"/>
      <c r="M686" s="1995"/>
      <c r="N686" s="1995"/>
      <c r="O686" s="1995"/>
      <c r="P686" s="1995"/>
      <c r="Q686" s="1995"/>
      <c r="R686" s="1995"/>
      <c r="S686" s="1995"/>
      <c r="T686" s="1995"/>
      <c r="U686" s="1995"/>
      <c r="V686" s="1995"/>
      <c r="W686" s="1995"/>
      <c r="X686" s="1995"/>
      <c r="Y686" s="1995"/>
      <c r="Z686" s="1995"/>
      <c r="AA686" s="1995"/>
      <c r="AB686" s="1995"/>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279</v>
      </c>
      <c r="E688" s="1995" t="s">
        <v>2454</v>
      </c>
      <c r="F688" s="1995"/>
      <c r="G688" s="1995"/>
      <c r="H688" s="1995"/>
      <c r="I688" s="1995"/>
      <c r="J688" s="1995"/>
      <c r="K688" s="1995"/>
      <c r="L688" s="1995"/>
      <c r="M688" s="1995"/>
      <c r="N688" s="1995"/>
      <c r="O688" s="1995"/>
      <c r="P688" s="1995"/>
      <c r="Q688" s="1995"/>
      <c r="R688" s="1995"/>
      <c r="S688" s="1995"/>
      <c r="T688" s="1995"/>
      <c r="U688" s="1995"/>
      <c r="V688" s="1995"/>
      <c r="W688" s="1995"/>
      <c r="X688" s="1995"/>
      <c r="Y688" s="1995"/>
      <c r="Z688" s="1995"/>
      <c r="AA688" s="1995"/>
      <c r="AB688" s="1995"/>
      <c r="AC688" s="570"/>
      <c r="AD688" s="570"/>
      <c r="AE688" s="570"/>
      <c r="AF688" s="1942" t="s">
        <v>1519</v>
      </c>
      <c r="AG688" s="1942"/>
      <c r="AH688" s="1942"/>
      <c r="AI688" s="1942"/>
      <c r="AJ688" s="1942"/>
      <c r="AK688" s="1942"/>
      <c r="AL688" s="1942"/>
      <c r="AN688" s="631"/>
      <c r="AO688" s="645" t="s">
        <v>517</v>
      </c>
      <c r="AP688" s="584">
        <v>1</v>
      </c>
    </row>
    <row r="689" spans="1:42" s="584" customFormat="1" ht="12" customHeight="1">
      <c r="B689" s="570"/>
      <c r="C689" s="966"/>
      <c r="E689" s="1995"/>
      <c r="F689" s="1995"/>
      <c r="G689" s="1995"/>
      <c r="H689" s="1995"/>
      <c r="I689" s="1995"/>
      <c r="J689" s="1995"/>
      <c r="K689" s="1995"/>
      <c r="L689" s="1995"/>
      <c r="M689" s="1995"/>
      <c r="N689" s="1995"/>
      <c r="O689" s="1995"/>
      <c r="P689" s="1995"/>
      <c r="Q689" s="1995"/>
      <c r="R689" s="1995"/>
      <c r="S689" s="1995"/>
      <c r="T689" s="1995"/>
      <c r="U689" s="1995"/>
      <c r="V689" s="1995"/>
      <c r="W689" s="1995"/>
      <c r="X689" s="1995"/>
      <c r="Y689" s="1995"/>
      <c r="Z689" s="1995"/>
      <c r="AA689" s="1995"/>
      <c r="AB689" s="1995"/>
      <c r="AC689" s="570"/>
      <c r="AD689" s="570"/>
      <c r="AE689" s="650"/>
      <c r="AF689" s="570"/>
      <c r="AG689" s="570"/>
      <c r="AH689" s="570"/>
      <c r="AI689" s="570"/>
      <c r="AJ689" s="570"/>
      <c r="AK689" s="570"/>
      <c r="AL689" s="570"/>
      <c r="AN689" s="631"/>
    </row>
    <row r="690" spans="1:42" s="584" customFormat="1" ht="12" customHeight="1">
      <c r="B690" s="570"/>
      <c r="C690" s="966"/>
      <c r="D690" s="570"/>
      <c r="E690" s="1995"/>
      <c r="F690" s="1995"/>
      <c r="G690" s="1995"/>
      <c r="H690" s="1995"/>
      <c r="I690" s="1995"/>
      <c r="J690" s="1995"/>
      <c r="K690" s="1995"/>
      <c r="L690" s="1995"/>
      <c r="M690" s="1995"/>
      <c r="N690" s="1995"/>
      <c r="O690" s="1995"/>
      <c r="P690" s="1995"/>
      <c r="Q690" s="1995"/>
      <c r="R690" s="1995"/>
      <c r="S690" s="1995"/>
      <c r="T690" s="1995"/>
      <c r="U690" s="1995"/>
      <c r="V690" s="1995"/>
      <c r="W690" s="1995"/>
      <c r="X690" s="1995"/>
      <c r="Y690" s="1995"/>
      <c r="Z690" s="1995"/>
      <c r="AA690" s="1995"/>
      <c r="AB690" s="1995"/>
      <c r="AC690" s="570"/>
      <c r="AD690" s="570"/>
      <c r="AE690" s="650"/>
      <c r="AF690" s="570"/>
      <c r="AG690" s="570"/>
      <c r="AH690" s="570"/>
      <c r="AI690" s="570"/>
      <c r="AJ690" s="570"/>
      <c r="AK690" s="570"/>
      <c r="AL690" s="570"/>
      <c r="AN690" s="631"/>
    </row>
    <row r="691" spans="1:42" s="584" customFormat="1" ht="12" customHeight="1">
      <c r="B691" s="570"/>
      <c r="C691" s="966"/>
      <c r="D691" s="570"/>
      <c r="E691" s="1995"/>
      <c r="F691" s="1995"/>
      <c r="G691" s="1995"/>
      <c r="H691" s="1995"/>
      <c r="I691" s="1995"/>
      <c r="J691" s="1995"/>
      <c r="K691" s="1995"/>
      <c r="L691" s="1995"/>
      <c r="M691" s="1995"/>
      <c r="N691" s="1995"/>
      <c r="O691" s="1995"/>
      <c r="P691" s="1995"/>
      <c r="Q691" s="1995"/>
      <c r="R691" s="1995"/>
      <c r="S691" s="1995"/>
      <c r="T691" s="1995"/>
      <c r="U691" s="1995"/>
      <c r="V691" s="1995"/>
      <c r="W691" s="1995"/>
      <c r="X691" s="1995"/>
      <c r="Y691" s="1995"/>
      <c r="Z691" s="1995"/>
      <c r="AA691" s="1995"/>
      <c r="AB691" s="1995"/>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95"/>
      <c r="F692" s="1995"/>
      <c r="G692" s="1995"/>
      <c r="H692" s="1995"/>
      <c r="I692" s="1995"/>
      <c r="J692" s="1995"/>
      <c r="K692" s="1995"/>
      <c r="L692" s="1995"/>
      <c r="M692" s="1995"/>
      <c r="N692" s="1995"/>
      <c r="O692" s="1995"/>
      <c r="P692" s="1995"/>
      <c r="Q692" s="1995"/>
      <c r="R692" s="1995"/>
      <c r="S692" s="1995"/>
      <c r="T692" s="1995"/>
      <c r="U692" s="1995"/>
      <c r="V692" s="1995"/>
      <c r="W692" s="1995"/>
      <c r="X692" s="1995"/>
      <c r="Y692" s="1995"/>
      <c r="Z692" s="1995"/>
      <c r="AA692" s="1995"/>
      <c r="AB692" s="1995"/>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95" t="s">
        <v>1883</v>
      </c>
      <c r="F694" s="1995"/>
      <c r="G694" s="1995"/>
      <c r="H694" s="1995"/>
      <c r="I694" s="1995"/>
      <c r="J694" s="1995"/>
      <c r="K694" s="1995"/>
      <c r="L694" s="1995"/>
      <c r="M694" s="1995"/>
      <c r="N694" s="1995"/>
      <c r="O694" s="1995"/>
      <c r="P694" s="1995"/>
      <c r="Q694" s="1995"/>
      <c r="R694" s="1995"/>
      <c r="S694" s="1995"/>
      <c r="T694" s="1995"/>
      <c r="U694" s="1995"/>
      <c r="V694" s="1995"/>
      <c r="W694" s="1995"/>
      <c r="X694" s="1995"/>
      <c r="Y694" s="1995"/>
      <c r="Z694" s="1995"/>
      <c r="AA694" s="1995"/>
      <c r="AB694" s="1995"/>
      <c r="AC694" s="570"/>
      <c r="AD694" s="570"/>
      <c r="AE694" s="650"/>
      <c r="AF694" s="650"/>
      <c r="AG694" s="650"/>
      <c r="AH694" s="650"/>
      <c r="AI694" s="650"/>
      <c r="AJ694" s="570"/>
      <c r="AK694" s="570"/>
      <c r="AL694" s="570"/>
      <c r="AM694" s="584"/>
      <c r="AN694" s="718"/>
      <c r="AO694" s="645" t="s">
        <v>517</v>
      </c>
      <c r="AP694" s="584">
        <f>3*$AO$684</f>
        <v>0</v>
      </c>
    </row>
    <row r="695" spans="1:42" s="604" customFormat="1" ht="12.75" customHeight="1">
      <c r="A695" s="584"/>
      <c r="B695" s="570"/>
      <c r="C695" s="966"/>
      <c r="D695" s="570"/>
      <c r="E695" s="1995"/>
      <c r="F695" s="1995"/>
      <c r="G695" s="1995"/>
      <c r="H695" s="1995"/>
      <c r="I695" s="1995"/>
      <c r="J695" s="1995"/>
      <c r="K695" s="1995"/>
      <c r="L695" s="1995"/>
      <c r="M695" s="1995"/>
      <c r="N695" s="1995"/>
      <c r="O695" s="1995"/>
      <c r="P695" s="1995"/>
      <c r="Q695" s="1995"/>
      <c r="R695" s="1995"/>
      <c r="S695" s="1995"/>
      <c r="T695" s="1995"/>
      <c r="U695" s="1995"/>
      <c r="V695" s="1995"/>
      <c r="W695" s="1995"/>
      <c r="X695" s="1995"/>
      <c r="Y695" s="1995"/>
      <c r="Z695" s="1995"/>
      <c r="AA695" s="1995"/>
      <c r="AB695" s="1995"/>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95"/>
      <c r="F696" s="1995"/>
      <c r="G696" s="1995"/>
      <c r="H696" s="1995"/>
      <c r="I696" s="1995"/>
      <c r="J696" s="1995"/>
      <c r="K696" s="1995"/>
      <c r="L696" s="1995"/>
      <c r="M696" s="1995"/>
      <c r="N696" s="1995"/>
      <c r="O696" s="1995"/>
      <c r="P696" s="1995"/>
      <c r="Q696" s="1995"/>
      <c r="R696" s="1995"/>
      <c r="S696" s="1995"/>
      <c r="T696" s="1995"/>
      <c r="U696" s="1995"/>
      <c r="V696" s="1995"/>
      <c r="W696" s="1995"/>
      <c r="X696" s="1995"/>
      <c r="Y696" s="1995"/>
      <c r="Z696" s="1995"/>
      <c r="AA696" s="1995"/>
      <c r="AB696" s="1995"/>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1511</v>
      </c>
      <c r="E698" s="971"/>
      <c r="F698" s="971"/>
      <c r="G698" s="971"/>
      <c r="H698" s="2024" t="s">
        <v>696</v>
      </c>
      <c r="I698" s="2024"/>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1538</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1516</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2456</v>
      </c>
      <c r="AJ700" s="1975">
        <f>VLOOKUP($H$698,$AO$692:$AP$694,2,FALSE)</f>
        <v>3</v>
      </c>
      <c r="AK700" s="1977"/>
      <c r="AL700" s="629"/>
      <c r="AM700" s="584"/>
      <c r="AN700" s="718"/>
      <c r="AP700" s="604" t="s">
        <v>1523</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1539</v>
      </c>
    </row>
    <row r="702" spans="1:42" s="604" customFormat="1" ht="12.75" customHeight="1">
      <c r="A702" s="584"/>
      <c r="B702" s="570"/>
      <c r="C702" s="573" t="s">
        <v>1540</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1541</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1542</v>
      </c>
    </row>
    <row r="704" spans="1:42" s="604" customFormat="1" ht="12.75" customHeight="1">
      <c r="A704" s="671"/>
      <c r="B704" s="570"/>
      <c r="C704" s="966"/>
      <c r="D704" s="697" t="s">
        <v>696</v>
      </c>
      <c r="E704" s="2032" t="s">
        <v>1885</v>
      </c>
      <c r="F704" s="2032"/>
      <c r="G704" s="2032"/>
      <c r="H704" s="2032"/>
      <c r="I704" s="2032"/>
      <c r="J704" s="2032"/>
      <c r="K704" s="2032"/>
      <c r="L704" s="2032"/>
      <c r="M704" s="2032"/>
      <c r="N704" s="2032"/>
      <c r="O704" s="2032"/>
      <c r="P704" s="2032"/>
      <c r="Q704" s="2032"/>
      <c r="R704" s="2032"/>
      <c r="S704" s="2032"/>
      <c r="T704" s="2032"/>
      <c r="U704" s="2032"/>
      <c r="V704" s="2032"/>
      <c r="W704" s="2032"/>
      <c r="X704" s="2032"/>
      <c r="Y704" s="2032"/>
      <c r="Z704" s="2032"/>
      <c r="AA704" s="2032"/>
      <c r="AB704" s="2032"/>
      <c r="AC704" s="570"/>
      <c r="AD704" s="570"/>
      <c r="AE704" s="570"/>
      <c r="AF704" s="1942" t="s">
        <v>1463</v>
      </c>
      <c r="AG704" s="1942"/>
      <c r="AH704" s="1942"/>
      <c r="AI704" s="1942"/>
      <c r="AJ704" s="1942"/>
      <c r="AK704" s="1942"/>
      <c r="AL704" s="1942"/>
      <c r="AM704" s="584"/>
      <c r="AN704" s="718"/>
      <c r="AP704" s="604" t="s">
        <v>1543</v>
      </c>
    </row>
    <row r="705" spans="1:52" s="604" customFormat="1" ht="11.85" customHeight="1">
      <c r="A705" s="584"/>
      <c r="B705" s="570"/>
      <c r="C705" s="968"/>
      <c r="D705" s="697"/>
      <c r="E705" s="2032"/>
      <c r="F705" s="2032"/>
      <c r="G705" s="2032"/>
      <c r="H705" s="2032"/>
      <c r="I705" s="2032"/>
      <c r="J705" s="2032"/>
      <c r="K705" s="2032"/>
      <c r="L705" s="2032"/>
      <c r="M705" s="2032"/>
      <c r="N705" s="2032"/>
      <c r="O705" s="2032"/>
      <c r="P705" s="2032"/>
      <c r="Q705" s="2032"/>
      <c r="R705" s="2032"/>
      <c r="S705" s="2032"/>
      <c r="T705" s="2032"/>
      <c r="U705" s="2032"/>
      <c r="V705" s="2032"/>
      <c r="W705" s="2032"/>
      <c r="X705" s="2032"/>
      <c r="Y705" s="2032"/>
      <c r="Z705" s="2032"/>
      <c r="AA705" s="2032"/>
      <c r="AB705" s="2032"/>
      <c r="AC705" s="570"/>
      <c r="AD705" s="570"/>
      <c r="AE705" s="570"/>
      <c r="AF705" s="570"/>
      <c r="AG705" s="570"/>
      <c r="AH705" s="570"/>
      <c r="AI705" s="570"/>
      <c r="AJ705" s="570"/>
      <c r="AK705" s="570"/>
      <c r="AL705" s="570"/>
      <c r="AM705" s="584"/>
      <c r="AN705" s="718"/>
      <c r="AP705" s="604" t="s">
        <v>1544</v>
      </c>
    </row>
    <row r="706" spans="1:52" s="604" customFormat="1" ht="13.9" customHeight="1">
      <c r="A706" s="584"/>
      <c r="B706" s="644"/>
      <c r="C706" s="966"/>
      <c r="D706" s="697"/>
      <c r="E706" s="2032"/>
      <c r="F706" s="2032"/>
      <c r="G706" s="2032"/>
      <c r="H706" s="2032"/>
      <c r="I706" s="2032"/>
      <c r="J706" s="2032"/>
      <c r="K706" s="2032"/>
      <c r="L706" s="2032"/>
      <c r="M706" s="2032"/>
      <c r="N706" s="2032"/>
      <c r="O706" s="2032"/>
      <c r="P706" s="2032"/>
      <c r="Q706" s="2032"/>
      <c r="R706" s="2032"/>
      <c r="S706" s="2032"/>
      <c r="T706" s="2032"/>
      <c r="U706" s="2032"/>
      <c r="V706" s="2032"/>
      <c r="W706" s="2032"/>
      <c r="X706" s="2032"/>
      <c r="Y706" s="2032"/>
      <c r="Z706" s="2032"/>
      <c r="AA706" s="2032"/>
      <c r="AB706" s="2032"/>
      <c r="AC706" s="570"/>
      <c r="AD706" s="570"/>
      <c r="AE706" s="650"/>
      <c r="AF706" s="570"/>
      <c r="AG706" s="570"/>
      <c r="AH706" s="570"/>
      <c r="AI706" s="570"/>
      <c r="AJ706" s="570"/>
      <c r="AK706" s="570"/>
      <c r="AL706" s="570"/>
      <c r="AM706" s="584"/>
      <c r="AN706" s="718"/>
      <c r="AP706" s="604" t="s">
        <v>1545</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1547</v>
      </c>
    </row>
    <row r="708" spans="1:52" s="604" customFormat="1" ht="13.9" customHeight="1">
      <c r="A708" s="584"/>
      <c r="B708" s="570"/>
      <c r="C708" s="966"/>
      <c r="D708" s="697" t="s">
        <v>517</v>
      </c>
      <c r="E708" s="2033" t="s">
        <v>1546</v>
      </c>
      <c r="F708" s="2033"/>
      <c r="G708" s="2033"/>
      <c r="H708" s="2033"/>
      <c r="I708" s="2033"/>
      <c r="J708" s="2033"/>
      <c r="K708" s="2033"/>
      <c r="L708" s="2033"/>
      <c r="M708" s="2033"/>
      <c r="N708" s="2033"/>
      <c r="O708" s="2033"/>
      <c r="P708" s="2033"/>
      <c r="Q708" s="2033"/>
      <c r="R708" s="2033"/>
      <c r="S708" s="2033"/>
      <c r="T708" s="2033"/>
      <c r="U708" s="2033"/>
      <c r="V708" s="2033"/>
      <c r="W708" s="2033"/>
      <c r="X708" s="2033"/>
      <c r="Y708" s="2033"/>
      <c r="Z708" s="2033"/>
      <c r="AA708" s="2033"/>
      <c r="AB708" s="2033"/>
      <c r="AC708" s="570"/>
      <c r="AD708" s="570"/>
      <c r="AE708" s="570"/>
      <c r="AF708" s="1942" t="s">
        <v>1519</v>
      </c>
      <c r="AG708" s="1942"/>
      <c r="AH708" s="1942"/>
      <c r="AI708" s="1942"/>
      <c r="AJ708" s="1942"/>
      <c r="AK708" s="1942"/>
      <c r="AL708" s="1942"/>
      <c r="AM708" s="584"/>
      <c r="AN708" s="719"/>
    </row>
    <row r="709" spans="1:52" s="604" customFormat="1" ht="12.75" customHeight="1">
      <c r="A709" s="584"/>
      <c r="B709" s="570"/>
      <c r="C709" s="968"/>
      <c r="D709" s="570"/>
      <c r="E709" s="2033"/>
      <c r="F709" s="2033"/>
      <c r="G709" s="2033"/>
      <c r="H709" s="2033"/>
      <c r="I709" s="2033"/>
      <c r="J709" s="2033"/>
      <c r="K709" s="2033"/>
      <c r="L709" s="2033"/>
      <c r="M709" s="2033"/>
      <c r="N709" s="2033"/>
      <c r="O709" s="2033"/>
      <c r="P709" s="2033"/>
      <c r="Q709" s="2033"/>
      <c r="R709" s="2033"/>
      <c r="S709" s="2033"/>
      <c r="T709" s="2033"/>
      <c r="U709" s="2033"/>
      <c r="V709" s="2033"/>
      <c r="W709" s="2033"/>
      <c r="X709" s="2033"/>
      <c r="Y709" s="2033"/>
      <c r="Z709" s="2033"/>
      <c r="AA709" s="2033"/>
      <c r="AB709" s="2033"/>
      <c r="AC709" s="570"/>
      <c r="AD709" s="570"/>
      <c r="AE709" s="570"/>
      <c r="AF709" s="570"/>
      <c r="AG709" s="570"/>
      <c r="AH709" s="570"/>
      <c r="AI709" s="570"/>
      <c r="AJ709" s="570"/>
      <c r="AK709" s="570"/>
      <c r="AL709" s="570"/>
      <c r="AM709" s="584"/>
      <c r="AN709" s="718"/>
      <c r="AP709" s="584" t="s">
        <v>599</v>
      </c>
      <c r="AQ709" s="707">
        <v>0</v>
      </c>
    </row>
    <row r="710" spans="1:52" s="604" customFormat="1" ht="13.9" customHeight="1">
      <c r="A710" s="584"/>
      <c r="B710" s="570"/>
      <c r="C710" s="968"/>
      <c r="D710" s="570"/>
      <c r="E710" s="2033"/>
      <c r="F710" s="2033"/>
      <c r="G710" s="2033"/>
      <c r="H710" s="2033"/>
      <c r="I710" s="2033"/>
      <c r="J710" s="2033"/>
      <c r="K710" s="2033"/>
      <c r="L710" s="2033"/>
      <c r="M710" s="2033"/>
      <c r="N710" s="2033"/>
      <c r="O710" s="2033"/>
      <c r="P710" s="2033"/>
      <c r="Q710" s="2033"/>
      <c r="R710" s="2033"/>
      <c r="S710" s="2033"/>
      <c r="T710" s="2033"/>
      <c r="U710" s="2033"/>
      <c r="V710" s="2033"/>
      <c r="W710" s="2033"/>
      <c r="X710" s="2033"/>
      <c r="Y710" s="2033"/>
      <c r="Z710" s="2033"/>
      <c r="AA710" s="2033"/>
      <c r="AB710" s="2033"/>
      <c r="AC710" s="570"/>
      <c r="AD710" s="570"/>
      <c r="AE710" s="570"/>
      <c r="AF710" s="570"/>
      <c r="AG710" s="570"/>
      <c r="AH710" s="570"/>
      <c r="AI710" s="570"/>
      <c r="AJ710" s="570"/>
      <c r="AK710" s="570"/>
      <c r="AL710" s="570"/>
      <c r="AM710" s="584"/>
      <c r="AN710" s="718"/>
      <c r="AP710" s="645" t="s">
        <v>696</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 customHeight="1">
      <c r="A712" s="584"/>
      <c r="B712" s="570"/>
      <c r="C712" s="968"/>
      <c r="D712" s="570" t="s">
        <v>1511</v>
      </c>
      <c r="E712" s="971"/>
      <c r="F712" s="971"/>
      <c r="G712" s="971"/>
      <c r="H712" s="2024" t="s">
        <v>599</v>
      </c>
      <c r="I712" s="2024"/>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1548</v>
      </c>
      <c r="AJ714" s="1975">
        <f>VLOOKUP($H$712,$AP$709:$AQ$711,2,FALSE)</f>
        <v>0</v>
      </c>
      <c r="AK714" s="1977"/>
      <c r="AL714" s="629"/>
      <c r="AM714" s="584"/>
      <c r="AN714" s="718"/>
      <c r="AP714" s="1975"/>
      <c r="AQ714" s="1977"/>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1549</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95" t="s">
        <v>1886</v>
      </c>
      <c r="F718" s="1995"/>
      <c r="G718" s="1995"/>
      <c r="H718" s="1995"/>
      <c r="I718" s="1995"/>
      <c r="J718" s="1995"/>
      <c r="K718" s="1995"/>
      <c r="L718" s="1995"/>
      <c r="M718" s="1995"/>
      <c r="N718" s="1995"/>
      <c r="O718" s="1995"/>
      <c r="P718" s="1995"/>
      <c r="Q718" s="1995"/>
      <c r="R718" s="1995"/>
      <c r="S718" s="1995"/>
      <c r="T718" s="1995"/>
      <c r="U718" s="1995"/>
      <c r="V718" s="1995"/>
      <c r="W718" s="1995"/>
      <c r="X718" s="1995"/>
      <c r="Y718" s="1995"/>
      <c r="Z718" s="1995"/>
      <c r="AA718" s="1995"/>
      <c r="AB718" s="1995"/>
      <c r="AC718" s="570"/>
      <c r="AD718" s="570"/>
      <c r="AE718" s="570"/>
      <c r="AF718" s="1942" t="s">
        <v>1463</v>
      </c>
      <c r="AG718" s="1942"/>
      <c r="AH718" s="1942"/>
      <c r="AI718" s="1942"/>
      <c r="AJ718" s="1942"/>
      <c r="AK718" s="1942"/>
      <c r="AL718" s="1942"/>
      <c r="AM718" s="584"/>
      <c r="AN718" s="718"/>
      <c r="AT718" s="14"/>
      <c r="AU718" s="14"/>
      <c r="AV718" s="14"/>
      <c r="AW718" s="14"/>
      <c r="AX718" s="14"/>
      <c r="AY718" s="14"/>
      <c r="AZ718" s="14"/>
    </row>
    <row r="719" spans="1:52" s="604" customFormat="1">
      <c r="A719" s="584"/>
      <c r="B719" s="570"/>
      <c r="C719" s="968"/>
      <c r="D719" s="697"/>
      <c r="E719" s="1995"/>
      <c r="F719" s="1995"/>
      <c r="G719" s="1995"/>
      <c r="H719" s="1995"/>
      <c r="I719" s="1995"/>
      <c r="J719" s="1995"/>
      <c r="K719" s="1995"/>
      <c r="L719" s="1995"/>
      <c r="M719" s="1995"/>
      <c r="N719" s="1995"/>
      <c r="O719" s="1995"/>
      <c r="P719" s="1995"/>
      <c r="Q719" s="1995"/>
      <c r="R719" s="1995"/>
      <c r="S719" s="1995"/>
      <c r="T719" s="1995"/>
      <c r="U719" s="1995"/>
      <c r="V719" s="1995"/>
      <c r="W719" s="1995"/>
      <c r="X719" s="1995"/>
      <c r="Y719" s="1995"/>
      <c r="Z719" s="1995"/>
      <c r="AA719" s="1995"/>
      <c r="AB719" s="1995"/>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95" t="s">
        <v>1550</v>
      </c>
      <c r="F721" s="1995"/>
      <c r="G721" s="1995"/>
      <c r="H721" s="1995"/>
      <c r="I721" s="1995"/>
      <c r="J721" s="1995"/>
      <c r="K721" s="1995"/>
      <c r="L721" s="1995"/>
      <c r="M721" s="1995"/>
      <c r="N721" s="1995"/>
      <c r="O721" s="1995"/>
      <c r="P721" s="1995"/>
      <c r="Q721" s="1995"/>
      <c r="R721" s="1995"/>
      <c r="S721" s="1995"/>
      <c r="T721" s="1995"/>
      <c r="U721" s="1995"/>
      <c r="V721" s="1995"/>
      <c r="W721" s="1995"/>
      <c r="X721" s="1995"/>
      <c r="Y721" s="1995"/>
      <c r="Z721" s="1995"/>
      <c r="AA721" s="1995"/>
      <c r="AB721" s="1995"/>
      <c r="AC721" s="570"/>
      <c r="AD721" s="570"/>
      <c r="AE721" s="570"/>
      <c r="AF721" s="1942" t="s">
        <v>1519</v>
      </c>
      <c r="AG721" s="1942"/>
      <c r="AH721" s="1942"/>
      <c r="AI721" s="1942"/>
      <c r="AJ721" s="1942"/>
      <c r="AK721" s="1942"/>
      <c r="AL721" s="1942"/>
      <c r="AM721" s="584"/>
      <c r="AN721" s="718"/>
      <c r="AT721" s="14"/>
      <c r="AU721" s="14"/>
      <c r="AV721" s="14"/>
      <c r="AW721" s="14"/>
      <c r="AX721" s="14"/>
      <c r="AY721" s="14"/>
      <c r="AZ721" s="14"/>
    </row>
    <row r="722" spans="1:81" s="604" customFormat="1">
      <c r="A722" s="584"/>
      <c r="B722" s="570"/>
      <c r="C722" s="968"/>
      <c r="D722" s="570"/>
      <c r="E722" s="1995"/>
      <c r="F722" s="1995"/>
      <c r="G722" s="1995"/>
      <c r="H722" s="1995"/>
      <c r="I722" s="1995"/>
      <c r="J722" s="1995"/>
      <c r="K722" s="1995"/>
      <c r="L722" s="1995"/>
      <c r="M722" s="1995"/>
      <c r="N722" s="1995"/>
      <c r="O722" s="1995"/>
      <c r="P722" s="1995"/>
      <c r="Q722" s="1995"/>
      <c r="R722" s="1995"/>
      <c r="S722" s="1995"/>
      <c r="T722" s="1995"/>
      <c r="U722" s="1995"/>
      <c r="V722" s="1995"/>
      <c r="W722" s="1995"/>
      <c r="X722" s="1995"/>
      <c r="Y722" s="1995"/>
      <c r="Z722" s="1995"/>
      <c r="AA722" s="1995"/>
      <c r="AB722" s="1995"/>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1511</v>
      </c>
      <c r="E724" s="971"/>
      <c r="F724" s="971"/>
      <c r="G724" s="971"/>
      <c r="H724" s="2024" t="s">
        <v>599</v>
      </c>
      <c r="I724" s="2024"/>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1551</v>
      </c>
      <c r="AJ726" s="1975">
        <f>VLOOKUP($H$724,$AO$655:$AP$657,2,FALSE)</f>
        <v>0</v>
      </c>
      <c r="AK726" s="1977"/>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1552</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95" t="s">
        <v>1553</v>
      </c>
      <c r="F730" s="1995"/>
      <c r="G730" s="1995"/>
      <c r="H730" s="1995"/>
      <c r="I730" s="1995"/>
      <c r="J730" s="1995"/>
      <c r="K730" s="1995"/>
      <c r="L730" s="1995"/>
      <c r="M730" s="1995"/>
      <c r="N730" s="1995"/>
      <c r="O730" s="1995"/>
      <c r="P730" s="1995"/>
      <c r="Q730" s="1995"/>
      <c r="R730" s="1995"/>
      <c r="S730" s="1995"/>
      <c r="T730" s="1995"/>
      <c r="U730" s="1995"/>
      <c r="V730" s="1995"/>
      <c r="W730" s="1995"/>
      <c r="X730" s="1995"/>
      <c r="Y730" s="1995"/>
      <c r="Z730" s="1995"/>
      <c r="AA730" s="1995"/>
      <c r="AB730" s="1995"/>
      <c r="AC730" s="570"/>
      <c r="AD730" s="570"/>
      <c r="AE730" s="570"/>
      <c r="AF730" s="1942" t="s">
        <v>1463</v>
      </c>
      <c r="AG730" s="1942"/>
      <c r="AH730" s="1942"/>
      <c r="AI730" s="1942"/>
      <c r="AJ730" s="1942"/>
      <c r="AK730" s="1942"/>
      <c r="AL730" s="1942"/>
      <c r="AM730" s="584"/>
      <c r="AN730" s="718"/>
      <c r="AT730" s="14"/>
      <c r="AU730" s="14"/>
      <c r="AV730" s="14"/>
      <c r="AW730" s="14"/>
      <c r="AX730" s="14"/>
      <c r="AY730" s="14"/>
      <c r="AZ730" s="14"/>
    </row>
    <row r="731" spans="1:81" s="604" customFormat="1">
      <c r="A731" s="584"/>
      <c r="B731" s="570"/>
      <c r="C731" s="966"/>
      <c r="D731" s="697"/>
      <c r="E731" s="1995"/>
      <c r="F731" s="1995"/>
      <c r="G731" s="1995"/>
      <c r="H731" s="1995"/>
      <c r="I731" s="1995"/>
      <c r="J731" s="1995"/>
      <c r="K731" s="1995"/>
      <c r="L731" s="1995"/>
      <c r="M731" s="1995"/>
      <c r="N731" s="1995"/>
      <c r="O731" s="1995"/>
      <c r="P731" s="1995"/>
      <c r="Q731" s="1995"/>
      <c r="R731" s="1995"/>
      <c r="S731" s="1995"/>
      <c r="T731" s="1995"/>
      <c r="U731" s="1995"/>
      <c r="V731" s="1995"/>
      <c r="W731" s="1995"/>
      <c r="X731" s="1995"/>
      <c r="Y731" s="1995"/>
      <c r="Z731" s="1995"/>
      <c r="AA731" s="1995"/>
      <c r="AB731" s="1995"/>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95"/>
      <c r="F732" s="1995"/>
      <c r="G732" s="1995"/>
      <c r="H732" s="1995"/>
      <c r="I732" s="1995"/>
      <c r="J732" s="1995"/>
      <c r="K732" s="1995"/>
      <c r="L732" s="1995"/>
      <c r="M732" s="1995"/>
      <c r="N732" s="1995"/>
      <c r="O732" s="1995"/>
      <c r="P732" s="1995"/>
      <c r="Q732" s="1995"/>
      <c r="R732" s="1995"/>
      <c r="S732" s="1995"/>
      <c r="T732" s="1995"/>
      <c r="U732" s="1995"/>
      <c r="V732" s="1995"/>
      <c r="W732" s="1995"/>
      <c r="X732" s="1995"/>
      <c r="Y732" s="1995"/>
      <c r="Z732" s="1995"/>
      <c r="AA732" s="1995"/>
      <c r="AB732" s="1995"/>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95"/>
      <c r="F733" s="1995"/>
      <c r="G733" s="1995"/>
      <c r="H733" s="1995"/>
      <c r="I733" s="1995"/>
      <c r="J733" s="1995"/>
      <c r="K733" s="1995"/>
      <c r="L733" s="1995"/>
      <c r="M733" s="1995"/>
      <c r="N733" s="1995"/>
      <c r="O733" s="1995"/>
      <c r="P733" s="1995"/>
      <c r="Q733" s="1995"/>
      <c r="R733" s="1995"/>
      <c r="S733" s="1995"/>
      <c r="T733" s="1995"/>
      <c r="U733" s="1995"/>
      <c r="V733" s="1995"/>
      <c r="W733" s="1995"/>
      <c r="X733" s="1995"/>
      <c r="Y733" s="1995"/>
      <c r="Z733" s="1995"/>
      <c r="AA733" s="1995"/>
      <c r="AB733" s="1995"/>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95" t="s">
        <v>1554</v>
      </c>
      <c r="F735" s="1995"/>
      <c r="G735" s="1995"/>
      <c r="H735" s="1995"/>
      <c r="I735" s="1995"/>
      <c r="J735" s="1995"/>
      <c r="K735" s="1995"/>
      <c r="L735" s="1995"/>
      <c r="M735" s="1995"/>
      <c r="N735" s="1995"/>
      <c r="O735" s="1995"/>
      <c r="P735" s="1995"/>
      <c r="Q735" s="1995"/>
      <c r="R735" s="1995"/>
      <c r="S735" s="1995"/>
      <c r="T735" s="1995"/>
      <c r="U735" s="1995"/>
      <c r="V735" s="1995"/>
      <c r="W735" s="1995"/>
      <c r="X735" s="1995"/>
      <c r="Y735" s="1995"/>
      <c r="Z735" s="1995"/>
      <c r="AA735" s="1995"/>
      <c r="AB735" s="609"/>
      <c r="AC735" s="570"/>
      <c r="AD735" s="570"/>
      <c r="AE735" s="570"/>
      <c r="AF735" s="1942" t="s">
        <v>1519</v>
      </c>
      <c r="AG735" s="1942"/>
      <c r="AH735" s="1942"/>
      <c r="AI735" s="1942"/>
      <c r="AJ735" s="1942"/>
      <c r="AK735" s="1942"/>
      <c r="AL735" s="1942"/>
      <c r="AM735" s="584"/>
      <c r="AN735" s="718"/>
      <c r="AO735" s="30"/>
      <c r="AP735" s="14"/>
    </row>
    <row r="736" spans="1:81" s="604" customFormat="1">
      <c r="A736" s="584"/>
      <c r="B736" s="570"/>
      <c r="C736" s="966"/>
      <c r="D736" s="697"/>
      <c r="E736" s="1995"/>
      <c r="F736" s="1995"/>
      <c r="G736" s="1995"/>
      <c r="H736" s="1995"/>
      <c r="I736" s="1995"/>
      <c r="J736" s="1995"/>
      <c r="K736" s="1995"/>
      <c r="L736" s="1995"/>
      <c r="M736" s="1995"/>
      <c r="N736" s="1995"/>
      <c r="O736" s="1995"/>
      <c r="P736" s="1995"/>
      <c r="Q736" s="1995"/>
      <c r="R736" s="1995"/>
      <c r="S736" s="1995"/>
      <c r="T736" s="1995"/>
      <c r="U736" s="1995"/>
      <c r="V736" s="1995"/>
      <c r="W736" s="1995"/>
      <c r="X736" s="1995"/>
      <c r="Y736" s="1995"/>
      <c r="Z736" s="1995"/>
      <c r="AA736" s="1995"/>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95"/>
      <c r="F737" s="1995"/>
      <c r="G737" s="1995"/>
      <c r="H737" s="1995"/>
      <c r="I737" s="1995"/>
      <c r="J737" s="1995"/>
      <c r="K737" s="1995"/>
      <c r="L737" s="1995"/>
      <c r="M737" s="1995"/>
      <c r="N737" s="1995"/>
      <c r="O737" s="1995"/>
      <c r="P737" s="1995"/>
      <c r="Q737" s="1995"/>
      <c r="R737" s="1995"/>
      <c r="S737" s="1995"/>
      <c r="T737" s="1995"/>
      <c r="U737" s="1995"/>
      <c r="V737" s="1995"/>
      <c r="W737" s="1995"/>
      <c r="X737" s="1995"/>
      <c r="Y737" s="1995"/>
      <c r="Z737" s="1995"/>
      <c r="AA737" s="1995"/>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95"/>
      <c r="F738" s="1995"/>
      <c r="G738" s="1995"/>
      <c r="H738" s="1995"/>
      <c r="I738" s="1995"/>
      <c r="J738" s="1995"/>
      <c r="K738" s="1995"/>
      <c r="L738" s="1995"/>
      <c r="M738" s="1995"/>
      <c r="N738" s="1995"/>
      <c r="O738" s="1995"/>
      <c r="P738" s="1995"/>
      <c r="Q738" s="1995"/>
      <c r="R738" s="1995"/>
      <c r="S738" s="1995"/>
      <c r="T738" s="1995"/>
      <c r="U738" s="1995"/>
      <c r="V738" s="1995"/>
      <c r="W738" s="1995"/>
      <c r="X738" s="1995"/>
      <c r="Y738" s="1995"/>
      <c r="Z738" s="1995"/>
      <c r="AA738" s="1995"/>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1511</v>
      </c>
      <c r="E740" s="971"/>
      <c r="F740" s="971"/>
      <c r="G740" s="971"/>
      <c r="H740" s="2024" t="s">
        <v>696</v>
      </c>
      <c r="I740" s="2024"/>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1555</v>
      </c>
      <c r="AJ742" s="1975">
        <f>VLOOKUP($H$740,$AO$669:$AP$671,2,FALSE)</f>
        <v>3</v>
      </c>
      <c r="AK742" s="1977"/>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1545</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95" t="s">
        <v>1556</v>
      </c>
      <c r="F746" s="1995"/>
      <c r="G746" s="1995"/>
      <c r="H746" s="1995"/>
      <c r="I746" s="1995"/>
      <c r="J746" s="1995"/>
      <c r="K746" s="1995"/>
      <c r="L746" s="1995"/>
      <c r="M746" s="1995"/>
      <c r="N746" s="1995"/>
      <c r="O746" s="1995"/>
      <c r="P746" s="1995"/>
      <c r="Q746" s="1995"/>
      <c r="R746" s="1995"/>
      <c r="S746" s="1995"/>
      <c r="T746" s="1995"/>
      <c r="U746" s="1995"/>
      <c r="V746" s="1995"/>
      <c r="W746" s="1995"/>
      <c r="X746" s="1995"/>
      <c r="Y746" s="1995"/>
      <c r="Z746" s="1995"/>
      <c r="AA746" s="1995"/>
      <c r="AB746" s="1995"/>
      <c r="AC746" s="570"/>
      <c r="AD746" s="570"/>
      <c r="AE746" s="570"/>
      <c r="AF746" s="1942" t="s">
        <v>1519</v>
      </c>
      <c r="AG746" s="1942"/>
      <c r="AH746" s="1942"/>
      <c r="AI746" s="1942"/>
      <c r="AJ746" s="1942"/>
      <c r="AK746" s="1942"/>
      <c r="AL746" s="1942"/>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95"/>
      <c r="F747" s="1995"/>
      <c r="G747" s="1995"/>
      <c r="H747" s="1995"/>
      <c r="I747" s="1995"/>
      <c r="J747" s="1995"/>
      <c r="K747" s="1995"/>
      <c r="L747" s="1995"/>
      <c r="M747" s="1995"/>
      <c r="N747" s="1995"/>
      <c r="O747" s="1995"/>
      <c r="P747" s="1995"/>
      <c r="Q747" s="1995"/>
      <c r="R747" s="1995"/>
      <c r="S747" s="1995"/>
      <c r="T747" s="1995"/>
      <c r="U747" s="1995"/>
      <c r="V747" s="1995"/>
      <c r="W747" s="1995"/>
      <c r="X747" s="1995"/>
      <c r="Y747" s="1995"/>
      <c r="Z747" s="1995"/>
      <c r="AA747" s="1995"/>
      <c r="AB747" s="1995"/>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95" t="s">
        <v>1557</v>
      </c>
      <c r="F749" s="1995"/>
      <c r="G749" s="1995"/>
      <c r="H749" s="1995"/>
      <c r="I749" s="1995"/>
      <c r="J749" s="1995"/>
      <c r="K749" s="1995"/>
      <c r="L749" s="1995"/>
      <c r="M749" s="1995"/>
      <c r="N749" s="1995"/>
      <c r="O749" s="1995"/>
      <c r="P749" s="1995"/>
      <c r="Q749" s="1995"/>
      <c r="R749" s="1995"/>
      <c r="S749" s="1995"/>
      <c r="T749" s="1995"/>
      <c r="U749" s="1995"/>
      <c r="V749" s="1995"/>
      <c r="W749" s="1995"/>
      <c r="X749" s="1995"/>
      <c r="Y749" s="1995"/>
      <c r="Z749" s="1995"/>
      <c r="AA749" s="1995"/>
      <c r="AB749" s="1995"/>
      <c r="AC749" s="570"/>
      <c r="AD749" s="570"/>
      <c r="AE749" s="570"/>
      <c r="AF749" s="1942" t="s">
        <v>1536</v>
      </c>
      <c r="AG749" s="1942"/>
      <c r="AH749" s="1942"/>
      <c r="AI749" s="1942"/>
      <c r="AJ749" s="1942"/>
      <c r="AK749" s="1942"/>
      <c r="AL749" s="1942"/>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95"/>
      <c r="F750" s="1995"/>
      <c r="G750" s="1995"/>
      <c r="H750" s="1995"/>
      <c r="I750" s="1995"/>
      <c r="J750" s="1995"/>
      <c r="K750" s="1995"/>
      <c r="L750" s="1995"/>
      <c r="M750" s="1995"/>
      <c r="N750" s="1995"/>
      <c r="O750" s="1995"/>
      <c r="P750" s="1995"/>
      <c r="Q750" s="1995"/>
      <c r="R750" s="1995"/>
      <c r="S750" s="1995"/>
      <c r="T750" s="1995"/>
      <c r="U750" s="1995"/>
      <c r="V750" s="1995"/>
      <c r="W750" s="1995"/>
      <c r="X750" s="1995"/>
      <c r="Y750" s="1995"/>
      <c r="Z750" s="1995"/>
      <c r="AA750" s="1995"/>
      <c r="AB750" s="1995"/>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1511</v>
      </c>
      <c r="E752" s="971"/>
      <c r="F752" s="971"/>
      <c r="G752" s="971"/>
      <c r="H752" s="2024" t="s">
        <v>696</v>
      </c>
      <c r="I752" s="2024"/>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1558</v>
      </c>
      <c r="AJ754" s="1975">
        <f>VLOOKUP($H$752,$AO$686:$AP$688,2,FALSE)</f>
        <v>2</v>
      </c>
      <c r="AK754" s="1977"/>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1547</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696</v>
      </c>
      <c r="E758" s="1995" t="s">
        <v>1882</v>
      </c>
      <c r="F758" s="1995"/>
      <c r="G758" s="1995"/>
      <c r="H758" s="1995"/>
      <c r="I758" s="1995"/>
      <c r="J758" s="1995"/>
      <c r="K758" s="1995"/>
      <c r="L758" s="1995"/>
      <c r="M758" s="1995"/>
      <c r="N758" s="1995"/>
      <c r="O758" s="1995"/>
      <c r="P758" s="1995"/>
      <c r="Q758" s="1995"/>
      <c r="R758" s="1995"/>
      <c r="S758" s="1995"/>
      <c r="T758" s="1995"/>
      <c r="U758" s="1995"/>
      <c r="V758" s="1995"/>
      <c r="W758" s="1995"/>
      <c r="X758" s="1995"/>
      <c r="Y758" s="1995"/>
      <c r="Z758" s="1995"/>
      <c r="AA758" s="1995"/>
      <c r="AB758" s="1995"/>
      <c r="AC758" s="1995"/>
      <c r="AD758" s="1995"/>
      <c r="AE758" s="570"/>
      <c r="AF758" s="1942" t="s">
        <v>1519</v>
      </c>
      <c r="AG758" s="1942"/>
      <c r="AH758" s="1942"/>
      <c r="AI758" s="1942"/>
      <c r="AJ758" s="1942"/>
      <c r="AK758" s="1942"/>
      <c r="AL758" s="1942"/>
      <c r="AM758" s="647"/>
      <c r="AN758" s="718"/>
      <c r="AO758" s="584" t="s">
        <v>599</v>
      </c>
      <c r="AP758" s="707">
        <v>0</v>
      </c>
    </row>
    <row r="759" spans="1:74" s="604" customFormat="1" ht="13.7" customHeight="1">
      <c r="A759" s="584"/>
      <c r="B759" s="650"/>
      <c r="C759" s="975"/>
      <c r="D759" s="697"/>
      <c r="E759" s="1995"/>
      <c r="F759" s="1995"/>
      <c r="G759" s="1995"/>
      <c r="H759" s="1995"/>
      <c r="I759" s="1995"/>
      <c r="J759" s="1995"/>
      <c r="K759" s="1995"/>
      <c r="L759" s="1995"/>
      <c r="M759" s="1995"/>
      <c r="N759" s="1995"/>
      <c r="O759" s="1995"/>
      <c r="P759" s="1995"/>
      <c r="Q759" s="1995"/>
      <c r="R759" s="1995"/>
      <c r="S759" s="1995"/>
      <c r="T759" s="1995"/>
      <c r="U759" s="1995"/>
      <c r="V759" s="1995"/>
      <c r="W759" s="1995"/>
      <c r="X759" s="1995"/>
      <c r="Y759" s="1995"/>
      <c r="Z759" s="1995"/>
      <c r="AA759" s="1995"/>
      <c r="AB759" s="1995"/>
      <c r="AC759" s="1995"/>
      <c r="AD759" s="1995"/>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95"/>
      <c r="F760" s="1995"/>
      <c r="G760" s="1995"/>
      <c r="H760" s="1995"/>
      <c r="I760" s="1995"/>
      <c r="J760" s="1995"/>
      <c r="K760" s="1995"/>
      <c r="L760" s="1995"/>
      <c r="M760" s="1995"/>
      <c r="N760" s="1995"/>
      <c r="O760" s="1995"/>
      <c r="P760" s="1995"/>
      <c r="Q760" s="1995"/>
      <c r="R760" s="1995"/>
      <c r="S760" s="1995"/>
      <c r="T760" s="1995"/>
      <c r="U760" s="1995"/>
      <c r="V760" s="1995"/>
      <c r="W760" s="1995"/>
      <c r="X760" s="1995"/>
      <c r="Y760" s="1995"/>
      <c r="Z760" s="1995"/>
      <c r="AA760" s="1995"/>
      <c r="AB760" s="1995"/>
      <c r="AC760" s="1995"/>
      <c r="AD760" s="1995"/>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95"/>
      <c r="F761" s="1995"/>
      <c r="G761" s="1995"/>
      <c r="H761" s="1995"/>
      <c r="I761" s="1995"/>
      <c r="J761" s="1995"/>
      <c r="K761" s="1995"/>
      <c r="L761" s="1995"/>
      <c r="M761" s="1995"/>
      <c r="N761" s="1995"/>
      <c r="O761" s="1995"/>
      <c r="P761" s="1995"/>
      <c r="Q761" s="1995"/>
      <c r="R761" s="1995"/>
      <c r="S761" s="1995"/>
      <c r="T761" s="1995"/>
      <c r="U761" s="1995"/>
      <c r="V761" s="1995"/>
      <c r="W761" s="1995"/>
      <c r="X761" s="1995"/>
      <c r="Y761" s="1995"/>
      <c r="Z761" s="1995"/>
      <c r="AA761" s="1995"/>
      <c r="AB761" s="1995"/>
      <c r="AC761" s="1995"/>
      <c r="AD761" s="1995"/>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34" t="s">
        <v>1887</v>
      </c>
      <c r="F763" s="2034"/>
      <c r="G763" s="2034"/>
      <c r="H763" s="2034"/>
      <c r="I763" s="2034"/>
      <c r="J763" s="2034"/>
      <c r="K763" s="2034"/>
      <c r="L763" s="2034"/>
      <c r="M763" s="2034"/>
      <c r="N763" s="2034"/>
      <c r="O763" s="2034"/>
      <c r="P763" s="2034"/>
      <c r="Q763" s="2034"/>
      <c r="R763" s="2034"/>
      <c r="S763" s="2034"/>
      <c r="T763" s="2034"/>
      <c r="U763" s="2034"/>
      <c r="V763" s="2034"/>
      <c r="W763" s="2034"/>
      <c r="X763" s="2034"/>
      <c r="Y763" s="2034"/>
      <c r="Z763" s="2034"/>
      <c r="AA763" s="2034"/>
      <c r="AB763" s="2034"/>
      <c r="AC763" s="2034"/>
      <c r="AD763" s="2034"/>
      <c r="AE763" s="570"/>
      <c r="AF763" s="1942" t="s">
        <v>1463</v>
      </c>
      <c r="AG763" s="1942"/>
      <c r="AH763" s="1942"/>
      <c r="AI763" s="1942"/>
      <c r="AJ763" s="1942"/>
      <c r="AK763" s="1942"/>
      <c r="AL763" s="1942"/>
      <c r="AM763" s="647"/>
      <c r="AN763" s="631"/>
    </row>
    <row r="764" spans="1:74" s="584" customFormat="1" ht="12.75" customHeight="1">
      <c r="B764" s="650"/>
      <c r="C764" s="975"/>
      <c r="D764" s="697"/>
      <c r="E764" s="2034"/>
      <c r="F764" s="2034"/>
      <c r="G764" s="2034"/>
      <c r="H764" s="2034"/>
      <c r="I764" s="2034"/>
      <c r="J764" s="2034"/>
      <c r="K764" s="2034"/>
      <c r="L764" s="2034"/>
      <c r="M764" s="2034"/>
      <c r="N764" s="2034"/>
      <c r="O764" s="2034"/>
      <c r="P764" s="2034"/>
      <c r="Q764" s="2034"/>
      <c r="R764" s="2034"/>
      <c r="S764" s="2034"/>
      <c r="T764" s="2034"/>
      <c r="U764" s="2034"/>
      <c r="V764" s="2034"/>
      <c r="W764" s="2034"/>
      <c r="X764" s="2034"/>
      <c r="Y764" s="2034"/>
      <c r="Z764" s="2034"/>
      <c r="AA764" s="2034"/>
      <c r="AB764" s="2034"/>
      <c r="AC764" s="2034"/>
      <c r="AD764" s="2034"/>
      <c r="AE764" s="628"/>
      <c r="AF764" s="628"/>
      <c r="AG764" s="628"/>
      <c r="AH764" s="628"/>
      <c r="AI764" s="628"/>
      <c r="AJ764" s="628"/>
      <c r="AK764" s="628"/>
      <c r="AL764" s="628"/>
      <c r="AM764" s="647"/>
      <c r="AN764" s="631"/>
    </row>
    <row r="765" spans="1:74" s="584" customFormat="1" ht="12.75" customHeight="1">
      <c r="B765" s="650"/>
      <c r="C765" s="975"/>
      <c r="D765" s="697"/>
      <c r="E765" s="2034"/>
      <c r="F765" s="2034"/>
      <c r="G765" s="2034"/>
      <c r="H765" s="2034"/>
      <c r="I765" s="2034"/>
      <c r="J765" s="2034"/>
      <c r="K765" s="2034"/>
      <c r="L765" s="2034"/>
      <c r="M765" s="2034"/>
      <c r="N765" s="2034"/>
      <c r="O765" s="2034"/>
      <c r="P765" s="2034"/>
      <c r="Q765" s="2034"/>
      <c r="R765" s="2034"/>
      <c r="S765" s="2034"/>
      <c r="T765" s="2034"/>
      <c r="U765" s="2034"/>
      <c r="V765" s="2034"/>
      <c r="W765" s="2034"/>
      <c r="X765" s="2034"/>
      <c r="Y765" s="2034"/>
      <c r="Z765" s="2034"/>
      <c r="AA765" s="2034"/>
      <c r="AB765" s="2034"/>
      <c r="AC765" s="2034"/>
      <c r="AD765" s="2034"/>
      <c r="AE765" s="628"/>
      <c r="AF765" s="628"/>
      <c r="AG765" s="628"/>
      <c r="AH765" s="628"/>
      <c r="AI765" s="628"/>
      <c r="AJ765" s="628"/>
      <c r="AK765" s="628"/>
      <c r="AL765" s="628"/>
      <c r="AM765" s="647"/>
      <c r="AN765" s="631"/>
    </row>
    <row r="766" spans="1:74" s="584" customFormat="1" ht="12.75" customHeight="1">
      <c r="B766" s="650"/>
      <c r="C766" s="975"/>
      <c r="D766" s="697"/>
      <c r="E766" s="2034"/>
      <c r="F766" s="2034"/>
      <c r="G766" s="2034"/>
      <c r="H766" s="2034"/>
      <c r="I766" s="2034"/>
      <c r="J766" s="2034"/>
      <c r="K766" s="2034"/>
      <c r="L766" s="2034"/>
      <c r="M766" s="2034"/>
      <c r="N766" s="2034"/>
      <c r="O766" s="2034"/>
      <c r="P766" s="2034"/>
      <c r="Q766" s="2034"/>
      <c r="R766" s="2034"/>
      <c r="S766" s="2034"/>
      <c r="T766" s="2034"/>
      <c r="U766" s="2034"/>
      <c r="V766" s="2034"/>
      <c r="W766" s="2034"/>
      <c r="X766" s="2034"/>
      <c r="Y766" s="2034"/>
      <c r="Z766" s="2034"/>
      <c r="AA766" s="2034"/>
      <c r="AB766" s="2034"/>
      <c r="AC766" s="2034"/>
      <c r="AD766" s="2034"/>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1511</v>
      </c>
      <c r="E768" s="971"/>
      <c r="F768" s="971"/>
      <c r="G768" s="971"/>
      <c r="H768" s="2024" t="s">
        <v>599</v>
      </c>
      <c r="I768" s="2024"/>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1559</v>
      </c>
      <c r="AJ770" s="1975">
        <f>VLOOKUP($H$768,$AO$758:$AP$760,2,FALSE)</f>
        <v>0</v>
      </c>
      <c r="AK770" s="1977"/>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1560</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696</v>
      </c>
      <c r="E774" s="1995" t="s">
        <v>2347</v>
      </c>
      <c r="F774" s="1995"/>
      <c r="G774" s="1995"/>
      <c r="H774" s="1995"/>
      <c r="I774" s="1995"/>
      <c r="J774" s="1995"/>
      <c r="K774" s="1995"/>
      <c r="L774" s="1995"/>
      <c r="M774" s="1995"/>
      <c r="N774" s="1995"/>
      <c r="O774" s="1995"/>
      <c r="P774" s="1995"/>
      <c r="Q774" s="1995"/>
      <c r="R774" s="1995"/>
      <c r="S774" s="1995"/>
      <c r="T774" s="1995"/>
      <c r="U774" s="1995"/>
      <c r="V774" s="1995"/>
      <c r="W774" s="1995"/>
      <c r="X774" s="1995"/>
      <c r="Y774" s="1995"/>
      <c r="Z774" s="1995"/>
      <c r="AA774" s="1995"/>
      <c r="AB774" s="1995"/>
      <c r="AC774" s="1995"/>
      <c r="AD774" s="1995"/>
      <c r="AE774" s="570"/>
      <c r="AF774" s="1942" t="s">
        <v>1463</v>
      </c>
      <c r="AG774" s="1942"/>
      <c r="AH774" s="1942"/>
      <c r="AI774" s="1942"/>
      <c r="AJ774" s="1942"/>
      <c r="AK774" s="1942"/>
      <c r="AL774" s="1942"/>
      <c r="AM774" s="647"/>
      <c r="AN774" s="718"/>
      <c r="AO774" s="645" t="s">
        <v>553</v>
      </c>
      <c r="AP774" s="584">
        <v>3</v>
      </c>
      <c r="AT774" s="708"/>
      <c r="AU774" s="708"/>
      <c r="AV774" s="708"/>
      <c r="AW774" s="708"/>
      <c r="AX774" s="708"/>
      <c r="AY774" s="708"/>
      <c r="AZ774" s="708"/>
    </row>
    <row r="775" spans="1:81" s="604" customFormat="1" ht="13.7" customHeight="1">
      <c r="A775" s="584"/>
      <c r="B775" s="650"/>
      <c r="C775" s="975"/>
      <c r="D775" s="697"/>
      <c r="E775" s="1995"/>
      <c r="F775" s="1995"/>
      <c r="G775" s="1995"/>
      <c r="H775" s="1995"/>
      <c r="I775" s="1995"/>
      <c r="J775" s="1995"/>
      <c r="K775" s="1995"/>
      <c r="L775" s="1995"/>
      <c r="M775" s="1995"/>
      <c r="N775" s="1995"/>
      <c r="O775" s="1995"/>
      <c r="P775" s="1995"/>
      <c r="Q775" s="1995"/>
      <c r="R775" s="1995"/>
      <c r="S775" s="1995"/>
      <c r="T775" s="1995"/>
      <c r="U775" s="1995"/>
      <c r="V775" s="1995"/>
      <c r="W775" s="1995"/>
      <c r="X775" s="1995"/>
      <c r="Y775" s="1995"/>
      <c r="Z775" s="1995"/>
      <c r="AA775" s="1995"/>
      <c r="AB775" s="1995"/>
      <c r="AC775" s="1995"/>
      <c r="AD775" s="1995"/>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95"/>
      <c r="F776" s="1995"/>
      <c r="G776" s="1995"/>
      <c r="H776" s="1995"/>
      <c r="I776" s="1995"/>
      <c r="J776" s="1995"/>
      <c r="K776" s="1995"/>
      <c r="L776" s="1995"/>
      <c r="M776" s="1995"/>
      <c r="N776" s="1995"/>
      <c r="O776" s="1995"/>
      <c r="P776" s="1995"/>
      <c r="Q776" s="1995"/>
      <c r="R776" s="1995"/>
      <c r="S776" s="1995"/>
      <c r="T776" s="1995"/>
      <c r="U776" s="1995"/>
      <c r="V776" s="1995"/>
      <c r="W776" s="1995"/>
      <c r="X776" s="1995"/>
      <c r="Y776" s="1995"/>
      <c r="Z776" s="1995"/>
      <c r="AA776" s="1995"/>
      <c r="AB776" s="1995"/>
      <c r="AC776" s="1995"/>
      <c r="AD776" s="1995"/>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95"/>
      <c r="F777" s="1995"/>
      <c r="G777" s="1995"/>
      <c r="H777" s="1995"/>
      <c r="I777" s="1995"/>
      <c r="J777" s="1995"/>
      <c r="K777" s="1995"/>
      <c r="L777" s="1995"/>
      <c r="M777" s="1995"/>
      <c r="N777" s="1995"/>
      <c r="O777" s="1995"/>
      <c r="P777" s="1995"/>
      <c r="Q777" s="1995"/>
      <c r="R777" s="1995"/>
      <c r="S777" s="1995"/>
      <c r="T777" s="1995"/>
      <c r="U777" s="1995"/>
      <c r="V777" s="1995"/>
      <c r="W777" s="1995"/>
      <c r="X777" s="1995"/>
      <c r="Y777" s="1995"/>
      <c r="Z777" s="1995"/>
      <c r="AA777" s="1995"/>
      <c r="AB777" s="1995"/>
      <c r="AC777" s="1995"/>
      <c r="AD777" s="1995"/>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1511</v>
      </c>
      <c r="E779" s="971"/>
      <c r="F779" s="971"/>
      <c r="G779" s="971"/>
      <c r="H779" s="2024" t="s">
        <v>599</v>
      </c>
      <c r="I779" s="2024"/>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1561</v>
      </c>
      <c r="AJ781" s="1975">
        <f>VLOOKUP($H$779,$AO$773:$AP$774,2,FALSE)</f>
        <v>0</v>
      </c>
      <c r="AK781" s="1977"/>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1562</v>
      </c>
      <c r="AK783" s="1975">
        <f>IF(($AJ$610+$AJ$629+$AJ$641+$AJ$676+$AJ$700+$AJ$714+$AJ$726+$AJ$742+$AJ$754+$AJ$770+AJ781)&gt;10,10,($AJ$610+$AJ$629+$AJ$641+$AJ$676+$AJ$700+$AJ$714+$AJ$726+$AJ$742+$AJ$754+$AJ$770+AJ781))</f>
        <v>10</v>
      </c>
      <c r="AL783" s="1976"/>
      <c r="AM783" s="1977"/>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85" t="s">
        <v>1680</v>
      </c>
      <c r="B786" s="2086"/>
      <c r="C786" s="2086"/>
      <c r="D786" s="2086"/>
      <c r="E786" s="2086"/>
      <c r="F786" s="2086"/>
      <c r="G786" s="2086"/>
      <c r="H786" s="2086"/>
      <c r="I786" s="2086"/>
      <c r="J786" s="2086"/>
      <c r="K786" s="2086"/>
      <c r="L786" s="2086"/>
      <c r="M786" s="2086"/>
      <c r="N786" s="2086"/>
      <c r="O786" s="2086"/>
      <c r="P786" s="2086"/>
      <c r="Q786" s="2086"/>
      <c r="R786" s="2086"/>
      <c r="S786" s="2086"/>
      <c r="T786" s="2086"/>
      <c r="U786" s="2086"/>
      <c r="V786" s="2086"/>
      <c r="W786" s="2086"/>
      <c r="X786" s="2086"/>
      <c r="Y786" s="2086"/>
      <c r="Z786" s="2086"/>
      <c r="AA786" s="2086"/>
      <c r="AB786" s="2086"/>
      <c r="AC786" s="2086"/>
      <c r="AD786" s="2086"/>
      <c r="AE786" s="2086"/>
      <c r="AF786" s="2086"/>
      <c r="AG786" s="2086"/>
      <c r="AH786" s="2086"/>
      <c r="AI786" s="2086"/>
      <c r="AJ786" s="2086"/>
      <c r="AK786" s="2086"/>
      <c r="AL786" s="2086"/>
      <c r="AM786" s="2086"/>
    </row>
    <row r="787" spans="1:43">
      <c r="A787" s="2087"/>
      <c r="B787" s="2087"/>
      <c r="C787" s="2087"/>
      <c r="D787" s="2087"/>
      <c r="E787" s="2087"/>
      <c r="F787" s="2087"/>
      <c r="G787" s="2087"/>
      <c r="H787" s="2087"/>
      <c r="I787" s="2087"/>
      <c r="J787" s="2087"/>
      <c r="K787" s="2087"/>
      <c r="L787" s="2087"/>
      <c r="M787" s="2087"/>
      <c r="N787" s="2087"/>
      <c r="O787" s="2087"/>
      <c r="P787" s="2087"/>
      <c r="Q787" s="2087"/>
      <c r="R787" s="2087"/>
      <c r="S787" s="2087"/>
      <c r="T787" s="2087"/>
      <c r="U787" s="2087"/>
      <c r="V787" s="2087"/>
      <c r="W787" s="2087"/>
      <c r="X787" s="2087"/>
      <c r="Y787" s="2087"/>
      <c r="Z787" s="2087"/>
      <c r="AA787" s="2087"/>
      <c r="AB787" s="2087"/>
      <c r="AC787" s="2087"/>
      <c r="AD787" s="2087"/>
      <c r="AE787" s="2087"/>
      <c r="AF787" s="2087"/>
      <c r="AG787" s="2087"/>
      <c r="AH787" s="2087"/>
      <c r="AI787" s="2087"/>
      <c r="AJ787" s="2087"/>
      <c r="AK787" s="2087"/>
      <c r="AL787" s="2087"/>
      <c r="AM787" s="2087"/>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16"/>
      <c r="B789" s="2016"/>
      <c r="C789" s="2016"/>
      <c r="D789" s="2016"/>
      <c r="E789" s="2016"/>
      <c r="F789" s="2016"/>
      <c r="G789" s="2016"/>
      <c r="H789" s="2016"/>
      <c r="I789" s="2016"/>
      <c r="J789" s="2016"/>
      <c r="K789" s="2016"/>
      <c r="L789" s="2016"/>
      <c r="M789" s="2016"/>
      <c r="N789" s="2016"/>
      <c r="O789" s="2016"/>
      <c r="P789" s="2016"/>
      <c r="Q789" s="2016"/>
      <c r="R789" s="2016"/>
      <c r="S789" s="2016"/>
      <c r="T789" s="2016"/>
      <c r="U789" s="2016"/>
      <c r="V789" s="2016"/>
      <c r="W789" s="2016"/>
      <c r="X789" s="2016"/>
      <c r="Y789" s="2016"/>
      <c r="Z789" s="2016"/>
      <c r="AA789" s="2016"/>
      <c r="AB789" s="2016"/>
      <c r="AC789" s="2016"/>
      <c r="AD789" s="2016"/>
      <c r="AE789" s="2016"/>
      <c r="AF789" s="2016"/>
      <c r="AG789" s="2016"/>
      <c r="AH789" s="2016"/>
      <c r="AI789" s="2016"/>
      <c r="AJ789" s="2016"/>
      <c r="AK789" s="2016"/>
      <c r="AL789" s="2016"/>
      <c r="AM789" s="2016"/>
      <c r="AP789" s="850"/>
      <c r="AQ789" s="850"/>
    </row>
    <row r="790" spans="1:43">
      <c r="A790" s="2016"/>
      <c r="B790" s="2016"/>
      <c r="C790" s="2016"/>
      <c r="D790" s="2016"/>
      <c r="E790" s="2016"/>
      <c r="F790" s="2016"/>
      <c r="G790" s="2016"/>
      <c r="H790" s="2016"/>
      <c r="I790" s="2016"/>
      <c r="J790" s="2016"/>
      <c r="K790" s="2016"/>
      <c r="L790" s="2016"/>
      <c r="M790" s="2016"/>
      <c r="N790" s="2016"/>
      <c r="O790" s="2016"/>
      <c r="P790" s="2016"/>
      <c r="Q790" s="2016"/>
      <c r="R790" s="2016"/>
      <c r="S790" s="2016"/>
      <c r="T790" s="2016"/>
      <c r="U790" s="2016"/>
      <c r="V790" s="2016"/>
      <c r="W790" s="2016"/>
      <c r="X790" s="2016"/>
      <c r="Y790" s="2016"/>
      <c r="Z790" s="2016"/>
      <c r="AA790" s="2016"/>
      <c r="AB790" s="2016"/>
      <c r="AC790" s="2016"/>
      <c r="AD790" s="2016"/>
      <c r="AE790" s="2016"/>
      <c r="AF790" s="2016"/>
      <c r="AG790" s="2016"/>
      <c r="AH790" s="2016"/>
      <c r="AI790" s="2016"/>
      <c r="AJ790" s="2016"/>
      <c r="AK790" s="2016"/>
      <c r="AL790" s="2016"/>
      <c r="AM790" s="2016"/>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88" t="s">
        <v>1681</v>
      </c>
      <c r="U791" s="2089"/>
      <c r="V791" s="2089"/>
      <c r="W791" s="2089"/>
      <c r="X791" s="2089"/>
      <c r="Y791" s="2090"/>
      <c r="Z791" s="2088" t="s">
        <v>1682</v>
      </c>
      <c r="AA791" s="2089"/>
      <c r="AB791" s="2089"/>
      <c r="AC791" s="2089"/>
      <c r="AD791" s="2089"/>
      <c r="AE791" s="2090"/>
      <c r="AF791" s="2088" t="s">
        <v>1683</v>
      </c>
      <c r="AG791" s="2089"/>
      <c r="AH791" s="2089"/>
      <c r="AI791" s="2089"/>
      <c r="AJ791" s="2089"/>
      <c r="AK791" s="2090"/>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91"/>
      <c r="U792" s="2092"/>
      <c r="V792" s="2092"/>
      <c r="W792" s="2092"/>
      <c r="X792" s="2092"/>
      <c r="Y792" s="2093"/>
      <c r="Z792" s="2091"/>
      <c r="AA792" s="2092"/>
      <c r="AB792" s="2092"/>
      <c r="AC792" s="2092"/>
      <c r="AD792" s="2092"/>
      <c r="AE792" s="2093"/>
      <c r="AF792" s="2091"/>
      <c r="AG792" s="2092"/>
      <c r="AH792" s="2092"/>
      <c r="AI792" s="2092"/>
      <c r="AJ792" s="2092"/>
      <c r="AK792" s="2093"/>
      <c r="AL792" s="852"/>
      <c r="AM792" s="630"/>
      <c r="AO792" s="850"/>
      <c r="AP792" s="850"/>
      <c r="AQ792" s="850"/>
    </row>
    <row r="793" spans="1:43">
      <c r="A793" s="853" t="s">
        <v>766</v>
      </c>
      <c r="B793" s="2068" t="s">
        <v>1415</v>
      </c>
      <c r="C793" s="2068"/>
      <c r="D793" s="2068"/>
      <c r="E793" s="2068"/>
      <c r="F793" s="2068"/>
      <c r="G793" s="2068"/>
      <c r="H793" s="2068"/>
      <c r="I793" s="2068"/>
      <c r="J793" s="2068"/>
      <c r="K793" s="2068"/>
      <c r="L793" s="2068"/>
      <c r="M793" s="2068"/>
      <c r="N793" s="2068"/>
      <c r="O793" s="2068"/>
      <c r="P793" s="2068"/>
      <c r="Q793" s="2068"/>
      <c r="R793" s="2068"/>
      <c r="S793" s="2069"/>
      <c r="T793" s="2070">
        <f>AK56</f>
        <v>0</v>
      </c>
      <c r="U793" s="2071"/>
      <c r="V793" s="2071"/>
      <c r="W793" s="2071"/>
      <c r="X793" s="2071"/>
      <c r="Y793" s="2072"/>
      <c r="Z793" s="2073">
        <v>20</v>
      </c>
      <c r="AA793" s="2071"/>
      <c r="AB793" s="2071"/>
      <c r="AC793" s="2071"/>
      <c r="AD793" s="2071"/>
      <c r="AE793" s="2072"/>
      <c r="AF793" s="2037">
        <f>IF(T793&gt;Z793,Z793,T793)</f>
        <v>0</v>
      </c>
      <c r="AG793" s="2037"/>
      <c r="AH793" s="2037"/>
      <c r="AI793" s="2037"/>
      <c r="AJ793" s="2037"/>
      <c r="AK793" s="2037"/>
      <c r="AL793" s="852"/>
      <c r="AM793" s="630"/>
      <c r="AO793" s="850"/>
      <c r="AP793" s="850"/>
      <c r="AQ793" s="850"/>
    </row>
    <row r="794" spans="1:43">
      <c r="A794" s="853" t="s">
        <v>1653</v>
      </c>
      <c r="B794" s="2068" t="s">
        <v>1424</v>
      </c>
      <c r="C794" s="2068"/>
      <c r="D794" s="2068"/>
      <c r="E794" s="2068"/>
      <c r="F794" s="2068"/>
      <c r="G794" s="2068"/>
      <c r="H794" s="2068"/>
      <c r="I794" s="2068"/>
      <c r="J794" s="2068"/>
      <c r="K794" s="2068"/>
      <c r="L794" s="2068"/>
      <c r="M794" s="2068"/>
      <c r="N794" s="2068"/>
      <c r="O794" s="2068"/>
      <c r="P794" s="2068"/>
      <c r="Q794" s="2068"/>
      <c r="R794" s="2068"/>
      <c r="S794" s="2069"/>
      <c r="T794" s="2070">
        <f>AK78</f>
        <v>10</v>
      </c>
      <c r="U794" s="2071"/>
      <c r="V794" s="2071"/>
      <c r="W794" s="2071"/>
      <c r="X794" s="2071"/>
      <c r="Y794" s="2072"/>
      <c r="Z794" s="2073">
        <v>10</v>
      </c>
      <c r="AA794" s="2071"/>
      <c r="AB794" s="2071"/>
      <c r="AC794" s="2071"/>
      <c r="AD794" s="2071"/>
      <c r="AE794" s="2072"/>
      <c r="AF794" s="2037">
        <f>IF(T794&gt;Z794,Z794,T794)</f>
        <v>10</v>
      </c>
      <c r="AG794" s="2037"/>
      <c r="AH794" s="2037"/>
      <c r="AI794" s="2037"/>
      <c r="AJ794" s="2037"/>
      <c r="AK794" s="2037"/>
      <c r="AL794" s="852"/>
      <c r="AM794" s="630"/>
      <c r="AO794" s="850"/>
      <c r="AP794" s="850"/>
      <c r="AQ794" s="850"/>
    </row>
    <row r="795" spans="1:43">
      <c r="A795" s="853" t="s">
        <v>1662</v>
      </c>
      <c r="B795" s="2068" t="s">
        <v>1434</v>
      </c>
      <c r="C795" s="2068"/>
      <c r="D795" s="2068"/>
      <c r="E795" s="2068"/>
      <c r="F795" s="2068"/>
      <c r="G795" s="2068"/>
      <c r="H795" s="2068"/>
      <c r="I795" s="2068"/>
      <c r="J795" s="2068"/>
      <c r="K795" s="2068"/>
      <c r="L795" s="2068"/>
      <c r="M795" s="2068"/>
      <c r="N795" s="2068"/>
      <c r="O795" s="2068"/>
      <c r="P795" s="2068"/>
      <c r="Q795" s="2068"/>
      <c r="R795" s="2068"/>
      <c r="S795" s="2069"/>
      <c r="T795" s="2070">
        <f>AK103</f>
        <v>20</v>
      </c>
      <c r="U795" s="2071"/>
      <c r="V795" s="2071"/>
      <c r="W795" s="2071"/>
      <c r="X795" s="2071"/>
      <c r="Y795" s="2072"/>
      <c r="Z795" s="2073">
        <v>20</v>
      </c>
      <c r="AA795" s="2071"/>
      <c r="AB795" s="2071"/>
      <c r="AC795" s="2071"/>
      <c r="AD795" s="2071"/>
      <c r="AE795" s="2072"/>
      <c r="AF795" s="2037">
        <f>IF(T795&gt;Z795,Z795,T795)</f>
        <v>20</v>
      </c>
      <c r="AG795" s="2037"/>
      <c r="AH795" s="2037"/>
      <c r="AI795" s="2037"/>
      <c r="AJ795" s="2037"/>
      <c r="AK795" s="2037"/>
      <c r="AL795" s="852"/>
      <c r="AM795" s="630"/>
      <c r="AO795" s="850"/>
      <c r="AP795" s="850"/>
      <c r="AQ795" s="850"/>
    </row>
    <row r="796" spans="1:43">
      <c r="A796" s="853" t="s">
        <v>1684</v>
      </c>
      <c r="B796" s="2068" t="s">
        <v>1444</v>
      </c>
      <c r="C796" s="2068"/>
      <c r="D796" s="2068"/>
      <c r="E796" s="2068"/>
      <c r="F796" s="2068"/>
      <c r="G796" s="2068"/>
      <c r="H796" s="2068"/>
      <c r="I796" s="2068"/>
      <c r="J796" s="2068"/>
      <c r="K796" s="2068"/>
      <c r="L796" s="2068"/>
      <c r="M796" s="2068"/>
      <c r="N796" s="2068"/>
      <c r="O796" s="2068"/>
      <c r="P796" s="2068"/>
      <c r="Q796" s="2068"/>
      <c r="R796" s="2068"/>
      <c r="S796" s="2069"/>
      <c r="T796" s="2070">
        <f>AK137</f>
        <v>10</v>
      </c>
      <c r="U796" s="2071"/>
      <c r="V796" s="2071"/>
      <c r="W796" s="2071"/>
      <c r="X796" s="2071"/>
      <c r="Y796" s="2072"/>
      <c r="Z796" s="2073">
        <v>10</v>
      </c>
      <c r="AA796" s="2071"/>
      <c r="AB796" s="2071"/>
      <c r="AC796" s="2071"/>
      <c r="AD796" s="2071"/>
      <c r="AE796" s="2072"/>
      <c r="AF796" s="2037">
        <f>IF(T796&gt;Z796,Z796,T796)</f>
        <v>10</v>
      </c>
      <c r="AG796" s="2037"/>
      <c r="AH796" s="2037"/>
      <c r="AI796" s="2037"/>
      <c r="AJ796" s="2037"/>
      <c r="AK796" s="2037"/>
      <c r="AL796" s="852"/>
      <c r="AM796" s="630"/>
      <c r="AO796" s="850"/>
      <c r="AP796" s="850"/>
      <c r="AQ796" s="850"/>
    </row>
    <row r="797" spans="1:43">
      <c r="A797" s="854" t="s">
        <v>1685</v>
      </c>
      <c r="B797" s="2068" t="s">
        <v>1686</v>
      </c>
      <c r="C797" s="2068"/>
      <c r="D797" s="2068"/>
      <c r="E797" s="2068"/>
      <c r="F797" s="2068"/>
      <c r="G797" s="2068"/>
      <c r="H797" s="2068"/>
      <c r="I797" s="2068"/>
      <c r="J797" s="2068"/>
      <c r="K797" s="2068"/>
      <c r="L797" s="2068"/>
      <c r="M797" s="2068"/>
      <c r="N797" s="2068"/>
      <c r="O797" s="2068"/>
      <c r="P797" s="2068"/>
      <c r="Q797" s="2068"/>
      <c r="R797" s="2068"/>
      <c r="S797" s="2069"/>
      <c r="T797" s="2094">
        <f>SUM(T798:Y799)</f>
        <v>10</v>
      </c>
      <c r="U797" s="2094"/>
      <c r="V797" s="2094"/>
      <c r="W797" s="2094"/>
      <c r="X797" s="2094"/>
      <c r="Y797" s="2094"/>
      <c r="Z797" s="2037">
        <v>10</v>
      </c>
      <c r="AA797" s="2037"/>
      <c r="AB797" s="2037"/>
      <c r="AC797" s="2037"/>
      <c r="AD797" s="2037"/>
      <c r="AE797" s="2037"/>
      <c r="AF797" s="2037">
        <f>IF(T797&gt;Z797,Z797,T797)</f>
        <v>10</v>
      </c>
      <c r="AG797" s="2037"/>
      <c r="AH797" s="2037"/>
      <c r="AI797" s="2037"/>
      <c r="AJ797" s="2037"/>
      <c r="AK797" s="2037"/>
      <c r="AL797" s="852"/>
      <c r="AM797" s="630"/>
    </row>
    <row r="798" spans="1:43">
      <c r="A798" s="569"/>
      <c r="B798" s="635"/>
      <c r="C798" s="2095" t="s">
        <v>1687</v>
      </c>
      <c r="D798" s="2095"/>
      <c r="E798" s="2095"/>
      <c r="F798" s="2095"/>
      <c r="G798" s="2095"/>
      <c r="H798" s="2095"/>
      <c r="I798" s="2095"/>
      <c r="J798" s="2095"/>
      <c r="K798" s="2095"/>
      <c r="L798" s="2095"/>
      <c r="M798" s="2095"/>
      <c r="N798" s="2095"/>
      <c r="O798" s="2095"/>
      <c r="P798" s="2095"/>
      <c r="Q798" s="2095"/>
      <c r="R798" s="2095"/>
      <c r="S798" s="2096"/>
      <c r="T798" s="1970">
        <f>AJ155</f>
        <v>7</v>
      </c>
      <c r="U798" s="1970"/>
      <c r="V798" s="1970"/>
      <c r="W798" s="1970"/>
      <c r="X798" s="1970"/>
      <c r="Y798" s="1970"/>
      <c r="Z798" s="1971">
        <v>7</v>
      </c>
      <c r="AA798" s="1971"/>
      <c r="AB798" s="1971"/>
      <c r="AC798" s="1971"/>
      <c r="AD798" s="1971"/>
      <c r="AE798" s="1971"/>
      <c r="AF798" s="2097"/>
      <c r="AG798" s="2097"/>
      <c r="AH798" s="2097"/>
      <c r="AI798" s="2097"/>
      <c r="AJ798" s="2097"/>
      <c r="AK798" s="2097"/>
      <c r="AL798" s="852"/>
      <c r="AM798" s="630"/>
    </row>
    <row r="799" spans="1:43">
      <c r="A799" s="634"/>
      <c r="B799" s="635"/>
      <c r="C799" s="2095" t="s">
        <v>1688</v>
      </c>
      <c r="D799" s="2095"/>
      <c r="E799" s="2095"/>
      <c r="F799" s="2095"/>
      <c r="G799" s="2095"/>
      <c r="H799" s="2095"/>
      <c r="I799" s="2095"/>
      <c r="J799" s="2095"/>
      <c r="K799" s="2095"/>
      <c r="L799" s="2095"/>
      <c r="M799" s="2095"/>
      <c r="N799" s="2095"/>
      <c r="O799" s="2095"/>
      <c r="P799" s="2095"/>
      <c r="Q799" s="2095"/>
      <c r="R799" s="2095"/>
      <c r="S799" s="2096"/>
      <c r="T799" s="1970">
        <f>AJ169</f>
        <v>3</v>
      </c>
      <c r="U799" s="1970"/>
      <c r="V799" s="1970"/>
      <c r="W799" s="1970"/>
      <c r="X799" s="1970"/>
      <c r="Y799" s="1970"/>
      <c r="Z799" s="1971">
        <v>3</v>
      </c>
      <c r="AA799" s="1971"/>
      <c r="AB799" s="1971"/>
      <c r="AC799" s="1971"/>
      <c r="AD799" s="1971"/>
      <c r="AE799" s="1971"/>
      <c r="AF799" s="2097"/>
      <c r="AG799" s="2097"/>
      <c r="AH799" s="2097"/>
      <c r="AI799" s="2097"/>
      <c r="AJ799" s="2097"/>
      <c r="AK799" s="2097"/>
      <c r="AL799" s="852"/>
      <c r="AM799" s="630"/>
      <c r="AO799" s="584"/>
    </row>
    <row r="800" spans="1:43">
      <c r="A800" s="854" t="s">
        <v>1472</v>
      </c>
      <c r="B800" s="2068" t="s">
        <v>1689</v>
      </c>
      <c r="C800" s="2068"/>
      <c r="D800" s="2068"/>
      <c r="E800" s="2068"/>
      <c r="F800" s="2068"/>
      <c r="G800" s="2068"/>
      <c r="H800" s="2068"/>
      <c r="I800" s="2068"/>
      <c r="J800" s="2068"/>
      <c r="K800" s="2068"/>
      <c r="L800" s="2068"/>
      <c r="M800" s="2068"/>
      <c r="N800" s="2068"/>
      <c r="O800" s="2068"/>
      <c r="P800" s="2068"/>
      <c r="Q800" s="2068"/>
      <c r="R800" s="2068"/>
      <c r="S800" s="2069"/>
      <c r="T800" s="2094">
        <f>AK180</f>
        <v>10</v>
      </c>
      <c r="U800" s="2094"/>
      <c r="V800" s="2094"/>
      <c r="W800" s="2094"/>
      <c r="X800" s="2094"/>
      <c r="Y800" s="2094"/>
      <c r="Z800" s="2037">
        <v>10</v>
      </c>
      <c r="AA800" s="2037"/>
      <c r="AB800" s="2037"/>
      <c r="AC800" s="2037"/>
      <c r="AD800" s="2037"/>
      <c r="AE800" s="2037"/>
      <c r="AF800" s="2037">
        <f>IF(T800&gt;Z800,Z800,T800)</f>
        <v>10</v>
      </c>
      <c r="AG800" s="2037"/>
      <c r="AH800" s="2037"/>
      <c r="AI800" s="2037"/>
      <c r="AJ800" s="2037"/>
      <c r="AK800" s="2037"/>
      <c r="AL800" s="852"/>
      <c r="AM800" s="630"/>
    </row>
    <row r="801" spans="1:81">
      <c r="A801" s="853" t="s">
        <v>1481</v>
      </c>
      <c r="B801" s="2068" t="s">
        <v>1482</v>
      </c>
      <c r="C801" s="2068"/>
      <c r="D801" s="2068"/>
      <c r="E801" s="2068"/>
      <c r="F801" s="2068"/>
      <c r="G801" s="2068"/>
      <c r="H801" s="2068"/>
      <c r="I801" s="2068"/>
      <c r="J801" s="2068"/>
      <c r="K801" s="2068"/>
      <c r="L801" s="2068"/>
      <c r="M801" s="2068"/>
      <c r="N801" s="2068"/>
      <c r="O801" s="2068"/>
      <c r="P801" s="2068"/>
      <c r="Q801" s="2068"/>
      <c r="R801" s="2068"/>
      <c r="S801" s="2069"/>
      <c r="T801" s="2094">
        <f>AK262</f>
        <v>8</v>
      </c>
      <c r="U801" s="2094"/>
      <c r="V801" s="2094"/>
      <c r="W801" s="2094"/>
      <c r="X801" s="2094"/>
      <c r="Y801" s="2094"/>
      <c r="Z801" s="2073">
        <v>8</v>
      </c>
      <c r="AA801" s="2071"/>
      <c r="AB801" s="2071"/>
      <c r="AC801" s="2071"/>
      <c r="AD801" s="2071"/>
      <c r="AE801" s="2072"/>
      <c r="AF801" s="2037">
        <f>IF(T801&gt;Z801,Z801,T801)</f>
        <v>8</v>
      </c>
      <c r="AG801" s="2037"/>
      <c r="AH801" s="2037"/>
      <c r="AI801" s="2037"/>
      <c r="AJ801" s="2037"/>
      <c r="AK801" s="2037"/>
      <c r="AL801" s="852"/>
      <c r="AM801" s="630"/>
    </row>
    <row r="802" spans="1:81" s="568" customFormat="1" hidden="1">
      <c r="A802" s="854" t="s">
        <v>597</v>
      </c>
      <c r="B802" s="2068" t="s">
        <v>1690</v>
      </c>
      <c r="C802" s="2068"/>
      <c r="D802" s="2068"/>
      <c r="E802" s="2068"/>
      <c r="F802" s="2068"/>
      <c r="G802" s="2068"/>
      <c r="H802" s="2068"/>
      <c r="I802" s="2068"/>
      <c r="J802" s="2068"/>
      <c r="K802" s="2068"/>
      <c r="L802" s="2068"/>
      <c r="M802" s="2068"/>
      <c r="N802" s="2068"/>
      <c r="O802" s="2068"/>
      <c r="P802" s="2068"/>
      <c r="Q802" s="2068"/>
      <c r="R802" s="2068"/>
      <c r="S802" s="2069"/>
      <c r="T802" s="2094">
        <f>IF(AK524&gt;5,5,AK524)</f>
        <v>0</v>
      </c>
      <c r="U802" s="2094"/>
      <c r="V802" s="2094"/>
      <c r="W802" s="2094"/>
      <c r="X802" s="2094"/>
      <c r="Y802" s="2094"/>
      <c r="Z802" s="2037">
        <v>5</v>
      </c>
      <c r="AA802" s="2037"/>
      <c r="AB802" s="2037"/>
      <c r="AC802" s="2037"/>
      <c r="AD802" s="2037"/>
      <c r="AE802" s="2037"/>
      <c r="AF802" s="2037">
        <f>IF(T802&gt;Z802,5,T802)</f>
        <v>0</v>
      </c>
      <c r="AG802" s="2037"/>
      <c r="AH802" s="2037"/>
      <c r="AI802" s="2037"/>
      <c r="AJ802" s="2037"/>
      <c r="AK802" s="2037"/>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1487</v>
      </c>
      <c r="B803" s="2068" t="s">
        <v>1691</v>
      </c>
      <c r="C803" s="2068"/>
      <c r="D803" s="2068"/>
      <c r="E803" s="2068"/>
      <c r="F803" s="2068"/>
      <c r="G803" s="2068"/>
      <c r="H803" s="2068"/>
      <c r="I803" s="2068"/>
      <c r="J803" s="2068"/>
      <c r="K803" s="2068"/>
      <c r="L803" s="2068"/>
      <c r="M803" s="2068"/>
      <c r="N803" s="2068"/>
      <c r="O803" s="2068"/>
      <c r="P803" s="2068"/>
      <c r="Q803" s="2068"/>
      <c r="R803" s="2068"/>
      <c r="S803" s="2069"/>
      <c r="T803" s="2094">
        <f>AK274</f>
        <v>10</v>
      </c>
      <c r="U803" s="2094"/>
      <c r="V803" s="2094"/>
      <c r="W803" s="2094"/>
      <c r="X803" s="2094"/>
      <c r="Y803" s="2094"/>
      <c r="Z803" s="2037">
        <v>10</v>
      </c>
      <c r="AA803" s="2037"/>
      <c r="AB803" s="2037"/>
      <c r="AC803" s="2037"/>
      <c r="AD803" s="2037"/>
      <c r="AE803" s="2037"/>
      <c r="AF803" s="2100">
        <f>IF(T803&gt;Z803,Z803,T803)</f>
        <v>10</v>
      </c>
      <c r="AG803" s="2101"/>
      <c r="AH803" s="2101"/>
      <c r="AI803" s="2101"/>
      <c r="AJ803" s="2101"/>
      <c r="AK803" s="2102"/>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1491</v>
      </c>
      <c r="B804" s="2068" t="s">
        <v>1492</v>
      </c>
      <c r="C804" s="2068"/>
      <c r="D804" s="2068"/>
      <c r="E804" s="2068"/>
      <c r="F804" s="2068"/>
      <c r="G804" s="2068"/>
      <c r="H804" s="2068"/>
      <c r="I804" s="2068"/>
      <c r="J804" s="2068"/>
      <c r="K804" s="2068"/>
      <c r="L804" s="2068"/>
      <c r="M804" s="2068"/>
      <c r="N804" s="2068"/>
      <c r="O804" s="2068"/>
      <c r="P804" s="2068"/>
      <c r="Q804" s="2068"/>
      <c r="R804" s="2068"/>
      <c r="S804" s="2069"/>
      <c r="T804" s="2094">
        <f>AK327</f>
        <v>9</v>
      </c>
      <c r="U804" s="2094"/>
      <c r="V804" s="2094"/>
      <c r="W804" s="2094"/>
      <c r="X804" s="2094"/>
      <c r="Y804" s="2094"/>
      <c r="Z804" s="2100">
        <v>10</v>
      </c>
      <c r="AA804" s="2101"/>
      <c r="AB804" s="2101"/>
      <c r="AC804" s="2101"/>
      <c r="AD804" s="2101"/>
      <c r="AE804" s="2102"/>
      <c r="AF804" s="2100">
        <f>IF(T804&gt;Z804,Z804,T804)</f>
        <v>9</v>
      </c>
      <c r="AG804" s="2101"/>
      <c r="AH804" s="2101"/>
      <c r="AI804" s="2101"/>
      <c r="AJ804" s="2101"/>
      <c r="AK804" s="2102"/>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1692</v>
      </c>
      <c r="D805" s="857"/>
      <c r="E805" s="857"/>
      <c r="F805" s="857"/>
      <c r="G805" s="857"/>
      <c r="H805" s="857"/>
      <c r="I805" s="857"/>
      <c r="J805" s="857"/>
      <c r="K805" s="857"/>
      <c r="L805" s="857"/>
      <c r="M805" s="857"/>
      <c r="N805" s="857"/>
      <c r="O805" s="857"/>
      <c r="P805" s="857"/>
      <c r="Q805" s="857"/>
      <c r="R805" s="855"/>
      <c r="S805" s="858"/>
      <c r="T805" s="1970">
        <f>AK327</f>
        <v>9</v>
      </c>
      <c r="U805" s="1970"/>
      <c r="V805" s="1970"/>
      <c r="W805" s="1970"/>
      <c r="X805" s="1970"/>
      <c r="Y805" s="1970"/>
      <c r="Z805" s="1975">
        <v>20</v>
      </c>
      <c r="AA805" s="1976"/>
      <c r="AB805" s="1976"/>
      <c r="AC805" s="1976"/>
      <c r="AD805" s="1976"/>
      <c r="AE805" s="1977"/>
      <c r="AF805" s="2097"/>
      <c r="AG805" s="2097"/>
      <c r="AH805" s="2097"/>
      <c r="AI805" s="2097"/>
      <c r="AJ805" s="2097"/>
      <c r="AK805" s="2097"/>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1564</v>
      </c>
      <c r="B806" s="2068" t="s">
        <v>856</v>
      </c>
      <c r="C806" s="2068"/>
      <c r="D806" s="2068"/>
      <c r="E806" s="2068"/>
      <c r="F806" s="2068"/>
      <c r="G806" s="2068"/>
      <c r="H806" s="2068"/>
      <c r="I806" s="2068"/>
      <c r="J806" s="2068"/>
      <c r="K806" s="2068"/>
      <c r="L806" s="2068"/>
      <c r="M806" s="2068"/>
      <c r="N806" s="2068"/>
      <c r="O806" s="2068"/>
      <c r="P806" s="2068"/>
      <c r="Q806" s="2068"/>
      <c r="R806" s="2068"/>
      <c r="S806" s="2069"/>
      <c r="T806" s="2094">
        <f>AK458</f>
        <v>12</v>
      </c>
      <c r="U806" s="2094"/>
      <c r="V806" s="2094"/>
      <c r="W806" s="2094"/>
      <c r="X806" s="2094"/>
      <c r="Y806" s="2094"/>
      <c r="Z806" s="2100">
        <v>10</v>
      </c>
      <c r="AA806" s="2101"/>
      <c r="AB806" s="2101"/>
      <c r="AC806" s="2101"/>
      <c r="AD806" s="2101"/>
      <c r="AE806" s="2102"/>
      <c r="AF806" s="2037">
        <f>IF(T806&gt;Z806,Z806,T806)</f>
        <v>10</v>
      </c>
      <c r="AG806" s="2037"/>
      <c r="AH806" s="2037"/>
      <c r="AI806" s="2037"/>
      <c r="AJ806" s="2037"/>
      <c r="AK806" s="2037"/>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1670</v>
      </c>
      <c r="B807" s="2068" t="s">
        <v>1671</v>
      </c>
      <c r="C807" s="2068"/>
      <c r="D807" s="2068"/>
      <c r="E807" s="2068"/>
      <c r="F807" s="2068"/>
      <c r="G807" s="2068"/>
      <c r="H807" s="2068"/>
      <c r="I807" s="2068"/>
      <c r="J807" s="2068"/>
      <c r="K807" s="2068"/>
      <c r="L807" s="2068"/>
      <c r="M807" s="2068"/>
      <c r="N807" s="2068"/>
      <c r="O807" s="2068"/>
      <c r="P807" s="2068"/>
      <c r="Q807" s="2068"/>
      <c r="R807" s="2068"/>
      <c r="S807" s="2069"/>
      <c r="T807" s="2094">
        <f>AK548</f>
        <v>12</v>
      </c>
      <c r="U807" s="2094"/>
      <c r="V807" s="2094"/>
      <c r="W807" s="2094"/>
      <c r="X807" s="2094"/>
      <c r="Y807" s="2094"/>
      <c r="Z807" s="2100">
        <v>12</v>
      </c>
      <c r="AA807" s="2101"/>
      <c r="AB807" s="2101"/>
      <c r="AC807" s="2101"/>
      <c r="AD807" s="2101"/>
      <c r="AE807" s="2102"/>
      <c r="AF807" s="2037">
        <f>IF(T807&gt;Z807,Z807,T807)</f>
        <v>12</v>
      </c>
      <c r="AG807" s="2037"/>
      <c r="AH807" s="2037"/>
      <c r="AI807" s="2037"/>
      <c r="AJ807" s="2037"/>
      <c r="AK807" s="2037"/>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2335</v>
      </c>
      <c r="B808" s="2068" t="s">
        <v>1693</v>
      </c>
      <c r="C808" s="2068"/>
      <c r="D808" s="2068"/>
      <c r="E808" s="2068"/>
      <c r="F808" s="2068"/>
      <c r="G808" s="2068"/>
      <c r="H808" s="2068"/>
      <c r="I808" s="2068"/>
      <c r="J808" s="2068"/>
      <c r="K808" s="2068"/>
      <c r="L808" s="2068"/>
      <c r="M808" s="2068"/>
      <c r="N808" s="2068"/>
      <c r="O808" s="2068"/>
      <c r="P808" s="2068"/>
      <c r="Q808" s="2068"/>
      <c r="R808" s="2068"/>
      <c r="S808" s="2069"/>
      <c r="T808" s="2094">
        <f>AK783</f>
        <v>10</v>
      </c>
      <c r="U808" s="2094"/>
      <c r="V808" s="2094"/>
      <c r="W808" s="2094"/>
      <c r="X808" s="2094"/>
      <c r="Y808" s="2094"/>
      <c r="Z808" s="2100">
        <v>10</v>
      </c>
      <c r="AA808" s="2101"/>
      <c r="AB808" s="2101"/>
      <c r="AC808" s="2101"/>
      <c r="AD808" s="2101"/>
      <c r="AE808" s="2102"/>
      <c r="AF808" s="2037">
        <f>IF(T808&gt;Z808,Z808,T808)</f>
        <v>10</v>
      </c>
      <c r="AG808" s="2037"/>
      <c r="AH808" s="2037"/>
      <c r="AI808" s="2037"/>
      <c r="AJ808" s="2037"/>
      <c r="AK808" s="2037"/>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98" t="s">
        <v>1694</v>
      </c>
      <c r="B809" s="2068"/>
      <c r="C809" s="2068"/>
      <c r="D809" s="2068"/>
      <c r="E809" s="2068"/>
      <c r="F809" s="2068"/>
      <c r="G809" s="2068"/>
      <c r="H809" s="2068"/>
      <c r="I809" s="2068"/>
      <c r="J809" s="2068"/>
      <c r="K809" s="2068"/>
      <c r="L809" s="2068"/>
      <c r="M809" s="2068"/>
      <c r="N809" s="2068"/>
      <c r="O809" s="2068"/>
      <c r="P809" s="2068"/>
      <c r="Q809" s="2068"/>
      <c r="R809" s="2068"/>
      <c r="S809" s="2069"/>
      <c r="T809" s="2099"/>
      <c r="U809" s="2099"/>
      <c r="V809" s="2099"/>
      <c r="W809" s="2099"/>
      <c r="X809" s="2099"/>
      <c r="Y809" s="2099"/>
      <c r="Z809" s="1971" t="s">
        <v>1695</v>
      </c>
      <c r="AA809" s="1971"/>
      <c r="AB809" s="1971"/>
      <c r="AC809" s="1971"/>
      <c r="AD809" s="1971"/>
      <c r="AE809" s="1971"/>
      <c r="AF809" s="2100">
        <f>IF(T809&gt;0,T809,0)</f>
        <v>0</v>
      </c>
      <c r="AG809" s="2101"/>
      <c r="AH809" s="2101"/>
      <c r="AI809" s="2101"/>
      <c r="AJ809" s="2101"/>
      <c r="AK809" s="2102"/>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103" t="s">
        <v>1696</v>
      </c>
      <c r="B810" s="2104"/>
      <c r="C810" s="2104"/>
      <c r="D810" s="2104"/>
      <c r="E810" s="2104"/>
      <c r="F810" s="2104"/>
      <c r="G810" s="2104"/>
      <c r="H810" s="2104"/>
      <c r="I810" s="2104"/>
      <c r="J810" s="2104"/>
      <c r="K810" s="2104"/>
      <c r="L810" s="2104"/>
      <c r="M810" s="2104"/>
      <c r="N810" s="2104"/>
      <c r="O810" s="2104"/>
      <c r="P810" s="2104"/>
      <c r="Q810" s="2104"/>
      <c r="R810" s="2104"/>
      <c r="S810" s="2104"/>
      <c r="T810" s="2104"/>
      <c r="U810" s="2104"/>
      <c r="V810" s="2104"/>
      <c r="W810" s="2104"/>
      <c r="X810" s="2104"/>
      <c r="Y810" s="2104"/>
      <c r="Z810" s="2104"/>
      <c r="AA810" s="2104"/>
      <c r="AB810" s="2104"/>
      <c r="AC810" s="2104"/>
      <c r="AD810" s="2104"/>
      <c r="AE810" s="2105"/>
      <c r="AF810" s="2109">
        <f>SUM(AF793:AK808)-AF809</f>
        <v>119</v>
      </c>
      <c r="AG810" s="2110"/>
      <c r="AH810" s="2110"/>
      <c r="AI810" s="2110"/>
      <c r="AJ810" s="2110"/>
      <c r="AK810" s="2111"/>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106"/>
      <c r="B811" s="2107"/>
      <c r="C811" s="2107"/>
      <c r="D811" s="2107"/>
      <c r="E811" s="2107"/>
      <c r="F811" s="2107"/>
      <c r="G811" s="2107"/>
      <c r="H811" s="2107"/>
      <c r="I811" s="2107"/>
      <c r="J811" s="2107"/>
      <c r="K811" s="2107"/>
      <c r="L811" s="2107"/>
      <c r="M811" s="2107"/>
      <c r="N811" s="2107"/>
      <c r="O811" s="2107"/>
      <c r="P811" s="2107"/>
      <c r="Q811" s="2107"/>
      <c r="R811" s="2107"/>
      <c r="S811" s="2107"/>
      <c r="T811" s="2107"/>
      <c r="U811" s="2107"/>
      <c r="V811" s="2107"/>
      <c r="W811" s="2107"/>
      <c r="X811" s="2107"/>
      <c r="Y811" s="2107"/>
      <c r="Z811" s="2107"/>
      <c r="AA811" s="2107"/>
      <c r="AB811" s="2107"/>
      <c r="AC811" s="2107"/>
      <c r="AD811" s="2107"/>
      <c r="AE811" s="2108"/>
      <c r="AF811" s="2112"/>
      <c r="AG811" s="2113"/>
      <c r="AH811" s="2113"/>
      <c r="AI811" s="2113"/>
      <c r="AJ811" s="2113"/>
      <c r="AK811" s="2114"/>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workbookViewId="0">
      <selection activeCell="L8" sqref="L8"/>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59" t="s">
        <v>1697</v>
      </c>
      <c r="B1" s="2159"/>
      <c r="C1" s="2159"/>
      <c r="D1" s="2159"/>
      <c r="E1" s="2159"/>
      <c r="F1" s="2159"/>
      <c r="G1" s="2159"/>
      <c r="H1" s="2159"/>
      <c r="I1" s="2159"/>
      <c r="J1" s="2159"/>
    </row>
    <row r="2" spans="1:13" ht="15" customHeight="1" thickBot="1">
      <c r="A2" s="1081"/>
      <c r="B2" s="1081"/>
      <c r="I2" s="1082"/>
      <c r="K2" s="1083"/>
    </row>
    <row r="3" spans="1:13" s="1086" customFormat="1" ht="20.100000000000001" customHeight="1">
      <c r="A3" s="1140"/>
      <c r="B3" s="1141"/>
      <c r="C3" s="1142"/>
      <c r="D3" s="1147"/>
      <c r="E3" s="1142"/>
      <c r="F3" s="1143" t="s">
        <v>2300</v>
      </c>
      <c r="G3" s="1142"/>
      <c r="H3" s="1144">
        <f>E16</f>
        <v>56929228.000000007</v>
      </c>
      <c r="I3" s="1145"/>
    </row>
    <row r="4" spans="1:13" s="1086" customFormat="1" ht="20.100000000000001" customHeight="1">
      <c r="B4" s="1134"/>
      <c r="D4" s="1148"/>
      <c r="F4" s="1132" t="s">
        <v>2302</v>
      </c>
      <c r="G4" s="1131" t="s">
        <v>2301</v>
      </c>
      <c r="H4" s="1133">
        <f>I16</f>
        <v>49785614.061601311</v>
      </c>
      <c r="I4" s="1135"/>
      <c r="K4" s="1090"/>
    </row>
    <row r="5" spans="1:13" s="1086" customFormat="1" ht="20.100000000000001" customHeight="1" thickBot="1">
      <c r="B5" s="1136"/>
      <c r="C5" s="1137"/>
      <c r="D5" s="1149"/>
      <c r="E5" s="1138"/>
      <c r="F5" s="1149" t="s">
        <v>2242</v>
      </c>
      <c r="G5" s="1150"/>
      <c r="H5" s="1146">
        <f>H3/H4</f>
        <v>1.143487512869876</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61" t="s">
        <v>2240</v>
      </c>
      <c r="C8" s="2162"/>
      <c r="D8" s="2162"/>
      <c r="E8" s="2163"/>
      <c r="G8" s="2164" t="s">
        <v>2241</v>
      </c>
      <c r="H8" s="2165"/>
      <c r="I8" s="2166"/>
      <c r="K8" s="1092"/>
    </row>
    <row r="9" spans="1:13" ht="15" customHeight="1">
      <c r="A9" s="1081"/>
      <c r="B9" s="2160" t="s">
        <v>2279</v>
      </c>
      <c r="C9" s="2160"/>
      <c r="D9" s="2160"/>
      <c r="E9" s="1094">
        <f>G31</f>
        <v>8125000</v>
      </c>
      <c r="G9" s="2169" t="s">
        <v>2277</v>
      </c>
      <c r="H9" s="2169"/>
      <c r="I9" s="1095">
        <f>Application!AM554</f>
        <v>63600000</v>
      </c>
      <c r="K9" s="1096"/>
      <c r="M9" s="1097"/>
    </row>
    <row r="10" spans="1:13" ht="15" customHeight="1" thickBot="1">
      <c r="A10" s="1081"/>
      <c r="B10" s="2160" t="s">
        <v>2280</v>
      </c>
      <c r="C10" s="2160"/>
      <c r="D10" s="2160"/>
      <c r="E10" s="1095">
        <f>G40</f>
        <v>31771728.000000007</v>
      </c>
      <c r="G10" s="2169" t="s">
        <v>2243</v>
      </c>
      <c r="H10" s="2169"/>
      <c r="I10" s="1182">
        <f>'Basis &amp; Credits'!AB77</f>
        <v>5341726</v>
      </c>
      <c r="M10" s="1097"/>
    </row>
    <row r="11" spans="1:13" ht="15" customHeight="1">
      <c r="A11" s="1098"/>
      <c r="B11" s="2160" t="s">
        <v>2281</v>
      </c>
      <c r="C11" s="2160"/>
      <c r="D11" s="2160"/>
      <c r="E11" s="1095">
        <f>G49</f>
        <v>500000</v>
      </c>
      <c r="G11" s="2169" t="s">
        <v>2292</v>
      </c>
      <c r="H11" s="2169"/>
      <c r="I11" s="1181">
        <f>I9+I10</f>
        <v>68941726</v>
      </c>
      <c r="M11" s="1097"/>
    </row>
    <row r="12" spans="1:13" ht="15" customHeight="1">
      <c r="A12" s="1084"/>
      <c r="B12" s="2160" t="s">
        <v>2282</v>
      </c>
      <c r="C12" s="2160"/>
      <c r="D12" s="2160"/>
      <c r="E12" s="1095">
        <f>G58</f>
        <v>1420000</v>
      </c>
      <c r="G12" s="1183" t="s">
        <v>2317</v>
      </c>
      <c r="H12" s="1184"/>
      <c r="M12" s="1097"/>
    </row>
    <row r="13" spans="1:13" ht="15" customHeight="1">
      <c r="A13" s="1081"/>
      <c r="B13" s="2160" t="s">
        <v>2283</v>
      </c>
      <c r="C13" s="2160"/>
      <c r="D13" s="2160"/>
      <c r="E13" s="1100">
        <f>G83</f>
        <v>11862500</v>
      </c>
      <c r="G13" s="2170" t="s">
        <v>139</v>
      </c>
      <c r="H13" s="2170"/>
      <c r="I13" s="1099">
        <f>15%*(Application!AJ993&gt;0)</f>
        <v>0.15</v>
      </c>
      <c r="M13" s="1097"/>
    </row>
    <row r="14" spans="1:13" ht="15" customHeight="1">
      <c r="A14" s="1081"/>
      <c r="B14" s="2160" t="s">
        <v>2284</v>
      </c>
      <c r="C14" s="2160"/>
      <c r="D14" s="2160"/>
      <c r="E14" s="1095">
        <f>IF(G96&gt;G106,G96,0)</f>
        <v>0</v>
      </c>
      <c r="G14" s="1179" t="s">
        <v>2293</v>
      </c>
      <c r="H14" s="1179"/>
      <c r="I14" s="1099">
        <f>IF(Application!AJ1031&gt;0,10%,IF(Application!AJ1035&gt;0,5%,0))</f>
        <v>0</v>
      </c>
      <c r="M14" s="1097"/>
    </row>
    <row r="15" spans="1:13" ht="15" customHeight="1" thickBot="1">
      <c r="A15" s="1081"/>
      <c r="B15" s="2167" t="s">
        <v>2303</v>
      </c>
      <c r="C15" s="2167"/>
      <c r="D15" s="2167"/>
      <c r="E15" s="1151">
        <f>IF(E14&gt;0,0,G106)</f>
        <v>3250000</v>
      </c>
      <c r="G15" s="2173" t="s">
        <v>2294</v>
      </c>
      <c r="H15" s="2174"/>
      <c r="I15" s="1153">
        <f>G114</f>
        <v>0.127859477124183</v>
      </c>
      <c r="M15" s="1097"/>
    </row>
    <row r="16" spans="1:13" ht="15" customHeight="1">
      <c r="A16" s="1081"/>
      <c r="B16" s="2168" t="s">
        <v>2239</v>
      </c>
      <c r="C16" s="2168"/>
      <c r="D16" s="2168"/>
      <c r="E16" s="1152">
        <f>SUM(E9:E15)</f>
        <v>56929228.000000007</v>
      </c>
      <c r="G16" s="1180" t="s">
        <v>2278</v>
      </c>
      <c r="H16" s="1180"/>
      <c r="I16" s="1154">
        <f>I11-((I11*I13)+(I11*I14)+(I11*I15))</f>
        <v>49785614.061601311</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158</v>
      </c>
      <c r="O18" s="1124" t="s">
        <v>590</v>
      </c>
      <c r="P18" s="1079">
        <f>MATCH(Application!T189,Application!BV490:BV547,0)</f>
        <v>43</v>
      </c>
      <c r="S18" s="1101">
        <f>SUM(Cdlac[Population])</f>
        <v>50</v>
      </c>
    </row>
    <row r="19" spans="1:20" ht="15" customHeight="1">
      <c r="A19" s="1081"/>
      <c r="B19" s="1081"/>
      <c r="I19" s="1107"/>
      <c r="L19" s="1079" t="s">
        <v>2235</v>
      </c>
      <c r="M19" s="1079" t="s">
        <v>2234</v>
      </c>
      <c r="N19" s="1079" t="s">
        <v>2248</v>
      </c>
      <c r="O19" s="1079" t="s">
        <v>2249</v>
      </c>
      <c r="P19" s="1079" t="s">
        <v>2236</v>
      </c>
      <c r="Q19" s="1079" t="s">
        <v>2237</v>
      </c>
      <c r="R19" s="1079" t="s">
        <v>2250</v>
      </c>
      <c r="S19" s="1079" t="s">
        <v>2256</v>
      </c>
      <c r="T19" s="1079" t="s">
        <v>386</v>
      </c>
    </row>
    <row r="20" spans="1:20" ht="15" customHeight="1">
      <c r="A20" s="1084"/>
      <c r="C20" s="2171" t="s">
        <v>2296</v>
      </c>
      <c r="D20" s="2171" t="s">
        <v>2297</v>
      </c>
      <c r="E20" s="2171" t="s">
        <v>2298</v>
      </c>
      <c r="F20" s="2171" t="s">
        <v>2299</v>
      </c>
      <c r="G20" s="2171" t="s">
        <v>2295</v>
      </c>
      <c r="H20" s="1108"/>
      <c r="I20" s="1107"/>
      <c r="L20" s="1079">
        <f>IFERROR(MIN(4,MATCH(Application!B718,UnitSizes,0)-1),"")</f>
        <v>0</v>
      </c>
      <c r="M20" s="1101">
        <f>Application!G718</f>
        <v>29</v>
      </c>
      <c r="N20" s="1109">
        <f>Application!AC718</f>
        <v>0.6</v>
      </c>
      <c r="O20" s="1109">
        <f>IF(Cdlac[[#This Row],[Quantity]]&gt;0,IF(Cdlac[[#This Row],[Federal]],30%,IF($G$36,40%,Cdlac[[#This Row],[iAMI]])),"")</f>
        <v>0.6</v>
      </c>
      <c r="P20" s="1101" cm="1">
        <f t="array" ref="P20">IF(Cdlac[[#This Row],[Quantity]]&gt;0,INDEX(TcacRents,$P$18,Cdlac[[#This Row],[Bedrooms]]+1)*Cdlac[[#This Row],[AMI]],"")</f>
        <v>1873.1999999999998</v>
      </c>
      <c r="Q20" s="1101" cm="1">
        <f t="array" ref="Q20">IF(Cdlac[[#This Row],[Quantity]]&gt;0,INDEX(HudFmrs,$P$18,Cdlac[[#This Row],[Bedrooms]]+1),"")</f>
        <v>2223</v>
      </c>
      <c r="R20" s="1101">
        <f>IF(Cdlac[[#This Row],[Quantity]]&gt;0,MAX(0,Cdlac[[#This Row],[Fair Market Rent]]-Cdlac[[#This Row],[Restricted Rent]]),"")</f>
        <v>349.80000000000018</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72"/>
      <c r="D21" s="2172"/>
      <c r="E21" s="2172"/>
      <c r="F21" s="2172"/>
      <c r="G21" s="2172"/>
      <c r="H21" s="1108"/>
      <c r="I21" s="1107"/>
      <c r="L21" s="1079">
        <f>IFERROR(MIN(4,MATCH(Application!B719,UnitSizes,0)-1),"")</f>
        <v>0</v>
      </c>
      <c r="M21" s="1101">
        <f>Application!G719</f>
        <v>31</v>
      </c>
      <c r="N21" s="1109">
        <f>Application!AC719</f>
        <v>0.3</v>
      </c>
      <c r="O21" s="1109">
        <f>IF(Cdlac[[#This Row],[Quantity]]&gt;0,IF(Cdlac[[#This Row],[Federal]],30%,IF($G$36,40%,Cdlac[[#This Row],[iAMI]])),"")</f>
        <v>0.3</v>
      </c>
      <c r="P21" s="1101" cm="1">
        <f t="array" ref="P21">IF(Cdlac[[#This Row],[Quantity]]&gt;0,INDEX(TcacRents,$P$18,Cdlac[[#This Row],[Bedrooms]]+1)*Cdlac[[#This Row],[AMI]],"")</f>
        <v>936.59999999999991</v>
      </c>
      <c r="Q21" s="1101" cm="1">
        <f t="array" ref="Q21">IF(Cdlac[[#This Row],[Quantity]]&gt;0,INDEX(HudFmrs,$P$18,Cdlac[[#This Row],[Bedrooms]]+1),"")</f>
        <v>2223</v>
      </c>
      <c r="R21" s="1101">
        <f>IF(Cdlac[[#This Row],[Quantity]]&gt;0,MAX(0,Cdlac[[#This Row],[Fair Market Rent]]-Cdlac[[#This Row],[Restricted Rent]]),"")</f>
        <v>1286.4000000000001</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60</v>
      </c>
      <c r="F22" s="1110">
        <f>E22</f>
        <v>60</v>
      </c>
      <c r="G22" s="1110">
        <f>D22*F22</f>
        <v>54</v>
      </c>
      <c r="L22" s="1079" t="str">
        <f>IFERROR(MIN(4,MATCH(Application!B720,UnitSizes,0)-1),"")</f>
        <v/>
      </c>
      <c r="M22" s="1101">
        <f>Application!G720</f>
        <v>0</v>
      </c>
      <c r="N22" s="1109">
        <f>Application!AC720</f>
        <v>0</v>
      </c>
      <c r="O22" s="1109" t="str">
        <f>IF(Cdlac[[#This Row],[Quantity]]&gt;0,IF(Cdlac[[#This Row],[Federal]],30%,IF($G$36,40%,Cdlac[[#This Row],[iAMI]])),"")</f>
        <v/>
      </c>
      <c r="P22" s="1101" t="str" cm="1">
        <f t="array" ref="P22">IF(Cdlac[[#This Row],[Quantity]]&gt;0,INDEX(TcacRents,$P$18,Cdlac[[#This Row],[Bedrooms]]+1)*Cdlac[[#This Row],[AMI]],"")</f>
        <v/>
      </c>
      <c r="Q22" s="1101" t="str" cm="1">
        <f t="array" ref="Q22">IF(Cdlac[[#This Row],[Quantity]]&gt;0,INDEX(HudFmrs,$P$18,Cdlac[[#This Row],[Bedrooms]]+1),"")</f>
        <v/>
      </c>
      <c r="R22" s="1101" t="str">
        <f>IF(Cdlac[[#This Row],[Quantity]]&gt;0,MAX(0,Cdlac[[#This Row],[Fair Market Rent]]-Cdlac[[#This Row],[Restricted Rent]]),"")</f>
        <v/>
      </c>
      <c r="S22" s="1079" t="str">
        <f>IF(Cdlac[[#This Row],[Quantity]]&gt;0,AND(Application!AK720&lt;&gt;"N/A",Application!AK720&lt;&gt;"")*Cdlac[[#This Row],[Quantity]],"")</f>
        <v/>
      </c>
      <c r="T22" s="1079" t="b">
        <f>AND('Subsidy Contract Calculation'!F6&gt;0,'Subsidy Contract Calculation'!C6="Federal",Cdlac[[#This Row],[Quantity]]&gt;0)</f>
        <v>0</v>
      </c>
    </row>
    <row r="23" spans="1:20" ht="15" customHeight="1">
      <c r="C23" s="1110">
        <v>1</v>
      </c>
      <c r="D23" s="1111">
        <v>1</v>
      </c>
      <c r="E23" s="1110">
        <f>SUMIFS(Cdlac[Quantity],Cdlac[Bedrooms],C23)</f>
        <v>64</v>
      </c>
      <c r="F23" s="1110">
        <f>E23</f>
        <v>64</v>
      </c>
      <c r="G23" s="1110">
        <f>D23*F23</f>
        <v>64</v>
      </c>
      <c r="L23" s="1079">
        <f>IFERROR(MIN(4,MATCH(Application!B721,UnitSizes,0)-1),"")</f>
        <v>1</v>
      </c>
      <c r="M23" s="1101">
        <f>Application!G721</f>
        <v>28</v>
      </c>
      <c r="N23" s="1109">
        <f>Application!AC721</f>
        <v>0.6</v>
      </c>
      <c r="O23" s="1109">
        <f>IF(Cdlac[[#This Row],[Quantity]]&gt;0,IF(Cdlac[[#This Row],[Federal]],30%,IF($G$36,40%,Cdlac[[#This Row],[iAMI]])),"")</f>
        <v>0.6</v>
      </c>
      <c r="P23" s="1101" cm="1">
        <f t="array" ref="P23">IF(Cdlac[[#This Row],[Quantity]]&gt;0,INDEX(TcacRents,$P$18,Cdlac[[#This Row],[Bedrooms]]+1)*Cdlac[[#This Row],[AMI]],"")</f>
        <v>2007.6</v>
      </c>
      <c r="Q23" s="1101" cm="1">
        <f t="array" ref="Q23">IF(Cdlac[[#This Row],[Quantity]]&gt;0,INDEX(HudFmrs,$P$18,Cdlac[[#This Row],[Bedrooms]]+1),"")</f>
        <v>2513</v>
      </c>
      <c r="R23" s="1101">
        <f>IF(Cdlac[[#This Row],[Quantity]]&gt;0,MAX(0,Cdlac[[#This Row],[Fair Market Rent]]-Cdlac[[#This Row],[Restricted Rent]]),"")</f>
        <v>505.40000000000009</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26</v>
      </c>
      <c r="F24" s="1113">
        <f>SUM(E24:E26)-SUM(F25:F26)</f>
        <v>26</v>
      </c>
      <c r="G24" s="1110">
        <f>D24*F24</f>
        <v>32.5</v>
      </c>
      <c r="H24" s="1112"/>
      <c r="I24" s="1112"/>
      <c r="L24" s="1079">
        <f>IFERROR(MIN(4,MATCH(Application!B722,UnitSizes,0)-1),"")</f>
        <v>1</v>
      </c>
      <c r="M24" s="1101">
        <f>Application!G722</f>
        <v>25</v>
      </c>
      <c r="N24" s="1109">
        <f>Application!AC722</f>
        <v>0.5</v>
      </c>
      <c r="O24" s="1109">
        <f>IF(Cdlac[[#This Row],[Quantity]]&gt;0,IF(Cdlac[[#This Row],[Federal]],30%,IF($G$36,40%,Cdlac[[#This Row],[iAMI]])),"")</f>
        <v>0.3</v>
      </c>
      <c r="P24" s="1101" cm="1">
        <f t="array" ref="P24">IF(Cdlac[[#This Row],[Quantity]]&gt;0,INDEX(TcacRents,$P$18,Cdlac[[#This Row],[Bedrooms]]+1)*Cdlac[[#This Row],[AMI]],"")</f>
        <v>1003.8</v>
      </c>
      <c r="Q24" s="1101" cm="1">
        <f t="array" ref="Q24">IF(Cdlac[[#This Row],[Quantity]]&gt;0,INDEX(HudFmrs,$P$18,Cdlac[[#This Row],[Bedrooms]]+1),"")</f>
        <v>2513</v>
      </c>
      <c r="R24" s="1101">
        <f>IF(Cdlac[[#This Row],[Quantity]]&gt;0,MAX(0,Cdlac[[#This Row],[Fair Market Rent]]-Cdlac[[#This Row],[Restricted Rent]]),"")</f>
        <v>1509.2</v>
      </c>
      <c r="S24" s="1079">
        <f>IF(Cdlac[[#This Row],[Quantity]]&gt;0,AND(Application!AK722&lt;&gt;"N/A",Application!AK722&lt;&gt;"")*Cdlac[[#This Row],[Quantity]],"")</f>
        <v>25</v>
      </c>
      <c r="T24" s="1079" t="b">
        <f>AND('Subsidy Contract Calculation'!F8&gt;0,'Subsidy Contract Calculation'!C8="Federal",Cdlac[[#This Row],[Quantity]]&gt;0)</f>
        <v>1</v>
      </c>
    </row>
    <row r="25" spans="1:20" ht="15" customHeight="1">
      <c r="A25" s="1112"/>
      <c r="C25" s="1113">
        <v>3</v>
      </c>
      <c r="D25" s="1111">
        <f>1.5+0.25*0</f>
        <v>1.5</v>
      </c>
      <c r="E25" s="1110">
        <f>SUMIFS(Cdlac[Quantity],Cdlac[Bedrooms],C25)</f>
        <v>8</v>
      </c>
      <c r="F25" s="1113">
        <f>MIN(E25,ROUNDDOWN(E27*30%,0))</f>
        <v>8</v>
      </c>
      <c r="G25" s="1110">
        <f>D25*F25</f>
        <v>12</v>
      </c>
      <c r="H25" s="1112"/>
      <c r="I25" s="1112"/>
      <c r="L25" s="1079">
        <f>IFERROR(MIN(4,MATCH(Application!B723,UnitSizes,0)-1),"")</f>
        <v>1</v>
      </c>
      <c r="M25" s="1101">
        <f>Application!G723</f>
        <v>11</v>
      </c>
      <c r="N25" s="1109">
        <f>Application!AC723</f>
        <v>0.3</v>
      </c>
      <c r="O25" s="1109">
        <f>IF(Cdlac[[#This Row],[Quantity]]&gt;0,IF(Cdlac[[#This Row],[Federal]],30%,IF($G$36,40%,Cdlac[[#This Row],[iAMI]])),"")</f>
        <v>0.3</v>
      </c>
      <c r="P25" s="1101" cm="1">
        <f t="array" ref="P25">IF(Cdlac[[#This Row],[Quantity]]&gt;0,INDEX(TcacRents,$P$18,Cdlac[[#This Row],[Bedrooms]]+1)*Cdlac[[#This Row],[AMI]],"")</f>
        <v>1003.8</v>
      </c>
      <c r="Q25" s="1101" cm="1">
        <f t="array" ref="Q25">IF(Cdlac[[#This Row],[Quantity]]&gt;0,INDEX(HudFmrs,$P$18,Cdlac[[#This Row],[Bedrooms]]+1),"")</f>
        <v>2513</v>
      </c>
      <c r="R25" s="1101">
        <f>IF(Cdlac[[#This Row],[Quantity]]&gt;0,MAX(0,Cdlac[[#This Row],[Fair Market Rent]]-Cdlac[[#This Row],[Restricted Rent]]),"")</f>
        <v>1509.2</v>
      </c>
      <c r="S25" s="1079">
        <f>IF(Cdlac[[#This Row],[Quantity]]&gt;0,AND(Application!AK723&lt;&gt;"N/A",Application!AK723&lt;&gt;"")*Cdlac[[#This Row],[Quantity]],"")</f>
        <v>11</v>
      </c>
      <c r="T25" s="1079" t="b">
        <f>AND('Subsidy Contract Calculation'!F9&gt;0,'Subsidy Contract Calculation'!C9="Federal",Cdlac[[#This Row],[Quantity]]&gt;0)</f>
        <v>1</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 customHeight="1">
      <c r="A27" s="1112"/>
      <c r="C27" s="2155" t="s">
        <v>1698</v>
      </c>
      <c r="D27" s="2156"/>
      <c r="E27" s="1129">
        <f>SUM(E22:E26)</f>
        <v>158</v>
      </c>
      <c r="F27" s="1129">
        <f>SUM(F22:F26)</f>
        <v>158</v>
      </c>
      <c r="G27" s="1130">
        <f>SUMPRODUCT(D22:D26,F22:F26)</f>
        <v>162.5</v>
      </c>
      <c r="H27" s="1112"/>
      <c r="I27" s="1112"/>
      <c r="L27" s="1079">
        <f>IFERROR(MIN(4,MATCH(Application!B725,UnitSizes,0)-1),"")</f>
        <v>2</v>
      </c>
      <c r="M27" s="1101">
        <f>Application!G725</f>
        <v>5</v>
      </c>
      <c r="N27" s="1109">
        <f>Application!AC725</f>
        <v>0.6</v>
      </c>
      <c r="O27" s="1109">
        <f>IF(Cdlac[[#This Row],[Quantity]]&gt;0,IF(Cdlac[[#This Row],[Federal]],30%,IF($G$36,40%,Cdlac[[#This Row],[iAMI]])),"")</f>
        <v>0.6</v>
      </c>
      <c r="P27" s="1101" cm="1">
        <f t="array" ref="P27">IF(Cdlac[[#This Row],[Quantity]]&gt;0,INDEX(TcacRents,$P$18,Cdlac[[#This Row],[Bedrooms]]+1)*Cdlac[[#This Row],[AMI]],"")</f>
        <v>2408.4</v>
      </c>
      <c r="Q27" s="1101" cm="1">
        <f t="array" ref="Q27">IF(Cdlac[[#This Row],[Quantity]]&gt;0,INDEX(HudFmrs,$P$18,Cdlac[[#This Row],[Bedrooms]]+1),"")</f>
        <v>2941</v>
      </c>
      <c r="R27" s="1101">
        <f>IF(Cdlac[[#This Row],[Quantity]]&gt;0,MAX(0,Cdlac[[#This Row],[Fair Market Rent]]-Cdlac[[#This Row],[Restricted Rent]]),"")</f>
        <v>532.59999999999991</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2</v>
      </c>
      <c r="M28" s="1101">
        <f>Application!G726</f>
        <v>4</v>
      </c>
      <c r="N28" s="1109">
        <f>Application!AC726</f>
        <v>0.3</v>
      </c>
      <c r="O28" s="1109">
        <f>IF(Cdlac[[#This Row],[Quantity]]&gt;0,IF(Cdlac[[#This Row],[Federal]],30%,IF($G$36,40%,Cdlac[[#This Row],[iAMI]])),"")</f>
        <v>0.3</v>
      </c>
      <c r="P28" s="1101" cm="1">
        <f t="array" ref="P28">IF(Cdlac[[#This Row],[Quantity]]&gt;0,INDEX(TcacRents,$P$18,Cdlac[[#This Row],[Bedrooms]]+1)*Cdlac[[#This Row],[AMI]],"")</f>
        <v>1204.2</v>
      </c>
      <c r="Q28" s="1101" cm="1">
        <f t="array" ref="Q28">IF(Cdlac[[#This Row],[Quantity]]&gt;0,INDEX(HudFmrs,$P$18,Cdlac[[#This Row],[Bedrooms]]+1),"")</f>
        <v>2941</v>
      </c>
      <c r="R28" s="1101">
        <f>IF(Cdlac[[#This Row],[Quantity]]&gt;0,MAX(0,Cdlac[[#This Row],[Fair Market Rent]]-Cdlac[[#This Row],[Restricted Rent]]),"")</f>
        <v>1736.8</v>
      </c>
      <c r="S28" s="1079">
        <f>IF(Cdlac[[#This Row],[Quantity]]&gt;0,AND(Application!AK726&lt;&gt;"N/A",Application!AK726&lt;&gt;"")*Cdlac[[#This Row],[Quantity]],"")</f>
        <v>4</v>
      </c>
      <c r="T28" s="1079" t="b">
        <f>AND('Subsidy Contract Calculation'!F12&gt;0,'Subsidy Contract Calculation'!C12="Federal",Cdlac[[#This Row],[Quantity]]&gt;0)</f>
        <v>1</v>
      </c>
    </row>
    <row r="29" spans="1:20" ht="15" customHeight="1">
      <c r="A29" s="1112"/>
      <c r="E29" s="1159" t="s">
        <v>2295</v>
      </c>
      <c r="G29" s="1156">
        <f>G27</f>
        <v>162.5</v>
      </c>
      <c r="H29" s="1112"/>
      <c r="I29" s="1112"/>
      <c r="L29" s="1079">
        <f>IFERROR(MIN(4,MATCH(Application!B727,UnitSizes,0)-1),"")</f>
        <v>2</v>
      </c>
      <c r="M29" s="1101">
        <f>Application!G727</f>
        <v>7</v>
      </c>
      <c r="N29" s="1109">
        <f>Application!AC727</f>
        <v>0.3</v>
      </c>
      <c r="O29" s="1109">
        <f>IF(Cdlac[[#This Row],[Quantity]]&gt;0,IF(Cdlac[[#This Row],[Federal]],30%,IF($G$36,40%,Cdlac[[#This Row],[iAMI]])),"")</f>
        <v>0.3</v>
      </c>
      <c r="P29" s="1101" cm="1">
        <f t="array" ref="P29">IF(Cdlac[[#This Row],[Quantity]]&gt;0,INDEX(TcacRents,$P$18,Cdlac[[#This Row],[Bedrooms]]+1)*Cdlac[[#This Row],[AMI]],"")</f>
        <v>1204.2</v>
      </c>
      <c r="Q29" s="1101" cm="1">
        <f t="array" ref="Q29">IF(Cdlac[[#This Row],[Quantity]]&gt;0,INDEX(HudFmrs,$P$18,Cdlac[[#This Row],[Bedrooms]]+1),"")</f>
        <v>2941</v>
      </c>
      <c r="R29" s="1101">
        <f>IF(Cdlac[[#This Row],[Quantity]]&gt;0,MAX(0,Cdlac[[#This Row],[Fair Market Rent]]-Cdlac[[#This Row],[Restricted Rent]]),"")</f>
        <v>1736.8</v>
      </c>
      <c r="S29" s="1079">
        <f>IF(Cdlac[[#This Row],[Quantity]]&gt;0,AND(Application!AK727&lt;&gt;"N/A",Application!AK727&lt;&gt;"")*Cdlac[[#This Row],[Quantity]],"")</f>
        <v>0</v>
      </c>
      <c r="T29" s="1079" t="b">
        <f>AND('Subsidy Contract Calculation'!F13&gt;0,'Subsidy Contract Calculation'!C13="Federal",Cdlac[[#This Row],[Quantity]]&gt;0)</f>
        <v>1</v>
      </c>
    </row>
    <row r="30" spans="1:20" ht="15" customHeight="1">
      <c r="A30" s="1112"/>
      <c r="E30" s="1159" t="s">
        <v>2247</v>
      </c>
      <c r="F30" s="1155" t="s">
        <v>2304</v>
      </c>
      <c r="G30" s="1157">
        <v>50000</v>
      </c>
      <c r="H30" s="1112"/>
      <c r="I30" s="1112"/>
      <c r="L30" s="1079">
        <f>IFERROR(MIN(4,MATCH(Application!B728,UnitSizes,0)-1),"")</f>
        <v>2</v>
      </c>
      <c r="M30" s="1101">
        <f>Application!G728</f>
        <v>10</v>
      </c>
      <c r="N30" s="1109">
        <f>Application!AC728</f>
        <v>0.3</v>
      </c>
      <c r="O30" s="1109">
        <f>IF(Cdlac[[#This Row],[Quantity]]&gt;0,IF(Cdlac[[#This Row],[Federal]],30%,IF($G$36,40%,Cdlac[[#This Row],[iAMI]])),"")</f>
        <v>0.3</v>
      </c>
      <c r="P30" s="1101" cm="1">
        <f t="array" ref="P30">IF(Cdlac[[#This Row],[Quantity]]&gt;0,INDEX(TcacRents,$P$18,Cdlac[[#This Row],[Bedrooms]]+1)*Cdlac[[#This Row],[AMI]],"")</f>
        <v>1204.2</v>
      </c>
      <c r="Q30" s="1101" cm="1">
        <f t="array" ref="Q30">IF(Cdlac[[#This Row],[Quantity]]&gt;0,INDEX(HudFmrs,$P$18,Cdlac[[#This Row],[Bedrooms]]+1),"")</f>
        <v>2941</v>
      </c>
      <c r="R30" s="1101">
        <f>IF(Cdlac[[#This Row],[Quantity]]&gt;0,MAX(0,Cdlac[[#This Row],[Fair Market Rent]]-Cdlac[[#This Row],[Restricted Rent]]),"")</f>
        <v>1736.8</v>
      </c>
      <c r="S30" s="1079">
        <f>IF(Cdlac[[#This Row],[Quantity]]&gt;0,AND(Application!AK728&lt;&gt;"N/A",Application!AK728&lt;&gt;"")*Cdlac[[#This Row],[Quantity]],"")</f>
        <v>10</v>
      </c>
      <c r="T30" s="1079" t="b">
        <f>AND('Subsidy Contract Calculation'!F14&gt;0,'Subsidy Contract Calculation'!C14="Federal",Cdlac[[#This Row],[Quantity]]&gt;0)</f>
        <v>1</v>
      </c>
    </row>
    <row r="31" spans="1:20" ht="15" customHeight="1">
      <c r="A31" s="1112"/>
      <c r="E31" s="1160" t="s">
        <v>2288</v>
      </c>
      <c r="F31" s="1081"/>
      <c r="G31" s="1161">
        <f>G30*G29</f>
        <v>8125000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f>IFERROR(MIN(4,MATCH(Application!B730,UnitSizes,0)-1),"")</f>
        <v>3</v>
      </c>
      <c r="M32" s="1101">
        <f>Application!G730</f>
        <v>8</v>
      </c>
      <c r="N32" s="1109">
        <f>Application!AC730</f>
        <v>0.3</v>
      </c>
      <c r="O32" s="1109">
        <f>IF(Cdlac[[#This Row],[Quantity]]&gt;0,IF(Cdlac[[#This Row],[Federal]],30%,IF($G$36,40%,Cdlac[[#This Row],[iAMI]])),"")</f>
        <v>0.3</v>
      </c>
      <c r="P32" s="1101" cm="1">
        <f t="array" ref="P32">IF(Cdlac[[#This Row],[Quantity]]&gt;0,INDEX(TcacRents,$P$18,Cdlac[[#This Row],[Bedrooms]]+1)*Cdlac[[#This Row],[AMI]],"")</f>
        <v>1391.3999999999999</v>
      </c>
      <c r="Q32" s="1101" cm="1">
        <f t="array" ref="Q32">IF(Cdlac[[#This Row],[Quantity]]&gt;0,INDEX(HudFmrs,$P$18,Cdlac[[#This Row],[Bedrooms]]+1),"")</f>
        <v>3750</v>
      </c>
      <c r="R32" s="1101">
        <f>IF(Cdlac[[#This Row],[Quantity]]&gt;0,MAX(0,Cdlac[[#This Row],[Fair Market Rent]]-Cdlac[[#This Row],[Restricted Rent]]),"")</f>
        <v>2358.6000000000004</v>
      </c>
      <c r="S32" s="1079">
        <f>IF(Cdlac[[#This Row],[Quantity]]&gt;0,AND(Application!AK730&lt;&gt;"N/A",Application!AK730&lt;&gt;"")*Cdlac[[#This Row],[Quantity]],"")</f>
        <v>0</v>
      </c>
      <c r="T32" s="1079" t="b">
        <f>AND('Subsidy Contract Calculation'!F16&gt;0,'Subsidy Contract Calculation'!C16="Federal",Cdlac[[#This Row],[Quantity]]&gt;0)</f>
        <v>1</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2315</v>
      </c>
      <c r="G35" s="1162" cm="1">
        <f t="array" ref="G35">SUMPRODUCT(Cdlac[Quantity],Cdlac[iAMI],IF(Cdlac[Federal],0,1))/SUMIFS(Cdlac[Quantity],Cdlac[Federal],FALSE)</f>
        <v>0.5</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2310</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2251</v>
      </c>
      <c r="G38" s="1116">
        <f>SUMPRODUCT(Cdlac[Quantity],Cdlac[Delta])</f>
        <v>176509.60000000003</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2316</v>
      </c>
      <c r="F39" s="1155" t="s">
        <v>2304</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2244</v>
      </c>
      <c r="F40" s="1081"/>
      <c r="G40" s="1165">
        <f>G38*G39</f>
        <v>31771728.000000007</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2305</v>
      </c>
      <c r="G44" s="1167">
        <f>S18</f>
        <v>50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2306</v>
      </c>
      <c r="G45" s="1167">
        <f>ROUNDDOWN(E27*50%,0)</f>
        <v>79</v>
      </c>
    </row>
    <row r="46" spans="2:20" ht="15" customHeight="1">
      <c r="E46" s="1159"/>
      <c r="G46" s="1167"/>
    </row>
    <row r="47" spans="2:20" ht="15" customHeight="1">
      <c r="E47" s="1159" t="s">
        <v>2257</v>
      </c>
      <c r="G47" s="1156">
        <f>MIN(G44:G45)</f>
        <v>50</v>
      </c>
    </row>
    <row r="48" spans="2:20" ht="15" customHeight="1">
      <c r="E48" s="1159" t="s">
        <v>2247</v>
      </c>
      <c r="F48" s="1155" t="s">
        <v>2304</v>
      </c>
      <c r="G48" s="1166">
        <v>10000</v>
      </c>
    </row>
    <row r="49" spans="2:14" ht="15" customHeight="1">
      <c r="E49" s="1160" t="s">
        <v>2287</v>
      </c>
      <c r="F49" s="1081"/>
      <c r="G49" s="1165">
        <f>G47*G48</f>
        <v>500000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2307</v>
      </c>
      <c r="G53" s="1117">
        <f>SUMIFS(Cdlac[Quantity],Cdlac[iAMI],"&lt;=30%")</f>
        <v>71</v>
      </c>
    </row>
    <row r="54" spans="2:14" ht="15" customHeight="1">
      <c r="E54" s="1159" t="s">
        <v>2306</v>
      </c>
      <c r="G54" s="1117">
        <f>ROUNDDOWN(E27*50%,0)</f>
        <v>79</v>
      </c>
    </row>
    <row r="55" spans="2:14" ht="15" customHeight="1">
      <c r="E55" s="1159"/>
      <c r="G55" s="1117"/>
    </row>
    <row r="56" spans="2:14" ht="15" customHeight="1">
      <c r="E56" s="1159" t="s">
        <v>2257</v>
      </c>
      <c r="G56" s="1156">
        <f>MIN(G53:G54)</f>
        <v>71</v>
      </c>
    </row>
    <row r="57" spans="2:14" ht="15" customHeight="1">
      <c r="E57" s="1159" t="s">
        <v>2247</v>
      </c>
      <c r="F57" s="1155" t="s">
        <v>2304</v>
      </c>
      <c r="G57" s="1166">
        <v>20000</v>
      </c>
    </row>
    <row r="58" spans="2:14" ht="15" customHeight="1">
      <c r="E58" s="1160" t="s">
        <v>2286</v>
      </c>
      <c r="F58" s="1081"/>
      <c r="G58" s="1165">
        <f>G56*G57</f>
        <v>1420000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2260</v>
      </c>
      <c r="G62" s="1156">
        <f>VLOOKUP('Points System'!$H$595,'Points System'!$AO$575:$AP$580,2,FALSE)</f>
        <v>7</v>
      </c>
      <c r="L62" s="1169" t="str">
        <f>'Points System'!H627</f>
        <v>(i)</v>
      </c>
      <c r="M62" s="2157" t="s">
        <v>1516</v>
      </c>
      <c r="N62" s="2158"/>
    </row>
    <row r="63" spans="2:14" ht="15" customHeight="1">
      <c r="E63" s="1124" t="s">
        <v>2247</v>
      </c>
      <c r="F63" s="1155" t="s">
        <v>2304</v>
      </c>
      <c r="G63" s="1114">
        <v>4000</v>
      </c>
      <c r="L63" s="1170" t="str">
        <f>'Points System'!H639</f>
        <v>(ii)</v>
      </c>
      <c r="M63" s="2149" t="s">
        <v>2261</v>
      </c>
      <c r="N63" s="2150"/>
    </row>
    <row r="64" spans="2:14" ht="15" customHeight="1">
      <c r="E64" s="1124" t="s">
        <v>2308</v>
      </c>
      <c r="F64" s="1155" t="s">
        <v>2304</v>
      </c>
      <c r="G64" s="1168">
        <f>G27</f>
        <v>162.5</v>
      </c>
      <c r="L64" s="1170" t="str">
        <f>'Points System'!H674</f>
        <v>(i)</v>
      </c>
      <c r="M64" s="2149" t="s">
        <v>2262</v>
      </c>
      <c r="N64" s="2150"/>
    </row>
    <row r="65" spans="2:14" ht="15" customHeight="1">
      <c r="E65" s="1160" t="s">
        <v>2266</v>
      </c>
      <c r="F65" s="1081"/>
      <c r="G65" s="1165">
        <f>G62*G63*G64</f>
        <v>4550000</v>
      </c>
      <c r="L65" s="1170" t="str">
        <f>IF(OR('Points System'!H698="(ii)",'Points System'!H698="(i)"),"(i)","N/A")</f>
        <v>(i)</v>
      </c>
      <c r="M65" s="2149" t="s">
        <v>2263</v>
      </c>
      <c r="N65" s="2150"/>
    </row>
    <row r="66" spans="2:14" ht="15" customHeight="1">
      <c r="C66" s="1115"/>
      <c r="G66" s="1156"/>
      <c r="L66" s="1171" t="str">
        <f>'Points System'!H712</f>
        <v>N/A</v>
      </c>
      <c r="M66" s="2149" t="s">
        <v>1542</v>
      </c>
      <c r="N66" s="2150"/>
    </row>
    <row r="67" spans="2:14" ht="15" customHeight="1">
      <c r="E67" s="1124" t="s">
        <v>2309</v>
      </c>
      <c r="G67" s="1168">
        <f>COUNTIFS(L62:L69,"(i)")</f>
        <v>5</v>
      </c>
      <c r="L67" s="1170" t="str">
        <f>'Points System'!H724</f>
        <v>N/A</v>
      </c>
      <c r="M67" s="2149" t="s">
        <v>2264</v>
      </c>
      <c r="N67" s="2150"/>
    </row>
    <row r="68" spans="2:14" ht="15" customHeight="1">
      <c r="E68" s="1124" t="s">
        <v>2247</v>
      </c>
      <c r="F68" s="1155" t="s">
        <v>2304</v>
      </c>
      <c r="G68" s="1166">
        <v>4000</v>
      </c>
      <c r="L68" s="1170" t="str">
        <f>'Points System'!H740</f>
        <v>(i)</v>
      </c>
      <c r="M68" s="2149" t="s">
        <v>2265</v>
      </c>
      <c r="N68" s="2150"/>
    </row>
    <row r="69" spans="2:14" ht="15" customHeight="1" thickBot="1">
      <c r="E69" s="1160" t="s">
        <v>2267</v>
      </c>
      <c r="F69" s="1081"/>
      <c r="G69" s="1165">
        <f>G64*G67*G68</f>
        <v>3250000</v>
      </c>
      <c r="L69" s="1172" t="str">
        <f>'Points System'!H752</f>
        <v>(i)</v>
      </c>
      <c r="M69" s="2151" t="s">
        <v>1545</v>
      </c>
      <c r="N69" s="2152"/>
    </row>
    <row r="70" spans="2:14" ht="15" customHeight="1"/>
    <row r="71" spans="2:14" ht="15" customHeight="1">
      <c r="C71" s="1118" t="s">
        <v>2269</v>
      </c>
    </row>
    <row r="72" spans="2:14" ht="15" customHeight="1">
      <c r="C72" s="1115" t="s">
        <v>2270</v>
      </c>
      <c r="G72" s="1078"/>
    </row>
    <row r="73" spans="2:14" ht="15" customHeight="1">
      <c r="C73" s="1115" t="s">
        <v>2271</v>
      </c>
      <c r="G73" s="1078"/>
    </row>
    <row r="74" spans="2:14" ht="15" customHeight="1">
      <c r="C74" s="1115" t="s">
        <v>2499</v>
      </c>
      <c r="G74" s="1078" t="s">
        <v>553</v>
      </c>
    </row>
    <row r="75" spans="2:14" ht="15" customHeight="1">
      <c r="C75" s="1115" t="s">
        <v>2500</v>
      </c>
      <c r="G75" s="1078" t="s">
        <v>553</v>
      </c>
    </row>
    <row r="76" spans="2:14" ht="15" customHeight="1"/>
    <row r="77" spans="2:14" ht="15" customHeight="1">
      <c r="B77" s="1116"/>
      <c r="C77" s="1115"/>
      <c r="E77" s="1124" t="s">
        <v>2311</v>
      </c>
      <c r="G77" s="1117" t="b">
        <f>COUNTIFS(G72:G75,"Yes")&gt;=1</f>
        <v>1</v>
      </c>
    </row>
    <row r="78" spans="2:14" ht="15" customHeight="1">
      <c r="E78" s="1115"/>
    </row>
    <row r="79" spans="2:14" ht="15" customHeight="1">
      <c r="E79" s="1124" t="s">
        <v>2308</v>
      </c>
      <c r="F79" s="1155" t="s">
        <v>2304</v>
      </c>
      <c r="G79" s="1156">
        <f>G27</f>
        <v>162.5</v>
      </c>
    </row>
    <row r="80" spans="2:14" ht="15" customHeight="1">
      <c r="E80" s="1124" t="s">
        <v>2247</v>
      </c>
      <c r="F80" s="1155" t="s">
        <v>2304</v>
      </c>
      <c r="G80" s="1166">
        <v>25000</v>
      </c>
    </row>
    <row r="81" spans="2:14" ht="15" customHeight="1">
      <c r="E81" s="1160" t="s">
        <v>2268</v>
      </c>
      <c r="F81" s="1081"/>
      <c r="G81" s="1165">
        <f>G77*G80*G64</f>
        <v>4062500</v>
      </c>
    </row>
    <row r="82" spans="2:14" ht="15" customHeight="1">
      <c r="C82" s="1115"/>
      <c r="E82" s="1115"/>
    </row>
    <row r="83" spans="2:14" ht="15" customHeight="1">
      <c r="E83" s="1160" t="s">
        <v>2245</v>
      </c>
      <c r="G83" s="1165">
        <f>G81+G69+G65</f>
        <v>11862500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2290</v>
      </c>
      <c r="G87" s="1078" t="s">
        <v>553</v>
      </c>
      <c r="L87" s="2153" t="s">
        <v>2274</v>
      </c>
      <c r="M87" s="2154"/>
      <c r="N87" s="1173">
        <v>30000</v>
      </c>
    </row>
    <row r="88" spans="2:14" ht="15" customHeight="1">
      <c r="C88" s="1115" t="s">
        <v>2291</v>
      </c>
      <c r="G88" s="1119" t="str">
        <f>IF(Application!D211="Large Family","Yes","No")</f>
        <v>No</v>
      </c>
      <c r="L88" s="2145" t="s">
        <v>2238</v>
      </c>
      <c r="M88" s="2146"/>
      <c r="N88" s="1174">
        <v>20000</v>
      </c>
    </row>
    <row r="89" spans="2:14" ht="15" customHeight="1" thickBot="1">
      <c r="C89" s="1115" t="s">
        <v>2272</v>
      </c>
      <c r="G89" s="1078" t="s">
        <v>553</v>
      </c>
      <c r="L89" s="2147" t="s">
        <v>2275</v>
      </c>
      <c r="M89" s="2148"/>
      <c r="N89" s="1175">
        <v>10000</v>
      </c>
    </row>
    <row r="90" spans="2:14" ht="15" customHeight="1">
      <c r="C90" s="1115" t="s">
        <v>2273</v>
      </c>
      <c r="G90" s="1079" t="str">
        <f>Application!T193</f>
        <v>Low Resource</v>
      </c>
    </row>
    <row r="91" spans="2:14" ht="15" customHeight="1">
      <c r="C91" s="1115"/>
    </row>
    <row r="92" spans="2:14" ht="15" customHeight="1">
      <c r="E92" s="1124" t="s">
        <v>2311</v>
      </c>
      <c r="G92" s="1117" t="b">
        <f>AND(COUNTIFS(G88:G89,"Yes")&gt;=1,G87="Yes")</f>
        <v>1</v>
      </c>
    </row>
    <row r="93" spans="2:14" ht="15" customHeight="1">
      <c r="E93" s="1124"/>
      <c r="G93" s="1117"/>
    </row>
    <row r="94" spans="2:14" ht="15" customHeight="1">
      <c r="E94" s="1124" t="s">
        <v>2247</v>
      </c>
      <c r="G94" s="1116">
        <f>IFERROR(INDEX(N87:N89,MATCH(LEFT(G90,17),L87:L89,0)),0)</f>
        <v>0</v>
      </c>
    </row>
    <row r="95" spans="2:14" ht="15" customHeight="1">
      <c r="E95" s="1124" t="str">
        <f>E64</f>
        <v>Bedroom-Adjusted Low-Income Units</v>
      </c>
      <c r="F95" s="1155" t="s">
        <v>2304</v>
      </c>
      <c r="G95" s="1156">
        <f>G27</f>
        <v>162.5</v>
      </c>
    </row>
    <row r="96" spans="2:14" ht="15" customHeight="1">
      <c r="D96" s="1081"/>
      <c r="E96" s="1160" t="s">
        <v>2246</v>
      </c>
      <c r="F96" s="1081"/>
      <c r="G96" s="1165">
        <f>G95*G94*G92</f>
        <v>0</v>
      </c>
    </row>
    <row r="97" spans="2:9" ht="15" customHeight="1"/>
    <row r="98" spans="2:9" ht="15" customHeight="1">
      <c r="B98" s="1104" t="s">
        <v>2259</v>
      </c>
      <c r="C98" s="1105"/>
      <c r="D98" s="1105"/>
      <c r="E98" s="1105"/>
      <c r="F98" s="1105"/>
      <c r="G98" s="1105"/>
      <c r="H98" s="1105"/>
      <c r="I98" s="1106"/>
    </row>
    <row r="99" spans="2:9" ht="15" customHeight="1"/>
    <row r="100" spans="2:9" ht="15" customHeight="1">
      <c r="F100" s="1158" t="s">
        <v>2285</v>
      </c>
      <c r="G100" s="1078" t="s">
        <v>553</v>
      </c>
    </row>
    <row r="101" spans="2:9" ht="15" customHeight="1">
      <c r="F101" s="1158"/>
    </row>
    <row r="102" spans="2:9" ht="15" customHeight="1">
      <c r="E102" s="1124" t="s">
        <v>2311</v>
      </c>
      <c r="G102" s="1117" t="b">
        <f>G100="Yes"</f>
        <v>1</v>
      </c>
    </row>
    <row r="103" spans="2:9" ht="15" customHeight="1"/>
    <row r="104" spans="2:9" ht="15" customHeight="1">
      <c r="E104" s="1124" t="str">
        <f>E64</f>
        <v>Bedroom-Adjusted Low-Income Units</v>
      </c>
      <c r="G104" s="1156">
        <f>G27</f>
        <v>162.5</v>
      </c>
    </row>
    <row r="105" spans="2:9" ht="15" customHeight="1">
      <c r="E105" s="1124" t="s">
        <v>2247</v>
      </c>
      <c r="F105" s="1155" t="s">
        <v>2304</v>
      </c>
      <c r="G105" s="1085">
        <v>20000</v>
      </c>
    </row>
    <row r="106" spans="2:9" ht="15" customHeight="1">
      <c r="E106" s="1160" t="s">
        <v>2276</v>
      </c>
      <c r="F106" s="1081"/>
      <c r="G106" s="1165">
        <f>G102*G105*G104</f>
        <v>3250000</v>
      </c>
    </row>
    <row r="107" spans="2:9" ht="15" customHeight="1"/>
    <row r="108" spans="2:9" ht="15" customHeight="1">
      <c r="B108" s="1104" t="s">
        <v>2313</v>
      </c>
      <c r="C108" s="1105"/>
      <c r="D108" s="1105"/>
      <c r="E108" s="1105"/>
      <c r="F108" s="1105"/>
      <c r="G108" s="1105"/>
      <c r="H108" s="1105"/>
      <c r="I108" s="1106"/>
    </row>
    <row r="109" spans="2:9" ht="15" customHeight="1"/>
    <row r="110" spans="2:9" ht="15" customHeight="1">
      <c r="E110" s="1124" t="s">
        <v>590</v>
      </c>
      <c r="G110" s="1079" t="str">
        <f>IF(Application!T189="","",Application!T189)</f>
        <v>Santa Clara</v>
      </c>
    </row>
    <row r="111" spans="2:9" ht="15" customHeight="1">
      <c r="E111" s="1124"/>
      <c r="G111" s="1116"/>
    </row>
    <row r="112" spans="2:9" ht="15" customHeight="1">
      <c r="E112" s="1124" t="str">
        <f>"2-Bedroom "&amp;G110&amp;" County Basis Limit"</f>
        <v>2-Bedroom Santa Clara County Basis Limit</v>
      </c>
      <c r="G112" s="1116">
        <f>Application!R987</f>
        <v>740000</v>
      </c>
    </row>
    <row r="113" spans="4:9" ht="15" customHeight="1">
      <c r="E113" s="1124" t="s">
        <v>2312</v>
      </c>
      <c r="G113" s="1116">
        <f>MEDIAN((Application!BR806:BR863))</f>
        <v>489600</v>
      </c>
    </row>
    <row r="114" spans="4:9" ht="15" customHeight="1">
      <c r="D114" s="1081"/>
      <c r="E114" s="1160" t="s">
        <v>2314</v>
      </c>
      <c r="F114" s="1176"/>
      <c r="G114" s="1177">
        <f>((G112-G113)/G113)*0.25</f>
        <v>0.127859477124183</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Teresa Pakalski</cp:lastModifiedBy>
  <cp:lastPrinted>2024-04-22T18:40:21Z</cp:lastPrinted>
  <dcterms:created xsi:type="dcterms:W3CDTF">2007-12-27T18:26:28Z</dcterms:created>
  <dcterms:modified xsi:type="dcterms:W3CDTF">2024-04-23T17:40:12Z</dcterms:modified>
</cp:coreProperties>
</file>