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10 1371 Kooser Rd (City San Jose)\08. Funding\8.2 CTCAC\Application\2024 4% 1st Round\2. Draft Application\"/>
    </mc:Choice>
  </mc:AlternateContent>
  <xr:revisionPtr revIDLastSave="0" documentId="13_ncr:1_{3DB19F0C-1F43-45D3-89F5-667EECD4A80F}" xr6:coauthVersionLast="47" xr6:coauthVersionMax="47" xr10:uidLastSave="{00000000-0000-0000-0000-000000000000}"/>
  <bookViews>
    <workbookView xWindow="-120" yWindow="-120" windowWidth="29040" windowHeight="15840" firstSheet="4"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0" i="4" l="1"/>
  <c r="C80" i="4"/>
  <c r="F85" i="4"/>
  <c r="E85" i="4"/>
  <c r="AO640" i="3"/>
  <c r="E80" i="4" l="1"/>
  <c r="H93" i="4" l="1"/>
  <c r="F93" i="4"/>
  <c r="E93" i="4"/>
  <c r="G90" i="4" l="1"/>
  <c r="G89" i="4"/>
  <c r="I93" i="4"/>
  <c r="Z570" i="3" l="1"/>
  <c r="AA949" i="3" l="1"/>
  <c r="AA918" i="3"/>
  <c r="AA917" i="3"/>
  <c r="I948" i="3"/>
  <c r="AA947" i="3"/>
  <c r="I947" i="3"/>
  <c r="F61" i="4" l="1"/>
  <c r="K29" i="4"/>
  <c r="F57" i="4"/>
  <c r="E57" i="4"/>
  <c r="F45" i="4"/>
  <c r="H86" i="4"/>
  <c r="E79" i="4"/>
  <c r="G85" i="4"/>
  <c r="H29" i="4" l="1"/>
  <c r="E29" i="4"/>
  <c r="G54" i="7"/>
  <c r="E24" i="7" l="1"/>
  <c r="F37" i="4" l="1"/>
  <c r="G100" i="13"/>
  <c r="G101" i="13"/>
  <c r="G102" i="13"/>
  <c r="G103" i="13"/>
  <c r="D101" i="13"/>
  <c r="D102" i="13"/>
  <c r="D103" i="13"/>
  <c r="D99" i="13"/>
  <c r="D100" i="13"/>
  <c r="D85" i="13"/>
  <c r="D86" i="13"/>
  <c r="D87" i="13"/>
  <c r="D88" i="13"/>
  <c r="D89" i="13"/>
  <c r="D90" i="13"/>
  <c r="D91" i="13"/>
  <c r="D92" i="13"/>
  <c r="D94" i="13"/>
  <c r="D95" i="13"/>
  <c r="D84" i="13"/>
  <c r="D79" i="13"/>
  <c r="D67" i="13"/>
  <c r="D68" i="13"/>
  <c r="D65" i="13"/>
  <c r="D58" i="13"/>
  <c r="D59" i="13"/>
  <c r="D60" i="13"/>
  <c r="D57" i="13"/>
  <c r="D56" i="13"/>
  <c r="D47" i="13"/>
  <c r="D48" i="13"/>
  <c r="D50" i="13"/>
  <c r="D51" i="13"/>
  <c r="D52" i="13"/>
  <c r="D53" i="13"/>
  <c r="D46" i="13"/>
  <c r="D43" i="13"/>
  <c r="D41" i="13"/>
  <c r="D40" i="13"/>
  <c r="D31" i="13"/>
  <c r="D32" i="13"/>
  <c r="D34" i="13"/>
  <c r="D35" i="13"/>
  <c r="D37" i="13"/>
  <c r="D30" i="13"/>
  <c r="D29" i="13"/>
  <c r="G53" i="7"/>
  <c r="G99" i="13"/>
  <c r="G91" i="13"/>
  <c r="G92" i="13"/>
  <c r="G95" i="13"/>
  <c r="G90" i="13"/>
  <c r="G89" i="13"/>
  <c r="G87" i="13"/>
  <c r="G84" i="13"/>
  <c r="G65" i="13"/>
  <c r="G47" i="13"/>
  <c r="G48" i="13"/>
  <c r="G51" i="13"/>
  <c r="G52" i="13"/>
  <c r="G53" i="13"/>
  <c r="G46" i="13"/>
  <c r="G43" i="13"/>
  <c r="G40" i="13"/>
  <c r="G34" i="13"/>
  <c r="S99" i="4"/>
  <c r="S95" i="4"/>
  <c r="S92" i="4"/>
  <c r="S91" i="4"/>
  <c r="S89" i="4"/>
  <c r="S90" i="4"/>
  <c r="S86" i="4"/>
  <c r="S87" i="4"/>
  <c r="S85" i="4"/>
  <c r="S84" i="4"/>
  <c r="S80" i="4"/>
  <c r="S79" i="4"/>
  <c r="S47" i="4"/>
  <c r="S48" i="4"/>
  <c r="S50" i="4"/>
  <c r="S51" i="4"/>
  <c r="S52" i="4"/>
  <c r="S53" i="4"/>
  <c r="S46" i="4"/>
  <c r="S45" i="4"/>
  <c r="S43" i="4"/>
  <c r="S40" i="4"/>
  <c r="S31" i="4"/>
  <c r="S32" i="4"/>
  <c r="S33" i="4"/>
  <c r="S34" i="4"/>
  <c r="S35" i="4"/>
  <c r="S36" i="4"/>
  <c r="S37" i="4"/>
  <c r="S30" i="4"/>
  <c r="S29" i="4"/>
  <c r="C94" i="4"/>
  <c r="C57" i="4"/>
  <c r="AG446" i="3" l="1"/>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4" i="8"/>
  <c r="I14" i="8"/>
  <c r="J13" i="8"/>
  <c r="I13" i="8"/>
  <c r="J11" i="8"/>
  <c r="I11" i="8"/>
  <c r="J10" i="8"/>
  <c r="I10" i="8"/>
  <c r="J9" i="8"/>
  <c r="I9"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G66" i="13" s="1"/>
  <c r="E67" i="13"/>
  <c r="E68" i="13"/>
  <c r="E69" i="13"/>
  <c r="G69" i="13" s="1"/>
  <c r="B66" i="13"/>
  <c r="D66" i="13" s="1"/>
  <c r="B67" i="13"/>
  <c r="B68" i="13"/>
  <c r="B69" i="13"/>
  <c r="D69" i="13" s="1"/>
  <c r="A53" i="13"/>
  <c r="H36" i="13"/>
  <c r="E36" i="13"/>
  <c r="G36" i="13" s="1"/>
  <c r="B36" i="13"/>
  <c r="D36" i="13" s="1"/>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F81" i="13"/>
  <c r="C81" i="13"/>
  <c r="H80" i="13"/>
  <c r="E80" i="13"/>
  <c r="G80" i="13" s="1"/>
  <c r="B80" i="13"/>
  <c r="D80" i="13" s="1"/>
  <c r="D81" i="13" s="1"/>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G94" i="13" s="1"/>
  <c r="E93" i="13"/>
  <c r="G93" i="13" s="1"/>
  <c r="E92" i="13"/>
  <c r="E91" i="13"/>
  <c r="E90" i="13"/>
  <c r="E89" i="13"/>
  <c r="E87" i="13"/>
  <c r="E86" i="13"/>
  <c r="G86" i="13" s="1"/>
  <c r="E85" i="13"/>
  <c r="G85" i="13" s="1"/>
  <c r="E84" i="13"/>
  <c r="E79" i="13"/>
  <c r="G79" i="13" s="1"/>
  <c r="G81" i="13" s="1"/>
  <c r="E65" i="13"/>
  <c r="E53" i="13"/>
  <c r="E52" i="13"/>
  <c r="E51" i="13"/>
  <c r="E50" i="13"/>
  <c r="G50" i="13" s="1"/>
  <c r="E49" i="13"/>
  <c r="G49" i="13" s="1"/>
  <c r="E48" i="13"/>
  <c r="E47" i="13"/>
  <c r="E46" i="13"/>
  <c r="E45" i="13"/>
  <c r="G45" i="13" s="1"/>
  <c r="E43" i="13"/>
  <c r="E41" i="13"/>
  <c r="E40" i="13"/>
  <c r="E37" i="13"/>
  <c r="G37" i="13" s="1"/>
  <c r="E35" i="13"/>
  <c r="G35" i="13" s="1"/>
  <c r="E34" i="13"/>
  <c r="E33" i="13"/>
  <c r="G33" i="13" s="1"/>
  <c r="E32" i="13"/>
  <c r="G32" i="13" s="1"/>
  <c r="E31" i="13"/>
  <c r="G31" i="13" s="1"/>
  <c r="E30" i="13"/>
  <c r="G30" i="13" s="1"/>
  <c r="E29" i="13"/>
  <c r="E27" i="13"/>
  <c r="E25" i="13"/>
  <c r="E23" i="13"/>
  <c r="E22" i="13"/>
  <c r="E21" i="13"/>
  <c r="E20" i="13"/>
  <c r="E19" i="13"/>
  <c r="E18" i="13"/>
  <c r="E17" i="13"/>
  <c r="E15" i="13"/>
  <c r="E14" i="13"/>
  <c r="E13" i="13"/>
  <c r="E10" i="13"/>
  <c r="B99" i="13"/>
  <c r="B95" i="13"/>
  <c r="B94" i="13"/>
  <c r="B93" i="13"/>
  <c r="D93" i="13" s="1"/>
  <c r="B92" i="13"/>
  <c r="B91" i="13"/>
  <c r="B90" i="13"/>
  <c r="B89" i="13"/>
  <c r="B88" i="13"/>
  <c r="B87" i="13"/>
  <c r="B86" i="13"/>
  <c r="B85" i="13"/>
  <c r="B84" i="13"/>
  <c r="B83" i="13"/>
  <c r="D83" i="13" s="1"/>
  <c r="B79" i="13"/>
  <c r="B76" i="13"/>
  <c r="B75" i="13"/>
  <c r="D75" i="13" s="1"/>
  <c r="B74" i="13"/>
  <c r="B73" i="13"/>
  <c r="B72" i="13"/>
  <c r="B70" i="13"/>
  <c r="B65" i="13"/>
  <c r="B61" i="13"/>
  <c r="D61" i="13" s="1"/>
  <c r="B60" i="13"/>
  <c r="B59" i="13"/>
  <c r="B58" i="13"/>
  <c r="B57" i="13"/>
  <c r="B56" i="13"/>
  <c r="B53" i="13"/>
  <c r="B52" i="13"/>
  <c r="B51" i="13"/>
  <c r="B50" i="13"/>
  <c r="B49" i="13"/>
  <c r="D49" i="13" s="1"/>
  <c r="B48" i="13"/>
  <c r="B47" i="13"/>
  <c r="B46" i="13"/>
  <c r="B45" i="13"/>
  <c r="D45" i="13" s="1"/>
  <c r="B43" i="13"/>
  <c r="C42" i="4"/>
  <c r="B42" i="13"/>
  <c r="B41" i="13"/>
  <c r="B40" i="13"/>
  <c r="B37" i="13"/>
  <c r="B35" i="13"/>
  <c r="B34" i="13"/>
  <c r="B33" i="13"/>
  <c r="D33" i="13" s="1"/>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I8" i="8" s="1"/>
  <c r="J8" i="8" s="1"/>
  <c r="A9" i="8"/>
  <c r="D9" i="8"/>
  <c r="A10" i="8"/>
  <c r="D10" i="8"/>
  <c r="A11" i="8"/>
  <c r="D11" i="8"/>
  <c r="A12" i="8"/>
  <c r="D12" i="8"/>
  <c r="I12" i="8" s="1"/>
  <c r="J12" i="8" s="1"/>
  <c r="A13" i="8"/>
  <c r="D13" i="8"/>
  <c r="A14" i="8"/>
  <c r="D14" i="8"/>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R97" i="4"/>
  <c r="R105" i="4"/>
  <c r="C13" i="11"/>
  <c r="D55" i="11"/>
  <c r="H63" i="13"/>
  <c r="T105" i="4"/>
  <c r="H97" i="13"/>
  <c r="D96" i="11"/>
  <c r="C97" i="11"/>
  <c r="D97" i="11"/>
  <c r="D13" i="11"/>
  <c r="T107" i="4"/>
  <c r="H105" i="13"/>
  <c r="H107" i="13"/>
  <c r="AD11" i="15"/>
  <c r="S63" i="4" l="1"/>
  <c r="E63" i="13" s="1"/>
  <c r="D105" i="11"/>
  <c r="S97" i="4"/>
  <c r="N186" i="27"/>
  <c r="N193" i="27" s="1"/>
  <c r="B63" i="4"/>
  <c r="D39" i="11"/>
  <c r="C27" i="11"/>
  <c r="G67" i="2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S105" i="4" l="1"/>
  <c r="E97" i="13"/>
  <c r="AC455" i="3"/>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107" i="4" l="1"/>
  <c r="E105" i="13"/>
  <c r="AC454" i="3"/>
  <c r="O32" i="21"/>
  <c r="P32" i="21" s="1" a="1"/>
  <c r="P32" i="21" s="1"/>
  <c r="R32" i="21" s="1"/>
  <c r="O33" i="21"/>
  <c r="P33" i="21" s="1" a="1"/>
  <c r="P33" i="21" s="1"/>
  <c r="R33" i="21" s="1"/>
  <c r="O30" i="21"/>
  <c r="P30" i="21" s="1" a="1"/>
  <c r="P30" i="21" s="1"/>
  <c r="R30" i="21" s="1"/>
  <c r="O31" i="21"/>
  <c r="P31" i="21" s="1" a="1"/>
  <c r="P31" i="21" s="1"/>
  <c r="R31" i="21" s="1"/>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AB47" i="15"/>
  <c r="N183" i="27"/>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49" i="15"/>
  <c r="AB54" i="15" s="1"/>
  <c r="AB55" i="15"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E107" i="13"/>
  <c r="T11" i="15" s="1"/>
  <c r="T23" i="15"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993" i="3"/>
  <c r="I13" i="21" s="1"/>
  <c r="AJ1006" i="3"/>
  <c r="AJ1028" i="3"/>
  <c r="AJ1035" i="3"/>
  <c r="I14" i="21" s="1"/>
  <c r="AJ1044" i="3"/>
  <c r="AP541" i="20" s="1"/>
  <c r="AJ1048" i="3"/>
  <c r="AP542" i="20" s="1"/>
  <c r="T26" i="15"/>
  <c r="T28" i="15" s="1"/>
  <c r="T29" i="15" s="1"/>
  <c r="Y64" i="15"/>
  <c r="Y68" i="15" s="1"/>
  <c r="AP539" i="20"/>
  <c r="AP543" i="20" s="1"/>
  <c r="K4" i="7"/>
  <c r="M4" i="7" s="1"/>
  <c r="E45" i="7"/>
  <c r="E48" i="7" s="1"/>
  <c r="AJ1052" i="3"/>
  <c r="G45" i="7"/>
  <c r="G49" i="7"/>
  <c r="K6" i="7"/>
  <c r="I7" i="7"/>
  <c r="I11" i="7" s="1"/>
  <c r="I37" i="7" s="1"/>
  <c r="G24" i="21"/>
  <c r="F27" i="21"/>
  <c r="G27" i="21"/>
  <c r="O22" i="7"/>
  <c r="O35" i="7" s="1"/>
  <c r="Q15" i="7"/>
  <c r="O9" i="7"/>
  <c r="Q8" i="7"/>
  <c r="AZ846" i="3" l="1"/>
  <c r="AZ843" i="3"/>
  <c r="AZ851" i="3" s="1"/>
  <c r="T24" i="15"/>
  <c r="Y38" i="15" s="1"/>
  <c r="AP546" i="20"/>
  <c r="AP545" i="20" s="1"/>
  <c r="AP548" i="20" s="1"/>
  <c r="AF541" i="20" s="1"/>
  <c r="AF542" i="20" s="1"/>
  <c r="AK548" i="20" s="1"/>
  <c r="T807" i="20" s="1"/>
  <c r="AF807"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6" i="7" l="1"/>
  <c r="G67" i="7"/>
  <c r="E62" i="7"/>
  <c r="E67" i="7"/>
  <c r="E66"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I66" i="7" l="1"/>
  <c r="I67"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K66" i="7" l="1"/>
  <c r="K67" i="7"/>
  <c r="AB57" i="15"/>
  <c r="U4" i="7"/>
  <c r="S5" i="7"/>
  <c r="P204" i="3"/>
  <c r="M48" i="7"/>
  <c r="M47" i="7"/>
  <c r="M60" i="7"/>
  <c r="O45" i="7"/>
  <c r="O49" i="7"/>
  <c r="K62" i="7"/>
  <c r="Q7" i="7"/>
  <c r="Q11" i="7" s="1"/>
  <c r="Q37" i="7" s="1"/>
  <c r="S6" i="7"/>
  <c r="I70" i="7"/>
  <c r="I72" i="7" s="1"/>
  <c r="W22" i="7"/>
  <c r="W35" i="7" s="1"/>
  <c r="Y15" i="7"/>
  <c r="W9" i="7"/>
  <c r="Y8" i="7"/>
  <c r="M66" i="7" l="1"/>
  <c r="M67" i="7"/>
  <c r="AB59" i="15"/>
  <c r="AB76" i="15" s="1"/>
  <c r="AB77" i="15" s="1"/>
  <c r="AB78" i="15" s="1"/>
  <c r="U5" i="7"/>
  <c r="W4" i="7"/>
  <c r="Q49" i="7"/>
  <c r="Q45" i="7"/>
  <c r="M62" i="7"/>
  <c r="O47" i="7"/>
  <c r="O48" i="7"/>
  <c r="O60" i="7"/>
  <c r="K70" i="7"/>
  <c r="K72" i="7" s="1"/>
  <c r="S7" i="7"/>
  <c r="S11" i="7" s="1"/>
  <c r="S37" i="7" s="1"/>
  <c r="U6" i="7"/>
  <c r="Y22" i="7"/>
  <c r="Y35" i="7" s="1"/>
  <c r="AA15" i="7"/>
  <c r="Y9" i="7"/>
  <c r="AA8" i="7"/>
  <c r="O66" i="7" l="1"/>
  <c r="O67"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Q66" i="7" l="1"/>
  <c r="Q67" i="7"/>
  <c r="P205" i="3"/>
  <c r="AA4" i="7"/>
  <c r="Y5" i="7"/>
  <c r="Y6" i="7"/>
  <c r="W7" i="7"/>
  <c r="W11" i="7" s="1"/>
  <c r="W37" i="7" s="1"/>
  <c r="U45" i="7"/>
  <c r="U49" i="7"/>
  <c r="Q62" i="7"/>
  <c r="S48" i="7"/>
  <c r="S47" i="7"/>
  <c r="S60" i="7"/>
  <c r="O70" i="7"/>
  <c r="O72" i="7" s="1"/>
  <c r="AE15" i="7"/>
  <c r="AC22" i="7"/>
  <c r="AC35" i="7" s="1"/>
  <c r="AC9" i="7"/>
  <c r="AE8" i="7"/>
  <c r="S66" i="7" l="1"/>
  <c r="S67" i="7"/>
  <c r="AA5" i="7"/>
  <c r="AC4" i="7"/>
  <c r="S62" i="7"/>
  <c r="U48" i="7"/>
  <c r="U60" i="7"/>
  <c r="U47" i="7"/>
  <c r="Q70" i="7"/>
  <c r="Q72" i="7" s="1"/>
  <c r="W49" i="7"/>
  <c r="W45" i="7"/>
  <c r="Y7" i="7"/>
  <c r="Y11" i="7" s="1"/>
  <c r="Y37" i="7" s="1"/>
  <c r="AA6" i="7"/>
  <c r="AE22" i="7"/>
  <c r="AE35" i="7" s="1"/>
  <c r="AG15" i="7"/>
  <c r="AG22" i="7" s="1"/>
  <c r="AG35" i="7" s="1"/>
  <c r="AE9" i="7"/>
  <c r="AG8" i="7"/>
  <c r="AG9" i="7" s="1"/>
  <c r="U66" i="7" l="1"/>
  <c r="U67" i="7"/>
  <c r="S70" i="7"/>
  <c r="S72" i="7" s="1"/>
  <c r="AC5" i="7"/>
  <c r="AE4" i="7"/>
  <c r="AC6" i="7"/>
  <c r="AA7" i="7"/>
  <c r="AA11" i="7" s="1"/>
  <c r="AA37" i="7" s="1"/>
  <c r="U62" i="7"/>
  <c r="Y49" i="7"/>
  <c r="Y45" i="7"/>
  <c r="W60" i="7"/>
  <c r="W47" i="7"/>
  <c r="W48" i="7"/>
  <c r="W66" i="7" l="1"/>
  <c r="W67" i="7"/>
  <c r="AE5" i="7"/>
  <c r="AG4" i="7"/>
  <c r="AG5" i="7" s="1"/>
  <c r="AA45" i="7"/>
  <c r="AA49" i="7"/>
  <c r="U70" i="7"/>
  <c r="U72" i="7" s="1"/>
  <c r="W62" i="7"/>
  <c r="Y47" i="7"/>
  <c r="Y48" i="7"/>
  <c r="Y60" i="7"/>
  <c r="AE6" i="7"/>
  <c r="AC7" i="7"/>
  <c r="AC11" i="7" s="1"/>
  <c r="AC37" i="7" s="1"/>
  <c r="Y66" i="7" l="1"/>
  <c r="Y67" i="7"/>
  <c r="W70" i="7"/>
  <c r="W72" i="7" s="1"/>
  <c r="AA60" i="7"/>
  <c r="AA47" i="7"/>
  <c r="AA48" i="7"/>
  <c r="AC45" i="7"/>
  <c r="AC49" i="7"/>
  <c r="AE7" i="7"/>
  <c r="AE11" i="7" s="1"/>
  <c r="AE37" i="7" s="1"/>
  <c r="AG6" i="7"/>
  <c r="Y62" i="7"/>
  <c r="AA66" i="7" l="1"/>
  <c r="AA67" i="7"/>
  <c r="Y70" i="7"/>
  <c r="Y72" i="7" s="1"/>
  <c r="AG7" i="7"/>
  <c r="AG11" i="7" s="1"/>
  <c r="AG37" i="7" s="1"/>
  <c r="AE49" i="7"/>
  <c r="AE45" i="7"/>
  <c r="AC60" i="7"/>
  <c r="AC48" i="7"/>
  <c r="AC47" i="7"/>
  <c r="AA62" i="7"/>
  <c r="AC66" i="7" l="1"/>
  <c r="AC67" i="7"/>
  <c r="AA70" i="7"/>
  <c r="AA72" i="7" s="1"/>
  <c r="AC62" i="7"/>
  <c r="AE47" i="7"/>
  <c r="AE60" i="7"/>
  <c r="AE48" i="7"/>
  <c r="AG49" i="7"/>
  <c r="AG45" i="7"/>
  <c r="AE66" i="7" l="1"/>
  <c r="AE67" i="7"/>
  <c r="AG48" i="7"/>
  <c r="AG60" i="7"/>
  <c r="AG47" i="7"/>
  <c r="AE62" i="7"/>
  <c r="AC70" i="7"/>
  <c r="AC72" i="7" s="1"/>
  <c r="AG66" i="7" l="1"/>
  <c r="AG67" i="7"/>
  <c r="AE70" i="7"/>
  <c r="AE72" i="7" s="1"/>
  <c r="AG62"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2B5FA114-634D-4E45-98C9-F1E7DF345D14}">
      <text>
        <r>
          <rPr>
            <sz val="9"/>
            <color indexed="81"/>
            <rFont val="Tahoma"/>
            <family val="2"/>
          </rPr>
          <t>Input tax-exempt bond amount.  This cell is linked to the tie breaker.  Do not include any taxable bond amount.</t>
        </r>
      </text>
    </comment>
    <comment ref="C627" authorId="0" shapeId="0" xr:uid="{0007565A-99BD-4118-95E6-86D751C596C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<sst xmlns="http://schemas.openxmlformats.org/spreadsheetml/2006/main" count="5413" uniqueCount="2805">
  <si>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</si>
  <si>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</si>
  <si>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</si>
  <si>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</si>
  <si>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</si>
  <si>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</si>
  <si>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</si>
  <si>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</si>
  <si>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</si>
  <si>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</si>
  <si>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</si>
  <si>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</si>
  <si>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</si>
  <si>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</si>
  <si>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</si>
  <si>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</si>
  <si>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</si>
  <si>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</si>
  <si>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</si>
  <si>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</si>
  <si>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</si>
  <si>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</si>
  <si>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</si>
  <si>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</si>
  <si>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</si>
  <si>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</si>
  <si>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</si>
  <si>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</si>
  <si>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</si>
  <si>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</si>
  <si>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</si>
  <si>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</si>
  <si>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</si>
  <si>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</si>
  <si>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</si>
  <si>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</si>
  <si>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</si>
  <si>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</si>
  <si>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</si>
  <si>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</si>
  <si>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</si>
  <si>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</si>
  <si>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</si>
  <si>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</si>
  <si>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</si>
  <si>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</si>
  <si>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</si>
  <si>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</si>
  <si>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</si>
  <si>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</si>
  <si>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</si>
  <si>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</si>
  <si>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</si>
  <si>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</si>
  <si>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</si>
  <si>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</si>
  <si>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</si>
  <si>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</si>
  <si>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</si>
  <si>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</si>
  <si>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</si>
  <si>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</si>
  <si>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</si>
  <si>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</si>
  <si>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</si>
  <si>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</si>
  <si>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</si>
  <si>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</si>
  <si>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</si>
  <si>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</si>
  <si>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</si>
  <si>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</si>
  <si>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</si>
  <si>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</si>
  <si>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</si>
  <si>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</si>
  <si>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</si>
  <si>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</si>
  <si>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</si>
  <si>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</si>
  <si>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</si>
  <si>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</si>
  <si>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</si>
  <si>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</si>
  <si>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</si>
  <si>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</si>
  <si>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</si>
  <si>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</si>
  <si>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</si>
  <si>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</si>
  <si>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</si>
  <si>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</si>
  <si>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</si>
  <si>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</si>
  <si>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</si>
  <si>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</si>
  <si>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</si>
  <si>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</si>
  <si>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</si>
  <si>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</si>
  <si>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</si>
  <si>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</si>
  <si>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</si>
  <si>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</si>
  <si>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</si>
  <si>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</si>
  <si>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</si>
  <si>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</si>
  <si>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</si>
  <si>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</si>
  <si>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</si>
  <si>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</si>
  <si>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</si>
  <si>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</si>
  <si>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</si>
  <si>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</si>
  <si>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</si>
  <si>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</si>
  <si>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</si>
  <si>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</si>
  <si>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</si>
  <si>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</si>
  <si>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</si>
  <si>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</si>
  <si>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</si>
  <si>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</si>
  <si>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</si>
  <si>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</si>
  <si>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</si>
  <si>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</si>
  <si>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</si>
  <si>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</si>
  <si>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</si>
  <si>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</si>
  <si>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</si>
  <si>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</si>
  <si>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</si>
  <si>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</si>
  <si>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</si>
  <si>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</si>
  <si>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</si>
  <si>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</si>
  <si>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</si>
  <si>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</si>
  <si>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</si>
  <si>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</si>
  <si>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</si>
  <si>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</si>
  <si>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</si>
  <si>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</si>
  <si>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</si>
  <si>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</si>
  <si>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</si>
  <si>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</si>
  <si>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</si>
  <si>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</si>
  <si>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</si>
  <si>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</si>
  <si>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</si>
  <si>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</si>
  <si>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</si>
  <si>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</si>
  <si>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</si>
  <si>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</si>
  <si>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</si>
  <si>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</si>
  <si>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</si>
  <si>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</si>
  <si>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</si>
  <si>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</si>
  <si>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</si>
  <si>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</si>
  <si>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</si>
  <si>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</si>
  <si>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</si>
  <si>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</si>
  <si>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</si>
  <si>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</si>
  <si>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</si>
  <si>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</si>
  <si>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</si>
  <si>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</si>
  <si>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</si>
  <si>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</si>
  <si>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</si>
  <si>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</si>
  <si>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</si>
  <si>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</si>
  <si>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</si>
  <si>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</si>
  <si>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</si>
  <si>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</si>
  <si>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</si>
  <si>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</si>
  <si>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</si>
  <si>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</si>
  <si>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</si>
  <si>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</si>
  <si>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</si>
  <si>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</si>
  <si>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</si>
  <si>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</si>
  <si>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</si>
  <si>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</si>
  <si>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</si>
  <si>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</si>
  <si>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</si>
  <si>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</si>
  <si>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</si>
  <si>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</si>
  <si>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</si>
  <si>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</si>
  <si>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</si>
  <si>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</si>
  <si>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</si>
  <si>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</si>
  <si>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</si>
  <si>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</si>
  <si>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</si>
  <si>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</si>
  <si>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</si>
  <si>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</si>
  <si>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</si>
  <si>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</si>
  <si>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</si>
  <si>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</si>
  <si>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</si>
  <si>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</si>
  <si>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</si>
  <si>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</si>
  <si>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</si>
  <si>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</si>
  <si>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</si>
  <si>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</si>
  <si>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</si>
  <si>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</si>
  <si>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</si>
  <si>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</si>
  <si>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</si>
  <si>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</si>
  <si>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</si>
  <si>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</si>
  <si>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</si>
  <si>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</si>
  <si>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</si>
  <si>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</si>
  <si>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</si>
  <si>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</si>
  <si>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</si>
  <si>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</si>
  <si>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</si>
  <si>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</si>
  <si>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</si>
  <si>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</si>
  <si>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</si>
  <si>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</si>
  <si>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</si>
  <si>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</si>
  <si>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</si>
  <si>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</si>
  <si>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</si>
  <si>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</si>
  <si>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</si>
  <si>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</si>
  <si>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</si>
  <si>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</si>
  <si>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</si>
  <si>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</si>
  <si>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</si>
  <si>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</si>
  <si>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</si>
  <si>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</si>
  <si>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</si>
  <si>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</si>
  <si>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</si>
  <si>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</si>
  <si>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</si>
  <si>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</si>
  <si>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</si>
  <si>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</si>
  <si>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</si>
  <si>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</si>
  <si>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</si>
  <si>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</si>
  <si>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</si>
  <si>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</si>
  <si>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</si>
  <si>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</si>
  <si>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</si>
  <si>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</si>
  <si>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</si>
  <si>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</si>
  <si>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</si>
  <si>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</si>
  <si>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</si>
  <si>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</si>
  <si>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</si>
  <si>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</si>
  <si>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</si>
  <si>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</si>
  <si>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</si>
  <si>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</si>
  <si>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</si>
  <si>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</si>
  <si>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</si>
  <si>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</si>
  <si>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</si>
  <si>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</si>
  <si>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</si>
  <si>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</si>
  <si>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</si>
  <si>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</si>
  <si>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</si>
  <si>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</si>
  <si>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</si>
  <si>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</si>
  <si>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</si>
  <si>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</si>
  <si>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</si>
  <si>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</si>
  <si>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</si>
  <si>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</si>
  <si>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</si>
  <si>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</si>
  <si>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</si>
  <si>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</si>
  <si>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</si>
  <si>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</si>
  <si>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</si>
  <si>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</si>
  <si>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</si>
  <si>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</si>
  <si>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</si>
  <si>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</si>
  <si>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</si>
  <si>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</si>
  <si>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</si>
  <si>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</si>
  <si>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</si>
  <si>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</si>
  <si>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</si>
  <si>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</si>
  <si>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</si>
  <si>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</si>
  <si>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</si>
  <si>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</si>
  <si>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</si>
  <si>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</si>
  <si>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</si>
  <si>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</si>
  <si>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</si>
  <si>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</si>
  <si>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</si>
  <si>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</si>
  <si>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</si>
  <si>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</si>
  <si>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</si>
  <si>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</si>
  <si>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</si>
  <si>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</si>
  <si>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</si>
  <si>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</si>
  <si>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</si>
  <si>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</si>
  <si>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</si>
  <si>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</si>
  <si>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</si>
  <si>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</si>
  <si>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</si>
  <si>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</si>
  <si>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</si>
  <si>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</si>
  <si>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</si>
  <si>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</si>
  <si>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</si>
  <si>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</si>
  <si>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</si>
  <si>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</si>
  <si>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</si>
  <si>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</si>
  <si>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</si>
  <si>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</si>
  <si>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</si>
  <si>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</si>
  <si>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</si>
  <si>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</si>
  <si>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</si>
  <si>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</si>
  <si>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</si>
  <si>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</si>
  <si>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</si>
  <si>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</si>
  <si>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</si>
  <si>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</si>
  <si>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</si>
  <si>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</si>
  <si>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</si>
  <si>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</si>
  <si>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</si>
  <si>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</si>
  <si>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</si>
  <si>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</si>
  <si>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</si>
  <si>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</si>
  <si>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</si>
  <si>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</si>
  <si>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</si>
  <si>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</si>
  <si>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</si>
  <si>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</si>
  <si>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</si>
  <si>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</si>
  <si>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</si>
  <si>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</si>
  <si>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</si>
  <si>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</si>
  <si>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</si>
  <si>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</si>
  <si>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</si>
  <si>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</si>
  <si>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</si>
  <si>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</si>
  <si>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</si>
  <si>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</si>
  <si>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</si>
  <si>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</si>
  <si>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</si>
  <si>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</si>
  <si>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</si>
  <si>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</si>
  <si>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</si>
  <si>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</si>
  <si>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</si>
  <si>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</si>
  <si>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</si>
  <si>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</si>
  <si>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</si>
  <si>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</si>
  <si>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</si>
  <si>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</si>
  <si>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</si>
  <si>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</si>
  <si>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</si>
  <si>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</si>
  <si>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</si>
  <si>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</si>
  <si>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</si>
  <si>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</si>
  <si>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</si>
  <si>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</si>
  <si>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</si>
  <si>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</si>
  <si>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</si>
  <si>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</si>
  <si>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</si>
  <si>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</si>
  <si>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</si>
  <si>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</si>
  <si>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</si>
  <si>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</si>
  <si>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</si>
  <si>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</si>
  <si>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</si>
  <si>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</si>
  <si>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</si>
  <si>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</si>
  <si>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</si>
  <si>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</si>
  <si>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</si>
  <si>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</si>
  <si>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</si>
  <si>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</si>
  <si>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</si>
  <si>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</si>
  <si>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</si>
  <si>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</si>
  <si>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</si>
  <si>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</si>
  <si>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</si>
  <si>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</si>
  <si>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</si>
  <si>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</si>
  <si>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</si>
  <si>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</si>
  <si>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</si>
  <si>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</si>
  <si>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</si>
  <si>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</si>
  <si>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</si>
  <si>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</si>
  <si>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</si>
  <si>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</si>
  <si>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</si>
  <si>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</si>
  <si>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</si>
  <si>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</si>
  <si>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</si>
  <si>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</si>
  <si>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</si>
  <si>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</si>
  <si>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</si>
  <si>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</si>
  <si>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</si>
  <si>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</si>
  <si>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</si>
  <si>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</si>
  <si>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</si>
  <si>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</si>
  <si>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</si>
  <si>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</si>
  <si>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</si>
  <si>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</si>
  <si>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</si>
  <si>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</si>
  <si>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</si>
  <si>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</si>
  <si>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</si>
  <si>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</si>
  <si>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</si>
  <si>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</si>
  <si>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</si>
  <si>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</si>
  <si>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</si>
  <si>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</si>
  <si>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</si>
  <si>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</si>
  <si>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</si>
  <si>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</si>
  <si>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</si>
  <si>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</si>
  <si>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</si>
  <si>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</si>
  <si>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</si>
  <si>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</si>
  <si>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</si>
  <si>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</si>
  <si>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</si>
  <si>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</si>
  <si>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</si>
  <si>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</si>
  <si>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</si>
  <si>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</si>
  <si>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</si>
  <si>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</si>
  <si>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</si>
  <si>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</si>
  <si>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</si>
  <si>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</si>
  <si>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</si>
  <si>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</si>
  <si>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</si>
  <si>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</si>
  <si>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</si>
  <si>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</si>
  <si>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</si>
  <si>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</si>
  <si>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</si>
  <si>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</si>
  <si>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</si>
  <si>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</si>
  <si>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</si>
  <si>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</si>
  <si>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</si>
  <si>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</si>
  <si>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</si>
  <si>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</si>
  <si>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</si>
  <si>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</si>
  <si>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</si>
  <si>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</si>
  <si>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</si>
  <si>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</si>
  <si>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</si>
  <si>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</si>
  <si>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</si>
  <si>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</si>
  <si>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</si>
  <si>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</si>
  <si>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</si>
  <si>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</si>
  <si>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</si>
  <si>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</si>
  <si>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</si>
  <si>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</si>
  <si>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</si>
  <si>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</si>
  <si>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</si>
  <si>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</si>
  <si>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</si>
  <si>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</si>
  <si>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</si>
  <si>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</si>
  <si>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</si>
  <si>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</si>
  <si>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</si>
  <si>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</si>
  <si>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</si>
  <si>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</si>
  <si>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</si>
  <si>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</si>
  <si>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</si>
  <si>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</si>
  <si>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</si>
  <si>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</si>
  <si>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</si>
  <si>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</si>
  <si>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</si>
  <si>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</si>
  <si>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</si>
  <si>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</si>
  <si>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</si>
  <si>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</si>
  <si>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</si>
  <si>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</si>
  <si>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</si>
  <si>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</si>
  <si>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</si>
  <si>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</si>
  <si>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</si>
  <si>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</si>
  <si>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</si>
  <si>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</si>
  <si>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</si>
  <si>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</si>
  <si>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</si>
  <si>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</si>
  <si>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</si>
  <si>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</si>
  <si>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</si>
  <si>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</si>
  <si>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</si>
  <si>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</si>
  <si>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</si>
  <si>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</si>
  <si>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</si>
  <si>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</si>
  <si>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</si>
  <si>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</si>
  <si>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</si>
  <si>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</si>
  <si>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</si>
  <si>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</si>
  <si>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</si>
  <si>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</si>
  <si>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</si>
  <si>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</si>
  <si>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</si>
  <si>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</si>
  <si>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</si>
  <si>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</si>
  <si>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</si>
  <si>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</si>
  <si>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</si>
  <si>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</si>
  <si>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</si>
  <si>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</si>
  <si>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</si>
  <si>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</si>
  <si>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</si>
  <si>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</si>
  <si>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</si>
  <si>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</si>
  <si>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</si>
  <si>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</si>
  <si>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</si>
  <si>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</si>
  <si>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</si>
  <si>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</si>
  <si>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</si>
  <si>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</si>
  <si>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</si>
  <si>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</si>
  <si>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</si>
  <si>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</si>
  <si>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</si>
  <si>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</si>
  <si>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</si>
  <si>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</si>
  <si>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</si>
  <si>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</si>
  <si>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</si>
  <si>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</si>
  <si>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</si>
  <si>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</si>
  <si>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</si>
  <si>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</si>
  <si>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</si>
  <si>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</si>
  <si>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</si>
  <si>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</si>
  <si>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</si>
  <si>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</si>
  <si>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</si>
  <si>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</si>
  <si>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</si>
  <si>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</si>
  <si>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</si>
  <si>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</si>
  <si>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</si>
  <si>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</si>
  <si>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</si>
  <si>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</si>
  <si>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</si>
  <si>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</si>
  <si>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</si>
  <si>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</si>
  <si>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</si>
  <si>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</si>
  <si>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</si>
  <si>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</si>
  <si>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</si>
  <si>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</si>
  <si>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</si>
  <si>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</si>
  <si>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</si>
  <si>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</si>
  <si>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</si>
  <si>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</si>
  <si>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</si>
  <si>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</si>
  <si>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</si>
  <si>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</si>
  <si>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</si>
  <si>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</si>
  <si>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</si>
  <si>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</si>
  <si>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</si>
  <si>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</si>
  <si>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</si>
  <si>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</si>
  <si>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</si>
  <si>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</si>
  <si>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</si>
  <si>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</si>
  <si>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</si>
  <si>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</si>
  <si>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</si>
  <si>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</si>
  <si>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</si>
  <si>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</si>
  <si>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</si>
  <si>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</si>
  <si>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</si>
  <si>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</si>
  <si>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</si>
  <si>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</si>
  <si>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</si>
  <si>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</si>
  <si>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</si>
  <si>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</si>
  <si>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</si>
  <si>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</si>
  <si>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</si>
  <si>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</si>
  <si>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</si>
  <si>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</si>
  <si>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</si>
  <si>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</si>
  <si>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</si>
  <si>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</si>
  <si>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</si>
  <si>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</si>
  <si>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</si>
  <si>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</si>
  <si>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</si>
  <si>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</si>
  <si>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</si>
  <si>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</si>
  <si>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</si>
  <si>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</si>
  <si>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</si>
  <si>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</si>
  <si>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</si>
  <si>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</si>
  <si>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</si>
  <si>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</si>
  <si>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</si>
  <si>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</si>
  <si>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</si>
  <si>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</si>
  <si>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</si>
  <si>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</si>
  <si>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</si>
  <si>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</si>
  <si>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</si>
  <si>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</si>
  <si>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</si>
  <si>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</si>
  <si>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</si>
  <si>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</si>
  <si>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</si>
  <si>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</si>
  <si>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</si>
  <si>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</si>
  <si>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</si>
  <si>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</si>
  <si>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</si>
  <si>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</si>
  <si>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</si>
  <si>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</si>
  <si>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</si>
  <si>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</si>
  <si>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</si>
  <si>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</si>
  <si>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</si>
  <si>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</si>
  <si>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</si>
  <si>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</si>
  <si>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</si>
  <si>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</si>
  <si>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</si>
  <si>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</si>
  <si>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</si>
  <si>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</si>
  <si>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</si>
  <si>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</si>
  <si>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</si>
  <si>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</si>
  <si>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</si>
  <si>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</si>
  <si>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</si>
  <si>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</si>
  <si>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</si>
  <si>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</si>
  <si>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</si>
  <si>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</si>
  <si>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</si>
  <si>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</si>
  <si>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</si>
  <si>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</si>
  <si>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</si>
  <si>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</si>
  <si>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</si>
  <si>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</si>
  <si>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</si>
  <si>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</si>
  <si>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</si>
  <si>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</si>
  <si>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</si>
  <si>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</si>
  <si>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</si>
  <si>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</si>
  <si>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</si>
  <si>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</si>
  <si>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</si>
  <si>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</si>
  <si>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</si>
  <si>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</si>
  <si>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</si>
  <si>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</si>
  <si>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</si>
  <si>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</si>
  <si>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</si>
  <si>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</si>
  <si>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</si>
  <si>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</si>
  <si>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</si>
  <si>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</si>
  <si>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</si>
  <si>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</si>
  <si>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</si>
  <si>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</si>
  <si>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</si>
  <si>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</si>
  <si>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</si>
  <si>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</si>
  <si>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</si>
  <si>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</si>
  <si>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</si>
  <si>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</si>
  <si>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</si>
  <si>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</si>
  <si>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</si>
  <si>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</si>
  <si>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</si>
  <si>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</si>
  <si>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</si>
  <si>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</si>
  <si>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</si>
  <si>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</si>
  <si>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</si>
  <si>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</si>
  <si>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</si>
  <si>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</si>
  <si>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</si>
  <si>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</si>
  <si>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</si>
  <si>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</si>
  <si>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</si>
  <si>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</si>
  <si>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</si>
  <si>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</si>
  <si>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</si>
  <si>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</si>
  <si>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</si>
  <si>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</si>
  <si>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</si>
  <si>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</si>
  <si>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</si>
  <si>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</si>
  <si>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</si>
  <si>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</si>
  <si>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</si>
  <si>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</si>
  <si>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</si>
  <si>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</si>
  <si>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</si>
  <si>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</si>
  <si>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</si>
  <si>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</si>
  <si>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</si>
  <si>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</si>
  <si>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</si>
  <si>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</si>
  <si>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</si>
  <si>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</si>
  <si>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</si>
  <si>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</si>
  <si>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</si>
  <si>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</si>
  <si>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</si>
  <si>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</si>
  <si>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</si>
  <si>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</si>
  <si>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</si>
  <si>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</si>
  <si>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</si>
  <si>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</si>
  <si>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</si>
  <si>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</si>
  <si>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</si>
  <si>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</si>
  <si>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</si>
  <si>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</si>
  <si>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</si>
  <si>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</si>
  <si>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</si>
  <si>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</si>
  <si>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</si>
  <si>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</si>
  <si>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</si>
  <si>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</si>
  <si>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</si>
  <si>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</si>
  <si>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</si>
  <si>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</si>
  <si>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</si>
  <si>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</si>
  <si>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</si>
  <si>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</si>
  <si>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</si>
  <si>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</si>
  <si>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</si>
  <si>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</si>
  <si>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</si>
  <si>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</si>
  <si>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</si>
  <si>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</si>
  <si>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</si>
  <si>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</si>
  <si>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</si>
  <si>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</si>
  <si>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</si>
  <si>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</si>
  <si>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</si>
  <si>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</si>
  <si>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</si>
  <si>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</si>
  <si>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</si>
  <si>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</si>
  <si>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</si>
  <si>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</si>
  <si>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</si>
  <si>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</si>
  <si>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</si>
  <si>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</si>
  <si>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</si>
  <si>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</si>
  <si>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</si>
  <si>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</si>
  <si>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</si>
  <si>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</si>
  <si>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</si>
  <si>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</si>
  <si>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</si>
  <si>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</si>
  <si>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</si>
  <si>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</si>
  <si>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</si>
  <si>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</si>
  <si>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</si>
  <si>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</si>
  <si>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</si>
  <si>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</si>
  <si>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</si>
  <si>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</si>
  <si>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</si>
  <si>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</si>
  <si>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</si>
  <si>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</si>
  <si>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</si>
  <si>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</si>
  <si>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</si>
  <si>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</si>
  <si>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</si>
  <si>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</si>
  <si>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</si>
  <si>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</si>
  <si>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</si>
  <si>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</si>
  <si>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</si>
  <si>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</si>
  <si>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</si>
  <si>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</si>
  <si>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</si>
  <si>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</si>
  <si>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</si>
  <si>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</si>
  <si>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</si>
  <si>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</si>
  <si>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</si>
  <si>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</si>
  <si>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</si>
  <si>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</si>
  <si>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</si>
  <si>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</si>
  <si>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</si>
  <si>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</si>
  <si>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</si>
  <si>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</si>
  <si>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</si>
  <si>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</si>
  <si>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</si>
  <si>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</si>
  <si>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</si>
  <si>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</si>
  <si>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</si>
  <si>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</si>
  <si>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</si>
  <si>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</si>
  <si>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</si>
  <si>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</si>
  <si>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</si>
  <si>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</si>
  <si>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</si>
  <si>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</si>
  <si>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</si>
  <si>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</si>
  <si>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</si>
  <si>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</si>
  <si>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</si>
  <si>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</si>
  <si>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</si>
  <si>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</si>
  <si>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</si>
  <si>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</si>
  <si>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</si>
  <si>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</si>
  <si>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</si>
  <si>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</si>
  <si>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</si>
  <si>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</si>
  <si>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</si>
  <si>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</si>
  <si>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</si>
  <si>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</si>
  <si>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</si>
  <si>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</si>
  <si>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</si>
  <si>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</si>
  <si>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</si>
  <si>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</si>
  <si>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</si>
  <si>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</si>
  <si>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</si>
  <si>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</si>
  <si>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</si>
  <si>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</si>
  <si>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</si>
  <si>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</si>
  <si>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</si>
  <si>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</si>
  <si>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</si>
  <si>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</si>
  <si>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</si>
  <si>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</si>
  <si>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</si>
  <si>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</si>
  <si>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</si>
  <si>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</si>
  <si>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</si>
  <si>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</si>
  <si>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</si>
  <si>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</si>
  <si>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</si>
  <si>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</si>
  <si>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</si>
  <si>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</si>
  <si>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</si>
  <si>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</si>
  <si>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</si>
  <si>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</si>
  <si>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</si>
  <si>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</si>
  <si>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</si>
  <si>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</si>
  <si>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</si>
  <si>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</si>
  <si>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</si>
  <si>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</si>
  <si>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</si>
  <si>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</si>
  <si>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</si>
  <si>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</si>
  <si>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</si>
  <si>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</si>
  <si>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</si>
  <si>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</si>
  <si>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</si>
  <si>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</si>
  <si>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</si>
  <si>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</si>
  <si>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</si>
  <si>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</si>
  <si>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</si>
  <si>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</si>
  <si>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</si>
  <si>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</si>
  <si>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</si>
  <si>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</si>
  <si>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</si>
  <si>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</si>
  <si>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</si>
  <si>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</si>
  <si>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</si>
  <si>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</si>
  <si>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</si>
  <si>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</si>
  <si>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</si>
  <si>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</si>
  <si>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</si>
  <si>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</si>
  <si>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</si>
  <si>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</si>
  <si>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</si>
  <si>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</si>
  <si>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</si>
  <si>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</si>
  <si>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</si>
  <si>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</si>
  <si>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</si>
  <si>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</si>
  <si>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</si>
  <si>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</si>
  <si>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</si>
  <si>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</si>
  <si>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</si>
  <si>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</si>
  <si>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</si>
  <si>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</si>
  <si>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</si>
  <si>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</si>
  <si>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</si>
  <si>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</si>
  <si>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</si>
  <si>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</si>
  <si>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</si>
  <si>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</si>
  <si>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</si>
  <si>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</si>
  <si>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</si>
  <si>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</si>
  <si>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</si>
  <si>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</si>
  <si>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</si>
  <si>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</si>
  <si>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</si>
  <si>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</si>
  <si>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</si>
  <si>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</si>
  <si>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</si>
  <si>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</si>
  <si>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</si>
  <si>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</si>
  <si>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</si>
  <si>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</si>
  <si>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</si>
  <si>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</si>
  <si>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</si>
  <si>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</si>
  <si>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</si>
  <si>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</si>
  <si>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</si>
  <si>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</si>
  <si>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</si>
  <si>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</si>
  <si>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</si>
  <si>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</si>
  <si>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</si>
  <si>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</si>
  <si>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</si>
  <si>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</si>
  <si>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</si>
  <si>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</si>
  <si>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</si>
  <si>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</si>
  <si>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</si>
  <si>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</si>
  <si>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</si>
  <si>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</si>
  <si>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</si>
  <si>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</si>
  <si>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</si>
  <si>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</si>
  <si>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</si>
  <si>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</si>
  <si>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</si>
  <si>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</si>
  <si>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</si>
  <si>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</si>
  <si>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</si>
  <si>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</si>
  <si>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</si>
  <si>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</si>
  <si>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</si>
  <si>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</si>
  <si>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</si>
  <si>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</si>
  <si>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</si>
  <si>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</si>
  <si>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</si>
  <si>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</si>
  <si>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</si>
  <si>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</si>
  <si>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</si>
  <si>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</si>
  <si>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</si>
  <si>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</si>
  <si>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</si>
  <si>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</si>
  <si>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</si>
  <si>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</si>
  <si>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</si>
  <si>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</si>
  <si>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</si>
  <si>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</si>
  <si>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</si>
  <si>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</si>
  <si>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</si>
  <si>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</si>
  <si>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</si>
  <si>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</si>
  <si>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</si>
  <si>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</si>
  <si>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</si>
  <si>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</si>
  <si>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</si>
  <si>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</si>
  <si>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</si>
  <si>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</si>
  <si>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</si>
  <si>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</si>
  <si>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</si>
  <si>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</si>
  <si>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</si>
  <si>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</si>
  <si>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</si>
  <si>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</si>
  <si>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</si>
  <si>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</si>
  <si>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</si>
  <si>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</si>
  <si>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</si>
  <si>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</si>
  <si>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</si>
  <si>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</si>
  <si>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</si>
  <si>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</si>
  <si>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</si>
  <si>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</si>
  <si>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</si>
  <si>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</si>
  <si>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</si>
  <si>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</si>
  <si>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</si>
  <si>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</si>
  <si>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</si>
  <si>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</si>
  <si>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</si>
  <si>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</si>
  <si>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</si>
  <si>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</si>
  <si>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</si>
  <si>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</si>
  <si>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</si>
  <si>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</si>
  <si>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</si>
  <si>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</si>
  <si>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</si>
  <si>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</si>
  <si>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</si>
  <si>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</si>
  <si>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</si>
  <si>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</si>
  <si>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</si>
  <si>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</si>
  <si>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</si>
  <si>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</si>
  <si>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</si>
  <si>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</si>
  <si>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</si>
  <si>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</si>
  <si>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</si>
  <si>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</si>
  <si>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</si>
  <si>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</si>
  <si>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</si>
  <si>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</si>
  <si>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</si>
  <si>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</si>
  <si>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</si>
  <si>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</si>
  <si>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</si>
  <si>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</si>
  <si>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</si>
  <si>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</si>
  <si>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</si>
  <si>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</si>
  <si>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</si>
  <si>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</si>
  <si>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</si>
  <si>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</si>
  <si>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</si>
  <si>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</si>
  <si>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</si>
  <si>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</si>
  <si>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</si>
  <si>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</si>
  <si>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</si>
  <si>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</si>
  <si>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</si>
  <si>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</si>
  <si>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</si>
  <si>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</si>
  <si>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</si>
  <si>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</si>
  <si>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</si>
  <si>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</si>
  <si>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</si>
  <si>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</si>
  <si>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</si>
  <si>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</si>
  <si>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</si>
  <si>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</si>
  <si>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</si>
  <si>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</si>
  <si>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</si>
  <si>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</si>
  <si>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</si>
  <si>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</si>
  <si>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</si>
  <si>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</si>
  <si>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</si>
  <si>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</si>
  <si>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</si>
  <si>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</si>
  <si>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</si>
  <si>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</si>
  <si>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</si>
  <si>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</si>
  <si>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</si>
  <si>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</si>
  <si>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</si>
  <si>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</si>
  <si>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</si>
  <si>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</si>
  <si>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</si>
  <si>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</si>
  <si>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</si>
  <si>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</si>
  <si>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</si>
  <si>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</si>
  <si>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</si>
  <si>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</si>
  <si>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</si>
  <si>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</si>
  <si>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</si>
  <si>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</si>
  <si>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</si>
  <si>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</si>
  <si>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</si>
  <si>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</si>
  <si>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</si>
  <si>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</si>
  <si>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</si>
  <si>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</si>
  <si>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</si>
  <si>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</si>
  <si>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</si>
  <si>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</si>
  <si>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</si>
  <si>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</si>
  <si>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</si>
  <si>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</si>
  <si>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</si>
  <si>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</si>
  <si>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</si>
  <si>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</si>
  <si>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</si>
  <si>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</si>
  <si>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</si>
  <si>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</si>
  <si>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</si>
  <si>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</si>
  <si>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</si>
  <si>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</si>
  <si>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</si>
  <si>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</si>
  <si>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</si>
  <si>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</si>
  <si>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</si>
  <si>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</si>
  <si>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</si>
  <si>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</si>
  <si>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</si>
  <si>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</si>
  <si>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</si>
  <si>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</si>
  <si>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</si>
  <si>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</si>
  <si>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</si>
  <si>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</si>
  <si>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</si>
  <si>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</si>
  <si>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</si>
  <si>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</si>
  <si>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</si>
  <si>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</si>
  <si>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</si>
  <si>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</si>
  <si>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</si>
  <si>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</si>
  <si>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</si>
  <si>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</si>
  <si>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</si>
  <si>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</si>
  <si>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</si>
  <si>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</si>
  <si>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</si>
  <si>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</si>
  <si>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</si>
  <si>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</si>
  <si>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</si>
  <si>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</si>
  <si>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</si>
  <si>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</si>
  <si>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</si>
  <si>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</si>
  <si>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</si>
  <si>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</si>
  <si>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</si>
  <si>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</si>
  <si>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</si>
  <si>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</si>
  <si>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</si>
  <si>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</si>
  <si>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</si>
  <si>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</si>
  <si>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</si>
  <si>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</si>
  <si>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</si>
  <si>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</si>
  <si>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</si>
  <si>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</si>
  <si>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</si>
  <si>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</si>
  <si>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</si>
  <si>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</si>
  <si>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</si>
  <si>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</si>
  <si>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</si>
  <si>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</si>
  <si>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</si>
  <si>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</si>
  <si>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</si>
  <si>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</si>
  <si>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</si>
  <si>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</si>
  <si>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</si>
  <si>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</si>
  <si>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</si>
  <si>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</si>
  <si>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</si>
  <si>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</si>
  <si>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</si>
  <si>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</si>
  <si>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</si>
  <si>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</si>
  <si>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</si>
  <si>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</si>
  <si>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</si>
  <si>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</si>
  <si>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</si>
  <si>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</si>
  <si>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</si>
  <si>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</si>
  <si>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</si>
  <si>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</si>
  <si>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</si>
  <si>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</si>
  <si>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</si>
  <si>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</si>
  <si>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</si>
  <si>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</si>
  <si>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</si>
  <si>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</si>
  <si>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</si>
  <si>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</si>
  <si>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</si>
  <si>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</si>
  <si>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</si>
  <si>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</si>
  <si>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</si>
  <si>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</si>
  <si>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</si>
  <si>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</si>
  <si>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</si>
  <si>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</si>
  <si>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</si>
  <si>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</si>
  <si>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</si>
  <si>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</si>
  <si>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</si>
  <si>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</si>
  <si>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</si>
  <si>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</si>
  <si>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</si>
  <si>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</si>
  <si>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</si>
  <si>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</si>
  <si>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</si>
  <si>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</si>
  <si>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</si>
  <si>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</si>
  <si>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</si>
  <si>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</si>
  <si>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</si>
  <si>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</si>
  <si>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</si>
  <si>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</si>
  <si>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</si>
  <si>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</si>
  <si>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</si>
  <si>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</si>
  <si>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</si>
  <si>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</si>
  <si>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</si>
  <si>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</si>
  <si>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</si>
  <si>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</si>
  <si>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</si>
  <si>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</si>
  <si>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</si>
  <si>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</si>
  <si>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</si>
  <si>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</si>
  <si>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</si>
  <si>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</si>
  <si>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</si>
  <si>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</si>
  <si>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</si>
  <si>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</si>
  <si>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</si>
  <si>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</si>
  <si>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</si>
  <si>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</si>
  <si>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</si>
  <si>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</si>
  <si>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</si>
  <si>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</si>
  <si>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</si>
  <si>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</si>
  <si>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</si>
  <si>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</si>
  <si>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</si>
  <si>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</si>
  <si>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</si>
  <si>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</si>
  <si>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</si>
  <si>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</si>
  <si>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</si>
  <si>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</si>
  <si>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</si>
  <si>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</si>
  <si>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</si>
  <si>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</si>
  <si>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</si>
  <si>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</si>
  <si>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</si>
  <si>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</si>
  <si>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</si>
  <si>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</si>
  <si>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</si>
  <si>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</si>
  <si>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</si>
  <si>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</si>
  <si>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</si>
  <si>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</si>
  <si>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</si>
  <si>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</si>
  <si>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</si>
  <si>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</si>
  <si>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</si>
  <si>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</si>
  <si>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</si>
  <si>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</si>
  <si>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</si>
  <si>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</si>
  <si>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</si>
  <si>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</si>
  <si>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</si>
  <si>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</si>
  <si>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</si>
  <si>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</si>
  <si>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</si>
  <si>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</si>
  <si>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</si>
  <si>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</si>
  <si>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</si>
  <si>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</si>
  <si>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</si>
  <si>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</si>
  <si>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</si>
  <si>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</si>
  <si>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</si>
  <si>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</si>
  <si>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</si>
  <si>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</si>
  <si>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</si>
  <si>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</si>
  <si>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</si>
  <si>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</si>
  <si>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</si>
  <si>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</si>
  <si>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</si>
  <si>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</si>
  <si>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</si>
  <si>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</si>
  <si>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</si>
  <si>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</si>
  <si>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</si>
  <si>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</si>
  <si>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</si>
  <si>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</si>
  <si>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</si>
  <si>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</si>
  <si>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</si>
  <si>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</si>
  <si>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</si>
  <si>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</si>
  <si>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</si>
  <si>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</si>
  <si>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</si>
  <si>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</si>
  <si>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</si>
  <si>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</si>
  <si>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</si>
  <si>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</si>
  <si>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</si>
  <si>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</si>
  <si>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</si>
  <si>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</si>
  <si>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</si>
  <si>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</si>
  <si>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</si>
  <si>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</si>
  <si>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</si>
  <si>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</si>
  <si>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</si>
  <si>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</si>
  <si>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</si>
  <si>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</si>
  <si>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</si>
  <si>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</si>
  <si>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</si>
  <si>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</si>
  <si>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</si>
  <si>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</si>
  <si>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</si>
  <si>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</si>
  <si>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</si>
  <si>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</si>
  <si>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</si>
  <si>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</si>
  <si>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</si>
  <si>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</si>
  <si>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</si>
  <si>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</si>
  <si>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</si>
  <si>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</si>
  <si>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</si>
  <si>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</si>
  <si>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</si>
  <si>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</si>
  <si>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</si>
  <si>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</si>
  <si>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</si>
  <si>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</si>
  <si>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</si>
  <si>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</si>
  <si>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</si>
  <si>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</si>
  <si>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</si>
  <si>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</si>
  <si>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</si>
  <si>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</si>
  <si>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</si>
  <si>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</si>
  <si>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</si>
  <si>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</si>
  <si>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</si>
  <si>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</si>
  <si>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</si>
  <si>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</si>
  <si>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</si>
  <si>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</si>
  <si>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</si>
  <si>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</si>
  <si>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</si>
  <si>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</si>
  <si>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</si>
  <si>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</si>
  <si>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</si>
  <si>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</si>
  <si>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</si>
  <si>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</si>
  <si>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</si>
  <si>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</si>
  <si>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</si>
  <si>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</si>
  <si>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</si>
  <si>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</si>
  <si>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</si>
  <si>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</si>
  <si>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</si>
  <si>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</si>
  <si>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</si>
  <si>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</si>
  <si>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</si>
  <si>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</si>
  <si>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</si>
  <si>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</si>
  <si>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</si>
  <si>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</si>
  <si>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</si>
  <si>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</si>
  <si>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</si>
  <si>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</si>
  <si>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</si>
  <si>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</si>
  <si>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</si>
  <si>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</si>
  <si>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</si>
  <si>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</si>
  <si>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</si>
  <si>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</si>
  <si>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</si>
  <si>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</si>
  <si>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</si>
  <si>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</si>
  <si>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</si>
  <si>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</si>
  <si>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</si>
  <si>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</si>
  <si>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</si>
  <si>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</si>
  <si>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</si>
  <si>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</si>
  <si>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</si>
  <si>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</si>
  <si>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</si>
  <si>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</si>
  <si>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</si>
  <si>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</si>
  <si>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</si>
  <si>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</si>
  <si>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</si>
  <si>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</si>
  <si>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</si>
  <si>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</si>
  <si>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</si>
  <si>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</si>
  <si>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</si>
  <si>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</si>
  <si>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</si>
  <si>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</si>
  <si>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</si>
  <si>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</si>
  <si>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</si>
  <si>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</si>
  <si>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</si>
  <si>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</si>
  <si>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</si>
  <si>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</si>
  <si>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</si>
  <si>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</si>
  <si>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</si>
  <si>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</si>
  <si>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</si>
  <si>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</si>
  <si>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</si>
  <si>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</si>
  <si>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</si>
  <si>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</si>
  <si>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</si>
  <si>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</si>
  <si>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</si>
  <si>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</si>
  <si>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</si>
  <si>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</si>
  <si>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</si>
  <si>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</si>
  <si>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</si>
  <si>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</si>
  <si>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</si>
  <si>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</si>
  <si>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</si>
  <si>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</si>
  <si>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</si>
  <si>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</si>
  <si>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</si>
  <si>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</si>
  <si>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</si>
  <si>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</si>
  <si>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</si>
  <si>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</si>
  <si>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</si>
  <si>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</si>
  <si>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</si>
  <si>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</si>
  <si>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</si>
  <si>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</si>
  <si>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</si>
  <si>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</si>
  <si>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</si>
  <si>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</si>
  <si>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</si>
  <si>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</si>
  <si>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</si>
  <si>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</si>
  <si>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</si>
  <si>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</si>
  <si>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</si>
  <si>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</si>
  <si>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</si>
  <si>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</si>
  <si>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</si>
  <si>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</si>
  <si>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</si>
  <si>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</si>
  <si>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</si>
  <si>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</si>
  <si>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</si>
  <si>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</si>
  <si>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</si>
  <si>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</si>
  <si>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</si>
  <si>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</si>
  <si>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</si>
  <si>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</si>
  <si>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</si>
  <si>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</si>
  <si>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</si>
  <si>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</si>
  <si>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</si>
  <si>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</si>
  <si>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</si>
  <si>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</si>
  <si>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</si>
  <si>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</si>
  <si>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</si>
  <si>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</si>
  <si>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</si>
  <si>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</si>
  <si>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</si>
  <si>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</si>
  <si>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</si>
  <si>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</si>
  <si>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</si>
  <si>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</si>
  <si>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</si>
  <si>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</si>
  <si>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</si>
  <si>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</si>
  <si>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</si>
  <si>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</si>
  <si>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</si>
  <si>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</si>
  <si>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</si>
  <si>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</si>
  <si>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</si>
  <si>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</si>
  <si>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</si>
  <si>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</si>
  <si>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</si>
  <si>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</si>
  <si>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</si>
  <si>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</si>
  <si>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</si>
  <si>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</si>
  <si>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</si>
  <si>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</si>
  <si>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</si>
  <si>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</si>
  <si>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</si>
  <si>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</si>
  <si>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</si>
  <si>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</si>
  <si>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</si>
  <si>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</si>
  <si>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</si>
  <si>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</si>
  <si>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</si>
  <si>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</si>
  <si>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</si>
  <si>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</si>
  <si>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</si>
  <si>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</si>
  <si>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</si>
  <si>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</si>
  <si>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</si>
  <si>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</si>
  <si>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</si>
  <si>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</si>
  <si>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</si>
  <si>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</si>
  <si>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</si>
  <si>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</si>
  <si>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</si>
  <si>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</si>
  <si>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</si>
  <si>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</si>
  <si>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</si>
  <si>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</si>
  <si>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</si>
  <si>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</si>
  <si>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</si>
  <si>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</si>
  <si>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</si>
  <si>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</si>
  <si>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</si>
  <si>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</si>
  <si>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</si>
  <si>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</si>
  <si>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</si>
  <si>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</si>
  <si>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</si>
  <si>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</si>
  <si>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</si>
  <si>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</si>
  <si>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</si>
  <si>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</si>
  <si>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</si>
  <si>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</si>
  <si>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</si>
  <si>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</si>
  <si>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</si>
  <si>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</si>
  <si>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</si>
  <si>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</si>
  <si>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</si>
  <si>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</si>
  <si>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</si>
  <si>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</si>
  <si>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</si>
  <si>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</si>
  <si>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</si>
  <si>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</si>
  <si>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</si>
  <si>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</si>
  <si>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</si>
  <si>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</si>
  <si>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</si>
  <si>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</si>
  <si>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</si>
  <si>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</si>
  <si>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</si>
  <si>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</si>
  <si>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</si>
  <si>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</si>
  <si>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</si>
  <si>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</si>
  <si>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</si>
  <si>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</si>
  <si>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</si>
  <si>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</si>
  <si>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</si>
  <si>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</si>
  <si>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</si>
  <si>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</si>
  <si>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</si>
  <si>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</si>
  <si>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</si>
  <si>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</si>
  <si>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</si>
  <si>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</si>
  <si>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</si>
  <si>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</si>
  <si>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</si>
  <si>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</si>
  <si>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</si>
  <si>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</si>
  <si>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</si>
  <si>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</si>
  <si>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</si>
  <si>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</si>
  <si>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</si>
  <si>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</si>
  <si>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</si>
  <si>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</si>
  <si>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</si>
  <si>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</si>
  <si>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</si>
  <si>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</si>
  <si>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</si>
  <si>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</si>
  <si>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</si>
  <si>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</si>
  <si>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</si>
  <si>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</si>
  <si>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</si>
  <si>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</si>
  <si>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</si>
  <si>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</si>
  <si>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</si>
  <si>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</si>
  <si>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</si>
  <si>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</si>
  <si>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</si>
  <si>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</si>
  <si>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</si>
  <si>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</si>
  <si>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</si>
  <si>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</si>
  <si>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</si>
  <si>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</si>
  <si>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</si>
  <si>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</si>
  <si>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</si>
  <si>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</si>
  <si>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</si>
  <si>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</si>
  <si>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</si>
  <si>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</si>
  <si>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</si>
  <si>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</si>
  <si>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</si>
  <si>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</si>
  <si>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</si>
  <si>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</si>
  <si>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</si>
  <si>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</si>
  <si>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</si>
  <si>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</si>
  <si>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</si>
  <si>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</si>
  <si>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</si>
  <si>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</si>
  <si>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</si>
  <si>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</si>
  <si>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</si>
  <si>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</si>
  <si>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</si>
  <si>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</si>
  <si>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</si>
  <si>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</si>
  <si>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</si>
  <si>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</si>
  <si>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</si>
  <si>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</si>
  <si>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</si>
  <si>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</si>
  <si>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</si>
  <si>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</si>
  <si>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</si>
  <si>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</si>
  <si>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</si>
  <si>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</si>
  <si>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</si>
  <si>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</si>
  <si>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</si>
  <si>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</si>
  <si>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</si>
  <si>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</si>
  <si>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</si>
  <si>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</si>
  <si>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</si>
  <si>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</si>
  <si>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</si>
  <si>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</si>
  <si>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</si>
  <si>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</si>
  <si>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</si>
  <si>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</si>
  <si>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</si>
  <si>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</si>
  <si>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</si>
  <si>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</si>
  <si>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</si>
  <si>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</si>
  <si>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</si>
  <si>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</si>
  <si>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</si>
  <si>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</si>
  <si>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</si>
  <si>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</si>
  <si>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</si>
  <si>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</si>
  <si>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</si>
  <si>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</si>
  <si>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</si>
  <si>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</si>
  <si>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</si>
  <si>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</si>
  <si>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</si>
  <si>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</si>
  <si>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</si>
  <si>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</si>
  <si>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</si>
  <si>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</si>
  <si>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</si>
  <si>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</si>
  <si>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</si>
  <si>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</si>
  <si>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</si>
  <si>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</si>
  <si>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</si>
  <si>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</si>
  <si>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</si>
  <si>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</si>
  <si>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</si>
  <si>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</si>
  <si>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</si>
  <si>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</si>
  <si>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</si>
  <si>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</si>
  <si>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</si>
  <si>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</si>
  <si>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</si>
  <si>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</si>
  <si>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</si>
  <si>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</si>
  <si>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</si>
  <si>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</si>
  <si>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</si>
  <si>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</si>
  <si>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</si>
  <si>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</si>
  <si>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</si>
  <si>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</si>
  <si>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</si>
  <si>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</si>
  <si>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</si>
  <si>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</si>
  <si>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</si>
  <si>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</si>
  <si>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</si>
  <si>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</si>
  <si>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</si>
  <si>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</si>
  <si>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</si>
  <si>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</si>
  <si>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</si>
  <si>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</si>
  <si>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</si>
  <si>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</si>
  <si>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</si>
  <si>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</si>
  <si>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</si>
  <si>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</si>
  <si>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</si>
  <si>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</si>
  <si>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</si>
  <si>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</si>
  <si>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</si>
  <si>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</si>
  <si>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</si>
  <si>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</si>
  <si>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</si>
  <si>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</si>
  <si>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</si>
  <si>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</si>
  <si>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</si>
  <si>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</si>
  <si>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</si>
  <si>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</si>
  <si>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</si>
  <si>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</si>
  <si>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</si>
  <si>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</si>
  <si>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</si>
  <si>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</si>
  <si>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</si>
  <si>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</si>
  <si>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</si>
  <si>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</si>
  <si>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</si>
  <si>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</si>
  <si>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</si>
  <si>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</si>
  <si>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</si>
  <si>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</si>
  <si>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</si>
  <si>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</si>
  <si>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</si>
  <si>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</si>
  <si>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</si>
  <si>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</si>
  <si>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</si>
  <si>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</si>
  <si>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</si>
  <si>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</si>
  <si>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</si>
  <si>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</si>
  <si>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</si>
  <si>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</si>
  <si>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</si>
  <si>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</si>
  <si>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</si>
  <si>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</si>
  <si>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</si>
  <si>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</si>
  <si>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</si>
  <si>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</si>
  <si>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</si>
  <si>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</si>
  <si>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</si>
  <si>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</si>
  <si>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</si>
  <si>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</si>
  <si>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</si>
  <si>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</si>
  <si>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</si>
  <si>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</si>
  <si>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</si>
  <si>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</si>
  <si>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</si>
  <si>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</si>
  <si>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</si>
  <si>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</si>
  <si>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</si>
  <si>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</si>
  <si>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</si>
  <si>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</si>
  <si>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</si>
  <si>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</si>
  <si>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</si>
  <si>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</si>
  <si>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</si>
  <si>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</si>
  <si>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</si>
  <si>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</si>
  <si>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</si>
  <si>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</si>
  <si>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</si>
  <si>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</si>
  <si>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</si>
  <si>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</si>
  <si>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</si>
  <si>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</si>
  <si>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</si>
  <si>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</si>
  <si>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</si>
  <si>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</si>
  <si>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</si>
  <si>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</si>
  <si>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</si>
  <si>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</si>
  <si>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</si>
  <si>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</si>
  <si>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</si>
  <si>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</si>
  <si>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</si>
  <si>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</si>
  <si>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</si>
  <si>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</si>
  <si>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</si>
  <si>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</si>
  <si>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</si>
  <si>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</si>
  <si>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</si>
  <si>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</si>
  <si>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</si>
  <si>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</si>
  <si>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</si>
  <si>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</si>
  <si>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</si>
  <si>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</si>
  <si>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</si>
  <si>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</si>
  <si>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</si>
  <si>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</si>
  <si>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</si>
  <si>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</si>
  <si>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</si>
  <si>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</si>
  <si>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</si>
  <si>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</si>
  <si>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</si>
  <si>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</si>
  <si>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</si>
  <si>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</si>
  <si>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</si>
  <si>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</si>
  <si>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</si>
  <si>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</si>
  <si>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</si>
  <si>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</si>
  <si>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</si>
  <si>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</si>
  <si>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</si>
  <si>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</si>
  <si>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</si>
  <si>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</si>
  <si>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</si>
  <si>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</si>
  <si>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</si>
  <si>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</si>
  <si>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</si>
  <si>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</si>
  <si>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</si>
  <si>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</si>
  <si>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</si>
  <si>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</si>
  <si>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</si>
  <si>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</si>
  <si>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</si>
  <si>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</si>
  <si>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</si>
  <si>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</si>
  <si>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</si>
  <si>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</si>
  <si>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</si>
  <si>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</si>
  <si>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</si>
  <si>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</si>
  <si>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</si>
  <si>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</si>
  <si>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</si>
  <si>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</si>
  <si>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</si>
  <si>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</si>
  <si>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</si>
  <si>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</si>
  <si>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</si>
  <si>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</si>
  <si>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</si>
  <si>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</si>
  <si>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</si>
  <si>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</si>
  <si>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</si>
  <si>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</si>
  <si>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</si>
  <si>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</si>
  <si>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</si>
  <si>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</si>
  <si>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</si>
  <si>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</si>
  <si>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</si>
  <si>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</si>
  <si>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</si>
  <si>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</si>
  <si>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</si>
  <si>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</si>
  <si>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</si>
  <si>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</si>
  <si>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</si>
  <si>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</si>
  <si>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</si>
  <si>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</si>
  <si>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</si>
  <si>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</si>
  <si>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</si>
  <si>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</si>
  <si>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</si>
  <si>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</si>
  <si>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</si>
  <si>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</si>
  <si>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</si>
  <si>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</si>
  <si>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</si>
  <si>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</si>
  <si>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</si>
  <si>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</si>
  <si>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</si>
  <si>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</si>
  <si>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</si>
  <si>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</si>
  <si>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</si>
  <si>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</si>
  <si>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</si>
  <si>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</si>
  <si>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</si>
  <si>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</si>
  <si>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</si>
  <si>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</si>
  <si>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</si>
  <si>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</si>
  <si>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</si>
  <si>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</si>
  <si>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</si>
  <si>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</si>
  <si>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</si>
  <si>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</si>
  <si>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</si>
  <si>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</si>
  <si>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</si>
  <si>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</si>
  <si>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</si>
  <si>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</si>
  <si>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</si>
  <si>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</si>
  <si>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</si>
  <si>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</si>
  <si>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</si>
  <si>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</si>
  <si>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</si>
  <si>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</si>
  <si>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</si>
  <si>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</si>
  <si>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</si>
  <si>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</si>
  <si>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</si>
  <si>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</si>
  <si>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</si>
  <si>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</si>
  <si>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</si>
  <si>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</si>
  <si>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</si>
  <si>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</si>
  <si>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</si>
  <si>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</si>
  <si>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</si>
  <si>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</si>
  <si>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</si>
  <si>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</si>
  <si>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</si>
  <si>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</si>
  <si>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</si>
  <si>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</si>
  <si>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</si>
  <si>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</si>
  <si>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</si>
  <si>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</si>
  <si>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</si>
  <si>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</si>
  <si>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</si>
  <si>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</si>
  <si>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</si>
  <si>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</si>
  <si>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</si>
  <si>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</si>
  <si>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</si>
  <si>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</si>
  <si>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</si>
  <si>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</si>
  <si>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</si>
  <si>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</si>
  <si>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</si>
  <si>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</si>
  <si>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</si>
  <si>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</si>
  <si>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</si>
  <si>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</si>
  <si>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</si>
  <si>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</si>
  <si>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</si>
  <si>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</si>
  <si>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</si>
  <si>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</si>
  <si>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</si>
  <si>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</si>
  <si>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</si>
  <si>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</si>
  <si>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</si>
  <si>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</si>
  <si>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</si>
  <si>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</si>
  <si>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</si>
  <si>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</si>
  <si>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</si>
  <si>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</si>
  <si>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</si>
  <si>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</si>
  <si>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</si>
  <si>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</si>
  <si>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</si>
  <si>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</si>
  <si>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</si>
  <si>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</si>
  <si>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</si>
  <si>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</si>
  <si>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</si>
  <si>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</si>
  <si>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</si>
  <si>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</si>
  <si>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</si>
  <si>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</si>
  <si>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</si>
  <si>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</si>
  <si>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</si>
  <si>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</si>
  <si>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</si>
  <si>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</si>
  <si>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</si>
  <si>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</si>
  <si>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</si>
  <si>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</si>
  <si>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</si>
  <si>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</si>
  <si>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</si>
  <si>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</si>
  <si>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</si>
  <si>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</si>
  <si>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</si>
  <si>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</si>
  <si>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</si>
  <si>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</si>
  <si>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</si>
  <si>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</si>
  <si>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</si>
  <si>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</si>
  <si>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</si>
  <si>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</si>
  <si>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</si>
  <si>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</si>
  <si>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</si>
  <si>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</si>
  <si>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</si>
  <si>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</si>
  <si>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</si>
  <si>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</si>
  <si>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</si>
  <si>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</si>
  <si>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</si>
  <si>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</si>
  <si>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</si>
  <si>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</si>
  <si>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</si>
  <si>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</si>
  <si>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</si>
  <si>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</si>
  <si>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</si>
  <si>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</si>
  <si>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</si>
  <si>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</si>
  <si>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</si>
  <si>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</si>
  <si>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</si>
  <si>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</si>
  <si>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</si>
  <si>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</si>
  <si>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</si>
  <si>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</si>
  <si>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</si>
  <si>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</si>
  <si>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</si>
  <si>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</si>
  <si>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</si>
  <si>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</si>
  <si>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</si>
  <si>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</si>
  <si>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</si>
  <si>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</si>
  <si>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</si>
  <si>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</si>
  <si>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</si>
  <si>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</si>
  <si>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</si>
  <si>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</si>
  <si>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</si>
  <si>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</si>
  <si>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</si>
  <si>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</si>
  <si>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</si>
  <si>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</si>
  <si>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</si>
  <si>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</si>
  <si>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</si>
  <si>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</si>
  <si>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</si>
  <si>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</si>
  <si>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</si>
  <si>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</si>
  <si>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</si>
  <si>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</si>
  <si>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</si>
  <si>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</si>
  <si>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</si>
  <si>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</si>
  <si>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</si>
  <si>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</si>
  <si>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</si>
  <si>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</si>
  <si>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</si>
  <si>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</si>
  <si>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</si>
  <si>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</si>
  <si>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</si>
  <si>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</si>
  <si>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</si>
  <si>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</si>
  <si>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</si>
  <si>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</si>
  <si>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</si>
  <si>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</si>
  <si>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</si>
  <si>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</si>
  <si>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</si>
  <si>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</si>
  <si>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</si>
  <si>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</si>
  <si>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</si>
  <si>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</si>
  <si>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</si>
  <si>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</si>
  <si>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</si>
  <si>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</si>
  <si>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</si>
  <si>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</si>
  <si>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</si>
  <si>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</si>
  <si>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</si>
  <si>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</si>
  <si>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</si>
  <si>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</si>
  <si>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</si>
  <si>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Kooser Apartments</t>
  </si>
  <si>
    <t>City of San Jose</t>
  </si>
  <si>
    <t>200 E. Santa Clara St, 12th Fl</t>
  </si>
  <si>
    <t>San Jose</t>
  </si>
  <si>
    <t>408-535-3588</t>
  </si>
  <si>
    <t>408-292-6203</t>
  </si>
  <si>
    <t>1371 Kooser Road</t>
  </si>
  <si>
    <t>569-10-078, 569-10-080</t>
  </si>
  <si>
    <t>13520 Evening Creek Drive N, #160</t>
  </si>
  <si>
    <t>CA</t>
  </si>
  <si>
    <t>James P. Silverwood</t>
  </si>
  <si>
    <t>858.386.5178</t>
  </si>
  <si>
    <t>AHG Kooser, LLC</t>
  </si>
  <si>
    <t>Administrative GP</t>
  </si>
  <si>
    <t xml:space="preserve">James@affirmedhousing.com </t>
  </si>
  <si>
    <t>CFAH Housing LLC</t>
  </si>
  <si>
    <t>Managing GP</t>
  </si>
  <si>
    <t xml:space="preserve">Compass for Affordable Housing </t>
  </si>
  <si>
    <t xml:space="preserve">Affirmed Housing Group, Inc. </t>
  </si>
  <si>
    <t>Jose J. Lujano</t>
  </si>
  <si>
    <t>408-823-5801</t>
  </si>
  <si>
    <t xml:space="preserve">jose@affirmedhousing.com </t>
  </si>
  <si>
    <t>Affirmed Housing Group, Inc.</t>
  </si>
  <si>
    <t>San Diego, CA, 92128</t>
  </si>
  <si>
    <t xml:space="preserve">Jose J. Lujano </t>
  </si>
  <si>
    <t>jose@affirmedhousing.com</t>
  </si>
  <si>
    <t>200 E. Santa Clara St</t>
  </si>
  <si>
    <t>Inner City Infill Site</t>
  </si>
  <si>
    <t>Neighborhood/Community Commercial</t>
  </si>
  <si>
    <t>Commercial Pedestrian-CP, 118 units/acre</t>
  </si>
  <si>
    <t>84 feet</t>
  </si>
  <si>
    <t xml:space="preserve">City of San Jose </t>
  </si>
  <si>
    <t>County of Santa Clara</t>
  </si>
  <si>
    <t>Katten Muchin Rosenman LLP</t>
  </si>
  <si>
    <t>2029 Century Park East, Suite 2600</t>
  </si>
  <si>
    <t>Los Angeles, CA 90067-3012</t>
  </si>
  <si>
    <t>David Cohen</t>
  </si>
  <si>
    <t>312.902-5284</t>
  </si>
  <si>
    <t>312.902.1061</t>
  </si>
  <si>
    <t>david.cohen@kattenlaw.com</t>
  </si>
  <si>
    <t>TBD</t>
  </si>
  <si>
    <t>Novogradac and Company LLP</t>
  </si>
  <si>
    <t>2033 N. Main Street, Suite 400</t>
  </si>
  <si>
    <t>Walnut Creek, CA 94596</t>
  </si>
  <si>
    <t>Sun-Ae Woo</t>
  </si>
  <si>
    <t>925.949.4223</t>
  </si>
  <si>
    <t>sun-ae.woo@novoco.com</t>
  </si>
  <si>
    <t>Redwood Energy</t>
  </si>
  <si>
    <t>1887 Q Street</t>
  </si>
  <si>
    <t>Arcata, CA 95521</t>
  </si>
  <si>
    <t>Sean Armstrong</t>
  </si>
  <si>
    <t>702-826-1450</t>
  </si>
  <si>
    <t>seanarmstrongpm@gmail.com</t>
  </si>
  <si>
    <t>Kinetic Valuation Group</t>
  </si>
  <si>
    <t>3901 S 147th St, Suite 144</t>
  </si>
  <si>
    <t>Omaha, NE 68144</t>
  </si>
  <si>
    <t>Jay Wortmann</t>
  </si>
  <si>
    <t>402-202-0771</t>
  </si>
  <si>
    <t>Jay@kvgteam.com</t>
  </si>
  <si>
    <t>Integra Realy Resources</t>
  </si>
  <si>
    <t>555 Meridian Avenue, Suite C</t>
  </si>
  <si>
    <t>San Jose, CA 95126</t>
  </si>
  <si>
    <t>Jeffrey Fillmore</t>
  </si>
  <si>
    <t xml:space="preserve">408-299-0444					</t>
  </si>
  <si>
    <t xml:space="preserve">jfillmore@irr.com </t>
  </si>
  <si>
    <t>San Jose, CA 95112</t>
  </si>
  <si>
    <t>Solari Enterprises</t>
  </si>
  <si>
    <t>1507 W Yale Avenue</t>
  </si>
  <si>
    <t>Orange, CA 92867</t>
  </si>
  <si>
    <t>Gianna Richards</t>
  </si>
  <si>
    <t>714-282-2520</t>
  </si>
  <si>
    <t>Gianna@solari-ent.com</t>
  </si>
  <si>
    <t>Van Meter Williams Pollack</t>
  </si>
  <si>
    <t>San Francisco, CA 94107</t>
  </si>
  <si>
    <t>Pam Goode</t>
  </si>
  <si>
    <t>NA</t>
  </si>
  <si>
    <t>pam@vmwp.com</t>
  </si>
  <si>
    <t>Thao Bui &amp; Mai Tuyet Thai, Bui Family Living Trust</t>
  </si>
  <si>
    <t>Thao Bui</t>
  </si>
  <si>
    <t>Mai Tuyet Thai</t>
  </si>
  <si>
    <t>Co-Trustee</t>
  </si>
  <si>
    <t>617 Mary Evelyn Drive, San Jose, CA 95123</t>
  </si>
  <si>
    <t>Costs Deferred to Conversion</t>
  </si>
  <si>
    <t>Credit Checks, Fees</t>
  </si>
  <si>
    <t>Housing Authority of the County of Santa Clara</t>
  </si>
  <si>
    <t>General Office Costs</t>
  </si>
  <si>
    <t>Payroll Burden/Taxes</t>
  </si>
  <si>
    <t>Cleaning &amp; Building Supplies</t>
  </si>
  <si>
    <t xml:space="preserve">Fire Monitoring, Misc. </t>
  </si>
  <si>
    <t>Housing Authority</t>
  </si>
  <si>
    <t>Project-based vouchers (PBVs)</t>
  </si>
  <si>
    <t>1 bedroom</t>
  </si>
  <si>
    <t>2 bedroom</t>
  </si>
  <si>
    <t>3 bedroom</t>
  </si>
  <si>
    <t>Provided</t>
  </si>
  <si>
    <t>Not Applicable</t>
  </si>
  <si>
    <t>Solar</t>
  </si>
  <si>
    <t>Public Bond Interest</t>
  </si>
  <si>
    <t>Interest Prior to Conversion</t>
  </si>
  <si>
    <t>Lease Up Costs+ Prop Management Startup Fees</t>
  </si>
  <si>
    <t>Fixed</t>
  </si>
  <si>
    <t>Janet Soo</t>
  </si>
  <si>
    <t>150 W. Tasman Drive</t>
  </si>
  <si>
    <t>408-278-6409</t>
  </si>
  <si>
    <t>Shelsy Bass</t>
  </si>
  <si>
    <t>408-975-3797</t>
  </si>
  <si>
    <t>City of San José</t>
  </si>
  <si>
    <t>José J. Lujano</t>
  </si>
  <si>
    <t xml:space="preserve">José J. Lujano </t>
  </si>
  <si>
    <t xml:space="preserve">Land Lease Payment </t>
  </si>
  <si>
    <t>Laura Surdel</t>
  </si>
  <si>
    <t>Robin Martinez</t>
  </si>
  <si>
    <t>858.386.4211</t>
  </si>
  <si>
    <t>robin@compassfah.org</t>
  </si>
  <si>
    <t>858.679.9076</t>
  </si>
  <si>
    <t>13520 Evening Creek Drive N, Suite 560</t>
  </si>
  <si>
    <t>858-679-9076</t>
  </si>
  <si>
    <t>333 Bryant Street, Suite 300</t>
  </si>
  <si>
    <t>415.974.5352</t>
  </si>
  <si>
    <t>408.975.3797</t>
  </si>
  <si>
    <t>Shelsy.Bass@sanjoseca.gov</t>
  </si>
  <si>
    <t>Thai Bui</t>
  </si>
  <si>
    <t>Secured by Leasehold Interest</t>
  </si>
  <si>
    <t>8 ADA units will be set aside for Homeless</t>
  </si>
  <si>
    <t>Commercial Pedestrian-CP, 104 units/acre</t>
  </si>
  <si>
    <t>No Parking Required per SB 35</t>
  </si>
  <si>
    <t>774-567-5693</t>
  </si>
  <si>
    <t>Variable</t>
  </si>
  <si>
    <t>225 Franklin Street, 28th Floor</t>
  </si>
  <si>
    <t>Boston, MA</t>
  </si>
  <si>
    <t>Tax Credit Equity</t>
  </si>
  <si>
    <t>Bond Interest Income</t>
  </si>
  <si>
    <t>Permanent Loan</t>
  </si>
  <si>
    <t>Below residual receipts line for cash flow</t>
  </si>
  <si>
    <t>Above residual receipts line for cash flow</t>
  </si>
  <si>
    <t>Fire Monitoring, Misc:</t>
  </si>
  <si>
    <t>Lument Real Estate Capital, LLC</t>
  </si>
  <si>
    <t>Lument Securities, LLC</t>
  </si>
  <si>
    <t xml:space="preserve">Bond Interest Income </t>
  </si>
  <si>
    <t>Boston Financial</t>
  </si>
  <si>
    <t>Jacky Morales-Ferrand</t>
  </si>
  <si>
    <t>jacky.morales-ferrand@sanjoseca.gov</t>
  </si>
  <si>
    <t>40%/60%</t>
  </si>
  <si>
    <t>Josh Land</t>
  </si>
  <si>
    <t>757-784-0154</t>
  </si>
  <si>
    <t>Commitment letter from Fannie Mae DUS Lender, per CDLAC 5061(a)(7)</t>
  </si>
  <si>
    <t>3111 Camino Del Rio N, #100</t>
  </si>
  <si>
    <t>10 West Broad Street, 8th Floor</t>
  </si>
  <si>
    <t>Columbus, Ohio</t>
  </si>
  <si>
    <t xml:space="preserve">Boston Financial </t>
  </si>
  <si>
    <t xml:space="preserve">Laura Surdel </t>
  </si>
  <si>
    <t>Boston , MA 02110</t>
  </si>
  <si>
    <t>laura.surdel@bfim.com</t>
  </si>
  <si>
    <t>Director of Housing</t>
  </si>
  <si>
    <t>Solari Enterprises, Inc.</t>
  </si>
  <si>
    <t xml:space="preserve">AHG Kooser LLC, managed by Affirmed Housing Group, Inc. </t>
  </si>
  <si>
    <t>Developer</t>
  </si>
  <si>
    <t>Banner Bank</t>
  </si>
  <si>
    <t>Taxable Construction Loan</t>
  </si>
  <si>
    <t>701 B Street, Suite 100</t>
  </si>
  <si>
    <t>Waheed Karim</t>
  </si>
  <si>
    <t>619-518-2610</t>
  </si>
  <si>
    <t>Soft Loan</t>
  </si>
  <si>
    <t>Taxable Construction Loan Interest</t>
  </si>
  <si>
    <t>Excess Interest Earnings</t>
  </si>
  <si>
    <t>Other: Partnership &amp; Transaction</t>
  </si>
  <si>
    <t>Const Service Fees (Bank)</t>
  </si>
  <si>
    <t>Tax Exempt Construction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</si>
</sst>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2">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0" fillId="5" borderId="6" xfId="0"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3" xfId="0" applyFont="1" applyBorder="1"/>
    <xf numFmtId="0" fontId="14" fillId="0" borderId="4" xfId="0" applyFont="1" applyBorder="1"/>
    <xf numFmtId="0" fontId="14" fillId="0" borderId="5" xfId="0" applyFont="1" applyBorder="1"/>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6" xfId="0" applyFon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11" xfId="0" applyFont="1" applyBorder="1" applyAlignment="1">
      <alignment horizontal="center" vertical="top" wrapText="1"/>
    </xf>
    <xf numFmtId="0" fontId="14" fillId="0" borderId="11" xfId="0" applyFont="1" applyBorder="1" applyAlignment="1">
      <alignment horizontal="center"/>
    </xf>
    <xf numFmtId="0" fontId="14" fillId="43" borderId="11" xfId="0" applyFont="1" applyFill="1" applyBorder="1" applyAlignment="1" applyProtection="1">
      <alignment horizontal="center"/>
      <protection locked="0"/>
    </xf>
    <xf numFmtId="0" fontId="23" fillId="5" borderId="6" xfId="271" applyFill="1" applyBorder="1" applyProtection="1">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 fontId="23" fillId="5" borderId="11" xfId="0" applyNumberFormat="1" applyFont="1" applyFill="1" applyBorder="1" applyAlignment="1" applyProtection="1">
      <alignment horizontal="center"/>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0" fillId="0" borderId="6" xfId="0" applyBorder="1" applyAlignment="1">
      <alignment horizontal="left"/>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21" fillId="0" borderId="11" xfId="0" applyFont="1" applyBorder="1" applyAlignment="1">
      <alignment horizontal="center" vertical="center"/>
    </xf>
    <xf numFmtId="175" fontId="0" fillId="5" borderId="4" xfId="0" applyNumberFormat="1" applyFill="1" applyBorder="1" applyAlignment="1" applyProtection="1">
      <alignment horizontal="left" vertical="center" wrapText="1"/>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21" fillId="0" borderId="6" xfId="0"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23" fillId="5" borderId="4" xfId="0" applyFont="1" applyFill="1" applyBorder="1" applyAlignment="1" applyProtection="1">
      <alignment horizontal="left"/>
      <protection locked="0"/>
    </xf>
    <xf numFmtId="172" fontId="21"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23" fillId="5" borderId="4" xfId="0" applyFont="1" applyFill="1" applyBorder="1" applyAlignment="1" applyProtection="1">
      <alignment wrapText="1"/>
      <protection locked="0"/>
    </xf>
    <xf numFmtId="14" fontId="0" fillId="5" borderId="4"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0" fillId="0" borderId="11" xfId="0"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0" borderId="11"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45" borderId="11" xfId="0" applyFont="1" applyFill="1" applyBorder="1" applyAlignment="1">
      <alignment horizontal="center"/>
    </xf>
    <xf numFmtId="14" fontId="0" fillId="5" borderId="6" xfId="0" applyNumberFormat="1" applyFill="1" applyBorder="1" applyAlignment="1" applyProtection="1">
      <alignment horizontal="center"/>
      <protection locked="0"/>
    </xf>
    <xf numFmtId="0" fontId="14" fillId="0" borderId="1" xfId="0" applyFont="1" applyBorder="1" applyAlignment="1">
      <alignment horizontal="center" vertical="top" wrapText="1"/>
    </xf>
    <xf numFmtId="166" fontId="14" fillId="5" borderId="4" xfId="0" applyNumberFormat="1" applyFont="1" applyFill="1" applyBorder="1" applyAlignment="1" applyProtection="1">
      <alignment horizontal="left"/>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2" borderId="11" xfId="0" applyFont="1" applyFill="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0" borderId="3" xfId="0" applyFont="1" applyBorder="1" applyAlignment="1">
      <alignment horizontal="left"/>
    </xf>
    <xf numFmtId="168" fontId="0" fillId="0" borderId="11" xfId="0" applyNumberFormat="1" applyBorder="1" applyAlignment="1">
      <alignment horizontal="right"/>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0" fontId="20" fillId="3" borderId="0" xfId="0" applyFont="1" applyFill="1" applyAlignment="1">
      <alignment horizontal="center" vertical="center"/>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5" borderId="6" xfId="0" applyFont="1" applyFill="1" applyBorder="1" applyAlignment="1" applyProtection="1">
      <alignment horizontal="center"/>
      <protection locked="0"/>
    </xf>
    <xf numFmtId="0" fontId="14" fillId="0" borderId="0" xfId="543"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11" xfId="0" applyFont="1" applyFill="1" applyBorder="1" applyAlignment="1" applyProtection="1">
      <alignment horizontal="left" vertical="center" wrapText="1"/>
      <protection locked="0"/>
    </xf>
    <xf numFmtId="49" fontId="0" fillId="5" borderId="6" xfId="0" applyNumberForma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14" fillId="43" borderId="4" xfId="0" applyFont="1" applyFill="1" applyBorder="1" applyAlignment="1" applyProtection="1">
      <alignment horizontal="left" wrapText="1"/>
      <protection locked="0"/>
    </xf>
    <xf numFmtId="180" fontId="0" fillId="0" borderId="6" xfId="0" applyNumberFormat="1" applyBorder="1" applyAlignment="1">
      <alignment horizontal="center"/>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4" fontId="14"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11" xfId="0" applyNumberFormat="1" applyBorder="1"/>
    <xf numFmtId="171" fontId="14" fillId="0" borderId="0" xfId="543" applyNumberFormat="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quotePrefix="1" applyNumberFormat="1" applyFill="1" applyBorder="1" applyAlignment="1" applyProtection="1">
      <alignment horizontal="right"/>
      <protection locked="0"/>
    </xf>
    <xf numFmtId="9" fontId="14" fillId="0" borderId="0" xfId="543" applyNumberFormat="1" applyAlignment="1">
      <alignment horizontal="center" vertical="center"/>
    </xf>
    <xf numFmtId="0" fontId="21" fillId="5" borderId="11" xfId="0" applyFon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0" fontId="14" fillId="43"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23" fillId="0" borderId="11" xfId="0" applyNumberFormat="1" applyFont="1" applyBorder="1" applyAlignment="1">
      <alignment horizontal="center"/>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5" borderId="4" xfId="569"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14" fillId="0" borderId="6" xfId="0" applyFont="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 fontId="14" fillId="5" borderId="4" xfId="0" applyNumberFormat="1" applyFont="1" applyFill="1" applyBorder="1" applyAlignment="1" applyProtection="1">
      <alignment horizontal="center"/>
      <protection locked="0"/>
    </xf>
    <xf numFmtId="0" fontId="14"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23"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49" fontId="14" fillId="5" borderId="6" xfId="0" applyNumberFormat="1" applyFont="1" applyFill="1" applyBorder="1" applyAlignment="1" applyProtection="1">
      <alignment horizontal="center"/>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0" borderId="0" xfId="0" applyAlignment="1">
      <alignment vertical="top" wrapText="1"/>
    </xf>
    <xf numFmtId="0" fontId="0" fillId="0" borderId="0" xfId="0" applyAlignment="1">
      <alignment wrapText="1"/>
    </xf>
    <xf numFmtId="173" fontId="14"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0" borderId="5" xfId="0" applyBorder="1" applyAlignment="1">
      <alignment horizontal="left"/>
    </xf>
    <xf numFmtId="166" fontId="23" fillId="5" borderId="4" xfId="271" applyNumberFormat="1" applyFill="1" applyBorder="1" applyAlignment="1" applyProtection="1">
      <alignment horizontal="left"/>
      <protection locked="0"/>
    </xf>
    <xf numFmtId="14" fontId="14" fillId="5" borderId="6" xfId="0" applyNumberFormat="1" applyFon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3" fontId="23" fillId="0" borderId="11" xfId="0" applyNumberFormat="1" applyFont="1" applyBorder="1" applyAlignment="1">
      <alignment horizontal="center"/>
    </xf>
    <xf numFmtId="0" fontId="21" fillId="0" borderId="9" xfId="0" applyFont="1" applyBorder="1" applyAlignment="1">
      <alignment horizontal="right"/>
    </xf>
    <xf numFmtId="0" fontId="21" fillId="0" borderId="10" xfId="0" applyFont="1" applyBorder="1" applyAlignment="1">
      <alignment horizontal="right"/>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10" fontId="23" fillId="0" borderId="11" xfId="0" applyNumberFormat="1" applyFont="1"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0" fontId="23" fillId="5" borderId="11" xfId="0" applyFont="1" applyFill="1" applyBorder="1" applyAlignment="1" applyProtection="1">
      <alignment horizontal="center"/>
      <protection locked="0"/>
    </xf>
    <xf numFmtId="3" fontId="23" fillId="5" borderId="11" xfId="0" applyNumberFormat="1" applyFon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0" fillId="0" borderId="6" xfId="0" applyBorder="1" applyAlignment="1" applyProtection="1">
      <alignment horizontal="center"/>
      <protection locked="0"/>
    </xf>
    <xf numFmtId="0" fontId="33" fillId="5" borderId="6" xfId="0" applyFont="1" applyFill="1" applyBorder="1" applyAlignment="1" applyProtection="1">
      <alignment horizontal="left"/>
      <protection locked="0"/>
    </xf>
    <xf numFmtId="3" fontId="0" fillId="0" borderId="6" xfId="0" applyNumberFormat="1" applyBorder="1" applyAlignment="1">
      <alignment horizontal="right"/>
    </xf>
    <xf numFmtId="1" fontId="23" fillId="5" borderId="11" xfId="0" quotePrefix="1" applyNumberFormat="1" applyFont="1" applyFill="1" applyBorder="1" applyAlignment="1" applyProtection="1">
      <alignment horizontal="center"/>
      <protection locked="0"/>
    </xf>
    <xf numFmtId="0" fontId="14" fillId="5" borderId="105" xfId="569" applyFill="1" applyBorder="1" applyAlignment="1" applyProtection="1">
      <alignment horizontal="left"/>
      <protection locked="0"/>
    </xf>
    <xf numFmtId="166" fontId="14" fillId="5" borderId="105" xfId="569" applyNumberFormat="1" applyFill="1" applyBorder="1" applyAlignment="1" applyProtection="1">
      <alignment horizontal="left"/>
      <protection locked="0"/>
    </xf>
    <xf numFmtId="166" fontId="14" fillId="5" borderId="4" xfId="569" applyNumberFormat="1" applyFill="1" applyBorder="1" applyAlignment="1" applyProtection="1">
      <alignment horizontal="left"/>
      <protection locked="0"/>
    </xf>
    <xf numFmtId="0" fontId="14" fillId="5" borderId="6" xfId="569" applyFill="1" applyBorder="1" applyAlignment="1" applyProtection="1">
      <alignment horizontal="left"/>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4" fillId="5" borderId="105" xfId="0" applyFont="1" applyFill="1" applyBorder="1" applyAlignment="1" applyProtection="1">
      <alignment horizontal="left"/>
      <protection locked="0"/>
    </xf>
    <xf numFmtId="0" fontId="0" fillId="5" borderId="105" xfId="0" applyFill="1" applyBorder="1" applyAlignment="1" applyProtection="1">
      <alignment horizontal="left"/>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A57EAC72-D698-486E-9658-CA27158CAA08}"/>
    <cellStyle name="20% - Accent1 11" xfId="8729" xr:uid="{ECCA9A11-DF05-4845-B985-699EA18633A5}"/>
    <cellStyle name="20% - Accent1 2" xfId="2" xr:uid="{00000000-0005-0000-0000-000002000000}"/>
    <cellStyle name="20% - Accent1 2 10" xfId="8730" xr:uid="{0DFB4E35-2B0A-481F-9F27-CBE49DBB7141}"/>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FED71E25-249D-49FF-9DD5-304B7851E3B3}"/>
    <cellStyle name="20% - Accent1 2 2 2 2 2 3" xfId="11291" xr:uid="{408B05E0-B605-4A08-BD0B-E67ED69571A6}"/>
    <cellStyle name="20% - Accent1 2 2 2 2 3" xfId="4922" xr:uid="{00000000-0005-0000-0000-000008000000}"/>
    <cellStyle name="20% - Accent1 2 2 2 2 3 2" xfId="13364" xr:uid="{5BA4A6B4-6E6D-4469-A884-783B5B6ABBEC}"/>
    <cellStyle name="20% - Accent1 2 2 2 2 4" xfId="9146" xr:uid="{4EBF6563-7F4B-4567-8B32-30DDD461A799}"/>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54A079CE-1EBE-4FE1-8DAB-D90841C2AFCF}"/>
    <cellStyle name="20% - Accent1 2 2 2 3 2 3" xfId="11704" xr:uid="{62DAC92B-CBFD-42EE-BED9-E7C7FB314CF6}"/>
    <cellStyle name="20% - Accent1 2 2 2 3 3" xfId="5335" xr:uid="{00000000-0005-0000-0000-00000C000000}"/>
    <cellStyle name="20% - Accent1 2 2 2 3 3 2" xfId="13777" xr:uid="{CF8B1A7A-256C-48D6-B384-AADAFBCD231C}"/>
    <cellStyle name="20% - Accent1 2 2 2 3 4" xfId="9559" xr:uid="{2ED596CA-4554-4C57-A20E-69CB5738E9B1}"/>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3D0BCC10-C603-4AEE-A731-5F6A8C47E011}"/>
    <cellStyle name="20% - Accent1 2 2 2 4 2 3" xfId="12117" xr:uid="{6AD574D2-E865-4E79-97D3-6BB019CE7DAA}"/>
    <cellStyle name="20% - Accent1 2 2 2 4 3" xfId="5748" xr:uid="{00000000-0005-0000-0000-000010000000}"/>
    <cellStyle name="20% - Accent1 2 2 2 4 3 2" xfId="14190" xr:uid="{521BFF5F-671C-4309-8A6F-482C19436F79}"/>
    <cellStyle name="20% - Accent1 2 2 2 4 4" xfId="9972" xr:uid="{DD6FA1D4-F970-4C5F-8D36-EAB0D588EF29}"/>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DC85174E-E339-436D-955F-923290BD3C09}"/>
    <cellStyle name="20% - Accent1 2 2 2 5 2 3" xfId="12530" xr:uid="{AE2FA720-9817-4184-85BC-21BD5B458DE5}"/>
    <cellStyle name="20% - Accent1 2 2 2 5 3" xfId="6161" xr:uid="{00000000-0005-0000-0000-000014000000}"/>
    <cellStyle name="20% - Accent1 2 2 2 5 3 2" xfId="14603" xr:uid="{3D312268-A987-496C-9FD9-8517F84CF853}"/>
    <cellStyle name="20% - Accent1 2 2 2 5 4" xfId="10385" xr:uid="{A41B4DED-B027-40ED-9239-8F38A5721F1D}"/>
    <cellStyle name="20% - Accent1 2 2 2 6" xfId="2267" xr:uid="{00000000-0005-0000-0000-000015000000}"/>
    <cellStyle name="20% - Accent1 2 2 2 6 2" xfId="6574" xr:uid="{00000000-0005-0000-0000-000016000000}"/>
    <cellStyle name="20% - Accent1 2 2 2 6 2 2" xfId="15016" xr:uid="{3F710530-4CBF-489B-B00F-410D40E36D4D}"/>
    <cellStyle name="20% - Accent1 2 2 2 6 3" xfId="10798" xr:uid="{6E0D397A-EEBF-46CA-99BB-9FAFE56BB16F}"/>
    <cellStyle name="20% - Accent1 2 2 2 7" xfId="4508" xr:uid="{00000000-0005-0000-0000-000017000000}"/>
    <cellStyle name="20% - Accent1 2 2 2 7 2" xfId="12950" xr:uid="{63F08830-AEA5-4C76-AE90-F5D378CD7235}"/>
    <cellStyle name="20% - Accent1 2 2 2 8" xfId="8732" xr:uid="{9EC8851E-9E57-4C3F-88BD-6D578D58FAC3}"/>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54BEC18C-5D3F-4DDB-B2A0-FE3846FD9ED8}"/>
    <cellStyle name="20% - Accent1 2 2 3 2 3" xfId="11290" xr:uid="{577286BF-2A0D-4AE7-A342-DED63603BD13}"/>
    <cellStyle name="20% - Accent1 2 2 3 3" xfId="4921" xr:uid="{00000000-0005-0000-0000-00001B000000}"/>
    <cellStyle name="20% - Accent1 2 2 3 3 2" xfId="13363" xr:uid="{E49A8920-4A3A-411B-8653-CB5201F55AE7}"/>
    <cellStyle name="20% - Accent1 2 2 3 4" xfId="9145" xr:uid="{0D104B91-AA06-411D-8556-F135EA2EF37F}"/>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6257E0F1-215F-403B-AF91-160D2789D3CD}"/>
    <cellStyle name="20% - Accent1 2 2 4 2 3" xfId="11703" xr:uid="{D78BA2D8-9152-484D-A9E5-DE30C95FA423}"/>
    <cellStyle name="20% - Accent1 2 2 4 3" xfId="5334" xr:uid="{00000000-0005-0000-0000-00001F000000}"/>
    <cellStyle name="20% - Accent1 2 2 4 3 2" xfId="13776" xr:uid="{FD7048C4-D00E-47CA-AC83-6BE4501A92A3}"/>
    <cellStyle name="20% - Accent1 2 2 4 4" xfId="9558" xr:uid="{FCE1C028-3C57-4922-9CA0-4E4686FB33D1}"/>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98AC5726-9B36-410C-9AAB-E1FBC6AF3457}"/>
    <cellStyle name="20% - Accent1 2 2 5 2 3" xfId="12116" xr:uid="{552A809E-AF1C-47D7-BBAD-C02034C6A549}"/>
    <cellStyle name="20% - Accent1 2 2 5 3" xfId="5747" xr:uid="{00000000-0005-0000-0000-000023000000}"/>
    <cellStyle name="20% - Accent1 2 2 5 3 2" xfId="14189" xr:uid="{060277C1-23E0-4700-B03E-5ED4CCD65F95}"/>
    <cellStyle name="20% - Accent1 2 2 5 4" xfId="9971" xr:uid="{7138AF94-1744-424F-A05A-EDE7A93C9456}"/>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E757818E-A100-4A54-ACF1-D31AB6072CDC}"/>
    <cellStyle name="20% - Accent1 2 2 6 2 3" xfId="12529" xr:uid="{D8C28FFD-EEBE-4C07-987F-33A4BB45033A}"/>
    <cellStyle name="20% - Accent1 2 2 6 3" xfId="6160" xr:uid="{00000000-0005-0000-0000-000027000000}"/>
    <cellStyle name="20% - Accent1 2 2 6 3 2" xfId="14602" xr:uid="{EFC0AD35-2D07-4AFE-A985-3549DDAE4ACC}"/>
    <cellStyle name="20% - Accent1 2 2 6 4" xfId="10384" xr:uid="{CEED8CE5-4754-4DB5-9129-0609E3F7B242}"/>
    <cellStyle name="20% - Accent1 2 2 7" xfId="2266" xr:uid="{00000000-0005-0000-0000-000028000000}"/>
    <cellStyle name="20% - Accent1 2 2 7 2" xfId="6573" xr:uid="{00000000-0005-0000-0000-000029000000}"/>
    <cellStyle name="20% - Accent1 2 2 7 2 2" xfId="15015" xr:uid="{C01BAE24-85D9-4D48-BD59-0B5E4B5C1633}"/>
    <cellStyle name="20% - Accent1 2 2 7 3" xfId="10797" xr:uid="{AD9D39D2-53B2-4701-BC49-176FDA24984C}"/>
    <cellStyle name="20% - Accent1 2 2 8" xfId="4507" xr:uid="{00000000-0005-0000-0000-00002A000000}"/>
    <cellStyle name="20% - Accent1 2 2 8 2" xfId="12949" xr:uid="{77C5BAD0-82E0-483E-890B-44E534C3C961}"/>
    <cellStyle name="20% - Accent1 2 2 9" xfId="8731" xr:uid="{D868038F-67FB-41EB-A8B7-4E6DAE9CC057}"/>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14662438-F46F-4899-9469-CB6AF04A65F3}"/>
    <cellStyle name="20% - Accent1 2 3 2 2 3" xfId="11292" xr:uid="{D51227AA-4270-46EF-B80D-827EA5A1A049}"/>
    <cellStyle name="20% - Accent1 2 3 2 3" xfId="4923" xr:uid="{00000000-0005-0000-0000-00002F000000}"/>
    <cellStyle name="20% - Accent1 2 3 2 3 2" xfId="13365" xr:uid="{9506FA67-A623-40CC-8EAA-8AC37D1287CE}"/>
    <cellStyle name="20% - Accent1 2 3 2 4" xfId="9147" xr:uid="{13C9D521-6094-4211-A144-5ABEB24E0432}"/>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BC13D5BF-F8BE-49BD-AC1D-717A6562CE07}"/>
    <cellStyle name="20% - Accent1 2 3 3 2 3" xfId="11705" xr:uid="{7C158DBA-68F0-43A7-9277-914713BEF8C4}"/>
    <cellStyle name="20% - Accent1 2 3 3 3" xfId="5336" xr:uid="{00000000-0005-0000-0000-000033000000}"/>
    <cellStyle name="20% - Accent1 2 3 3 3 2" xfId="13778" xr:uid="{0A7701B3-22FE-43DB-AB63-B0C1FCDAA656}"/>
    <cellStyle name="20% - Accent1 2 3 3 4" xfId="9560" xr:uid="{9278D035-EF5E-4CA3-B945-4F65D9CCC1D6}"/>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F867D522-2D5D-4EBC-8A1A-4ED67AD477C8}"/>
    <cellStyle name="20% - Accent1 2 3 4 2 3" xfId="12118" xr:uid="{56D3B4A2-6DED-40B3-86DE-F0ED66ED172B}"/>
    <cellStyle name="20% - Accent1 2 3 4 3" xfId="5749" xr:uid="{00000000-0005-0000-0000-000037000000}"/>
    <cellStyle name="20% - Accent1 2 3 4 3 2" xfId="14191" xr:uid="{C4213C1C-A9E9-44D5-BB46-F142EA621978}"/>
    <cellStyle name="20% - Accent1 2 3 4 4" xfId="9973" xr:uid="{B52A852D-A3E3-4ADA-86EA-9353297F1861}"/>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37CE2AD3-923A-44BB-905F-2BB7ED8EE803}"/>
    <cellStyle name="20% - Accent1 2 3 5 2 3" xfId="12531" xr:uid="{78071749-CD56-4CC2-AD27-55F785BD49F4}"/>
    <cellStyle name="20% - Accent1 2 3 5 3" xfId="6162" xr:uid="{00000000-0005-0000-0000-00003B000000}"/>
    <cellStyle name="20% - Accent1 2 3 5 3 2" xfId="14604" xr:uid="{DB0A9E95-EDC1-4255-9E7B-68ADBD21B68E}"/>
    <cellStyle name="20% - Accent1 2 3 5 4" xfId="10386" xr:uid="{73E75E07-1871-4DE7-8DB8-389FCB03B7CE}"/>
    <cellStyle name="20% - Accent1 2 3 6" xfId="2268" xr:uid="{00000000-0005-0000-0000-00003C000000}"/>
    <cellStyle name="20% - Accent1 2 3 6 2" xfId="6575" xr:uid="{00000000-0005-0000-0000-00003D000000}"/>
    <cellStyle name="20% - Accent1 2 3 6 2 2" xfId="15017" xr:uid="{9FD8837A-FFAC-4E12-A8A8-B2C5C8323285}"/>
    <cellStyle name="20% - Accent1 2 3 6 3" xfId="10799" xr:uid="{D07B45B0-2B18-4828-8440-3C6064387A14}"/>
    <cellStyle name="20% - Accent1 2 3 7" xfId="4509" xr:uid="{00000000-0005-0000-0000-00003E000000}"/>
    <cellStyle name="20% - Accent1 2 3 7 2" xfId="12951" xr:uid="{98C8DB35-BDF8-4AC6-98E0-14CB6C80AB6E}"/>
    <cellStyle name="20% - Accent1 2 3 8" xfId="8733" xr:uid="{D8CF9AC5-C927-4789-B20B-A0B9B2A61A58}"/>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59296B71-BC2A-48AE-AF63-8280DB3FCD52}"/>
    <cellStyle name="20% - Accent1 2 4 2 3" xfId="11289" xr:uid="{0F96A37D-0878-459D-8419-05A91DE11849}"/>
    <cellStyle name="20% - Accent1 2 4 3" xfId="4920" xr:uid="{00000000-0005-0000-0000-000042000000}"/>
    <cellStyle name="20% - Accent1 2 4 3 2" xfId="13362" xr:uid="{2A5FE7CA-1B87-4463-A320-A7994ED5C1DC}"/>
    <cellStyle name="20% - Accent1 2 4 4" xfId="9144" xr:uid="{21833158-7003-448F-A167-26FCDA729B0E}"/>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E79F42CE-D6DF-4748-B7AD-9771CFD57030}"/>
    <cellStyle name="20% - Accent1 2 5 2 3" xfId="11702" xr:uid="{96456AA4-1448-449B-A4C2-8CF756636EC2}"/>
    <cellStyle name="20% - Accent1 2 5 3" xfId="5333" xr:uid="{00000000-0005-0000-0000-000046000000}"/>
    <cellStyle name="20% - Accent1 2 5 3 2" xfId="13775" xr:uid="{7D1E96DE-472B-4CC2-A3F4-ECB3D91F7EE7}"/>
    <cellStyle name="20% - Accent1 2 5 4" xfId="9557" xr:uid="{42E7F6FE-5A8D-4C6B-9C13-5ABE0DDEC9E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AA533ED2-DAF8-41A1-987C-303AA16692E2}"/>
    <cellStyle name="20% - Accent1 2 6 2 3" xfId="12115" xr:uid="{455E4D18-6464-4583-8AC6-C3C51C817BE3}"/>
    <cellStyle name="20% - Accent1 2 6 3" xfId="5746" xr:uid="{00000000-0005-0000-0000-00004A000000}"/>
    <cellStyle name="20% - Accent1 2 6 3 2" xfId="14188" xr:uid="{BD13634E-DC5E-425F-B84D-2B5C1FDF0F07}"/>
    <cellStyle name="20% - Accent1 2 6 4" xfId="9970" xr:uid="{881B2429-61AB-413A-9017-0571EDC95939}"/>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86294F63-965B-48ED-A005-E500A9C264CD}"/>
    <cellStyle name="20% - Accent1 2 7 2 3" xfId="12528" xr:uid="{4FD7D427-098D-4991-BA73-BBE43A3B8562}"/>
    <cellStyle name="20% - Accent1 2 7 3" xfId="6159" xr:uid="{00000000-0005-0000-0000-00004E000000}"/>
    <cellStyle name="20% - Accent1 2 7 3 2" xfId="14601" xr:uid="{D3EBBD60-21D6-4C13-A9B7-45856D3064E5}"/>
    <cellStyle name="20% - Accent1 2 7 4" xfId="10383" xr:uid="{18272EC1-206A-44E9-898D-A65888356671}"/>
    <cellStyle name="20% - Accent1 2 8" xfId="2265" xr:uid="{00000000-0005-0000-0000-00004F000000}"/>
    <cellStyle name="20% - Accent1 2 8 2" xfId="6572" xr:uid="{00000000-0005-0000-0000-000050000000}"/>
    <cellStyle name="20% - Accent1 2 8 2 2" xfId="15014" xr:uid="{113E5A01-DE2C-4B5B-B86A-3484ED4068EA}"/>
    <cellStyle name="20% - Accent1 2 8 3" xfId="10796" xr:uid="{B1EDAC14-3D83-42D6-8C91-337696C35A8A}"/>
    <cellStyle name="20% - Accent1 2 9" xfId="4506" xr:uid="{00000000-0005-0000-0000-000051000000}"/>
    <cellStyle name="20% - Accent1 2 9 2" xfId="12948" xr:uid="{2D63AF00-29CF-4F81-AA1E-851CD4D8523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C45734EF-FCDB-4CA0-81BB-FC2308D83977}"/>
    <cellStyle name="20% - Accent1 3 2 2 2 3" xfId="11294" xr:uid="{683D9E8F-DCAB-4C90-930E-3DB512BE1337}"/>
    <cellStyle name="20% - Accent1 3 2 2 3" xfId="4925" xr:uid="{00000000-0005-0000-0000-000057000000}"/>
    <cellStyle name="20% - Accent1 3 2 2 3 2" xfId="13367" xr:uid="{309A6950-A67F-4160-BDD7-D8DC2094AA45}"/>
    <cellStyle name="20% - Accent1 3 2 2 4" xfId="9149" xr:uid="{02B64465-3A6F-4B8F-885A-552435EC2D06}"/>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045527F0-AC7F-4227-A51A-FA6DD7BDAD88}"/>
    <cellStyle name="20% - Accent1 3 2 3 2 3" xfId="11707" xr:uid="{BB3A106A-844E-4DFB-B3E8-9354D698AE42}"/>
    <cellStyle name="20% - Accent1 3 2 3 3" xfId="5338" xr:uid="{00000000-0005-0000-0000-00005B000000}"/>
    <cellStyle name="20% - Accent1 3 2 3 3 2" xfId="13780" xr:uid="{E184BDA6-D8C4-410B-ACF2-4668EE3732CB}"/>
    <cellStyle name="20% - Accent1 3 2 3 4" xfId="9562" xr:uid="{A35D2541-CE21-44F5-85C1-0CDABA68E637}"/>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32DC88DB-998C-4126-A064-3610A67E03F0}"/>
    <cellStyle name="20% - Accent1 3 2 4 2 3" xfId="12120" xr:uid="{EC6F0A92-2172-41E2-8A4A-EA5580DCB879}"/>
    <cellStyle name="20% - Accent1 3 2 4 3" xfId="5751" xr:uid="{00000000-0005-0000-0000-00005F000000}"/>
    <cellStyle name="20% - Accent1 3 2 4 3 2" xfId="14193" xr:uid="{E8AD7237-671E-4E0E-B55A-D7F009FB31AB}"/>
    <cellStyle name="20% - Accent1 3 2 4 4" xfId="9975" xr:uid="{5AD53CF1-5253-4616-A29E-46CC3D0C7C22}"/>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6A5E3697-0D82-434A-9E18-8C442A416887}"/>
    <cellStyle name="20% - Accent1 3 2 5 2 3" xfId="12533" xr:uid="{BD086E0B-2854-4214-AB5A-AAB46DDD62F2}"/>
    <cellStyle name="20% - Accent1 3 2 5 3" xfId="6164" xr:uid="{00000000-0005-0000-0000-000063000000}"/>
    <cellStyle name="20% - Accent1 3 2 5 3 2" xfId="14606" xr:uid="{EAC6BDFF-9EE4-46B2-B5F8-9D9FFEBF48FF}"/>
    <cellStyle name="20% - Accent1 3 2 5 4" xfId="10388" xr:uid="{7EE2F8F2-3234-4DD2-9A8E-147A9C1A2A19}"/>
    <cellStyle name="20% - Accent1 3 2 6" xfId="2270" xr:uid="{00000000-0005-0000-0000-000064000000}"/>
    <cellStyle name="20% - Accent1 3 2 6 2" xfId="6577" xr:uid="{00000000-0005-0000-0000-000065000000}"/>
    <cellStyle name="20% - Accent1 3 2 6 2 2" xfId="15019" xr:uid="{895BA021-CCA5-4756-A72D-6DE10527EBB4}"/>
    <cellStyle name="20% - Accent1 3 2 6 3" xfId="10801" xr:uid="{FEE75F3B-F2D4-4F7E-A02D-753E2C86EE94}"/>
    <cellStyle name="20% - Accent1 3 2 7" xfId="4511" xr:uid="{00000000-0005-0000-0000-000066000000}"/>
    <cellStyle name="20% - Accent1 3 2 7 2" xfId="12953" xr:uid="{50EEB295-8A10-4864-97A2-08D2279A25C5}"/>
    <cellStyle name="20% - Accent1 3 2 8" xfId="8735" xr:uid="{57208DE8-E7AE-4439-99B4-D57B9F2CBB9B}"/>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2DDAC845-E03B-4068-8268-6EC4A4995D89}"/>
    <cellStyle name="20% - Accent1 3 3 2 3" xfId="11293" xr:uid="{84E4DD55-305B-4DBB-BBED-AFAFBDAFBA1E}"/>
    <cellStyle name="20% - Accent1 3 3 3" xfId="4924" xr:uid="{00000000-0005-0000-0000-00006A000000}"/>
    <cellStyle name="20% - Accent1 3 3 3 2" xfId="13366" xr:uid="{20221C9C-2BD1-44B6-AE95-771944CC3E84}"/>
    <cellStyle name="20% - Accent1 3 3 4" xfId="9148" xr:uid="{BB489040-A064-4F0F-B7B9-71ABFCD1561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89290BE1-B0BD-4FC5-A4D7-492A70C22CD2}"/>
    <cellStyle name="20% - Accent1 3 4 2 3" xfId="11706" xr:uid="{52B2C258-65C6-436D-8086-EDFA70DA01A0}"/>
    <cellStyle name="20% - Accent1 3 4 3" xfId="5337" xr:uid="{00000000-0005-0000-0000-00006E000000}"/>
    <cellStyle name="20% - Accent1 3 4 3 2" xfId="13779" xr:uid="{CD943726-714E-414A-BE23-7D4668147E49}"/>
    <cellStyle name="20% - Accent1 3 4 4" xfId="9561" xr:uid="{2518E9EE-3DE8-4301-BF59-BFF0D65E050C}"/>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860E25E7-44CF-474F-B8AA-5595FF40360C}"/>
    <cellStyle name="20% - Accent1 3 5 2 3" xfId="12119" xr:uid="{89EF4F03-B4A5-419F-A60D-09FB645261BC}"/>
    <cellStyle name="20% - Accent1 3 5 3" xfId="5750" xr:uid="{00000000-0005-0000-0000-000072000000}"/>
    <cellStyle name="20% - Accent1 3 5 3 2" xfId="14192" xr:uid="{2960001C-2A97-422E-BCFD-60E2C7133E72}"/>
    <cellStyle name="20% - Accent1 3 5 4" xfId="9974" xr:uid="{88EDCE9A-8C00-4586-A52D-2B3CB40D38EC}"/>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4B7075B1-F06A-406A-9431-6070C60A094C}"/>
    <cellStyle name="20% - Accent1 3 6 2 3" xfId="12532" xr:uid="{E5402480-DE7C-4EEE-9C1F-60B860F34837}"/>
    <cellStyle name="20% - Accent1 3 6 3" xfId="6163" xr:uid="{00000000-0005-0000-0000-000076000000}"/>
    <cellStyle name="20% - Accent1 3 6 3 2" xfId="14605" xr:uid="{FE0980F1-DD2B-4D73-A56B-B0EE1B85D89D}"/>
    <cellStyle name="20% - Accent1 3 6 4" xfId="10387" xr:uid="{2ABC4919-2722-4BA8-BB31-71836576F7CD}"/>
    <cellStyle name="20% - Accent1 3 7" xfId="2269" xr:uid="{00000000-0005-0000-0000-000077000000}"/>
    <cellStyle name="20% - Accent1 3 7 2" xfId="6576" xr:uid="{00000000-0005-0000-0000-000078000000}"/>
    <cellStyle name="20% - Accent1 3 7 2 2" xfId="15018" xr:uid="{2281001F-F30F-4D06-A797-554D4766AE69}"/>
    <cellStyle name="20% - Accent1 3 7 3" xfId="10800" xr:uid="{BFDEB36B-3E28-4075-A7F1-8F9F072413C4}"/>
    <cellStyle name="20% - Accent1 3 8" xfId="4510" xr:uid="{00000000-0005-0000-0000-000079000000}"/>
    <cellStyle name="20% - Accent1 3 8 2" xfId="12952" xr:uid="{C5965B57-4891-467C-82D7-9065D9E2E313}"/>
    <cellStyle name="20% - Accent1 3 9" xfId="8734" xr:uid="{9C5E3D54-A198-4177-B395-59618E364152}"/>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000C66F3-E78C-48F4-81D4-96C2F53CCF3F}"/>
    <cellStyle name="20% - Accent1 4 2 2 3" xfId="11295" xr:uid="{BC07DF5F-5F14-4CE6-BE2E-4BAA2CACF298}"/>
    <cellStyle name="20% - Accent1 4 2 3" xfId="4926" xr:uid="{00000000-0005-0000-0000-00007E000000}"/>
    <cellStyle name="20% - Accent1 4 2 3 2" xfId="13368" xr:uid="{3238F8A6-B47C-41CE-B550-8F9D6447060F}"/>
    <cellStyle name="20% - Accent1 4 2 4" xfId="9150" xr:uid="{F003B6B4-F729-42EF-95BF-DBAF20FE16E4}"/>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58ED971A-AE4A-46BD-BB05-F63A6DFFBB24}"/>
    <cellStyle name="20% - Accent1 4 3 2 3" xfId="11708" xr:uid="{800569FA-D232-4069-89E2-B49813DE5194}"/>
    <cellStyle name="20% - Accent1 4 3 3" xfId="5339" xr:uid="{00000000-0005-0000-0000-000082000000}"/>
    <cellStyle name="20% - Accent1 4 3 3 2" xfId="13781" xr:uid="{06B82A84-6B0E-4A55-A263-8D2E67C8FEE6}"/>
    <cellStyle name="20% - Accent1 4 3 4" xfId="9563" xr:uid="{E4630C83-17C8-4366-9671-3E5004DB0E8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D0798C1C-BE3F-4DDA-8BF9-6796263FCE69}"/>
    <cellStyle name="20% - Accent1 4 4 2 3" xfId="12121" xr:uid="{BD0D27E2-E206-4F9A-9B29-2AE0CE3EC3BB}"/>
    <cellStyle name="20% - Accent1 4 4 3" xfId="5752" xr:uid="{00000000-0005-0000-0000-000086000000}"/>
    <cellStyle name="20% - Accent1 4 4 3 2" xfId="14194" xr:uid="{F0B9ADE5-E339-4AE3-A780-29D63DA2A6AF}"/>
    <cellStyle name="20% - Accent1 4 4 4" xfId="9976" xr:uid="{524CCE36-7537-4EA8-AB5D-48B04759501D}"/>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8DA23FDA-4D65-4565-BCA7-9CCCC65981F4}"/>
    <cellStyle name="20% - Accent1 4 5 2 3" xfId="12534" xr:uid="{5557D721-30D9-4977-9022-B4F2D213AB89}"/>
    <cellStyle name="20% - Accent1 4 5 3" xfId="6165" xr:uid="{00000000-0005-0000-0000-00008A000000}"/>
    <cellStyle name="20% - Accent1 4 5 3 2" xfId="14607" xr:uid="{785D66D1-6489-4CC0-908D-C00C34477AAE}"/>
    <cellStyle name="20% - Accent1 4 5 4" xfId="10389" xr:uid="{FDD1DFA9-300E-47DF-93A6-475B99AB4862}"/>
    <cellStyle name="20% - Accent1 4 6" xfId="2271" xr:uid="{00000000-0005-0000-0000-00008B000000}"/>
    <cellStyle name="20% - Accent1 4 6 2" xfId="6578" xr:uid="{00000000-0005-0000-0000-00008C000000}"/>
    <cellStyle name="20% - Accent1 4 6 2 2" xfId="15020" xr:uid="{49ED19DA-489A-44E8-B7EB-8A5F49FCBEFC}"/>
    <cellStyle name="20% - Accent1 4 6 3" xfId="10802" xr:uid="{D614EEAD-348F-4B53-8A38-ED2ECC53E474}"/>
    <cellStyle name="20% - Accent1 4 7" xfId="4512" xr:uid="{00000000-0005-0000-0000-00008D000000}"/>
    <cellStyle name="20% - Accent1 4 7 2" xfId="12954" xr:uid="{7EECB4BF-EB5F-4E3C-A127-D54C78FCBB53}"/>
    <cellStyle name="20% - Accent1 4 8" xfId="8736" xr:uid="{4C568A90-1095-429E-B5F1-60551CD45156}"/>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B0550408-CB1A-44DD-82BC-1F4272D28BF5}"/>
    <cellStyle name="20% - Accent1 5 2 3" xfId="11288" xr:uid="{F744EECF-1DE0-4C68-986D-ED4686088E06}"/>
    <cellStyle name="20% - Accent1 5 3" xfId="4919" xr:uid="{00000000-0005-0000-0000-000091000000}"/>
    <cellStyle name="20% - Accent1 5 3 2" xfId="13361" xr:uid="{51DE6B89-4975-443D-BBC7-4F21E7C4F3FC}"/>
    <cellStyle name="20% - Accent1 5 4" xfId="9143" xr:uid="{4C0DCFB6-02B0-43BC-9977-DFBBE0E56821}"/>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FB64A4EC-6300-4C7E-95AA-A2678E309751}"/>
    <cellStyle name="20% - Accent1 6 2 3" xfId="11701" xr:uid="{5EB01A29-199B-4808-B15E-723DBD6E82AA}"/>
    <cellStyle name="20% - Accent1 6 3" xfId="5332" xr:uid="{00000000-0005-0000-0000-000095000000}"/>
    <cellStyle name="20% - Accent1 6 3 2" xfId="13774" xr:uid="{AB5C825B-8F31-4184-9106-30372AE4E17D}"/>
    <cellStyle name="20% - Accent1 6 4" xfId="9556" xr:uid="{EBCE06A5-986F-45FF-B9CE-6E7885D71E64}"/>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C9C9EB5F-8E74-4ED7-ACE0-9ABE746C437A}"/>
    <cellStyle name="20% - Accent1 7 2 3" xfId="12114" xr:uid="{E19D6E1E-C753-4DAF-9C84-C57438148E33}"/>
    <cellStyle name="20% - Accent1 7 3" xfId="5745" xr:uid="{00000000-0005-0000-0000-000099000000}"/>
    <cellStyle name="20% - Accent1 7 3 2" xfId="14187" xr:uid="{7CD87A20-B9B6-46AF-A948-D1D6BF5D9A82}"/>
    <cellStyle name="20% - Accent1 7 4" xfId="9969" xr:uid="{456FC8A4-870D-4A9B-B57C-42D5EA7CFABE}"/>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56CE5F94-6198-405D-A8DA-8EA23CA49C5A}"/>
    <cellStyle name="20% - Accent1 8 2 3" xfId="12527" xr:uid="{D4F55276-4974-4D05-9116-3213AC54AA96}"/>
    <cellStyle name="20% - Accent1 8 3" xfId="6158" xr:uid="{00000000-0005-0000-0000-00009D000000}"/>
    <cellStyle name="20% - Accent1 8 3 2" xfId="14600" xr:uid="{7D97FE69-7727-4916-9363-BF9AC5D4C2C1}"/>
    <cellStyle name="20% - Accent1 8 4" xfId="10382" xr:uid="{B5CE4807-2CEF-42C7-86A9-5D6B1FF4B88A}"/>
    <cellStyle name="20% - Accent1 9" xfId="2264" xr:uid="{00000000-0005-0000-0000-00009E000000}"/>
    <cellStyle name="20% - Accent1 9 2" xfId="6571" xr:uid="{00000000-0005-0000-0000-00009F000000}"/>
    <cellStyle name="20% - Accent1 9 2 2" xfId="15013" xr:uid="{56446016-C50E-4D63-83EA-53431F255CE1}"/>
    <cellStyle name="20% - Accent1 9 3" xfId="10795" xr:uid="{EC98EDBD-FC40-4E57-97B0-BD609221165D}"/>
    <cellStyle name="20% - Accent2" xfId="9" builtinId="34" customBuiltin="1"/>
    <cellStyle name="20% - Accent2 10" xfId="4513" xr:uid="{00000000-0005-0000-0000-0000A1000000}"/>
    <cellStyle name="20% - Accent2 10 2" xfId="12955" xr:uid="{12DA66D6-9ADC-4F2A-A354-D24108F2A78A}"/>
    <cellStyle name="20% - Accent2 11" xfId="8737" xr:uid="{46B7328D-23ED-43DB-8767-34CCC962C7BE}"/>
    <cellStyle name="20% - Accent2 2" xfId="10" xr:uid="{00000000-0005-0000-0000-0000A2000000}"/>
    <cellStyle name="20% - Accent2 2 10" xfId="8738" xr:uid="{36D651B3-3B11-4D63-9286-1AAC7A4C925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54912FE-843F-48A1-86D1-A4C0AE15E2C6}"/>
    <cellStyle name="20% - Accent2 2 2 2 2 2 3" xfId="11299" xr:uid="{A32DF0D2-8334-4F53-8E1B-3FABF33FB052}"/>
    <cellStyle name="20% - Accent2 2 2 2 2 3" xfId="4930" xr:uid="{00000000-0005-0000-0000-0000A8000000}"/>
    <cellStyle name="20% - Accent2 2 2 2 2 3 2" xfId="13372" xr:uid="{2B377A51-7FFF-489F-A9C9-705E53DEDF62}"/>
    <cellStyle name="20% - Accent2 2 2 2 2 4" xfId="9154" xr:uid="{EF71DCC8-7309-4673-800C-0F654039B036}"/>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36B3A2BD-7D30-4EE6-860C-28A327F47FE7}"/>
    <cellStyle name="20% - Accent2 2 2 2 3 2 3" xfId="11712" xr:uid="{5EE85B6E-75F4-4ECA-9B5C-B69A0AFFDB96}"/>
    <cellStyle name="20% - Accent2 2 2 2 3 3" xfId="5343" xr:uid="{00000000-0005-0000-0000-0000AC000000}"/>
    <cellStyle name="20% - Accent2 2 2 2 3 3 2" xfId="13785" xr:uid="{09F440C4-9C8F-460A-BA7F-1699C26FE043}"/>
    <cellStyle name="20% - Accent2 2 2 2 3 4" xfId="9567" xr:uid="{6E696800-3695-4884-88B4-74D4A4677DD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3A6B9B1F-BE67-4481-8223-94EB0A3915BB}"/>
    <cellStyle name="20% - Accent2 2 2 2 4 2 3" xfId="12125" xr:uid="{B269BF25-7A81-48BE-8516-FC2353539319}"/>
    <cellStyle name="20% - Accent2 2 2 2 4 3" xfId="5756" xr:uid="{00000000-0005-0000-0000-0000B0000000}"/>
    <cellStyle name="20% - Accent2 2 2 2 4 3 2" xfId="14198" xr:uid="{32F41517-3180-42F8-8773-5301438292E8}"/>
    <cellStyle name="20% - Accent2 2 2 2 4 4" xfId="9980" xr:uid="{73DDB939-A1E3-404D-92EC-093C0A204F1C}"/>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3907B169-0C9E-470A-B782-99780992F974}"/>
    <cellStyle name="20% - Accent2 2 2 2 5 2 3" xfId="12538" xr:uid="{FB9A6F01-2E3D-4196-802D-B395AD695AC0}"/>
    <cellStyle name="20% - Accent2 2 2 2 5 3" xfId="6169" xr:uid="{00000000-0005-0000-0000-0000B4000000}"/>
    <cellStyle name="20% - Accent2 2 2 2 5 3 2" xfId="14611" xr:uid="{BC86B536-1D3C-4FC1-9DEC-800D1DE718B4}"/>
    <cellStyle name="20% - Accent2 2 2 2 5 4" xfId="10393" xr:uid="{0B48FCDA-10F3-4364-B4FF-CC16800DDAC1}"/>
    <cellStyle name="20% - Accent2 2 2 2 6" xfId="2275" xr:uid="{00000000-0005-0000-0000-0000B5000000}"/>
    <cellStyle name="20% - Accent2 2 2 2 6 2" xfId="6582" xr:uid="{00000000-0005-0000-0000-0000B6000000}"/>
    <cellStyle name="20% - Accent2 2 2 2 6 2 2" xfId="15024" xr:uid="{EDF60D04-7484-4B6F-8FD9-817C1FE0EF55}"/>
    <cellStyle name="20% - Accent2 2 2 2 6 3" xfId="10806" xr:uid="{AC2D0C0B-34CC-46B9-B59D-48766EB2D800}"/>
    <cellStyle name="20% - Accent2 2 2 2 7" xfId="4516" xr:uid="{00000000-0005-0000-0000-0000B7000000}"/>
    <cellStyle name="20% - Accent2 2 2 2 7 2" xfId="12958" xr:uid="{BE371066-A404-4ACF-AB19-ACEC698FF583}"/>
    <cellStyle name="20% - Accent2 2 2 2 8" xfId="8740" xr:uid="{5EB9D765-D54D-413A-8F53-6C4F28BF6DAA}"/>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8197663E-F93E-4705-8DBA-EBAEE8B818E2}"/>
    <cellStyle name="20% - Accent2 2 2 3 2 3" xfId="11298" xr:uid="{48DD5E9E-867E-4013-AD6F-C95D616986F6}"/>
    <cellStyle name="20% - Accent2 2 2 3 3" xfId="4929" xr:uid="{00000000-0005-0000-0000-0000BB000000}"/>
    <cellStyle name="20% - Accent2 2 2 3 3 2" xfId="13371" xr:uid="{68631048-B3B6-4199-AC53-539405A63CD7}"/>
    <cellStyle name="20% - Accent2 2 2 3 4" xfId="9153" xr:uid="{F9FA0D71-98F8-4AF2-9E88-3C86C52B926F}"/>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B965BD2F-2769-413B-A6AC-414AEF2D49A7}"/>
    <cellStyle name="20% - Accent2 2 2 4 2 3" xfId="11711" xr:uid="{9D990555-EC00-4717-A213-6DF9BE74330C}"/>
    <cellStyle name="20% - Accent2 2 2 4 3" xfId="5342" xr:uid="{00000000-0005-0000-0000-0000BF000000}"/>
    <cellStyle name="20% - Accent2 2 2 4 3 2" xfId="13784" xr:uid="{9B0DEDF7-CD53-4359-95BA-032F8EE40CDD}"/>
    <cellStyle name="20% - Accent2 2 2 4 4" xfId="9566" xr:uid="{A968FB0D-C0EA-432E-8606-51059DEA43D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C27FAE0D-3432-41C1-8828-1A60C6B2B3A6}"/>
    <cellStyle name="20% - Accent2 2 2 5 2 3" xfId="12124" xr:uid="{1D8A7056-776C-4098-8734-B065EBB5ED4C}"/>
    <cellStyle name="20% - Accent2 2 2 5 3" xfId="5755" xr:uid="{00000000-0005-0000-0000-0000C3000000}"/>
    <cellStyle name="20% - Accent2 2 2 5 3 2" xfId="14197" xr:uid="{5277ECB8-9599-492C-B80B-222864EBC980}"/>
    <cellStyle name="20% - Accent2 2 2 5 4" xfId="9979" xr:uid="{C752C8D5-3E7E-4054-9AEB-B2D6E26C6265}"/>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6A985C06-82F6-44A3-AFB9-85F7210A782F}"/>
    <cellStyle name="20% - Accent2 2 2 6 2 3" xfId="12537" xr:uid="{DDE7A7C5-115F-4CD5-AD79-0EC5D945A944}"/>
    <cellStyle name="20% - Accent2 2 2 6 3" xfId="6168" xr:uid="{00000000-0005-0000-0000-0000C7000000}"/>
    <cellStyle name="20% - Accent2 2 2 6 3 2" xfId="14610" xr:uid="{417B54BA-59D9-4841-B061-7C684659C5E7}"/>
    <cellStyle name="20% - Accent2 2 2 6 4" xfId="10392" xr:uid="{3A102539-0CF9-4804-9CB1-2E40342A6012}"/>
    <cellStyle name="20% - Accent2 2 2 7" xfId="2274" xr:uid="{00000000-0005-0000-0000-0000C8000000}"/>
    <cellStyle name="20% - Accent2 2 2 7 2" xfId="6581" xr:uid="{00000000-0005-0000-0000-0000C9000000}"/>
    <cellStyle name="20% - Accent2 2 2 7 2 2" xfId="15023" xr:uid="{86DF1107-912C-481E-BD17-6E07B8AA3374}"/>
    <cellStyle name="20% - Accent2 2 2 7 3" xfId="10805" xr:uid="{70D6D3FD-28E5-4898-A628-FBEE2EB691E0}"/>
    <cellStyle name="20% - Accent2 2 2 8" xfId="4515" xr:uid="{00000000-0005-0000-0000-0000CA000000}"/>
    <cellStyle name="20% - Accent2 2 2 8 2" xfId="12957" xr:uid="{9DF52529-4842-4529-B253-F1C2E0CCAE20}"/>
    <cellStyle name="20% - Accent2 2 2 9" xfId="8739" xr:uid="{5AB843F8-5881-4653-9057-E124E5143408}"/>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BE5696AA-8263-4A76-AD29-C968711C7133}"/>
    <cellStyle name="20% - Accent2 2 3 2 2 3" xfId="11300" xr:uid="{3BFD0619-B423-444A-B435-7D362AB718A6}"/>
    <cellStyle name="20% - Accent2 2 3 2 3" xfId="4931" xr:uid="{00000000-0005-0000-0000-0000CF000000}"/>
    <cellStyle name="20% - Accent2 2 3 2 3 2" xfId="13373" xr:uid="{F7E269A6-F38F-49D4-AEE0-9A909D6AE5CA}"/>
    <cellStyle name="20% - Accent2 2 3 2 4" xfId="9155" xr:uid="{0808BB6F-EA66-43BF-A557-877F2B95EB53}"/>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EA729CB9-E9DC-47A4-BF29-89034DC017D3}"/>
    <cellStyle name="20% - Accent2 2 3 3 2 3" xfId="11713" xr:uid="{8F301937-E844-4ABE-9EF8-C274A91DA85F}"/>
    <cellStyle name="20% - Accent2 2 3 3 3" xfId="5344" xr:uid="{00000000-0005-0000-0000-0000D3000000}"/>
    <cellStyle name="20% - Accent2 2 3 3 3 2" xfId="13786" xr:uid="{7EF1AE03-34B4-47A7-AC51-F966A44EFD78}"/>
    <cellStyle name="20% - Accent2 2 3 3 4" xfId="9568" xr:uid="{B2DB1FBB-C7EC-41EB-A2AC-D1FE543AFB0E}"/>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FD90C429-2DC7-4AA9-AABC-A53CF89159D1}"/>
    <cellStyle name="20% - Accent2 2 3 4 2 3" xfId="12126" xr:uid="{E8C09A04-5567-4C4F-A802-6F54F5190FE4}"/>
    <cellStyle name="20% - Accent2 2 3 4 3" xfId="5757" xr:uid="{00000000-0005-0000-0000-0000D7000000}"/>
    <cellStyle name="20% - Accent2 2 3 4 3 2" xfId="14199" xr:uid="{BE6CAF79-1D46-48A6-9DCE-949E9F1768F0}"/>
    <cellStyle name="20% - Accent2 2 3 4 4" xfId="9981" xr:uid="{15374520-997C-4C6D-9F44-FF2F224EBFF6}"/>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861DA3E7-ADF3-4F6C-A32E-6E817467D3CB}"/>
    <cellStyle name="20% - Accent2 2 3 5 2 3" xfId="12539" xr:uid="{98C24BA0-2FC5-480B-B6C0-B6DA44444AD9}"/>
    <cellStyle name="20% - Accent2 2 3 5 3" xfId="6170" xr:uid="{00000000-0005-0000-0000-0000DB000000}"/>
    <cellStyle name="20% - Accent2 2 3 5 3 2" xfId="14612" xr:uid="{B8505D2D-E810-4E8F-AD3E-CA04361B2360}"/>
    <cellStyle name="20% - Accent2 2 3 5 4" xfId="10394" xr:uid="{78EDE1E2-BCC3-4746-8968-EED0767366C2}"/>
    <cellStyle name="20% - Accent2 2 3 6" xfId="2276" xr:uid="{00000000-0005-0000-0000-0000DC000000}"/>
    <cellStyle name="20% - Accent2 2 3 6 2" xfId="6583" xr:uid="{00000000-0005-0000-0000-0000DD000000}"/>
    <cellStyle name="20% - Accent2 2 3 6 2 2" xfId="15025" xr:uid="{C14B435A-799C-4DE3-87D4-4CF85F4A51AC}"/>
    <cellStyle name="20% - Accent2 2 3 6 3" xfId="10807" xr:uid="{7D3C3650-8190-4646-A49F-405F8A5D880B}"/>
    <cellStyle name="20% - Accent2 2 3 7" xfId="4517" xr:uid="{00000000-0005-0000-0000-0000DE000000}"/>
    <cellStyle name="20% - Accent2 2 3 7 2" xfId="12959" xr:uid="{A7E28CED-411D-4A42-8C41-ED39E67EBCC5}"/>
    <cellStyle name="20% - Accent2 2 3 8" xfId="8741" xr:uid="{529A5107-4E5D-45E1-836F-6E893EB123C3}"/>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72673F17-E23F-43F8-B91D-CFC982D315A3}"/>
    <cellStyle name="20% - Accent2 2 4 2 3" xfId="11297" xr:uid="{4E849A22-1D5E-48D1-9E5B-06FFD1708D74}"/>
    <cellStyle name="20% - Accent2 2 4 3" xfId="4928" xr:uid="{00000000-0005-0000-0000-0000E2000000}"/>
    <cellStyle name="20% - Accent2 2 4 3 2" xfId="13370" xr:uid="{AC3E831C-DE80-407C-822C-7232CDAEE65B}"/>
    <cellStyle name="20% - Accent2 2 4 4" xfId="9152" xr:uid="{1FD4B767-9BDF-4168-B492-C4BDD761138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D2E6A5EF-37E9-43B6-8772-B4DAE0A0E977}"/>
    <cellStyle name="20% - Accent2 2 5 2 3" xfId="11710" xr:uid="{2D435C5C-914F-467A-B278-24DC116EE202}"/>
    <cellStyle name="20% - Accent2 2 5 3" xfId="5341" xr:uid="{00000000-0005-0000-0000-0000E6000000}"/>
    <cellStyle name="20% - Accent2 2 5 3 2" xfId="13783" xr:uid="{F9FA81DA-9FE4-4EBF-8258-B4887B0EAACA}"/>
    <cellStyle name="20% - Accent2 2 5 4" xfId="9565" xr:uid="{BF21F98E-A87B-450D-B984-842971234780}"/>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AD8AD082-C494-4E0E-897B-5B1B73E8401D}"/>
    <cellStyle name="20% - Accent2 2 6 2 3" xfId="12123" xr:uid="{80F559E6-9EB3-4EE5-B696-05CFFA0E5945}"/>
    <cellStyle name="20% - Accent2 2 6 3" xfId="5754" xr:uid="{00000000-0005-0000-0000-0000EA000000}"/>
    <cellStyle name="20% - Accent2 2 6 3 2" xfId="14196" xr:uid="{547586B3-9376-434B-ABAC-503E3F0B55C3}"/>
    <cellStyle name="20% - Accent2 2 6 4" xfId="9978" xr:uid="{AAA61DAE-6415-4A56-A1E5-46878EB2F2AC}"/>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D49A72D0-1343-4DD7-8EFA-3F2A63EE1987}"/>
    <cellStyle name="20% - Accent2 2 7 2 3" xfId="12536" xr:uid="{7FCA192B-D7D4-464E-AB49-8F6B3E32AE00}"/>
    <cellStyle name="20% - Accent2 2 7 3" xfId="6167" xr:uid="{00000000-0005-0000-0000-0000EE000000}"/>
    <cellStyle name="20% - Accent2 2 7 3 2" xfId="14609" xr:uid="{97E9D5A0-B415-4560-A6C9-2F4A89E8709A}"/>
    <cellStyle name="20% - Accent2 2 7 4" xfId="10391" xr:uid="{A7BA7FCE-BE2A-4244-A15E-27696133D091}"/>
    <cellStyle name="20% - Accent2 2 8" xfId="2273" xr:uid="{00000000-0005-0000-0000-0000EF000000}"/>
    <cellStyle name="20% - Accent2 2 8 2" xfId="6580" xr:uid="{00000000-0005-0000-0000-0000F0000000}"/>
    <cellStyle name="20% - Accent2 2 8 2 2" xfId="15022" xr:uid="{47818BE8-C8DD-4426-A82A-1441D2B7A5FB}"/>
    <cellStyle name="20% - Accent2 2 8 3" xfId="10804" xr:uid="{F4A8C77C-6EB9-4C29-A0A7-5AB5BB55D557}"/>
    <cellStyle name="20% - Accent2 2 9" xfId="4514" xr:uid="{00000000-0005-0000-0000-0000F1000000}"/>
    <cellStyle name="20% - Accent2 2 9 2" xfId="12956" xr:uid="{3C34F43E-BDA2-4D35-9CDC-45A218EEB86C}"/>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ECE9AF35-F404-4F98-901C-7B978FFF02B2}"/>
    <cellStyle name="20% - Accent2 3 2 2 2 3" xfId="11302" xr:uid="{2FD4B1E4-A9FB-4BC8-917B-4A49B7A3868B}"/>
    <cellStyle name="20% - Accent2 3 2 2 3" xfId="4933" xr:uid="{00000000-0005-0000-0000-0000F7000000}"/>
    <cellStyle name="20% - Accent2 3 2 2 3 2" xfId="13375" xr:uid="{1F0814E6-A961-4904-9359-EC70A88D1573}"/>
    <cellStyle name="20% - Accent2 3 2 2 4" xfId="9157" xr:uid="{00BD565A-ED63-4A1E-86F0-8EAAFB87A2FF}"/>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35CB9A4C-F970-49F4-946E-026C9CC930C4}"/>
    <cellStyle name="20% - Accent2 3 2 3 2 3" xfId="11715" xr:uid="{2A0CB4F1-81C6-4906-84CD-0A8B522B8386}"/>
    <cellStyle name="20% - Accent2 3 2 3 3" xfId="5346" xr:uid="{00000000-0005-0000-0000-0000FB000000}"/>
    <cellStyle name="20% - Accent2 3 2 3 3 2" xfId="13788" xr:uid="{34CD3753-AB4C-41AD-9DB5-0BCABF399CC2}"/>
    <cellStyle name="20% - Accent2 3 2 3 4" xfId="9570" xr:uid="{92279388-0F4D-43A6-98EF-D8AF4987E518}"/>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FC14CAC5-019E-481E-8C08-E5104C00AE2F}"/>
    <cellStyle name="20% - Accent2 3 2 4 2 3" xfId="12128" xr:uid="{304EDB94-95D7-4228-8761-2F8B285F15CE}"/>
    <cellStyle name="20% - Accent2 3 2 4 3" xfId="5759" xr:uid="{00000000-0005-0000-0000-0000FF000000}"/>
    <cellStyle name="20% - Accent2 3 2 4 3 2" xfId="14201" xr:uid="{96E66C72-3D1A-49EF-82AD-7381013E7769}"/>
    <cellStyle name="20% - Accent2 3 2 4 4" xfId="9983" xr:uid="{4B147E05-65B9-440E-B936-AC042F6E5BA2}"/>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9D5933DF-A463-47C5-BA88-4F1CC3F6AF6E}"/>
    <cellStyle name="20% - Accent2 3 2 5 2 3" xfId="12541" xr:uid="{2CA94F40-E0DE-430A-9A9A-F0D02D2DEB2A}"/>
    <cellStyle name="20% - Accent2 3 2 5 3" xfId="6172" xr:uid="{00000000-0005-0000-0000-000003010000}"/>
    <cellStyle name="20% - Accent2 3 2 5 3 2" xfId="14614" xr:uid="{9ACCF166-3237-43FF-85C5-980A15936FD3}"/>
    <cellStyle name="20% - Accent2 3 2 5 4" xfId="10396" xr:uid="{7E21AF0E-4274-4D6B-9481-363DF8086C08}"/>
    <cellStyle name="20% - Accent2 3 2 6" xfId="2278" xr:uid="{00000000-0005-0000-0000-000004010000}"/>
    <cellStyle name="20% - Accent2 3 2 6 2" xfId="6585" xr:uid="{00000000-0005-0000-0000-000005010000}"/>
    <cellStyle name="20% - Accent2 3 2 6 2 2" xfId="15027" xr:uid="{8AC5A256-844D-4FA6-9211-1E214C99B060}"/>
    <cellStyle name="20% - Accent2 3 2 6 3" xfId="10809" xr:uid="{B9286D21-764B-43EC-AD08-A30375F22175}"/>
    <cellStyle name="20% - Accent2 3 2 7" xfId="4519" xr:uid="{00000000-0005-0000-0000-000006010000}"/>
    <cellStyle name="20% - Accent2 3 2 7 2" xfId="12961" xr:uid="{B3D44272-0EB2-4C78-BF1C-39BAE319FB15}"/>
    <cellStyle name="20% - Accent2 3 2 8" xfId="8743" xr:uid="{DCFCB621-E8F6-4BC5-A38B-62001558965B}"/>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6746419F-F045-4C7B-BA25-C43C83689C24}"/>
    <cellStyle name="20% - Accent2 3 3 2 3" xfId="11301" xr:uid="{757C4E96-E6D8-4E84-BEFB-6A03E65080A0}"/>
    <cellStyle name="20% - Accent2 3 3 3" xfId="4932" xr:uid="{00000000-0005-0000-0000-00000A010000}"/>
    <cellStyle name="20% - Accent2 3 3 3 2" xfId="13374" xr:uid="{9DF76703-08EB-4162-AF1F-DA3FC1DA0512}"/>
    <cellStyle name="20% - Accent2 3 3 4" xfId="9156" xr:uid="{AFDF4764-34F9-4AAD-A5DE-CFB8018C2DA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C2C640FB-1754-4D80-A954-63B266CB1BBF}"/>
    <cellStyle name="20% - Accent2 3 4 2 3" xfId="11714" xr:uid="{9BFDBBDD-9C1E-4E92-80A4-40DD06A4B7E0}"/>
    <cellStyle name="20% - Accent2 3 4 3" xfId="5345" xr:uid="{00000000-0005-0000-0000-00000E010000}"/>
    <cellStyle name="20% - Accent2 3 4 3 2" xfId="13787" xr:uid="{72D7C184-3381-4D2F-BD44-F76D78F4D29C}"/>
    <cellStyle name="20% - Accent2 3 4 4" xfId="9569" xr:uid="{96A85DD3-6C74-472F-9EBA-9289987D684A}"/>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3D2801DA-FDEE-4980-9205-016DEC4CD9F5}"/>
    <cellStyle name="20% - Accent2 3 5 2 3" xfId="12127" xr:uid="{F1396A10-34CC-40C0-B594-F3378996128F}"/>
    <cellStyle name="20% - Accent2 3 5 3" xfId="5758" xr:uid="{00000000-0005-0000-0000-000012010000}"/>
    <cellStyle name="20% - Accent2 3 5 3 2" xfId="14200" xr:uid="{2060F818-CDB8-44FA-A67E-6507531039D0}"/>
    <cellStyle name="20% - Accent2 3 5 4" xfId="9982" xr:uid="{9F7E9216-76E2-419B-AEC9-A464CA9D4757}"/>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60403473-A698-458A-9A43-D051DB6CA22E}"/>
    <cellStyle name="20% - Accent2 3 6 2 3" xfId="12540" xr:uid="{093AFB52-E3B6-4D31-928D-D2F5926D084F}"/>
    <cellStyle name="20% - Accent2 3 6 3" xfId="6171" xr:uid="{00000000-0005-0000-0000-000016010000}"/>
    <cellStyle name="20% - Accent2 3 6 3 2" xfId="14613" xr:uid="{C81A8B7E-946B-44E2-82BA-60318505CA00}"/>
    <cellStyle name="20% - Accent2 3 6 4" xfId="10395" xr:uid="{C0031555-A2E6-427C-8CE2-27A30F2D8024}"/>
    <cellStyle name="20% - Accent2 3 7" xfId="2277" xr:uid="{00000000-0005-0000-0000-000017010000}"/>
    <cellStyle name="20% - Accent2 3 7 2" xfId="6584" xr:uid="{00000000-0005-0000-0000-000018010000}"/>
    <cellStyle name="20% - Accent2 3 7 2 2" xfId="15026" xr:uid="{C1854E15-6FB7-4B27-BF3F-06BFBB44DDED}"/>
    <cellStyle name="20% - Accent2 3 7 3" xfId="10808" xr:uid="{50A62542-E891-4722-8B5A-07994145C275}"/>
    <cellStyle name="20% - Accent2 3 8" xfId="4518" xr:uid="{00000000-0005-0000-0000-000019010000}"/>
    <cellStyle name="20% - Accent2 3 8 2" xfId="12960" xr:uid="{A4F949B2-6E8F-47DB-9BDE-66D44591BA67}"/>
    <cellStyle name="20% - Accent2 3 9" xfId="8742" xr:uid="{5F4FE027-056D-44A0-9ED9-2B0D902B0C1A}"/>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7BAA189A-1442-4E52-9FE0-E33028350723}"/>
    <cellStyle name="20% - Accent2 4 2 2 3" xfId="11303" xr:uid="{E30090C2-5648-42FE-8C9B-9181447D51C2}"/>
    <cellStyle name="20% - Accent2 4 2 3" xfId="4934" xr:uid="{00000000-0005-0000-0000-00001E010000}"/>
    <cellStyle name="20% - Accent2 4 2 3 2" xfId="13376" xr:uid="{E6D20C77-2F2C-419F-8BF6-FCB02BB2989F}"/>
    <cellStyle name="20% - Accent2 4 2 4" xfId="9158" xr:uid="{3FC542F5-2597-4620-B8BA-AE63A6FF593A}"/>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F6358A28-321A-4C72-99BD-7B2DB0E9677F}"/>
    <cellStyle name="20% - Accent2 4 3 2 3" xfId="11716" xr:uid="{A2958E6D-07B7-419D-A1A5-FB3868F15351}"/>
    <cellStyle name="20% - Accent2 4 3 3" xfId="5347" xr:uid="{00000000-0005-0000-0000-000022010000}"/>
    <cellStyle name="20% - Accent2 4 3 3 2" xfId="13789" xr:uid="{0D0C5FD3-56CE-4DAB-86D5-4E99E9BDFC63}"/>
    <cellStyle name="20% - Accent2 4 3 4" xfId="9571" xr:uid="{AC17E332-4BA5-4D6B-AC38-6F8532B0423D}"/>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55BDA88E-4200-412D-8FE3-8CB33926AD96}"/>
    <cellStyle name="20% - Accent2 4 4 2 3" xfId="12129" xr:uid="{7082EEBE-C02A-4DE7-92B2-358A29C468BB}"/>
    <cellStyle name="20% - Accent2 4 4 3" xfId="5760" xr:uid="{00000000-0005-0000-0000-000026010000}"/>
    <cellStyle name="20% - Accent2 4 4 3 2" xfId="14202" xr:uid="{8F42F2B8-0BF5-4268-9220-0F50AFB2E7BB}"/>
    <cellStyle name="20% - Accent2 4 4 4" xfId="9984" xr:uid="{4CA4FA86-C769-40B6-942E-A0B03A43C25C}"/>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8EC987C3-25A1-4F69-ABE7-C404901AB61E}"/>
    <cellStyle name="20% - Accent2 4 5 2 3" xfId="12542" xr:uid="{09A1F630-4207-41D9-A137-2612F97F3D4F}"/>
    <cellStyle name="20% - Accent2 4 5 3" xfId="6173" xr:uid="{00000000-0005-0000-0000-00002A010000}"/>
    <cellStyle name="20% - Accent2 4 5 3 2" xfId="14615" xr:uid="{736BD649-DCFD-47BD-9A3D-E0C74911E920}"/>
    <cellStyle name="20% - Accent2 4 5 4" xfId="10397" xr:uid="{2402E2C0-3537-4E13-B6F9-F3A04E8E7A7B}"/>
    <cellStyle name="20% - Accent2 4 6" xfId="2279" xr:uid="{00000000-0005-0000-0000-00002B010000}"/>
    <cellStyle name="20% - Accent2 4 6 2" xfId="6586" xr:uid="{00000000-0005-0000-0000-00002C010000}"/>
    <cellStyle name="20% - Accent2 4 6 2 2" xfId="15028" xr:uid="{60E61D50-8E2C-4741-A4AB-B7F80B1A95EA}"/>
    <cellStyle name="20% - Accent2 4 6 3" xfId="10810" xr:uid="{8C9C1638-8F46-4D21-A7A9-F716A8CF8E3F}"/>
    <cellStyle name="20% - Accent2 4 7" xfId="4520" xr:uid="{00000000-0005-0000-0000-00002D010000}"/>
    <cellStyle name="20% - Accent2 4 7 2" xfId="12962" xr:uid="{504B1555-6FB1-40C7-9244-7D9DE18274A4}"/>
    <cellStyle name="20% - Accent2 4 8" xfId="8744" xr:uid="{4B1ABEEE-EFCD-4743-982B-D437DBD3FE27}"/>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503767D4-30DA-47DA-8C72-C03A6654B767}"/>
    <cellStyle name="20% - Accent2 5 2 3" xfId="11296" xr:uid="{DC16F4BD-1467-4E3F-B269-8D68933A2988}"/>
    <cellStyle name="20% - Accent2 5 3" xfId="4927" xr:uid="{00000000-0005-0000-0000-000031010000}"/>
    <cellStyle name="20% - Accent2 5 3 2" xfId="13369" xr:uid="{10A1BC2E-A1CA-45DC-A20C-29ECABDD34F2}"/>
    <cellStyle name="20% - Accent2 5 4" xfId="9151" xr:uid="{3A7C5E7C-2773-4522-A138-E2FE1788047B}"/>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002B73E8-2E5C-40C1-8F33-781B7E08CE14}"/>
    <cellStyle name="20% - Accent2 6 2 3" xfId="11709" xr:uid="{B060493F-13AE-4192-8CF9-DDC124FD407C}"/>
    <cellStyle name="20% - Accent2 6 3" xfId="5340" xr:uid="{00000000-0005-0000-0000-000035010000}"/>
    <cellStyle name="20% - Accent2 6 3 2" xfId="13782" xr:uid="{C8B5FEC8-6818-4F96-A2B5-A4BE9D850F86}"/>
    <cellStyle name="20% - Accent2 6 4" xfId="9564" xr:uid="{77E20CBA-CF27-4D3D-B925-26AFB6EB1BAE}"/>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BE9B9009-5B4E-4675-A2FE-8B152BD340AA}"/>
    <cellStyle name="20% - Accent2 7 2 3" xfId="12122" xr:uid="{04EF2194-2172-4B8F-BD5D-025966194FD2}"/>
    <cellStyle name="20% - Accent2 7 3" xfId="5753" xr:uid="{00000000-0005-0000-0000-000039010000}"/>
    <cellStyle name="20% - Accent2 7 3 2" xfId="14195" xr:uid="{46C122FB-19BE-4496-91EF-6EBD8D205E38}"/>
    <cellStyle name="20% - Accent2 7 4" xfId="9977" xr:uid="{32F14C7B-C0A4-44B1-9BF9-BA2DFF99AB08}"/>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B43AF76C-5096-4FB1-A61A-D564841CCE96}"/>
    <cellStyle name="20% - Accent2 8 2 3" xfId="12535" xr:uid="{3007BDE4-0419-4CE5-812F-3F244C78964C}"/>
    <cellStyle name="20% - Accent2 8 3" xfId="6166" xr:uid="{00000000-0005-0000-0000-00003D010000}"/>
    <cellStyle name="20% - Accent2 8 3 2" xfId="14608" xr:uid="{3B9E39AB-3008-4F06-8B8F-BA6BB244E2CD}"/>
    <cellStyle name="20% - Accent2 8 4" xfId="10390" xr:uid="{B3A4FDF5-6427-4719-92A3-877383C9B518}"/>
    <cellStyle name="20% - Accent2 9" xfId="2272" xr:uid="{00000000-0005-0000-0000-00003E010000}"/>
    <cellStyle name="20% - Accent2 9 2" xfId="6579" xr:uid="{00000000-0005-0000-0000-00003F010000}"/>
    <cellStyle name="20% - Accent2 9 2 2" xfId="15021" xr:uid="{3A03AE31-FFEB-4C39-B509-792E3213F525}"/>
    <cellStyle name="20% - Accent2 9 3" xfId="10803" xr:uid="{EE797B80-AFD7-4D70-9C82-BDE66E8DEDEE}"/>
    <cellStyle name="20% - Accent3" xfId="17" builtinId="38" customBuiltin="1"/>
    <cellStyle name="20% - Accent3 10" xfId="4521" xr:uid="{00000000-0005-0000-0000-000041010000}"/>
    <cellStyle name="20% - Accent3 10 2" xfId="12963" xr:uid="{72B39F35-92B2-4F13-BED6-F0F93F7CB377}"/>
    <cellStyle name="20% - Accent3 11" xfId="8745" xr:uid="{89921432-A2C9-4375-A8CA-B8ADF495F4A0}"/>
    <cellStyle name="20% - Accent3 2" xfId="18" xr:uid="{00000000-0005-0000-0000-000042010000}"/>
    <cellStyle name="20% - Accent3 2 10" xfId="8746" xr:uid="{83D637B8-C5DF-4030-B5A8-837EA60EB7EA}"/>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66719605-47BB-45A4-829B-9039296E14A1}"/>
    <cellStyle name="20% - Accent3 2 2 2 2 2 3" xfId="11307" xr:uid="{786A98AE-D421-42AC-93F0-5B6EAA5A82AC}"/>
    <cellStyle name="20% - Accent3 2 2 2 2 3" xfId="4938" xr:uid="{00000000-0005-0000-0000-000048010000}"/>
    <cellStyle name="20% - Accent3 2 2 2 2 3 2" xfId="13380" xr:uid="{FD08DFF5-BAE0-4A53-A084-31D0C5BB1B9D}"/>
    <cellStyle name="20% - Accent3 2 2 2 2 4" xfId="9162" xr:uid="{2F7F885F-4D24-4D97-9761-B17EA7A2D52D}"/>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3368C19-A7F3-4C3D-9F8C-9E956EFD4667}"/>
    <cellStyle name="20% - Accent3 2 2 2 3 2 3" xfId="11720" xr:uid="{3A84E2EB-4D68-48F5-87A1-315D4B856AD6}"/>
    <cellStyle name="20% - Accent3 2 2 2 3 3" xfId="5351" xr:uid="{00000000-0005-0000-0000-00004C010000}"/>
    <cellStyle name="20% - Accent3 2 2 2 3 3 2" xfId="13793" xr:uid="{99D7A972-6C2E-4067-968A-0AD9D3F5DEC8}"/>
    <cellStyle name="20% - Accent3 2 2 2 3 4" xfId="9575" xr:uid="{ADF1881C-D9EE-41F5-89A8-ED314FC73B7F}"/>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DE46F5DF-824C-4A9D-AB0C-9CAABB445893}"/>
    <cellStyle name="20% - Accent3 2 2 2 4 2 3" xfId="12133" xr:uid="{B1332E45-1B23-4CF8-A02E-CF10485D0BBD}"/>
    <cellStyle name="20% - Accent3 2 2 2 4 3" xfId="5764" xr:uid="{00000000-0005-0000-0000-000050010000}"/>
    <cellStyle name="20% - Accent3 2 2 2 4 3 2" xfId="14206" xr:uid="{1D8171FF-222E-42C7-84BC-33B7DA6E8FA7}"/>
    <cellStyle name="20% - Accent3 2 2 2 4 4" xfId="9988" xr:uid="{3E869816-52EF-4D2E-A5A5-29E3F9116E43}"/>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B58E1E0-0AEC-4C7D-BC05-64D25A5A2CF5}"/>
    <cellStyle name="20% - Accent3 2 2 2 5 2 3" xfId="12546" xr:uid="{3F48F7D2-2ACA-454C-810E-368E69C11FAF}"/>
    <cellStyle name="20% - Accent3 2 2 2 5 3" xfId="6177" xr:uid="{00000000-0005-0000-0000-000054010000}"/>
    <cellStyle name="20% - Accent3 2 2 2 5 3 2" xfId="14619" xr:uid="{3ABF5C3B-90B2-4BEB-A82C-AA830E60B3F4}"/>
    <cellStyle name="20% - Accent3 2 2 2 5 4" xfId="10401" xr:uid="{7D266E83-2D35-496D-94AB-EDC82B18892D}"/>
    <cellStyle name="20% - Accent3 2 2 2 6" xfId="2283" xr:uid="{00000000-0005-0000-0000-000055010000}"/>
    <cellStyle name="20% - Accent3 2 2 2 6 2" xfId="6590" xr:uid="{00000000-0005-0000-0000-000056010000}"/>
    <cellStyle name="20% - Accent3 2 2 2 6 2 2" xfId="15032" xr:uid="{CBBED218-3DF1-4AB7-BDEE-80AE91B9DA0B}"/>
    <cellStyle name="20% - Accent3 2 2 2 6 3" xfId="10814" xr:uid="{B07FF8D6-E4E6-4521-BDC0-E04A38E88E15}"/>
    <cellStyle name="20% - Accent3 2 2 2 7" xfId="4524" xr:uid="{00000000-0005-0000-0000-000057010000}"/>
    <cellStyle name="20% - Accent3 2 2 2 7 2" xfId="12966" xr:uid="{DC88445D-FC84-46DC-81C0-53E2C1E11054}"/>
    <cellStyle name="20% - Accent3 2 2 2 8" xfId="8748" xr:uid="{891A66F3-DA4E-46FD-9B15-59066770459E}"/>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A3DE40E5-0597-4824-BAD1-519114991E0D}"/>
    <cellStyle name="20% - Accent3 2 2 3 2 3" xfId="11306" xr:uid="{3B079941-36C4-4A63-881D-E26EB638E05B}"/>
    <cellStyle name="20% - Accent3 2 2 3 3" xfId="4937" xr:uid="{00000000-0005-0000-0000-00005B010000}"/>
    <cellStyle name="20% - Accent3 2 2 3 3 2" xfId="13379" xr:uid="{88772D64-49DB-43C4-862D-74101AFBD01D}"/>
    <cellStyle name="20% - Accent3 2 2 3 4" xfId="9161" xr:uid="{E85A43B1-F8BB-469F-A670-079EF2ACBAE6}"/>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616797CE-9749-473F-90A7-8C08DA9D029B}"/>
    <cellStyle name="20% - Accent3 2 2 4 2 3" xfId="11719" xr:uid="{05966A7F-01F8-4ADA-B02A-3B9EDD109E96}"/>
    <cellStyle name="20% - Accent3 2 2 4 3" xfId="5350" xr:uid="{00000000-0005-0000-0000-00005F010000}"/>
    <cellStyle name="20% - Accent3 2 2 4 3 2" xfId="13792" xr:uid="{E9755D1F-1849-499D-A37F-C9C13C9E436B}"/>
    <cellStyle name="20% - Accent3 2 2 4 4" xfId="9574" xr:uid="{F84FF446-B946-46B7-AC0A-F88D2E1862D9}"/>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2D2396DC-2942-4189-A9AC-836D385519F8}"/>
    <cellStyle name="20% - Accent3 2 2 5 2 3" xfId="12132" xr:uid="{772A7436-BB72-461F-81FA-C48FE1A281FA}"/>
    <cellStyle name="20% - Accent3 2 2 5 3" xfId="5763" xr:uid="{00000000-0005-0000-0000-000063010000}"/>
    <cellStyle name="20% - Accent3 2 2 5 3 2" xfId="14205" xr:uid="{E063E003-C6BD-474D-A750-AC8E657E557F}"/>
    <cellStyle name="20% - Accent3 2 2 5 4" xfId="9987" xr:uid="{8BD8D4AC-75F1-4BF3-A40B-07006B31BCBF}"/>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E1106A73-7EC2-4DF7-AF5E-D78DB5CCC42E}"/>
    <cellStyle name="20% - Accent3 2 2 6 2 3" xfId="12545" xr:uid="{9A96268C-09AA-479F-B036-157292C3F718}"/>
    <cellStyle name="20% - Accent3 2 2 6 3" xfId="6176" xr:uid="{00000000-0005-0000-0000-000067010000}"/>
    <cellStyle name="20% - Accent3 2 2 6 3 2" xfId="14618" xr:uid="{B1ED0DB9-91E1-424E-8D5A-B625A1B96BBF}"/>
    <cellStyle name="20% - Accent3 2 2 6 4" xfId="10400" xr:uid="{7D1C7183-2017-40A5-8C3B-BA3B312F23CD}"/>
    <cellStyle name="20% - Accent3 2 2 7" xfId="2282" xr:uid="{00000000-0005-0000-0000-000068010000}"/>
    <cellStyle name="20% - Accent3 2 2 7 2" xfId="6589" xr:uid="{00000000-0005-0000-0000-000069010000}"/>
    <cellStyle name="20% - Accent3 2 2 7 2 2" xfId="15031" xr:uid="{8899CBA8-DEA0-464C-88D3-0DDC67B156A8}"/>
    <cellStyle name="20% - Accent3 2 2 7 3" xfId="10813" xr:uid="{D249E9C5-6BCD-4534-AAF4-678913C990EC}"/>
    <cellStyle name="20% - Accent3 2 2 8" xfId="4523" xr:uid="{00000000-0005-0000-0000-00006A010000}"/>
    <cellStyle name="20% - Accent3 2 2 8 2" xfId="12965" xr:uid="{D0D25C8D-6002-4C87-BD26-5A08770DF246}"/>
    <cellStyle name="20% - Accent3 2 2 9" xfId="8747" xr:uid="{486FFFF2-7778-4342-9AD0-A5B5A9E5BE3F}"/>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5E5F6F11-70BB-4963-881D-0DCEF1890B14}"/>
    <cellStyle name="20% - Accent3 2 3 2 2 3" xfId="11308" xr:uid="{CAB17441-A957-4AAB-8EB3-6C9CF01A0F5E}"/>
    <cellStyle name="20% - Accent3 2 3 2 3" xfId="4939" xr:uid="{00000000-0005-0000-0000-00006F010000}"/>
    <cellStyle name="20% - Accent3 2 3 2 3 2" xfId="13381" xr:uid="{86E14A2F-9FE9-4A29-A558-F82C87D0A735}"/>
    <cellStyle name="20% - Accent3 2 3 2 4" xfId="9163" xr:uid="{391FA7F5-FD09-4781-B544-233C442A13A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85944AEF-6690-4C24-B63D-7EA04A030173}"/>
    <cellStyle name="20% - Accent3 2 3 3 2 3" xfId="11721" xr:uid="{86B9A651-A36E-47AE-AD4F-40C5ACCCC7AC}"/>
    <cellStyle name="20% - Accent3 2 3 3 3" xfId="5352" xr:uid="{00000000-0005-0000-0000-000073010000}"/>
    <cellStyle name="20% - Accent3 2 3 3 3 2" xfId="13794" xr:uid="{AB8CBDA9-9389-448D-AF11-E1BDB41C355B}"/>
    <cellStyle name="20% - Accent3 2 3 3 4" xfId="9576" xr:uid="{5D077031-A2B4-4736-ADA7-4EDFCC9022B3}"/>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E5DA99EE-958A-47A6-8B6F-29F76E6A4438}"/>
    <cellStyle name="20% - Accent3 2 3 4 2 3" xfId="12134" xr:uid="{61F7D63F-59B2-42F0-A6FC-FE0CAAF463C1}"/>
    <cellStyle name="20% - Accent3 2 3 4 3" xfId="5765" xr:uid="{00000000-0005-0000-0000-000077010000}"/>
    <cellStyle name="20% - Accent3 2 3 4 3 2" xfId="14207" xr:uid="{C0F96329-F572-4C8F-AE85-6BEC4E4F0A2A}"/>
    <cellStyle name="20% - Accent3 2 3 4 4" xfId="9989" xr:uid="{7CECE3EB-DA24-47F0-BFF0-E819600E487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29886D2B-BE56-4040-865B-7665AE665394}"/>
    <cellStyle name="20% - Accent3 2 3 5 2 3" xfId="12547" xr:uid="{3F865A11-7ACC-432D-A7DF-61A1C47DA87F}"/>
    <cellStyle name="20% - Accent3 2 3 5 3" xfId="6178" xr:uid="{00000000-0005-0000-0000-00007B010000}"/>
    <cellStyle name="20% - Accent3 2 3 5 3 2" xfId="14620" xr:uid="{936D06E1-04B1-49C0-854C-76E49854B297}"/>
    <cellStyle name="20% - Accent3 2 3 5 4" xfId="10402" xr:uid="{59B18038-AE45-49A9-A33D-7B2483CEA619}"/>
    <cellStyle name="20% - Accent3 2 3 6" xfId="2284" xr:uid="{00000000-0005-0000-0000-00007C010000}"/>
    <cellStyle name="20% - Accent3 2 3 6 2" xfId="6591" xr:uid="{00000000-0005-0000-0000-00007D010000}"/>
    <cellStyle name="20% - Accent3 2 3 6 2 2" xfId="15033" xr:uid="{EFFC4E9B-6404-42D5-8A0F-18181B52CDD4}"/>
    <cellStyle name="20% - Accent3 2 3 6 3" xfId="10815" xr:uid="{29D24F6B-F261-4472-AD11-F91885C0B079}"/>
    <cellStyle name="20% - Accent3 2 3 7" xfId="4525" xr:uid="{00000000-0005-0000-0000-00007E010000}"/>
    <cellStyle name="20% - Accent3 2 3 7 2" xfId="12967" xr:uid="{984149EC-643F-42C6-8E06-A8C807CB8ADA}"/>
    <cellStyle name="20% - Accent3 2 3 8" xfId="8749" xr:uid="{9DDF41B5-7AB0-46CD-9B0B-CA9925AD8F0E}"/>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F1173BF2-2D98-497B-974F-4EE133E54786}"/>
    <cellStyle name="20% - Accent3 2 4 2 3" xfId="11305" xr:uid="{8BF6CB0F-EBD8-4DA0-AB4D-D041F1A2DC87}"/>
    <cellStyle name="20% - Accent3 2 4 3" xfId="4936" xr:uid="{00000000-0005-0000-0000-000082010000}"/>
    <cellStyle name="20% - Accent3 2 4 3 2" xfId="13378" xr:uid="{AFBAAA50-F27B-4A4B-BE45-C42A70F0949F}"/>
    <cellStyle name="20% - Accent3 2 4 4" xfId="9160" xr:uid="{6C11E152-1353-48FF-902F-904A28C1DF7D}"/>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7AC5C5A3-D3E7-4A07-A6E8-BB25C6A66892}"/>
    <cellStyle name="20% - Accent3 2 5 2 3" xfId="11718" xr:uid="{B08FCB8D-45CA-45C4-A382-5D5D6128AD35}"/>
    <cellStyle name="20% - Accent3 2 5 3" xfId="5349" xr:uid="{00000000-0005-0000-0000-000086010000}"/>
    <cellStyle name="20% - Accent3 2 5 3 2" xfId="13791" xr:uid="{6B2B1AC8-A22E-48F3-AE37-D8ED0104C468}"/>
    <cellStyle name="20% - Accent3 2 5 4" xfId="9573" xr:uid="{71304791-0B08-4634-9E2A-24231473C640}"/>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886FEE10-6E31-4A6E-85E1-A70A0E497E0C}"/>
    <cellStyle name="20% - Accent3 2 6 2 3" xfId="12131" xr:uid="{A0598B90-663E-4889-B8E7-E8771D67D167}"/>
    <cellStyle name="20% - Accent3 2 6 3" xfId="5762" xr:uid="{00000000-0005-0000-0000-00008A010000}"/>
    <cellStyle name="20% - Accent3 2 6 3 2" xfId="14204" xr:uid="{58A7E707-0637-4A3F-B2B1-AD20508BE5F2}"/>
    <cellStyle name="20% - Accent3 2 6 4" xfId="9986" xr:uid="{1767AC97-57D0-42BD-93DB-8A49AA45D012}"/>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FD95A448-2749-446B-9B08-38ACD66BA4CF}"/>
    <cellStyle name="20% - Accent3 2 7 2 3" xfId="12544" xr:uid="{C88F0122-A872-4E83-90E2-5E760D674C9D}"/>
    <cellStyle name="20% - Accent3 2 7 3" xfId="6175" xr:uid="{00000000-0005-0000-0000-00008E010000}"/>
    <cellStyle name="20% - Accent3 2 7 3 2" xfId="14617" xr:uid="{C1FAD307-E447-4225-8EDA-C307A518EA2C}"/>
    <cellStyle name="20% - Accent3 2 7 4" xfId="10399" xr:uid="{ADB2B2DD-14B9-4100-8FA8-A7F8B1975F5B}"/>
    <cellStyle name="20% - Accent3 2 8" xfId="2281" xr:uid="{00000000-0005-0000-0000-00008F010000}"/>
    <cellStyle name="20% - Accent3 2 8 2" xfId="6588" xr:uid="{00000000-0005-0000-0000-000090010000}"/>
    <cellStyle name="20% - Accent3 2 8 2 2" xfId="15030" xr:uid="{9731DCB6-B173-4138-BFFB-37A0BC898D55}"/>
    <cellStyle name="20% - Accent3 2 8 3" xfId="10812" xr:uid="{32A4D0C7-8382-4C6F-BCDC-414654421231}"/>
    <cellStyle name="20% - Accent3 2 9" xfId="4522" xr:uid="{00000000-0005-0000-0000-000091010000}"/>
    <cellStyle name="20% - Accent3 2 9 2" xfId="12964" xr:uid="{2FB59F9A-3B84-4855-9E70-0C2566D6E15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4EF6195E-239E-494C-AB1C-3ABEAF692F94}"/>
    <cellStyle name="20% - Accent3 3 2 2 2 3" xfId="11310" xr:uid="{33835836-806A-4402-A6FA-F57F0944C447}"/>
    <cellStyle name="20% - Accent3 3 2 2 3" xfId="4941" xr:uid="{00000000-0005-0000-0000-000097010000}"/>
    <cellStyle name="20% - Accent3 3 2 2 3 2" xfId="13383" xr:uid="{BD58DC66-A77B-474F-B1A7-BC0867B4A968}"/>
    <cellStyle name="20% - Accent3 3 2 2 4" xfId="9165" xr:uid="{F0A11B44-6FD6-4322-868A-E47942F1BD03}"/>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6220CA48-80E7-4236-AC72-4DF00DFFBC40}"/>
    <cellStyle name="20% - Accent3 3 2 3 2 3" xfId="11723" xr:uid="{F1EC216B-DA5C-4BEB-BB84-1870BDF2D01B}"/>
    <cellStyle name="20% - Accent3 3 2 3 3" xfId="5354" xr:uid="{00000000-0005-0000-0000-00009B010000}"/>
    <cellStyle name="20% - Accent3 3 2 3 3 2" xfId="13796" xr:uid="{55EA2BBA-6B1C-4DB6-82A1-A2C2D5F4D9A1}"/>
    <cellStyle name="20% - Accent3 3 2 3 4" xfId="9578" xr:uid="{D95B4565-DA00-4A1D-BF97-DC644F6422DE}"/>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E0C5E4A2-E85A-44AB-9E52-EB16ACF62FF8}"/>
    <cellStyle name="20% - Accent3 3 2 4 2 3" xfId="12136" xr:uid="{8212685F-5EAA-4CA6-A97E-FB7E3A19BFA2}"/>
    <cellStyle name="20% - Accent3 3 2 4 3" xfId="5767" xr:uid="{00000000-0005-0000-0000-00009F010000}"/>
    <cellStyle name="20% - Accent3 3 2 4 3 2" xfId="14209" xr:uid="{74594E76-4236-4502-95D5-3CBD9E99B1B0}"/>
    <cellStyle name="20% - Accent3 3 2 4 4" xfId="9991" xr:uid="{4389D663-E86F-4284-8296-E643FB14E36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ED495744-B52C-4C7A-AB66-197B69B848EB}"/>
    <cellStyle name="20% - Accent3 3 2 5 2 3" xfId="12549" xr:uid="{CAECA92D-BDF6-4AFB-BB1D-BA9A45DACE15}"/>
    <cellStyle name="20% - Accent3 3 2 5 3" xfId="6180" xr:uid="{00000000-0005-0000-0000-0000A3010000}"/>
    <cellStyle name="20% - Accent3 3 2 5 3 2" xfId="14622" xr:uid="{F8A65A67-B51E-4FAA-8862-156EFB1D2CE3}"/>
    <cellStyle name="20% - Accent3 3 2 5 4" xfId="10404" xr:uid="{CB9C1CAB-7AA8-4E06-8C5F-8B704E599A89}"/>
    <cellStyle name="20% - Accent3 3 2 6" xfId="2286" xr:uid="{00000000-0005-0000-0000-0000A4010000}"/>
    <cellStyle name="20% - Accent3 3 2 6 2" xfId="6593" xr:uid="{00000000-0005-0000-0000-0000A5010000}"/>
    <cellStyle name="20% - Accent3 3 2 6 2 2" xfId="15035" xr:uid="{ED05C1D9-B3D5-4D88-AFF0-0391A13BBCE1}"/>
    <cellStyle name="20% - Accent3 3 2 6 3" xfId="10817" xr:uid="{7568F78B-6423-4DC6-88E2-123C943168BF}"/>
    <cellStyle name="20% - Accent3 3 2 7" xfId="4527" xr:uid="{00000000-0005-0000-0000-0000A6010000}"/>
    <cellStyle name="20% - Accent3 3 2 7 2" xfId="12969" xr:uid="{FE3622F9-0230-4F66-B389-C21D515EB4CB}"/>
    <cellStyle name="20% - Accent3 3 2 8" xfId="8751" xr:uid="{F85F2F95-3D4F-4ED3-8A80-1D20C28E85E8}"/>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89763F75-F2CC-4756-A6DB-402ABE590A46}"/>
    <cellStyle name="20% - Accent3 3 3 2 3" xfId="11309" xr:uid="{7EFD4BD8-6FCE-4445-80E9-9B7732BD086C}"/>
    <cellStyle name="20% - Accent3 3 3 3" xfId="4940" xr:uid="{00000000-0005-0000-0000-0000AA010000}"/>
    <cellStyle name="20% - Accent3 3 3 3 2" xfId="13382" xr:uid="{3CAF24CF-3B7D-4E72-811A-C9DBDFA77368}"/>
    <cellStyle name="20% - Accent3 3 3 4" xfId="9164" xr:uid="{20F3D310-C448-435D-9645-65F1A921E3F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C0FD1BC6-CA21-4627-9743-5CC1570BA40E}"/>
    <cellStyle name="20% - Accent3 3 4 2 3" xfId="11722" xr:uid="{02CB358E-9025-4656-B818-4A4147075E05}"/>
    <cellStyle name="20% - Accent3 3 4 3" xfId="5353" xr:uid="{00000000-0005-0000-0000-0000AE010000}"/>
    <cellStyle name="20% - Accent3 3 4 3 2" xfId="13795" xr:uid="{C978FF39-AA4E-4E18-8D33-4F45E730E4F2}"/>
    <cellStyle name="20% - Accent3 3 4 4" xfId="9577" xr:uid="{34D04964-F052-48D8-8096-77AD9C7610C2}"/>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90B0AA84-DCE3-481B-9796-975EB7B136B7}"/>
    <cellStyle name="20% - Accent3 3 5 2 3" xfId="12135" xr:uid="{8C823912-B33C-446C-AC78-FCE02986CDC1}"/>
    <cellStyle name="20% - Accent3 3 5 3" xfId="5766" xr:uid="{00000000-0005-0000-0000-0000B2010000}"/>
    <cellStyle name="20% - Accent3 3 5 3 2" xfId="14208" xr:uid="{9F9AC0FA-2CD6-463A-8BB3-70F01D892EA2}"/>
    <cellStyle name="20% - Accent3 3 5 4" xfId="9990" xr:uid="{8C2E4895-24D2-4EAE-9561-9FA51F13B973}"/>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DA100B55-C82D-40A4-A126-19C379BCE910}"/>
    <cellStyle name="20% - Accent3 3 6 2 3" xfId="12548" xr:uid="{D21829EE-263B-4B98-8544-4B21FC47FBF9}"/>
    <cellStyle name="20% - Accent3 3 6 3" xfId="6179" xr:uid="{00000000-0005-0000-0000-0000B6010000}"/>
    <cellStyle name="20% - Accent3 3 6 3 2" xfId="14621" xr:uid="{0AB6DCF9-9948-4A44-B365-6892511464EF}"/>
    <cellStyle name="20% - Accent3 3 6 4" xfId="10403" xr:uid="{057356E4-C76A-4E9A-AA9D-7D655F8AEE13}"/>
    <cellStyle name="20% - Accent3 3 7" xfId="2285" xr:uid="{00000000-0005-0000-0000-0000B7010000}"/>
    <cellStyle name="20% - Accent3 3 7 2" xfId="6592" xr:uid="{00000000-0005-0000-0000-0000B8010000}"/>
    <cellStyle name="20% - Accent3 3 7 2 2" xfId="15034" xr:uid="{5789F7F8-EFBB-4B5D-8BA8-2B44823A9870}"/>
    <cellStyle name="20% - Accent3 3 7 3" xfId="10816" xr:uid="{6692E290-936D-401F-9CC4-202048F22269}"/>
    <cellStyle name="20% - Accent3 3 8" xfId="4526" xr:uid="{00000000-0005-0000-0000-0000B9010000}"/>
    <cellStyle name="20% - Accent3 3 8 2" xfId="12968" xr:uid="{55A4FA79-2CD2-4B4C-AB09-6DB2C8887C78}"/>
    <cellStyle name="20% - Accent3 3 9" xfId="8750" xr:uid="{A63BB15C-83F5-4DFD-936D-79EEEFC00C5E}"/>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FC360D48-2ED2-4010-BBB1-29FD8F3D9D40}"/>
    <cellStyle name="20% - Accent3 4 2 2 3" xfId="11311" xr:uid="{C45F332E-2D38-425E-8A1C-10568D94DA0D}"/>
    <cellStyle name="20% - Accent3 4 2 3" xfId="4942" xr:uid="{00000000-0005-0000-0000-0000BE010000}"/>
    <cellStyle name="20% - Accent3 4 2 3 2" xfId="13384" xr:uid="{A1BB761B-8D70-43E4-9D6C-82EE79FF8292}"/>
    <cellStyle name="20% - Accent3 4 2 4" xfId="9166" xr:uid="{CB4BD516-DB0C-4BB2-B10D-09CD78042E2A}"/>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4D18B3A7-CBCE-44D7-9C1E-01F54728EA32}"/>
    <cellStyle name="20% - Accent3 4 3 2 3" xfId="11724" xr:uid="{4F8461F2-39AE-4F5D-9A47-F9DBF2D99613}"/>
    <cellStyle name="20% - Accent3 4 3 3" xfId="5355" xr:uid="{00000000-0005-0000-0000-0000C2010000}"/>
    <cellStyle name="20% - Accent3 4 3 3 2" xfId="13797" xr:uid="{3388779B-9713-4281-974B-76E3E445C2FD}"/>
    <cellStyle name="20% - Accent3 4 3 4" xfId="9579" xr:uid="{C3744CFD-F446-4DB1-B935-1485D45B65A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21B78666-A463-4445-8D87-E42BA7FE3F4D}"/>
    <cellStyle name="20% - Accent3 4 4 2 3" xfId="12137" xr:uid="{0F9607C0-06DA-4CE8-8E06-E3059317D6BA}"/>
    <cellStyle name="20% - Accent3 4 4 3" xfId="5768" xr:uid="{00000000-0005-0000-0000-0000C6010000}"/>
    <cellStyle name="20% - Accent3 4 4 3 2" xfId="14210" xr:uid="{0AD82954-2E8D-43C0-B5DA-D083273DAD17}"/>
    <cellStyle name="20% - Accent3 4 4 4" xfId="9992" xr:uid="{BC1726C8-5AF8-46EE-8417-42FFF901AA59}"/>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8EE1C093-415C-41FE-9F67-0AAAF0F286D1}"/>
    <cellStyle name="20% - Accent3 4 5 2 3" xfId="12550" xr:uid="{E2F16728-3030-4934-A1A1-F817532E45EE}"/>
    <cellStyle name="20% - Accent3 4 5 3" xfId="6181" xr:uid="{00000000-0005-0000-0000-0000CA010000}"/>
    <cellStyle name="20% - Accent3 4 5 3 2" xfId="14623" xr:uid="{A0828605-48A3-4878-B78A-83BCE99B143E}"/>
    <cellStyle name="20% - Accent3 4 5 4" xfId="10405" xr:uid="{9C2D239B-46CC-4FEE-9A21-60B75F74AA38}"/>
    <cellStyle name="20% - Accent3 4 6" xfId="2287" xr:uid="{00000000-0005-0000-0000-0000CB010000}"/>
    <cellStyle name="20% - Accent3 4 6 2" xfId="6594" xr:uid="{00000000-0005-0000-0000-0000CC010000}"/>
    <cellStyle name="20% - Accent3 4 6 2 2" xfId="15036" xr:uid="{98454F58-DEA8-4F0D-9E09-300EB0E5411F}"/>
    <cellStyle name="20% - Accent3 4 6 3" xfId="10818" xr:uid="{76CA18A7-5D4E-4AAA-A343-DD365F690074}"/>
    <cellStyle name="20% - Accent3 4 7" xfId="4528" xr:uid="{00000000-0005-0000-0000-0000CD010000}"/>
    <cellStyle name="20% - Accent3 4 7 2" xfId="12970" xr:uid="{0E139131-CDD1-41A9-95E1-990D4E9AFB91}"/>
    <cellStyle name="20% - Accent3 4 8" xfId="8752" xr:uid="{157190D7-01D4-4C06-991F-50878F911CE5}"/>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9E2EC58B-21B9-4EDA-A06E-3D256B267470}"/>
    <cellStyle name="20% - Accent3 5 2 3" xfId="11304" xr:uid="{DC34C494-1287-4019-9493-F39262C51A3B}"/>
    <cellStyle name="20% - Accent3 5 3" xfId="4935" xr:uid="{00000000-0005-0000-0000-0000D1010000}"/>
    <cellStyle name="20% - Accent3 5 3 2" xfId="13377" xr:uid="{FBBAF121-E2CA-4959-9B16-247CDA0FAD51}"/>
    <cellStyle name="20% - Accent3 5 4" xfId="9159" xr:uid="{6B0E6339-8D4A-4093-9FF7-783369F03E5E}"/>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1FC34925-3BEA-4118-A090-44D255D256F2}"/>
    <cellStyle name="20% - Accent3 6 2 3" xfId="11717" xr:uid="{6CEEAAB8-3742-4345-8F17-E0D99D33662C}"/>
    <cellStyle name="20% - Accent3 6 3" xfId="5348" xr:uid="{00000000-0005-0000-0000-0000D5010000}"/>
    <cellStyle name="20% - Accent3 6 3 2" xfId="13790" xr:uid="{AA449828-21F8-4896-AC4C-2E0E2965E40A}"/>
    <cellStyle name="20% - Accent3 6 4" xfId="9572" xr:uid="{214B281E-90E4-4EFC-931A-A12391196E81}"/>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66CF8FBF-E87E-4171-B212-11F044BA03E5}"/>
    <cellStyle name="20% - Accent3 7 2 3" xfId="12130" xr:uid="{917080B0-AC1F-4E57-A79E-54CF7AF040E5}"/>
    <cellStyle name="20% - Accent3 7 3" xfId="5761" xr:uid="{00000000-0005-0000-0000-0000D9010000}"/>
    <cellStyle name="20% - Accent3 7 3 2" xfId="14203" xr:uid="{2E0B4E0C-5329-40FA-958B-FC507EDB99AF}"/>
    <cellStyle name="20% - Accent3 7 4" xfId="9985" xr:uid="{80721204-379F-4890-A721-F9B98817F747}"/>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C3C9CF69-4515-4905-B579-B3DB991E1656}"/>
    <cellStyle name="20% - Accent3 8 2 3" xfId="12543" xr:uid="{C7BC8C49-A552-44FE-B369-010DFDA3ABB4}"/>
    <cellStyle name="20% - Accent3 8 3" xfId="6174" xr:uid="{00000000-0005-0000-0000-0000DD010000}"/>
    <cellStyle name="20% - Accent3 8 3 2" xfId="14616" xr:uid="{1B0A3A9A-7F63-406C-8469-7A22CC43E506}"/>
    <cellStyle name="20% - Accent3 8 4" xfId="10398" xr:uid="{B9ED1796-8A7F-4009-96EF-2A9E0031D92A}"/>
    <cellStyle name="20% - Accent3 9" xfId="2280" xr:uid="{00000000-0005-0000-0000-0000DE010000}"/>
    <cellStyle name="20% - Accent3 9 2" xfId="6587" xr:uid="{00000000-0005-0000-0000-0000DF010000}"/>
    <cellStyle name="20% - Accent3 9 2 2" xfId="15029" xr:uid="{FE135495-6D09-4DC1-8EB0-62099E730E62}"/>
    <cellStyle name="20% - Accent3 9 3" xfId="10811" xr:uid="{58C8A6E9-C1BC-47FD-A21D-6F766FF1EC41}"/>
    <cellStyle name="20% - Accent4" xfId="25" builtinId="42" customBuiltin="1"/>
    <cellStyle name="20% - Accent4 10" xfId="4529" xr:uid="{00000000-0005-0000-0000-0000E1010000}"/>
    <cellStyle name="20% - Accent4 10 2" xfId="12971" xr:uid="{DBA022B7-E029-4942-8A75-C2E31D555C78}"/>
    <cellStyle name="20% - Accent4 11" xfId="8753" xr:uid="{D95A2F3F-9415-48C2-8569-92EB4035CBD4}"/>
    <cellStyle name="20% - Accent4 2" xfId="26" xr:uid="{00000000-0005-0000-0000-0000E2010000}"/>
    <cellStyle name="20% - Accent4 2 10" xfId="8754" xr:uid="{D5039C05-99B8-4FD5-A7F9-2D99585F72F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898C3B49-22D5-4DF4-BE2F-19D4D60F3008}"/>
    <cellStyle name="20% - Accent4 2 2 2 2 2 3" xfId="11315" xr:uid="{8A23C046-E866-48C3-82D6-4F58A8FCE6D2}"/>
    <cellStyle name="20% - Accent4 2 2 2 2 3" xfId="4946" xr:uid="{00000000-0005-0000-0000-0000E8010000}"/>
    <cellStyle name="20% - Accent4 2 2 2 2 3 2" xfId="13388" xr:uid="{081E94AB-3679-4BA0-8FAA-ABA7668700A6}"/>
    <cellStyle name="20% - Accent4 2 2 2 2 4" xfId="9170" xr:uid="{3DB836EF-EB8F-4424-AB80-5AB3409ED89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4324D1D6-766D-474C-8894-CAC5A0FD95D3}"/>
    <cellStyle name="20% - Accent4 2 2 2 3 2 3" xfId="11728" xr:uid="{88B79D04-66E7-46EE-96A9-56577FF0088A}"/>
    <cellStyle name="20% - Accent4 2 2 2 3 3" xfId="5359" xr:uid="{00000000-0005-0000-0000-0000EC010000}"/>
    <cellStyle name="20% - Accent4 2 2 2 3 3 2" xfId="13801" xr:uid="{6AF291FC-E6F4-4B44-A380-26FF81876D5F}"/>
    <cellStyle name="20% - Accent4 2 2 2 3 4" xfId="9583" xr:uid="{95E4AB22-15E3-4A1F-9279-B403B8B77167}"/>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61AB9D98-AE7F-4E7A-8271-5590F87EEC04}"/>
    <cellStyle name="20% - Accent4 2 2 2 4 2 3" xfId="12141" xr:uid="{B16758E7-697E-4FBE-8401-550CB4737E01}"/>
    <cellStyle name="20% - Accent4 2 2 2 4 3" xfId="5772" xr:uid="{00000000-0005-0000-0000-0000F0010000}"/>
    <cellStyle name="20% - Accent4 2 2 2 4 3 2" xfId="14214" xr:uid="{4C5E0C1E-18C4-44BC-B3C0-D548638851E1}"/>
    <cellStyle name="20% - Accent4 2 2 2 4 4" xfId="9996" xr:uid="{6FFAB642-44C7-4D6C-BDEA-1744BED9F2AA}"/>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AE36601C-F562-450B-979D-C0A4813964C9}"/>
    <cellStyle name="20% - Accent4 2 2 2 5 2 3" xfId="12554" xr:uid="{243207B2-5254-47AC-8035-6C1F28B94ECC}"/>
    <cellStyle name="20% - Accent4 2 2 2 5 3" xfId="6185" xr:uid="{00000000-0005-0000-0000-0000F4010000}"/>
    <cellStyle name="20% - Accent4 2 2 2 5 3 2" xfId="14627" xr:uid="{70480DF0-FA25-42C8-B03E-AF3ABA35BE55}"/>
    <cellStyle name="20% - Accent4 2 2 2 5 4" xfId="10409" xr:uid="{78FD85EE-E406-47FB-BABF-D027382AB13B}"/>
    <cellStyle name="20% - Accent4 2 2 2 6" xfId="2291" xr:uid="{00000000-0005-0000-0000-0000F5010000}"/>
    <cellStyle name="20% - Accent4 2 2 2 6 2" xfId="6598" xr:uid="{00000000-0005-0000-0000-0000F6010000}"/>
    <cellStyle name="20% - Accent4 2 2 2 6 2 2" xfId="15040" xr:uid="{37095280-8B39-4E2E-980F-2315B8C93466}"/>
    <cellStyle name="20% - Accent4 2 2 2 6 3" xfId="10822" xr:uid="{E9DEA801-C171-4908-B01D-0EF74C66990C}"/>
    <cellStyle name="20% - Accent4 2 2 2 7" xfId="4532" xr:uid="{00000000-0005-0000-0000-0000F7010000}"/>
    <cellStyle name="20% - Accent4 2 2 2 7 2" xfId="12974" xr:uid="{83CACAE0-305A-4035-8E31-22470C416AED}"/>
    <cellStyle name="20% - Accent4 2 2 2 8" xfId="8756" xr:uid="{094F9009-C682-4774-BA90-C381C2511DD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6FE60DD9-4588-4007-9C94-E797F8E4038C}"/>
    <cellStyle name="20% - Accent4 2 2 3 2 3" xfId="11314" xr:uid="{6FD84A21-565C-4A30-91FA-AC38590798E0}"/>
    <cellStyle name="20% - Accent4 2 2 3 3" xfId="4945" xr:uid="{00000000-0005-0000-0000-0000FB010000}"/>
    <cellStyle name="20% - Accent4 2 2 3 3 2" xfId="13387" xr:uid="{68B86C2C-B391-41B1-B29D-89D8B3511919}"/>
    <cellStyle name="20% - Accent4 2 2 3 4" xfId="9169" xr:uid="{0EE6854E-C2F3-40F2-A219-91CA8C7D4B5C}"/>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EB001DB0-F4E8-4E08-A4BA-6850069AC6AD}"/>
    <cellStyle name="20% - Accent4 2 2 4 2 3" xfId="11727" xr:uid="{16E6B8C6-24C6-4737-8258-AE9F8CED44E9}"/>
    <cellStyle name="20% - Accent4 2 2 4 3" xfId="5358" xr:uid="{00000000-0005-0000-0000-0000FF010000}"/>
    <cellStyle name="20% - Accent4 2 2 4 3 2" xfId="13800" xr:uid="{C79CC403-8A6D-4E5B-A3CB-511D858C34A8}"/>
    <cellStyle name="20% - Accent4 2 2 4 4" xfId="9582" xr:uid="{480CDAF9-688F-4C61-B66B-35312E2632FF}"/>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1C90229B-BCF3-4E9E-8872-B79041CBBCA0}"/>
    <cellStyle name="20% - Accent4 2 2 5 2 3" xfId="12140" xr:uid="{93FF2F0E-5944-4DCE-9296-3A01B5E8359E}"/>
    <cellStyle name="20% - Accent4 2 2 5 3" xfId="5771" xr:uid="{00000000-0005-0000-0000-000003020000}"/>
    <cellStyle name="20% - Accent4 2 2 5 3 2" xfId="14213" xr:uid="{1BD55E96-E4CF-434C-AAAB-DFAF827E4669}"/>
    <cellStyle name="20% - Accent4 2 2 5 4" xfId="9995" xr:uid="{263FBAF5-1479-4585-A4B6-1F06B2AF2934}"/>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EBF56F5B-1F17-4598-B597-8DFE91ECEA63}"/>
    <cellStyle name="20% - Accent4 2 2 6 2 3" xfId="12553" xr:uid="{2A6712C2-7BEA-407E-A24B-6090971892CC}"/>
    <cellStyle name="20% - Accent4 2 2 6 3" xfId="6184" xr:uid="{00000000-0005-0000-0000-000007020000}"/>
    <cellStyle name="20% - Accent4 2 2 6 3 2" xfId="14626" xr:uid="{F369421F-807C-45B6-912D-9D89C023E67A}"/>
    <cellStyle name="20% - Accent4 2 2 6 4" xfId="10408" xr:uid="{76B40702-BE60-42B7-9042-27832781599F}"/>
    <cellStyle name="20% - Accent4 2 2 7" xfId="2290" xr:uid="{00000000-0005-0000-0000-000008020000}"/>
    <cellStyle name="20% - Accent4 2 2 7 2" xfId="6597" xr:uid="{00000000-0005-0000-0000-000009020000}"/>
    <cellStyle name="20% - Accent4 2 2 7 2 2" xfId="15039" xr:uid="{E909D9AD-9156-4969-8472-D9DF7CCBE81F}"/>
    <cellStyle name="20% - Accent4 2 2 7 3" xfId="10821" xr:uid="{7BE8BCB0-D18D-44DA-B428-D3FD7649B9AF}"/>
    <cellStyle name="20% - Accent4 2 2 8" xfId="4531" xr:uid="{00000000-0005-0000-0000-00000A020000}"/>
    <cellStyle name="20% - Accent4 2 2 8 2" xfId="12973" xr:uid="{EB25E12A-2BB3-4686-9BFE-73C67BBE019B}"/>
    <cellStyle name="20% - Accent4 2 2 9" xfId="8755" xr:uid="{97898365-9C95-4FA1-A7AF-84F50E679B28}"/>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DE132B37-DCFF-4283-994A-B362E804BCD6}"/>
    <cellStyle name="20% - Accent4 2 3 2 2 3" xfId="11316" xr:uid="{1A28A7F0-D2CB-40B2-8358-71C971E1B09D}"/>
    <cellStyle name="20% - Accent4 2 3 2 3" xfId="4947" xr:uid="{00000000-0005-0000-0000-00000F020000}"/>
    <cellStyle name="20% - Accent4 2 3 2 3 2" xfId="13389" xr:uid="{92C3195E-2ECD-4576-A26A-31F446544851}"/>
    <cellStyle name="20% - Accent4 2 3 2 4" xfId="9171" xr:uid="{830A126D-0D67-4348-8977-DD76AE6F9132}"/>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90B39092-9EA8-4A40-B2A0-55B78B84ECE9}"/>
    <cellStyle name="20% - Accent4 2 3 3 2 3" xfId="11729" xr:uid="{01FC5EC4-1045-485E-B7E3-E438088D602C}"/>
    <cellStyle name="20% - Accent4 2 3 3 3" xfId="5360" xr:uid="{00000000-0005-0000-0000-000013020000}"/>
    <cellStyle name="20% - Accent4 2 3 3 3 2" xfId="13802" xr:uid="{748879EC-176B-4BDE-B486-E990A73E4D70}"/>
    <cellStyle name="20% - Accent4 2 3 3 4" xfId="9584" xr:uid="{FB46C429-913C-4147-B71B-D977C0BE7D3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A3762E98-0532-4300-8938-CAB253A5E261}"/>
    <cellStyle name="20% - Accent4 2 3 4 2 3" xfId="12142" xr:uid="{0839F89B-3ED7-4111-B8AE-3B3510076FAA}"/>
    <cellStyle name="20% - Accent4 2 3 4 3" xfId="5773" xr:uid="{00000000-0005-0000-0000-000017020000}"/>
    <cellStyle name="20% - Accent4 2 3 4 3 2" xfId="14215" xr:uid="{CC3191E6-5A47-4FEB-B3AA-C733DCC74B4B}"/>
    <cellStyle name="20% - Accent4 2 3 4 4" xfId="9997" xr:uid="{4C58AE19-DE3C-4CE4-98A9-FC179A88570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79DE42E3-94AB-4B47-82FE-D8AC5B377EC8}"/>
    <cellStyle name="20% - Accent4 2 3 5 2 3" xfId="12555" xr:uid="{18FD072F-7B9E-4CE2-AA79-F001984F08FA}"/>
    <cellStyle name="20% - Accent4 2 3 5 3" xfId="6186" xr:uid="{00000000-0005-0000-0000-00001B020000}"/>
    <cellStyle name="20% - Accent4 2 3 5 3 2" xfId="14628" xr:uid="{D4AD0D7E-FD48-4D73-B73F-CEB3B6E08D97}"/>
    <cellStyle name="20% - Accent4 2 3 5 4" xfId="10410" xr:uid="{D07D156D-8BBB-4DEC-A826-F89C757C2C24}"/>
    <cellStyle name="20% - Accent4 2 3 6" xfId="2292" xr:uid="{00000000-0005-0000-0000-00001C020000}"/>
    <cellStyle name="20% - Accent4 2 3 6 2" xfId="6599" xr:uid="{00000000-0005-0000-0000-00001D020000}"/>
    <cellStyle name="20% - Accent4 2 3 6 2 2" xfId="15041" xr:uid="{DF535FF1-BF27-4710-998E-F6C01CCFB5C3}"/>
    <cellStyle name="20% - Accent4 2 3 6 3" xfId="10823" xr:uid="{E4D00504-DD32-4740-8953-3BAB8E87984E}"/>
    <cellStyle name="20% - Accent4 2 3 7" xfId="4533" xr:uid="{00000000-0005-0000-0000-00001E020000}"/>
    <cellStyle name="20% - Accent4 2 3 7 2" xfId="12975" xr:uid="{8A1A6AA2-773E-4FA7-ABBA-8C25D225ACF0}"/>
    <cellStyle name="20% - Accent4 2 3 8" xfId="8757" xr:uid="{683A475B-DCEF-4C8B-977A-85336A23FA6A}"/>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BC9B0F09-C0EE-4759-9081-9A87AC1C7633}"/>
    <cellStyle name="20% - Accent4 2 4 2 3" xfId="11313" xr:uid="{CDF31E15-0075-4CD1-BC57-D43B5B37630F}"/>
    <cellStyle name="20% - Accent4 2 4 3" xfId="4944" xr:uid="{00000000-0005-0000-0000-000022020000}"/>
    <cellStyle name="20% - Accent4 2 4 3 2" xfId="13386" xr:uid="{4A030117-3F15-499E-B7CB-E7D5800E8E58}"/>
    <cellStyle name="20% - Accent4 2 4 4" xfId="9168" xr:uid="{BFA86F79-7C3E-4FE6-AEDA-A585FD724806}"/>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FD43C906-1E74-431B-BB9F-E6391BAF6AD8}"/>
    <cellStyle name="20% - Accent4 2 5 2 3" xfId="11726" xr:uid="{9591BE1A-19B5-4836-9672-A8F017079830}"/>
    <cellStyle name="20% - Accent4 2 5 3" xfId="5357" xr:uid="{00000000-0005-0000-0000-000026020000}"/>
    <cellStyle name="20% - Accent4 2 5 3 2" xfId="13799" xr:uid="{EFEE5F04-C703-42D0-8BF5-51B7D243823A}"/>
    <cellStyle name="20% - Accent4 2 5 4" xfId="9581" xr:uid="{9394E37C-1B7E-44D7-B90D-1C2840C7DF5F}"/>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A21D41B1-DB11-4B3F-BD2F-E8902C57A0D4}"/>
    <cellStyle name="20% - Accent4 2 6 2 3" xfId="12139" xr:uid="{4504C6DB-8366-4E92-82C8-03C381FA7A25}"/>
    <cellStyle name="20% - Accent4 2 6 3" xfId="5770" xr:uid="{00000000-0005-0000-0000-00002A020000}"/>
    <cellStyle name="20% - Accent4 2 6 3 2" xfId="14212" xr:uid="{E133E536-0462-45F0-B3B7-8FF4988870AC}"/>
    <cellStyle name="20% - Accent4 2 6 4" xfId="9994" xr:uid="{DE04CDAA-FB9E-40B1-B325-46137C219F92}"/>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CB1ECA6A-3A5B-4084-BEE2-DE0B64F543FB}"/>
    <cellStyle name="20% - Accent4 2 7 2 3" xfId="12552" xr:uid="{BF3663BB-9264-4BE1-881E-1C6D026CF21F}"/>
    <cellStyle name="20% - Accent4 2 7 3" xfId="6183" xr:uid="{00000000-0005-0000-0000-00002E020000}"/>
    <cellStyle name="20% - Accent4 2 7 3 2" xfId="14625" xr:uid="{A89385BF-FA2B-403B-A596-47A9C321D955}"/>
    <cellStyle name="20% - Accent4 2 7 4" xfId="10407" xr:uid="{5899B722-5EFE-4105-81F2-A6F0FC7A6CF1}"/>
    <cellStyle name="20% - Accent4 2 8" xfId="2289" xr:uid="{00000000-0005-0000-0000-00002F020000}"/>
    <cellStyle name="20% - Accent4 2 8 2" xfId="6596" xr:uid="{00000000-0005-0000-0000-000030020000}"/>
    <cellStyle name="20% - Accent4 2 8 2 2" xfId="15038" xr:uid="{8900EB83-5645-427A-B4AA-F3977DFB6DFD}"/>
    <cellStyle name="20% - Accent4 2 8 3" xfId="10820" xr:uid="{8D2443FE-D05E-4CC9-8838-549A23618EA3}"/>
    <cellStyle name="20% - Accent4 2 9" xfId="4530" xr:uid="{00000000-0005-0000-0000-000031020000}"/>
    <cellStyle name="20% - Accent4 2 9 2" xfId="12972" xr:uid="{A71E8CD2-DED6-4377-8097-CE5BF793A09C}"/>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16F62C4F-993A-459F-B53F-205BABF705ED}"/>
    <cellStyle name="20% - Accent4 3 2 2 2 3" xfId="11318" xr:uid="{E028B57B-9EE0-4AFD-9364-CFAD1AF1094F}"/>
    <cellStyle name="20% - Accent4 3 2 2 3" xfId="4949" xr:uid="{00000000-0005-0000-0000-000037020000}"/>
    <cellStyle name="20% - Accent4 3 2 2 3 2" xfId="13391" xr:uid="{C845FB49-73C4-4255-B177-5304CF636B86}"/>
    <cellStyle name="20% - Accent4 3 2 2 4" xfId="9173" xr:uid="{828B1ACB-0FA9-4E93-98DB-5262A4BB6D42}"/>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4F70F49F-2F6B-4B7A-8145-61AC58430206}"/>
    <cellStyle name="20% - Accent4 3 2 3 2 3" xfId="11731" xr:uid="{F69AEF2F-6F3C-4E68-86CF-C909EACC478A}"/>
    <cellStyle name="20% - Accent4 3 2 3 3" xfId="5362" xr:uid="{00000000-0005-0000-0000-00003B020000}"/>
    <cellStyle name="20% - Accent4 3 2 3 3 2" xfId="13804" xr:uid="{202312EC-EFD8-4B1A-AF2E-C46CCCCA6863}"/>
    <cellStyle name="20% - Accent4 3 2 3 4" xfId="9586" xr:uid="{FEF8A2A6-DF00-4410-8C3C-97FF3873DCFD}"/>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205704B1-70BE-423B-B9FA-E5388D2DD1DF}"/>
    <cellStyle name="20% - Accent4 3 2 4 2 3" xfId="12144" xr:uid="{20C34E87-C11E-4A1C-BCE8-713220AB3D4A}"/>
    <cellStyle name="20% - Accent4 3 2 4 3" xfId="5775" xr:uid="{00000000-0005-0000-0000-00003F020000}"/>
    <cellStyle name="20% - Accent4 3 2 4 3 2" xfId="14217" xr:uid="{538DBBC3-46D2-40F7-BF04-946CC00CCF55}"/>
    <cellStyle name="20% - Accent4 3 2 4 4" xfId="9999" xr:uid="{E93AFCE3-563C-46C1-844C-294E1FA063B6}"/>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950690BA-60BB-4E54-B876-3D7CFCA0EBDC}"/>
    <cellStyle name="20% - Accent4 3 2 5 2 3" xfId="12557" xr:uid="{9A33B6E4-22CF-42B2-83C2-DD1CAC15BF03}"/>
    <cellStyle name="20% - Accent4 3 2 5 3" xfId="6188" xr:uid="{00000000-0005-0000-0000-000043020000}"/>
    <cellStyle name="20% - Accent4 3 2 5 3 2" xfId="14630" xr:uid="{42B3224B-44F5-45E0-A8CA-FA903F45CF9F}"/>
    <cellStyle name="20% - Accent4 3 2 5 4" xfId="10412" xr:uid="{D2FDD61D-CF21-46CA-888D-3ED9F2CC0819}"/>
    <cellStyle name="20% - Accent4 3 2 6" xfId="2294" xr:uid="{00000000-0005-0000-0000-000044020000}"/>
    <cellStyle name="20% - Accent4 3 2 6 2" xfId="6601" xr:uid="{00000000-0005-0000-0000-000045020000}"/>
    <cellStyle name="20% - Accent4 3 2 6 2 2" xfId="15043" xr:uid="{8EB9FE02-B024-49F1-8490-2F3F097167DF}"/>
    <cellStyle name="20% - Accent4 3 2 6 3" xfId="10825" xr:uid="{7F2C9E96-59BD-47B3-9A9C-BD27AC1ED2CF}"/>
    <cellStyle name="20% - Accent4 3 2 7" xfId="4535" xr:uid="{00000000-0005-0000-0000-000046020000}"/>
    <cellStyle name="20% - Accent4 3 2 7 2" xfId="12977" xr:uid="{EFF47A08-165D-48B1-9EFC-4AB6472F0072}"/>
    <cellStyle name="20% - Accent4 3 2 8" xfId="8759" xr:uid="{0BCE5F0F-2183-4844-A969-B7C95BB824D9}"/>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FD8FA084-D750-4675-B249-BBE2251A6D0E}"/>
    <cellStyle name="20% - Accent4 3 3 2 3" xfId="11317" xr:uid="{B10BE770-BE72-4855-B301-8FF48EA9B2D9}"/>
    <cellStyle name="20% - Accent4 3 3 3" xfId="4948" xr:uid="{00000000-0005-0000-0000-00004A020000}"/>
    <cellStyle name="20% - Accent4 3 3 3 2" xfId="13390" xr:uid="{CAD4A4BD-A6D7-4106-A77D-B0DEE063A27F}"/>
    <cellStyle name="20% - Accent4 3 3 4" xfId="9172" xr:uid="{D18A2A23-808D-435C-BEA1-27FA7F0E09FC}"/>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F9AA92D7-1EF0-4419-8875-9C19BE0B9B47}"/>
    <cellStyle name="20% - Accent4 3 4 2 3" xfId="11730" xr:uid="{8AE6B96B-9226-42D1-9814-4583152E6CBB}"/>
    <cellStyle name="20% - Accent4 3 4 3" xfId="5361" xr:uid="{00000000-0005-0000-0000-00004E020000}"/>
    <cellStyle name="20% - Accent4 3 4 3 2" xfId="13803" xr:uid="{F0BACDCC-023F-4885-B602-3964783D34FD}"/>
    <cellStyle name="20% - Accent4 3 4 4" xfId="9585" xr:uid="{6EADC807-02A7-4591-B0E3-C113A10CBBF3}"/>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92B52B4F-E296-409D-891A-44DA589AC1CE}"/>
    <cellStyle name="20% - Accent4 3 5 2 3" xfId="12143" xr:uid="{FBCE04B3-9011-47C9-BE19-A8F35E5481E5}"/>
    <cellStyle name="20% - Accent4 3 5 3" xfId="5774" xr:uid="{00000000-0005-0000-0000-000052020000}"/>
    <cellStyle name="20% - Accent4 3 5 3 2" xfId="14216" xr:uid="{B184FD26-5553-4786-BD3F-A52676CC2095}"/>
    <cellStyle name="20% - Accent4 3 5 4" xfId="9998" xr:uid="{A42A8B77-C4A7-4BF4-8421-5927DFD5F9CF}"/>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45BFA398-6654-4E3B-B113-9FCB60FB0B51}"/>
    <cellStyle name="20% - Accent4 3 6 2 3" xfId="12556" xr:uid="{C5DAD103-5D2E-4CC6-9452-83A94886F19E}"/>
    <cellStyle name="20% - Accent4 3 6 3" xfId="6187" xr:uid="{00000000-0005-0000-0000-000056020000}"/>
    <cellStyle name="20% - Accent4 3 6 3 2" xfId="14629" xr:uid="{EE746E56-2597-42B2-9407-49F8E87A6C00}"/>
    <cellStyle name="20% - Accent4 3 6 4" xfId="10411" xr:uid="{35E0DB0E-3697-472F-AE62-CC82293F7F42}"/>
    <cellStyle name="20% - Accent4 3 7" xfId="2293" xr:uid="{00000000-0005-0000-0000-000057020000}"/>
    <cellStyle name="20% - Accent4 3 7 2" xfId="6600" xr:uid="{00000000-0005-0000-0000-000058020000}"/>
    <cellStyle name="20% - Accent4 3 7 2 2" xfId="15042" xr:uid="{63CE1880-9E40-441E-9181-1B97C9D6F086}"/>
    <cellStyle name="20% - Accent4 3 7 3" xfId="10824" xr:uid="{05C7B2A5-8AEC-481D-BF85-503B13EB5D83}"/>
    <cellStyle name="20% - Accent4 3 8" xfId="4534" xr:uid="{00000000-0005-0000-0000-000059020000}"/>
    <cellStyle name="20% - Accent4 3 8 2" xfId="12976" xr:uid="{8AFA7136-64AD-4A1A-96DC-271633B83066}"/>
    <cellStyle name="20% - Accent4 3 9" xfId="8758" xr:uid="{2D11D372-D15D-45D4-B05A-6465F6761228}"/>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02613775-15DD-49FE-87F6-635E40BB83E9}"/>
    <cellStyle name="20% - Accent4 4 2 2 3" xfId="11319" xr:uid="{BA708418-30C9-47E5-A895-F78668E0946C}"/>
    <cellStyle name="20% - Accent4 4 2 3" xfId="4950" xr:uid="{00000000-0005-0000-0000-00005E020000}"/>
    <cellStyle name="20% - Accent4 4 2 3 2" xfId="13392" xr:uid="{0B7CC993-0FF2-46F6-AF13-092AEDB3EF6A}"/>
    <cellStyle name="20% - Accent4 4 2 4" xfId="9174" xr:uid="{A01F87D5-6999-416D-B842-9A6AACF5824D}"/>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F0294D00-18F0-44F1-9892-9120D62F7280}"/>
    <cellStyle name="20% - Accent4 4 3 2 3" xfId="11732" xr:uid="{FC82F2B4-731C-4110-A6FD-97C3BADCACAB}"/>
    <cellStyle name="20% - Accent4 4 3 3" xfId="5363" xr:uid="{00000000-0005-0000-0000-000062020000}"/>
    <cellStyle name="20% - Accent4 4 3 3 2" xfId="13805" xr:uid="{141793CD-E791-433F-AA19-3412DD718C23}"/>
    <cellStyle name="20% - Accent4 4 3 4" xfId="9587" xr:uid="{11434415-AD79-48A9-91F3-BC3FAC737ABF}"/>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25CD0B19-82F9-4DD8-B4A1-6CEBB577FFA7}"/>
    <cellStyle name="20% - Accent4 4 4 2 3" xfId="12145" xr:uid="{C4ACE8ED-EB6E-4858-9F9F-A4A29513C0E2}"/>
    <cellStyle name="20% - Accent4 4 4 3" xfId="5776" xr:uid="{00000000-0005-0000-0000-000066020000}"/>
    <cellStyle name="20% - Accent4 4 4 3 2" xfId="14218" xr:uid="{6CE904BE-17F0-43A2-84F6-E45CD39796D2}"/>
    <cellStyle name="20% - Accent4 4 4 4" xfId="10000" xr:uid="{4907A6CB-676A-4B9B-B592-62B268684EC9}"/>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EBF605CD-0910-405C-9716-C644C2CF33F8}"/>
    <cellStyle name="20% - Accent4 4 5 2 3" xfId="12558" xr:uid="{3A12F5A2-2DEE-4A1E-9490-36B90BC5B9C3}"/>
    <cellStyle name="20% - Accent4 4 5 3" xfId="6189" xr:uid="{00000000-0005-0000-0000-00006A020000}"/>
    <cellStyle name="20% - Accent4 4 5 3 2" xfId="14631" xr:uid="{3423AE5A-AAF6-42C1-893C-B6267F34A658}"/>
    <cellStyle name="20% - Accent4 4 5 4" xfId="10413" xr:uid="{F24053FF-D097-4778-ABEA-FF7F4D6388DF}"/>
    <cellStyle name="20% - Accent4 4 6" xfId="2295" xr:uid="{00000000-0005-0000-0000-00006B020000}"/>
    <cellStyle name="20% - Accent4 4 6 2" xfId="6602" xr:uid="{00000000-0005-0000-0000-00006C020000}"/>
    <cellStyle name="20% - Accent4 4 6 2 2" xfId="15044" xr:uid="{CC275707-DFA0-43F3-BE09-D4A2262D33B5}"/>
    <cellStyle name="20% - Accent4 4 6 3" xfId="10826" xr:uid="{34CED651-41EB-4CB9-9DF6-FE1C8B54A984}"/>
    <cellStyle name="20% - Accent4 4 7" xfId="4536" xr:uid="{00000000-0005-0000-0000-00006D020000}"/>
    <cellStyle name="20% - Accent4 4 7 2" xfId="12978" xr:uid="{062D0D80-C03F-4FA5-BBE5-B327DA73FB46}"/>
    <cellStyle name="20% - Accent4 4 8" xfId="8760" xr:uid="{7EE590F5-4307-4CB4-B4D1-3D212EEB957E}"/>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4EF61974-26C1-4916-8F9C-18AA3F33447B}"/>
    <cellStyle name="20% - Accent4 5 2 3" xfId="11312" xr:uid="{E277A278-B668-42B6-AB9A-1FD4C896674E}"/>
    <cellStyle name="20% - Accent4 5 3" xfId="4943" xr:uid="{00000000-0005-0000-0000-000071020000}"/>
    <cellStyle name="20% - Accent4 5 3 2" xfId="13385" xr:uid="{D3067D66-4E5C-4005-B1AF-824DE90EB2F2}"/>
    <cellStyle name="20% - Accent4 5 4" xfId="9167" xr:uid="{BAD6AFAA-2A68-490D-8C19-CED468AC902C}"/>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5F3125E4-1AC5-4284-AE26-51F15D318CDF}"/>
    <cellStyle name="20% - Accent4 6 2 3" xfId="11725" xr:uid="{150E906C-FD5E-4EAC-A35D-6C6C2AF94CCC}"/>
    <cellStyle name="20% - Accent4 6 3" xfId="5356" xr:uid="{00000000-0005-0000-0000-000075020000}"/>
    <cellStyle name="20% - Accent4 6 3 2" xfId="13798" xr:uid="{8A2335EF-BE14-43B2-9D2E-DD570027F60F}"/>
    <cellStyle name="20% - Accent4 6 4" xfId="9580" xr:uid="{A58E9F09-8F21-4567-AB8F-ED2148399A5F}"/>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D1C1DDDA-907C-408A-A5DC-D5A582C153AA}"/>
    <cellStyle name="20% - Accent4 7 2 3" xfId="12138" xr:uid="{D0C60C9A-097F-49AD-8C57-6D97EE9DC424}"/>
    <cellStyle name="20% - Accent4 7 3" xfId="5769" xr:uid="{00000000-0005-0000-0000-000079020000}"/>
    <cellStyle name="20% - Accent4 7 3 2" xfId="14211" xr:uid="{D7D535D6-B6A4-412E-A52A-90A04337E5CB}"/>
    <cellStyle name="20% - Accent4 7 4" xfId="9993" xr:uid="{5F6A1C21-1EDC-4B74-BAAA-374CC3708120}"/>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252DB07C-1203-4865-B6AB-DD44D91F9871}"/>
    <cellStyle name="20% - Accent4 8 2 3" xfId="12551" xr:uid="{705DB653-379F-4E41-B057-F0532BD206D8}"/>
    <cellStyle name="20% - Accent4 8 3" xfId="6182" xr:uid="{00000000-0005-0000-0000-00007D020000}"/>
    <cellStyle name="20% - Accent4 8 3 2" xfId="14624" xr:uid="{86F7AD10-D862-4E69-9713-0072DCE9412E}"/>
    <cellStyle name="20% - Accent4 8 4" xfId="10406" xr:uid="{76045274-FC2A-48E6-A6CC-20D7129086D0}"/>
    <cellStyle name="20% - Accent4 9" xfId="2288" xr:uid="{00000000-0005-0000-0000-00007E020000}"/>
    <cellStyle name="20% - Accent4 9 2" xfId="6595" xr:uid="{00000000-0005-0000-0000-00007F020000}"/>
    <cellStyle name="20% - Accent4 9 2 2" xfId="15037" xr:uid="{185EF99E-E043-43E4-A202-ECA1E0660FCE}"/>
    <cellStyle name="20% - Accent4 9 3" xfId="10819" xr:uid="{8996B02F-2787-424D-98DF-45214B17AB5C}"/>
    <cellStyle name="20% - Accent5" xfId="33" builtinId="46" customBuiltin="1"/>
    <cellStyle name="20% - Accent5 10" xfId="4537" xr:uid="{00000000-0005-0000-0000-000081020000}"/>
    <cellStyle name="20% - Accent5 10 2" xfId="12979" xr:uid="{C089515A-76C6-49E2-9E37-8F85A2EB1034}"/>
    <cellStyle name="20% - Accent5 11" xfId="8761" xr:uid="{7AB4C55A-94D1-413B-9F85-CD1B6838D63B}"/>
    <cellStyle name="20% - Accent5 2" xfId="34" xr:uid="{00000000-0005-0000-0000-000082020000}"/>
    <cellStyle name="20% - Accent5 2 10" xfId="8762" xr:uid="{33AF9C37-073F-489B-8DE1-393F27A5C641}"/>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39388582-2494-4E88-B1A9-F080807B07B4}"/>
    <cellStyle name="20% - Accent5 2 2 2 2 2 3" xfId="11323" xr:uid="{E9FC626E-7972-43FC-BBA2-C20367E7B0D0}"/>
    <cellStyle name="20% - Accent5 2 2 2 2 3" xfId="4954" xr:uid="{00000000-0005-0000-0000-000088020000}"/>
    <cellStyle name="20% - Accent5 2 2 2 2 3 2" xfId="13396" xr:uid="{A4202600-EA19-4A47-93D7-9BCDEC5B7339}"/>
    <cellStyle name="20% - Accent5 2 2 2 2 4" xfId="9178" xr:uid="{667AE99D-A315-4375-9ACE-988DA6CE10F6}"/>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9920B15B-0604-4084-938B-C55F2E77B3A3}"/>
    <cellStyle name="20% - Accent5 2 2 2 3 2 3" xfId="11736" xr:uid="{8BBF6573-1763-4487-B1D5-E86179B0A288}"/>
    <cellStyle name="20% - Accent5 2 2 2 3 3" xfId="5367" xr:uid="{00000000-0005-0000-0000-00008C020000}"/>
    <cellStyle name="20% - Accent5 2 2 2 3 3 2" xfId="13809" xr:uid="{DA37ECAC-52EC-460A-8A71-F482BB9C9F36}"/>
    <cellStyle name="20% - Accent5 2 2 2 3 4" xfId="9591" xr:uid="{F3217704-4BEC-4DB0-A792-B5DC8A46AA4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34EAA076-401D-44AC-B2B4-D05F137EA6DA}"/>
    <cellStyle name="20% - Accent5 2 2 2 4 2 3" xfId="12149" xr:uid="{DAB3F7E0-6DDE-46D4-8B49-547B13D71B3D}"/>
    <cellStyle name="20% - Accent5 2 2 2 4 3" xfId="5780" xr:uid="{00000000-0005-0000-0000-000090020000}"/>
    <cellStyle name="20% - Accent5 2 2 2 4 3 2" xfId="14222" xr:uid="{60FF5036-433A-45A5-9A9A-BF49CE3A4881}"/>
    <cellStyle name="20% - Accent5 2 2 2 4 4" xfId="10004" xr:uid="{B271E5F2-9995-42DB-89AB-D15CB8DF7AB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092918CE-1C3D-40FC-A759-20D12CBC66BE}"/>
    <cellStyle name="20% - Accent5 2 2 2 5 2 3" xfId="12562" xr:uid="{10166022-EC92-491E-B840-34E3EACD5934}"/>
    <cellStyle name="20% - Accent5 2 2 2 5 3" xfId="6193" xr:uid="{00000000-0005-0000-0000-000094020000}"/>
    <cellStyle name="20% - Accent5 2 2 2 5 3 2" xfId="14635" xr:uid="{F1AE486D-5304-457C-B8EA-A1197D9625D2}"/>
    <cellStyle name="20% - Accent5 2 2 2 5 4" xfId="10417" xr:uid="{E9565B45-1854-44D0-8CBA-F32D0427D8C4}"/>
    <cellStyle name="20% - Accent5 2 2 2 6" xfId="2299" xr:uid="{00000000-0005-0000-0000-000095020000}"/>
    <cellStyle name="20% - Accent5 2 2 2 6 2" xfId="6606" xr:uid="{00000000-0005-0000-0000-000096020000}"/>
    <cellStyle name="20% - Accent5 2 2 2 6 2 2" xfId="15048" xr:uid="{0EFCA72D-3ECE-4D23-8796-E30D59EDD0D7}"/>
    <cellStyle name="20% - Accent5 2 2 2 6 3" xfId="10830" xr:uid="{096EFA22-4578-4D25-BDFD-39836A26954C}"/>
    <cellStyle name="20% - Accent5 2 2 2 7" xfId="4540" xr:uid="{00000000-0005-0000-0000-000097020000}"/>
    <cellStyle name="20% - Accent5 2 2 2 7 2" xfId="12982" xr:uid="{115A6BFF-A3DD-408F-BB14-BF914E906BCF}"/>
    <cellStyle name="20% - Accent5 2 2 2 8" xfId="8764" xr:uid="{D6C63F69-9099-4130-8316-572DDDCAF5F8}"/>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442D6BA4-5ED3-4697-AA84-CF0E2353EEC6}"/>
    <cellStyle name="20% - Accent5 2 2 3 2 3" xfId="11322" xr:uid="{5A7B7ABF-6D00-472E-B12B-03AF61EE4E37}"/>
    <cellStyle name="20% - Accent5 2 2 3 3" xfId="4953" xr:uid="{00000000-0005-0000-0000-00009B020000}"/>
    <cellStyle name="20% - Accent5 2 2 3 3 2" xfId="13395" xr:uid="{A3732B03-C38B-4AA1-862E-9950E15CD53D}"/>
    <cellStyle name="20% - Accent5 2 2 3 4" xfId="9177" xr:uid="{74D8CDBD-91AB-49DF-8B8B-A462D5E6FAC6}"/>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F845ED27-2FE6-48FA-B258-90E071158648}"/>
    <cellStyle name="20% - Accent5 2 2 4 2 3" xfId="11735" xr:uid="{688CDDE5-BA71-4997-A806-DD729D374695}"/>
    <cellStyle name="20% - Accent5 2 2 4 3" xfId="5366" xr:uid="{00000000-0005-0000-0000-00009F020000}"/>
    <cellStyle name="20% - Accent5 2 2 4 3 2" xfId="13808" xr:uid="{2884FD9D-8704-49DC-BC16-13CE84E6C7A0}"/>
    <cellStyle name="20% - Accent5 2 2 4 4" xfId="9590" xr:uid="{EEE91F9B-D0AF-4D9F-ADAE-8B6699B0055C}"/>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5CF7DC69-FDB7-4D4E-A802-E58A843D2CEC}"/>
    <cellStyle name="20% - Accent5 2 2 5 2 3" xfId="12148" xr:uid="{56F21CB6-6397-4050-B58F-DD2AF64062CB}"/>
    <cellStyle name="20% - Accent5 2 2 5 3" xfId="5779" xr:uid="{00000000-0005-0000-0000-0000A3020000}"/>
    <cellStyle name="20% - Accent5 2 2 5 3 2" xfId="14221" xr:uid="{F3423A39-229B-4677-B268-3F0CD93D77EB}"/>
    <cellStyle name="20% - Accent5 2 2 5 4" xfId="10003" xr:uid="{53D44D2C-8471-4557-9116-0A7FA13AD059}"/>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C90F562A-4B5F-479A-A4E7-FC30C7E225AB}"/>
    <cellStyle name="20% - Accent5 2 2 6 2 3" xfId="12561" xr:uid="{BE1D583D-FF65-4880-A64A-8695CA7AA924}"/>
    <cellStyle name="20% - Accent5 2 2 6 3" xfId="6192" xr:uid="{00000000-0005-0000-0000-0000A7020000}"/>
    <cellStyle name="20% - Accent5 2 2 6 3 2" xfId="14634" xr:uid="{B0471102-80E4-4CEF-930C-14DE292E2914}"/>
    <cellStyle name="20% - Accent5 2 2 6 4" xfId="10416" xr:uid="{FCDA431A-FE33-4DA8-8955-8E4703959D39}"/>
    <cellStyle name="20% - Accent5 2 2 7" xfId="2298" xr:uid="{00000000-0005-0000-0000-0000A8020000}"/>
    <cellStyle name="20% - Accent5 2 2 7 2" xfId="6605" xr:uid="{00000000-0005-0000-0000-0000A9020000}"/>
    <cellStyle name="20% - Accent5 2 2 7 2 2" xfId="15047" xr:uid="{10913D78-7734-4461-971F-F9A7732512F8}"/>
    <cellStyle name="20% - Accent5 2 2 7 3" xfId="10829" xr:uid="{A5DBFDCA-B570-46B7-85BF-9E36073A5141}"/>
    <cellStyle name="20% - Accent5 2 2 8" xfId="4539" xr:uid="{00000000-0005-0000-0000-0000AA020000}"/>
    <cellStyle name="20% - Accent5 2 2 8 2" xfId="12981" xr:uid="{C1A8ADE6-89AA-4AB6-BCCE-500FD129072D}"/>
    <cellStyle name="20% - Accent5 2 2 9" xfId="8763" xr:uid="{D2BA1624-8497-41FD-B481-C37D05EE9677}"/>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6159BBDA-C2B5-45C4-AB6D-371D69ADD932}"/>
    <cellStyle name="20% - Accent5 2 3 2 2 3" xfId="11324" xr:uid="{7599212B-9322-41EB-A9FF-6C4E822B730A}"/>
    <cellStyle name="20% - Accent5 2 3 2 3" xfId="4955" xr:uid="{00000000-0005-0000-0000-0000AF020000}"/>
    <cellStyle name="20% - Accent5 2 3 2 3 2" xfId="13397" xr:uid="{77D4ABF8-8A30-4205-B3DE-6C69C8EEA390}"/>
    <cellStyle name="20% - Accent5 2 3 2 4" xfId="9179" xr:uid="{3AB07D3E-E486-4531-8EF5-F0BE21ED40D4}"/>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B14C64B4-7E78-409B-BE5D-5DFD8EB2BF4B}"/>
    <cellStyle name="20% - Accent5 2 3 3 2 3" xfId="11737" xr:uid="{090DB792-3971-4D81-8CC3-9F5A5A95186B}"/>
    <cellStyle name="20% - Accent5 2 3 3 3" xfId="5368" xr:uid="{00000000-0005-0000-0000-0000B3020000}"/>
    <cellStyle name="20% - Accent5 2 3 3 3 2" xfId="13810" xr:uid="{957C1202-78EC-42D1-AC53-ED4DE0A3E70E}"/>
    <cellStyle name="20% - Accent5 2 3 3 4" xfId="9592" xr:uid="{9B6EDE6D-719F-4C47-8EB0-2C4D03004B44}"/>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339F0A38-0ACE-4335-A626-B73AC463E5C2}"/>
    <cellStyle name="20% - Accent5 2 3 4 2 3" xfId="12150" xr:uid="{E9DD6408-5820-48BA-83A6-47D21E1C7D15}"/>
    <cellStyle name="20% - Accent5 2 3 4 3" xfId="5781" xr:uid="{00000000-0005-0000-0000-0000B7020000}"/>
    <cellStyle name="20% - Accent5 2 3 4 3 2" xfId="14223" xr:uid="{7FA334D1-B31E-4AFE-947C-7BF66C1D77BB}"/>
    <cellStyle name="20% - Accent5 2 3 4 4" xfId="10005" xr:uid="{A5EBE8DB-E31B-43A4-99A6-8939F1F59814}"/>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4E5CFA72-4EDE-47F4-9A21-12B8587521F2}"/>
    <cellStyle name="20% - Accent5 2 3 5 2 3" xfId="12563" xr:uid="{8BF42595-303C-49D5-8320-300F72B08CB0}"/>
    <cellStyle name="20% - Accent5 2 3 5 3" xfId="6194" xr:uid="{00000000-0005-0000-0000-0000BB020000}"/>
    <cellStyle name="20% - Accent5 2 3 5 3 2" xfId="14636" xr:uid="{B7055F87-436C-453E-B084-EEDC119FF954}"/>
    <cellStyle name="20% - Accent5 2 3 5 4" xfId="10418" xr:uid="{B2BBBBB8-E1A6-4457-A912-CE9F3891A7B5}"/>
    <cellStyle name="20% - Accent5 2 3 6" xfId="2300" xr:uid="{00000000-0005-0000-0000-0000BC020000}"/>
    <cellStyle name="20% - Accent5 2 3 6 2" xfId="6607" xr:uid="{00000000-0005-0000-0000-0000BD020000}"/>
    <cellStyle name="20% - Accent5 2 3 6 2 2" xfId="15049" xr:uid="{DF3E4178-DD77-4B6D-AAA0-A4A9D930A9C1}"/>
    <cellStyle name="20% - Accent5 2 3 6 3" xfId="10831" xr:uid="{FC95EEF1-CC40-4374-B72C-B4246B2E5B93}"/>
    <cellStyle name="20% - Accent5 2 3 7" xfId="4541" xr:uid="{00000000-0005-0000-0000-0000BE020000}"/>
    <cellStyle name="20% - Accent5 2 3 7 2" xfId="12983" xr:uid="{E8993984-FFA4-4DD8-8388-D685B2CCD731}"/>
    <cellStyle name="20% - Accent5 2 3 8" xfId="8765" xr:uid="{3B9F9DD9-C3EE-4CE8-928A-A0EA21DEA035}"/>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757FA91B-D526-4222-85E1-740F89030597}"/>
    <cellStyle name="20% - Accent5 2 4 2 3" xfId="11321" xr:uid="{4E2F72EA-2B95-4C58-9860-92BA89FC8D56}"/>
    <cellStyle name="20% - Accent5 2 4 3" xfId="4952" xr:uid="{00000000-0005-0000-0000-0000C2020000}"/>
    <cellStyle name="20% - Accent5 2 4 3 2" xfId="13394" xr:uid="{26D43690-4DBF-415D-BA38-519A25313E41}"/>
    <cellStyle name="20% - Accent5 2 4 4" xfId="9176" xr:uid="{40B0AEF3-6568-40B5-89CE-4B4EA8790E47}"/>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164F8FC0-F095-4510-B5A3-97333D356B6C}"/>
    <cellStyle name="20% - Accent5 2 5 2 3" xfId="11734" xr:uid="{DB50716B-2A85-456A-81CC-5279704C783C}"/>
    <cellStyle name="20% - Accent5 2 5 3" xfId="5365" xr:uid="{00000000-0005-0000-0000-0000C6020000}"/>
    <cellStyle name="20% - Accent5 2 5 3 2" xfId="13807" xr:uid="{13EA7522-04EE-423D-9F7C-1822C453533E}"/>
    <cellStyle name="20% - Accent5 2 5 4" xfId="9589" xr:uid="{72620D62-420E-4B38-A44B-067B112679F4}"/>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DC844540-8AF7-45AF-A3B5-E4A8B8F86480}"/>
    <cellStyle name="20% - Accent5 2 6 2 3" xfId="12147" xr:uid="{CBD09D7B-E0A4-41D2-91AA-DDE4082D575B}"/>
    <cellStyle name="20% - Accent5 2 6 3" xfId="5778" xr:uid="{00000000-0005-0000-0000-0000CA020000}"/>
    <cellStyle name="20% - Accent5 2 6 3 2" xfId="14220" xr:uid="{E3E13112-7799-4067-9090-998EF2723286}"/>
    <cellStyle name="20% - Accent5 2 6 4" xfId="10002" xr:uid="{375A7FE0-8D9E-4FDE-876A-10C35F708C5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8D467D8F-5233-4B7F-825D-92FEBBAE8334}"/>
    <cellStyle name="20% - Accent5 2 7 2 3" xfId="12560" xr:uid="{67318238-D04C-444C-ADD7-60B2E4993D32}"/>
    <cellStyle name="20% - Accent5 2 7 3" xfId="6191" xr:uid="{00000000-0005-0000-0000-0000CE020000}"/>
    <cellStyle name="20% - Accent5 2 7 3 2" xfId="14633" xr:uid="{06F381FF-D757-49D9-8DA2-AD54F9E70590}"/>
    <cellStyle name="20% - Accent5 2 7 4" xfId="10415" xr:uid="{429B5EEC-3655-4234-95D4-88BA4092F2E4}"/>
    <cellStyle name="20% - Accent5 2 8" xfId="2297" xr:uid="{00000000-0005-0000-0000-0000CF020000}"/>
    <cellStyle name="20% - Accent5 2 8 2" xfId="6604" xr:uid="{00000000-0005-0000-0000-0000D0020000}"/>
    <cellStyle name="20% - Accent5 2 8 2 2" xfId="15046" xr:uid="{3D74ACC7-B493-4322-8496-60C050BA2530}"/>
    <cellStyle name="20% - Accent5 2 8 3" xfId="10828" xr:uid="{7CCA3498-A94E-42A4-9E75-FE9992C393A9}"/>
    <cellStyle name="20% - Accent5 2 9" xfId="4538" xr:uid="{00000000-0005-0000-0000-0000D1020000}"/>
    <cellStyle name="20% - Accent5 2 9 2" xfId="12980" xr:uid="{C5747A97-3DCD-4F64-A711-3CD40184777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3462F32F-151C-4196-881F-665EFA214CCD}"/>
    <cellStyle name="20% - Accent5 3 2 2 2 3" xfId="11326" xr:uid="{53E85A2E-D299-495F-9305-5A453B8A85D1}"/>
    <cellStyle name="20% - Accent5 3 2 2 3" xfId="4957" xr:uid="{00000000-0005-0000-0000-0000D7020000}"/>
    <cellStyle name="20% - Accent5 3 2 2 3 2" xfId="13399" xr:uid="{030EC1CB-7BF1-4F7D-8EAC-311A7E3E1652}"/>
    <cellStyle name="20% - Accent5 3 2 2 4" xfId="9181" xr:uid="{E7FEABC3-F7AD-4C44-BC05-CC230A164013}"/>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64D81BF7-F6B4-4616-89BE-800B782E1E65}"/>
    <cellStyle name="20% - Accent5 3 2 3 2 3" xfId="11739" xr:uid="{1A848A3C-2FEA-4ECA-BB05-5B476D11D16A}"/>
    <cellStyle name="20% - Accent5 3 2 3 3" xfId="5370" xr:uid="{00000000-0005-0000-0000-0000DB020000}"/>
    <cellStyle name="20% - Accent5 3 2 3 3 2" xfId="13812" xr:uid="{10AD5078-BFD4-4599-8E12-1E50F4272C67}"/>
    <cellStyle name="20% - Accent5 3 2 3 4" xfId="9594" xr:uid="{47F5C10E-D489-4CBF-87ED-4ED430DF0C1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D7F252AE-A057-42D2-AF92-74A19ADF31CA}"/>
    <cellStyle name="20% - Accent5 3 2 4 2 3" xfId="12152" xr:uid="{94E2A6C1-EE53-4B42-B016-3CB462F9677B}"/>
    <cellStyle name="20% - Accent5 3 2 4 3" xfId="5783" xr:uid="{00000000-0005-0000-0000-0000DF020000}"/>
    <cellStyle name="20% - Accent5 3 2 4 3 2" xfId="14225" xr:uid="{38399A2C-E628-4FEF-8E80-FFD3BBEEC204}"/>
    <cellStyle name="20% - Accent5 3 2 4 4" xfId="10007" xr:uid="{F5BEA69A-C6FB-463D-A0B5-F009A9810DFA}"/>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08628824-09F0-4111-BD3A-6F146F46812A}"/>
    <cellStyle name="20% - Accent5 3 2 5 2 3" xfId="12565" xr:uid="{2BEB5442-8AD9-4679-9A1C-D393DB5E8F55}"/>
    <cellStyle name="20% - Accent5 3 2 5 3" xfId="6196" xr:uid="{00000000-0005-0000-0000-0000E3020000}"/>
    <cellStyle name="20% - Accent5 3 2 5 3 2" xfId="14638" xr:uid="{E96987C5-4834-4787-8C71-FFAED84E9981}"/>
    <cellStyle name="20% - Accent5 3 2 5 4" xfId="10420" xr:uid="{31749CBD-1047-4DEC-B94D-2F80C88A60F9}"/>
    <cellStyle name="20% - Accent5 3 2 6" xfId="2302" xr:uid="{00000000-0005-0000-0000-0000E4020000}"/>
    <cellStyle name="20% - Accent5 3 2 6 2" xfId="6609" xr:uid="{00000000-0005-0000-0000-0000E5020000}"/>
    <cellStyle name="20% - Accent5 3 2 6 2 2" xfId="15051" xr:uid="{7E336DB7-061D-422E-B85B-BEA4909E4183}"/>
    <cellStyle name="20% - Accent5 3 2 6 3" xfId="10833" xr:uid="{E025263E-E5FA-495D-8C2A-E0CB4888FC21}"/>
    <cellStyle name="20% - Accent5 3 2 7" xfId="4543" xr:uid="{00000000-0005-0000-0000-0000E6020000}"/>
    <cellStyle name="20% - Accent5 3 2 7 2" xfId="12985" xr:uid="{49C832DD-2160-4D71-A8A3-65366D500A3D}"/>
    <cellStyle name="20% - Accent5 3 2 8" xfId="8767" xr:uid="{ECEBA1DB-55CE-4703-903F-4A60B8BC9EE4}"/>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581691CF-108A-4DA0-ABDA-8DD23D80C74F}"/>
    <cellStyle name="20% - Accent5 3 3 2 3" xfId="11325" xr:uid="{ADAC23B0-FA72-4288-BAFD-4EDEB7C041D4}"/>
    <cellStyle name="20% - Accent5 3 3 3" xfId="4956" xr:uid="{00000000-0005-0000-0000-0000EA020000}"/>
    <cellStyle name="20% - Accent5 3 3 3 2" xfId="13398" xr:uid="{5973847E-92F7-41F2-A7A6-1C5AEF6A71FF}"/>
    <cellStyle name="20% - Accent5 3 3 4" xfId="9180" xr:uid="{D39BE1D0-0608-4587-8545-ED34A15EB8D2}"/>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504DC3A8-9D97-481E-BD11-D969073BDFE0}"/>
    <cellStyle name="20% - Accent5 3 4 2 3" xfId="11738" xr:uid="{E206E480-D593-43F8-ADAF-3D5430964548}"/>
    <cellStyle name="20% - Accent5 3 4 3" xfId="5369" xr:uid="{00000000-0005-0000-0000-0000EE020000}"/>
    <cellStyle name="20% - Accent5 3 4 3 2" xfId="13811" xr:uid="{BE66B546-85D4-4657-A6E2-547AA39BB03C}"/>
    <cellStyle name="20% - Accent5 3 4 4" xfId="9593" xr:uid="{A43BB6F6-C557-498A-8EE4-AE88A8F545B5}"/>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177F5288-85E4-4A1A-B2DE-B29E1DC85D84}"/>
    <cellStyle name="20% - Accent5 3 5 2 3" xfId="12151" xr:uid="{2515DB65-D7BC-4463-A10F-208658051B18}"/>
    <cellStyle name="20% - Accent5 3 5 3" xfId="5782" xr:uid="{00000000-0005-0000-0000-0000F2020000}"/>
    <cellStyle name="20% - Accent5 3 5 3 2" xfId="14224" xr:uid="{915CE820-E9BA-4A61-AED0-CB3F5B37792D}"/>
    <cellStyle name="20% - Accent5 3 5 4" xfId="10006" xr:uid="{3F13836D-2994-4581-AD3A-D3493F1565AC}"/>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6165D52D-B128-4F6A-8965-2236A8BC68E8}"/>
    <cellStyle name="20% - Accent5 3 6 2 3" xfId="12564" xr:uid="{2F2DEF60-DF79-455A-BD9A-B63677505692}"/>
    <cellStyle name="20% - Accent5 3 6 3" xfId="6195" xr:uid="{00000000-0005-0000-0000-0000F6020000}"/>
    <cellStyle name="20% - Accent5 3 6 3 2" xfId="14637" xr:uid="{01E05F3F-BA0B-403F-9D23-9479E3BCBB6A}"/>
    <cellStyle name="20% - Accent5 3 6 4" xfId="10419" xr:uid="{1E2019A4-23C2-4989-856F-D02FE6D64F9B}"/>
    <cellStyle name="20% - Accent5 3 7" xfId="2301" xr:uid="{00000000-0005-0000-0000-0000F7020000}"/>
    <cellStyle name="20% - Accent5 3 7 2" xfId="6608" xr:uid="{00000000-0005-0000-0000-0000F8020000}"/>
    <cellStyle name="20% - Accent5 3 7 2 2" xfId="15050" xr:uid="{9CD4E904-B9EC-4F96-97C5-92DFE0B40533}"/>
    <cellStyle name="20% - Accent5 3 7 3" xfId="10832" xr:uid="{24BEC036-E3A3-4EAF-BA4D-E48CB3BBFA79}"/>
    <cellStyle name="20% - Accent5 3 8" xfId="4542" xr:uid="{00000000-0005-0000-0000-0000F9020000}"/>
    <cellStyle name="20% - Accent5 3 8 2" xfId="12984" xr:uid="{DA913F55-1EF1-41E2-A412-E39451AB7DFA}"/>
    <cellStyle name="20% - Accent5 3 9" xfId="8766" xr:uid="{619186FC-1F0C-4078-9C10-1378AE52AFD7}"/>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79890CBD-A39B-47A3-BF73-8D5ED9017C8C}"/>
    <cellStyle name="20% - Accent5 4 2 2 3" xfId="11327" xr:uid="{11872315-827A-4167-9E29-DFA2FA43CD7E}"/>
    <cellStyle name="20% - Accent5 4 2 3" xfId="4958" xr:uid="{00000000-0005-0000-0000-0000FE020000}"/>
    <cellStyle name="20% - Accent5 4 2 3 2" xfId="13400" xr:uid="{E1631AEC-50B9-4382-B717-FEBCA408564A}"/>
    <cellStyle name="20% - Accent5 4 2 4" xfId="9182" xr:uid="{BB502A51-6CEC-463B-97E6-F44006F3130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1AE28F16-32AB-4861-B6E8-021E29B15795}"/>
    <cellStyle name="20% - Accent5 4 3 2 3" xfId="11740" xr:uid="{2D28D9BB-B826-4F32-B7AE-E59EC346FC82}"/>
    <cellStyle name="20% - Accent5 4 3 3" xfId="5371" xr:uid="{00000000-0005-0000-0000-000002030000}"/>
    <cellStyle name="20% - Accent5 4 3 3 2" xfId="13813" xr:uid="{4F5B6DED-A5B2-4086-A40F-2EDA71E06AF7}"/>
    <cellStyle name="20% - Accent5 4 3 4" xfId="9595" xr:uid="{1D9EAE64-0D1F-4C47-B3F3-9CBC823BC31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E945BABA-B609-4761-9681-C260C027D2F1}"/>
    <cellStyle name="20% - Accent5 4 4 2 3" xfId="12153" xr:uid="{DDC836E3-7D7B-4207-90DF-39B251ACD336}"/>
    <cellStyle name="20% - Accent5 4 4 3" xfId="5784" xr:uid="{00000000-0005-0000-0000-000006030000}"/>
    <cellStyle name="20% - Accent5 4 4 3 2" xfId="14226" xr:uid="{1D022FD2-1436-4384-BDA6-6B52E001D3D2}"/>
    <cellStyle name="20% - Accent5 4 4 4" xfId="10008" xr:uid="{C48E6F2F-0143-4629-A276-F84265BF2D97}"/>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6016CC2F-4886-4053-8FFB-D77A97AEFA3B}"/>
    <cellStyle name="20% - Accent5 4 5 2 3" xfId="12566" xr:uid="{52490D18-AEB6-4C4A-B6DB-6E50476BD1A1}"/>
    <cellStyle name="20% - Accent5 4 5 3" xfId="6197" xr:uid="{00000000-0005-0000-0000-00000A030000}"/>
    <cellStyle name="20% - Accent5 4 5 3 2" xfId="14639" xr:uid="{BB0920CD-79EE-4377-AC08-1D7A54266D98}"/>
    <cellStyle name="20% - Accent5 4 5 4" xfId="10421" xr:uid="{AEF50439-0A31-4C32-BAE4-29019507A236}"/>
    <cellStyle name="20% - Accent5 4 6" xfId="2303" xr:uid="{00000000-0005-0000-0000-00000B030000}"/>
    <cellStyle name="20% - Accent5 4 6 2" xfId="6610" xr:uid="{00000000-0005-0000-0000-00000C030000}"/>
    <cellStyle name="20% - Accent5 4 6 2 2" xfId="15052" xr:uid="{2E640A23-07C3-40FA-885C-32C94A47C55D}"/>
    <cellStyle name="20% - Accent5 4 6 3" xfId="10834" xr:uid="{3155F7B7-B2C0-45FD-A1F1-CF5F8DD3060D}"/>
    <cellStyle name="20% - Accent5 4 7" xfId="4544" xr:uid="{00000000-0005-0000-0000-00000D030000}"/>
    <cellStyle name="20% - Accent5 4 7 2" xfId="12986" xr:uid="{57BC23D0-5741-4240-8254-1E1A6D24CAF7}"/>
    <cellStyle name="20% - Accent5 4 8" xfId="8768" xr:uid="{5494BB69-D85D-4349-BEC9-09A681741916}"/>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ABA8DB00-F58B-4511-BAC3-9AF4DC68CA83}"/>
    <cellStyle name="20% - Accent5 5 2 3" xfId="11320" xr:uid="{B8A6A379-7964-48C2-82E2-8C899AAEBC93}"/>
    <cellStyle name="20% - Accent5 5 3" xfId="4951" xr:uid="{00000000-0005-0000-0000-000011030000}"/>
    <cellStyle name="20% - Accent5 5 3 2" xfId="13393" xr:uid="{FF2BFEF4-C16B-46AF-835C-3F3D8DEFE8E0}"/>
    <cellStyle name="20% - Accent5 5 4" xfId="9175" xr:uid="{F00AEA15-68A7-4EA3-BBA6-6046F3DDD4EB}"/>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5749BCE0-1001-42F3-9858-D15B1C2F4146}"/>
    <cellStyle name="20% - Accent5 6 2 3" xfId="11733" xr:uid="{FC561A97-2CAE-49E3-9020-C7CBB714C9E8}"/>
    <cellStyle name="20% - Accent5 6 3" xfId="5364" xr:uid="{00000000-0005-0000-0000-000015030000}"/>
    <cellStyle name="20% - Accent5 6 3 2" xfId="13806" xr:uid="{D324FABD-27BA-4017-8FDA-9675B0F3AF2C}"/>
    <cellStyle name="20% - Accent5 6 4" xfId="9588" xr:uid="{A916E0AA-8908-479E-AAD0-7052DFB68FD8}"/>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F4FA686F-FCC9-46D8-84A6-9B18C3834E3B}"/>
    <cellStyle name="20% - Accent5 7 2 3" xfId="12146" xr:uid="{6478240E-AA01-4F86-A313-9DAFCBA0F6D3}"/>
    <cellStyle name="20% - Accent5 7 3" xfId="5777" xr:uid="{00000000-0005-0000-0000-000019030000}"/>
    <cellStyle name="20% - Accent5 7 3 2" xfId="14219" xr:uid="{57702C98-8753-438E-BDDE-3A86EB838925}"/>
    <cellStyle name="20% - Accent5 7 4" xfId="10001" xr:uid="{BDB01245-C644-4062-83CD-02B5165593DB}"/>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351CB279-47E7-40EF-993B-EA2CC3BA7324}"/>
    <cellStyle name="20% - Accent5 8 2 3" xfId="12559" xr:uid="{CD577066-221E-44CC-8896-3DC825856A25}"/>
    <cellStyle name="20% - Accent5 8 3" xfId="6190" xr:uid="{00000000-0005-0000-0000-00001D030000}"/>
    <cellStyle name="20% - Accent5 8 3 2" xfId="14632" xr:uid="{39B0B3FC-E58B-4E90-8FD3-E936ACE5A548}"/>
    <cellStyle name="20% - Accent5 8 4" xfId="10414" xr:uid="{E51B7418-AD66-496C-A4AF-9820D8F536A8}"/>
    <cellStyle name="20% - Accent5 9" xfId="2296" xr:uid="{00000000-0005-0000-0000-00001E030000}"/>
    <cellStyle name="20% - Accent5 9 2" xfId="6603" xr:uid="{00000000-0005-0000-0000-00001F030000}"/>
    <cellStyle name="20% - Accent5 9 2 2" xfId="15045" xr:uid="{93A553D2-B9CF-41FA-A60E-41F43EBC00F1}"/>
    <cellStyle name="20% - Accent5 9 3" xfId="10827" xr:uid="{F47A4A0B-981A-4F43-A9A2-DA4F4B5E50A0}"/>
    <cellStyle name="20% - Accent6" xfId="41" builtinId="50" customBuiltin="1"/>
    <cellStyle name="20% - Accent6 10" xfId="4545" xr:uid="{00000000-0005-0000-0000-000021030000}"/>
    <cellStyle name="20% - Accent6 10 2" xfId="12987" xr:uid="{F43666E5-AE39-4626-A6C6-496EFF19AE9F}"/>
    <cellStyle name="20% - Accent6 11" xfId="8769" xr:uid="{AA45C28A-B1A5-4EE0-B3FB-D0AF4EC74FF8}"/>
    <cellStyle name="20% - Accent6 2" xfId="42" xr:uid="{00000000-0005-0000-0000-000022030000}"/>
    <cellStyle name="20% - Accent6 2 10" xfId="8770" xr:uid="{3B1CFE89-D570-4BEF-875D-C3FC296D97B5}"/>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76019556-5416-437B-8F44-51C080B84D6A}"/>
    <cellStyle name="20% - Accent6 2 2 2 2 2 3" xfId="11331" xr:uid="{1A330103-48D6-4B58-90F4-32699AB69B47}"/>
    <cellStyle name="20% - Accent6 2 2 2 2 3" xfId="4962" xr:uid="{00000000-0005-0000-0000-000028030000}"/>
    <cellStyle name="20% - Accent6 2 2 2 2 3 2" xfId="13404" xr:uid="{48A9E4BB-0C5F-43D4-AEC2-CC9E1036D333}"/>
    <cellStyle name="20% - Accent6 2 2 2 2 4" xfId="9186" xr:uid="{CD4126C0-A82E-488E-9381-6CD12A16C139}"/>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5608642C-3920-49E2-AE5D-255E0C9AA54A}"/>
    <cellStyle name="20% - Accent6 2 2 2 3 2 3" xfId="11744" xr:uid="{91BD67D3-6125-4952-86C8-18C47BDC28E2}"/>
    <cellStyle name="20% - Accent6 2 2 2 3 3" xfId="5375" xr:uid="{00000000-0005-0000-0000-00002C030000}"/>
    <cellStyle name="20% - Accent6 2 2 2 3 3 2" xfId="13817" xr:uid="{95343D5C-5C86-42EA-A2C6-29B5F5E70050}"/>
    <cellStyle name="20% - Accent6 2 2 2 3 4" xfId="9599" xr:uid="{6A7EDED1-3F20-479A-B0D3-C5D9D8DAB58F}"/>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D9B91E44-D42B-4969-BA95-ECCA9809BA23}"/>
    <cellStyle name="20% - Accent6 2 2 2 4 2 3" xfId="12157" xr:uid="{68E5859B-DF21-4D91-A380-9CA11E283400}"/>
    <cellStyle name="20% - Accent6 2 2 2 4 3" xfId="5788" xr:uid="{00000000-0005-0000-0000-000030030000}"/>
    <cellStyle name="20% - Accent6 2 2 2 4 3 2" xfId="14230" xr:uid="{1CF90134-D08D-489A-B19C-07D83A6FEB5E}"/>
    <cellStyle name="20% - Accent6 2 2 2 4 4" xfId="10012" xr:uid="{3485D567-91CC-4312-9F0C-A77497F79173}"/>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BE7491C1-F25F-40B9-BBFB-1C9CBEB47A7E}"/>
    <cellStyle name="20% - Accent6 2 2 2 5 2 3" xfId="12570" xr:uid="{D7DAF582-2507-4B23-B181-5997C7C8F61B}"/>
    <cellStyle name="20% - Accent6 2 2 2 5 3" xfId="6201" xr:uid="{00000000-0005-0000-0000-000034030000}"/>
    <cellStyle name="20% - Accent6 2 2 2 5 3 2" xfId="14643" xr:uid="{E365D548-0542-4691-BE7A-0E0299086312}"/>
    <cellStyle name="20% - Accent6 2 2 2 5 4" xfId="10425" xr:uid="{4D970E17-FD3E-4E24-AA9A-5970FEF54A7C}"/>
    <cellStyle name="20% - Accent6 2 2 2 6" xfId="2307" xr:uid="{00000000-0005-0000-0000-000035030000}"/>
    <cellStyle name="20% - Accent6 2 2 2 6 2" xfId="6614" xr:uid="{00000000-0005-0000-0000-000036030000}"/>
    <cellStyle name="20% - Accent6 2 2 2 6 2 2" xfId="15056" xr:uid="{B140593C-D2BB-4752-85EB-57F4318E7D6B}"/>
    <cellStyle name="20% - Accent6 2 2 2 6 3" xfId="10838" xr:uid="{8476C1AB-AF79-4E09-B30C-FE9E79B14843}"/>
    <cellStyle name="20% - Accent6 2 2 2 7" xfId="4548" xr:uid="{00000000-0005-0000-0000-000037030000}"/>
    <cellStyle name="20% - Accent6 2 2 2 7 2" xfId="12990" xr:uid="{36F0BEC3-0698-4D98-A810-CF9B3E4FCCD4}"/>
    <cellStyle name="20% - Accent6 2 2 2 8" xfId="8772" xr:uid="{77DDCDC9-F85D-4D9A-A908-8D91EFB5B617}"/>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F28DAC7C-72BF-4878-8118-F58CDC5CAE08}"/>
    <cellStyle name="20% - Accent6 2 2 3 2 3" xfId="11330" xr:uid="{5A6D70A1-5FF1-4B3D-B9AD-B34003B21F71}"/>
    <cellStyle name="20% - Accent6 2 2 3 3" xfId="4961" xr:uid="{00000000-0005-0000-0000-00003B030000}"/>
    <cellStyle name="20% - Accent6 2 2 3 3 2" xfId="13403" xr:uid="{1A3500C3-63B6-471F-A39B-D3D7AD7F0448}"/>
    <cellStyle name="20% - Accent6 2 2 3 4" xfId="9185" xr:uid="{51579D40-ACD5-4834-9ABA-3EB75EB7431B}"/>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382C9EA4-9A71-4B37-9585-C51B618D02BF}"/>
    <cellStyle name="20% - Accent6 2 2 4 2 3" xfId="11743" xr:uid="{8562296A-E146-4D27-BF3D-126F0DFB676B}"/>
    <cellStyle name="20% - Accent6 2 2 4 3" xfId="5374" xr:uid="{00000000-0005-0000-0000-00003F030000}"/>
    <cellStyle name="20% - Accent6 2 2 4 3 2" xfId="13816" xr:uid="{15985582-7D1B-4077-A025-D521CBC575B6}"/>
    <cellStyle name="20% - Accent6 2 2 4 4" xfId="9598" xr:uid="{56D2EFC2-17C9-4A8D-AB0E-446D4DAE7081}"/>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F62680A8-3967-4211-9314-44EB849370CA}"/>
    <cellStyle name="20% - Accent6 2 2 5 2 3" xfId="12156" xr:uid="{4DE481D4-55A2-42D8-B04D-91CE5AC49B2A}"/>
    <cellStyle name="20% - Accent6 2 2 5 3" xfId="5787" xr:uid="{00000000-0005-0000-0000-000043030000}"/>
    <cellStyle name="20% - Accent6 2 2 5 3 2" xfId="14229" xr:uid="{6B88ABCE-30B1-4FE9-9755-A44526984066}"/>
    <cellStyle name="20% - Accent6 2 2 5 4" xfId="10011" xr:uid="{A6FF63BC-A828-4550-BACC-46FCAF384AC1}"/>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B8E8AC8E-B855-4759-BC94-DEFAF6E68FD4}"/>
    <cellStyle name="20% - Accent6 2 2 6 2 3" xfId="12569" xr:uid="{2DC8CD5F-8074-44E9-BDDC-5CB02618ACBD}"/>
    <cellStyle name="20% - Accent6 2 2 6 3" xfId="6200" xr:uid="{00000000-0005-0000-0000-000047030000}"/>
    <cellStyle name="20% - Accent6 2 2 6 3 2" xfId="14642" xr:uid="{987E07F8-D1E7-4176-B797-8320E2F73579}"/>
    <cellStyle name="20% - Accent6 2 2 6 4" xfId="10424" xr:uid="{56ECC335-517D-4E7C-A92F-2E71E1575F06}"/>
    <cellStyle name="20% - Accent6 2 2 7" xfId="2306" xr:uid="{00000000-0005-0000-0000-000048030000}"/>
    <cellStyle name="20% - Accent6 2 2 7 2" xfId="6613" xr:uid="{00000000-0005-0000-0000-000049030000}"/>
    <cellStyle name="20% - Accent6 2 2 7 2 2" xfId="15055" xr:uid="{25B5C752-4F44-44E4-8EC4-2A93C50F99D8}"/>
    <cellStyle name="20% - Accent6 2 2 7 3" xfId="10837" xr:uid="{02DE73C6-2707-4163-ACCE-C07873D35D64}"/>
    <cellStyle name="20% - Accent6 2 2 8" xfId="4547" xr:uid="{00000000-0005-0000-0000-00004A030000}"/>
    <cellStyle name="20% - Accent6 2 2 8 2" xfId="12989" xr:uid="{0D724D8C-0594-449A-9964-2117F2F9FDD1}"/>
    <cellStyle name="20% - Accent6 2 2 9" xfId="8771" xr:uid="{FEF854A7-277F-4839-A217-25C2B1D6DC6B}"/>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04763C51-1A23-4371-8BC8-22E5D79E2B3F}"/>
    <cellStyle name="20% - Accent6 2 3 2 2 3" xfId="11332" xr:uid="{4E21CE2D-C7FF-42EF-AB15-0C6423BF6FF4}"/>
    <cellStyle name="20% - Accent6 2 3 2 3" xfId="4963" xr:uid="{00000000-0005-0000-0000-00004F030000}"/>
    <cellStyle name="20% - Accent6 2 3 2 3 2" xfId="13405" xr:uid="{36FC2798-4E79-44FE-B8F9-5577C79C7625}"/>
    <cellStyle name="20% - Accent6 2 3 2 4" xfId="9187" xr:uid="{A37467C4-0969-42CC-963D-E14A7FC82341}"/>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60F5DAE5-59CE-46FC-8881-D4EDE62BD56D}"/>
    <cellStyle name="20% - Accent6 2 3 3 2 3" xfId="11745" xr:uid="{898C1C48-27CE-4C80-B70C-32D8508D9832}"/>
    <cellStyle name="20% - Accent6 2 3 3 3" xfId="5376" xr:uid="{00000000-0005-0000-0000-000053030000}"/>
    <cellStyle name="20% - Accent6 2 3 3 3 2" xfId="13818" xr:uid="{E77BBF34-A5BC-476F-8368-ED55269E9AD0}"/>
    <cellStyle name="20% - Accent6 2 3 3 4" xfId="9600" xr:uid="{7AB6C769-7266-4404-B50D-7748924EDB2D}"/>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C16DECE1-260E-474C-91FE-935E9B5D8FE3}"/>
    <cellStyle name="20% - Accent6 2 3 4 2 3" xfId="12158" xr:uid="{A3C86AEA-8AC6-441C-90F7-F1390229A15A}"/>
    <cellStyle name="20% - Accent6 2 3 4 3" xfId="5789" xr:uid="{00000000-0005-0000-0000-000057030000}"/>
    <cellStyle name="20% - Accent6 2 3 4 3 2" xfId="14231" xr:uid="{98B34AE8-135A-422B-9098-948E95ADBD08}"/>
    <cellStyle name="20% - Accent6 2 3 4 4" xfId="10013" xr:uid="{8AB2141F-B315-44BD-95FE-CE1A9787548A}"/>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5554E116-0713-4935-95FD-0A5D9EBD86EC}"/>
    <cellStyle name="20% - Accent6 2 3 5 2 3" xfId="12571" xr:uid="{93892445-D372-401D-8A5C-36CDA8994355}"/>
    <cellStyle name="20% - Accent6 2 3 5 3" xfId="6202" xr:uid="{00000000-0005-0000-0000-00005B030000}"/>
    <cellStyle name="20% - Accent6 2 3 5 3 2" xfId="14644" xr:uid="{0066D98F-A220-4DF5-AB96-A07117C6E6F6}"/>
    <cellStyle name="20% - Accent6 2 3 5 4" xfId="10426" xr:uid="{BE8F7925-DD12-4198-A527-F6517DB23A36}"/>
    <cellStyle name="20% - Accent6 2 3 6" xfId="2308" xr:uid="{00000000-0005-0000-0000-00005C030000}"/>
    <cellStyle name="20% - Accent6 2 3 6 2" xfId="6615" xr:uid="{00000000-0005-0000-0000-00005D030000}"/>
    <cellStyle name="20% - Accent6 2 3 6 2 2" xfId="15057" xr:uid="{03382BCE-2748-46DD-88F9-78FDF54EBDE5}"/>
    <cellStyle name="20% - Accent6 2 3 6 3" xfId="10839" xr:uid="{BB1A321F-1C0C-418E-90D1-676A103CC6C8}"/>
    <cellStyle name="20% - Accent6 2 3 7" xfId="4549" xr:uid="{00000000-0005-0000-0000-00005E030000}"/>
    <cellStyle name="20% - Accent6 2 3 7 2" xfId="12991" xr:uid="{550530C3-6E51-40ED-A869-4AC9DF66BC11}"/>
    <cellStyle name="20% - Accent6 2 3 8" xfId="8773" xr:uid="{19DC89B7-D811-4947-A221-E20337BC8F09}"/>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83140A7A-3BFF-4CA5-8039-442176B8AE2C}"/>
    <cellStyle name="20% - Accent6 2 4 2 3" xfId="11329" xr:uid="{F4ECE05D-B841-4B48-801F-680A09FB0886}"/>
    <cellStyle name="20% - Accent6 2 4 3" xfId="4960" xr:uid="{00000000-0005-0000-0000-000062030000}"/>
    <cellStyle name="20% - Accent6 2 4 3 2" xfId="13402" xr:uid="{2E279AA8-3122-49A7-B461-8044D48A1D2E}"/>
    <cellStyle name="20% - Accent6 2 4 4" xfId="9184" xr:uid="{EAC8B110-753F-498F-9472-1FDDEAF3B217}"/>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0944C2DD-0C97-4342-8616-1E75B6D42A09}"/>
    <cellStyle name="20% - Accent6 2 5 2 3" xfId="11742" xr:uid="{4EFD6E22-18DA-4425-84EF-E82D7D526DE4}"/>
    <cellStyle name="20% - Accent6 2 5 3" xfId="5373" xr:uid="{00000000-0005-0000-0000-000066030000}"/>
    <cellStyle name="20% - Accent6 2 5 3 2" xfId="13815" xr:uid="{44AB4B85-68F2-4CDD-A7CD-91E99307BD11}"/>
    <cellStyle name="20% - Accent6 2 5 4" xfId="9597" xr:uid="{66483CE0-AF66-4617-A3B7-9FCCF47D500C}"/>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880422F9-DE7D-4B1A-B7DA-7C75023B8AE7}"/>
    <cellStyle name="20% - Accent6 2 6 2 3" xfId="12155" xr:uid="{7EA84336-4916-4E82-AA83-D6FC6CC66916}"/>
    <cellStyle name="20% - Accent6 2 6 3" xfId="5786" xr:uid="{00000000-0005-0000-0000-00006A030000}"/>
    <cellStyle name="20% - Accent6 2 6 3 2" xfId="14228" xr:uid="{75D383F8-3A8D-49A8-B331-C52C29CB8B47}"/>
    <cellStyle name="20% - Accent6 2 6 4" xfId="10010" xr:uid="{DCE1FAA6-1F9C-40CE-8A28-4E372A0CD2F2}"/>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9CEE1898-74CA-4B8B-BC1A-F42225A45F05}"/>
    <cellStyle name="20% - Accent6 2 7 2 3" xfId="12568" xr:uid="{9CD96F05-B18E-4297-894E-A91F93022DA1}"/>
    <cellStyle name="20% - Accent6 2 7 3" xfId="6199" xr:uid="{00000000-0005-0000-0000-00006E030000}"/>
    <cellStyle name="20% - Accent6 2 7 3 2" xfId="14641" xr:uid="{C3418A38-8BCF-4E8F-8D22-D0196804947C}"/>
    <cellStyle name="20% - Accent6 2 7 4" xfId="10423" xr:uid="{823B7B53-8826-4483-8B5B-8F972850B816}"/>
    <cellStyle name="20% - Accent6 2 8" xfId="2305" xr:uid="{00000000-0005-0000-0000-00006F030000}"/>
    <cellStyle name="20% - Accent6 2 8 2" xfId="6612" xr:uid="{00000000-0005-0000-0000-000070030000}"/>
    <cellStyle name="20% - Accent6 2 8 2 2" xfId="15054" xr:uid="{7EDB23C9-A0DA-4998-A7FC-BB5A45B1B58F}"/>
    <cellStyle name="20% - Accent6 2 8 3" xfId="10836" xr:uid="{496315AF-BF8B-4837-8AE8-ED4F09AC7CAA}"/>
    <cellStyle name="20% - Accent6 2 9" xfId="4546" xr:uid="{00000000-0005-0000-0000-000071030000}"/>
    <cellStyle name="20% - Accent6 2 9 2" xfId="12988" xr:uid="{4AA28E9D-7DC6-4370-847D-9A4C67F45D28}"/>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10455B27-E8CE-4ABC-B6FA-5EB7229BC490}"/>
    <cellStyle name="20% - Accent6 3 2 2 2 3" xfId="11334" xr:uid="{0CDC9D7E-2F16-40F2-8D18-F0654DFD2637}"/>
    <cellStyle name="20% - Accent6 3 2 2 3" xfId="4965" xr:uid="{00000000-0005-0000-0000-000077030000}"/>
    <cellStyle name="20% - Accent6 3 2 2 3 2" xfId="13407" xr:uid="{318829A2-170B-4386-BC6C-2751170F1D30}"/>
    <cellStyle name="20% - Accent6 3 2 2 4" xfId="9189" xr:uid="{BC417662-06F9-4DB2-9477-8210F0C95E3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734B91DA-7B5B-4DE6-A159-B3B6D44C76D6}"/>
    <cellStyle name="20% - Accent6 3 2 3 2 3" xfId="11747" xr:uid="{07FC76DC-66CB-443B-9F7A-9FC5AEEA1876}"/>
    <cellStyle name="20% - Accent6 3 2 3 3" xfId="5378" xr:uid="{00000000-0005-0000-0000-00007B030000}"/>
    <cellStyle name="20% - Accent6 3 2 3 3 2" xfId="13820" xr:uid="{9AB05D27-FD4D-4BA3-9B3F-D5A247AE0A89}"/>
    <cellStyle name="20% - Accent6 3 2 3 4" xfId="9602" xr:uid="{48492551-D417-4FB6-8644-35D213B63EDC}"/>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A51EEE24-0A4F-48E8-8803-207F7469BA5B}"/>
    <cellStyle name="20% - Accent6 3 2 4 2 3" xfId="12160" xr:uid="{654783B3-A9A2-4606-95F4-3D196D6B1178}"/>
    <cellStyle name="20% - Accent6 3 2 4 3" xfId="5791" xr:uid="{00000000-0005-0000-0000-00007F030000}"/>
    <cellStyle name="20% - Accent6 3 2 4 3 2" xfId="14233" xr:uid="{B4298B59-D55F-45EE-A37C-C2A598DF8EBE}"/>
    <cellStyle name="20% - Accent6 3 2 4 4" xfId="10015" xr:uid="{EEAFD4D9-F7F1-47CC-816C-CC4BE3C5D558}"/>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584263CD-2C0E-4328-9DDC-5C4D42C65666}"/>
    <cellStyle name="20% - Accent6 3 2 5 2 3" xfId="12573" xr:uid="{A795B611-C168-4393-AA00-46CEA5E3DA43}"/>
    <cellStyle name="20% - Accent6 3 2 5 3" xfId="6204" xr:uid="{00000000-0005-0000-0000-000083030000}"/>
    <cellStyle name="20% - Accent6 3 2 5 3 2" xfId="14646" xr:uid="{347DB15E-8840-4120-9C26-76AFE41D15F6}"/>
    <cellStyle name="20% - Accent6 3 2 5 4" xfId="10428" xr:uid="{F357CAF6-E84F-44FA-B44E-86B2E080E0F6}"/>
    <cellStyle name="20% - Accent6 3 2 6" xfId="2310" xr:uid="{00000000-0005-0000-0000-000084030000}"/>
    <cellStyle name="20% - Accent6 3 2 6 2" xfId="6617" xr:uid="{00000000-0005-0000-0000-000085030000}"/>
    <cellStyle name="20% - Accent6 3 2 6 2 2" xfId="15059" xr:uid="{D697C195-C7F0-414D-9E6C-F12CB6F1B124}"/>
    <cellStyle name="20% - Accent6 3 2 6 3" xfId="10841" xr:uid="{57104445-FD54-44A5-9763-F2746E3E9E8B}"/>
    <cellStyle name="20% - Accent6 3 2 7" xfId="4551" xr:uid="{00000000-0005-0000-0000-000086030000}"/>
    <cellStyle name="20% - Accent6 3 2 7 2" xfId="12993" xr:uid="{E814F4D4-3D60-42CD-A835-1FC4B4E1DCE5}"/>
    <cellStyle name="20% - Accent6 3 2 8" xfId="8775" xr:uid="{A2225D4D-9F4E-47EA-82D4-05CB9CFAB348}"/>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9EED8447-C811-4C63-888A-E46A08EB5024}"/>
    <cellStyle name="20% - Accent6 3 3 2 3" xfId="11333" xr:uid="{09FD2117-DEB5-4B51-9831-8309EF6B2184}"/>
    <cellStyle name="20% - Accent6 3 3 3" xfId="4964" xr:uid="{00000000-0005-0000-0000-00008A030000}"/>
    <cellStyle name="20% - Accent6 3 3 3 2" xfId="13406" xr:uid="{4A7E6489-B322-4DEB-9CD2-E7DAD5D8BFCD}"/>
    <cellStyle name="20% - Accent6 3 3 4" xfId="9188" xr:uid="{480DECB5-8FA9-4C2C-93F1-91912636C7E9}"/>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85E45442-F54C-472A-8C62-72D9CCD0C0B3}"/>
    <cellStyle name="20% - Accent6 3 4 2 3" xfId="11746" xr:uid="{DE77913F-ED73-4D8C-A5CC-21627F06DE10}"/>
    <cellStyle name="20% - Accent6 3 4 3" xfId="5377" xr:uid="{00000000-0005-0000-0000-00008E030000}"/>
    <cellStyle name="20% - Accent6 3 4 3 2" xfId="13819" xr:uid="{2FA5FD73-6853-4F36-B621-00C5A09FC60F}"/>
    <cellStyle name="20% - Accent6 3 4 4" xfId="9601" xr:uid="{9D550B50-D672-4820-903C-84FD909DB47D}"/>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70EED8FA-0001-48A0-B2EA-B293A2A8CDC6}"/>
    <cellStyle name="20% - Accent6 3 5 2 3" xfId="12159" xr:uid="{A25287D3-0346-42E5-A146-D0E452B9BDEC}"/>
    <cellStyle name="20% - Accent6 3 5 3" xfId="5790" xr:uid="{00000000-0005-0000-0000-000092030000}"/>
    <cellStyle name="20% - Accent6 3 5 3 2" xfId="14232" xr:uid="{4A1591B3-72C7-4EB2-A224-55A53BF4A175}"/>
    <cellStyle name="20% - Accent6 3 5 4" xfId="10014" xr:uid="{3A6DA545-24A1-48DB-843C-17A400FFD6B9}"/>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C8EB9E45-A9FC-47F7-883A-A9F097B2B3CC}"/>
    <cellStyle name="20% - Accent6 3 6 2 3" xfId="12572" xr:uid="{791D15F1-1527-4829-A0E8-608DB7DA9418}"/>
    <cellStyle name="20% - Accent6 3 6 3" xfId="6203" xr:uid="{00000000-0005-0000-0000-000096030000}"/>
    <cellStyle name="20% - Accent6 3 6 3 2" xfId="14645" xr:uid="{256E83CC-3A74-4760-BC52-BCDDC31C0364}"/>
    <cellStyle name="20% - Accent6 3 6 4" xfId="10427" xr:uid="{98A642F4-2C54-48A1-AF57-918E33BA2B86}"/>
    <cellStyle name="20% - Accent6 3 7" xfId="2309" xr:uid="{00000000-0005-0000-0000-000097030000}"/>
    <cellStyle name="20% - Accent6 3 7 2" xfId="6616" xr:uid="{00000000-0005-0000-0000-000098030000}"/>
    <cellStyle name="20% - Accent6 3 7 2 2" xfId="15058" xr:uid="{6C16B2FD-29CA-42DC-AE82-E5FB89E5F9CF}"/>
    <cellStyle name="20% - Accent6 3 7 3" xfId="10840" xr:uid="{D69C093A-4C83-4DFA-B716-D03178E6D5C3}"/>
    <cellStyle name="20% - Accent6 3 8" xfId="4550" xr:uid="{00000000-0005-0000-0000-000099030000}"/>
    <cellStyle name="20% - Accent6 3 8 2" xfId="12992" xr:uid="{D798696A-0519-4440-BE6E-FD81D25494E6}"/>
    <cellStyle name="20% - Accent6 3 9" xfId="8774" xr:uid="{7E33967D-C8A6-430F-B441-629DADB48B01}"/>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2467269C-F678-4652-9E3C-13D4D7640C1D}"/>
    <cellStyle name="20% - Accent6 4 2 2 3" xfId="11335" xr:uid="{3FED57C5-9E4E-4CE9-89A1-ED50AB9B289E}"/>
    <cellStyle name="20% - Accent6 4 2 3" xfId="4966" xr:uid="{00000000-0005-0000-0000-00009E030000}"/>
    <cellStyle name="20% - Accent6 4 2 3 2" xfId="13408" xr:uid="{BD2772D2-B675-41D8-BF1F-1341E7751FC2}"/>
    <cellStyle name="20% - Accent6 4 2 4" xfId="9190" xr:uid="{DF12F188-3C1E-46A6-B893-522CBB113A48}"/>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72B7FD91-CFFA-45AB-A0DB-49F6CCA34441}"/>
    <cellStyle name="20% - Accent6 4 3 2 3" xfId="11748" xr:uid="{AE27B0A9-0B95-4D17-8311-E958F6997E08}"/>
    <cellStyle name="20% - Accent6 4 3 3" xfId="5379" xr:uid="{00000000-0005-0000-0000-0000A2030000}"/>
    <cellStyle name="20% - Accent6 4 3 3 2" xfId="13821" xr:uid="{6E61A695-8545-4226-AA63-67676DB53A0C}"/>
    <cellStyle name="20% - Accent6 4 3 4" xfId="9603" xr:uid="{F0FCB65F-D63F-44F1-909C-691310F5CEDF}"/>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085C31B9-6F56-42E0-8273-382026CBC857}"/>
    <cellStyle name="20% - Accent6 4 4 2 3" xfId="12161" xr:uid="{655A3B88-01D4-4337-985D-37AB72FED5A2}"/>
    <cellStyle name="20% - Accent6 4 4 3" xfId="5792" xr:uid="{00000000-0005-0000-0000-0000A6030000}"/>
    <cellStyle name="20% - Accent6 4 4 3 2" xfId="14234" xr:uid="{3715573C-9093-4875-84C1-E98B265FF5EB}"/>
    <cellStyle name="20% - Accent6 4 4 4" xfId="10016" xr:uid="{F3F635E3-59D5-4738-838A-467DB63A9C1C}"/>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F2D69E82-E785-4551-BFEF-83B19BD3472E}"/>
    <cellStyle name="20% - Accent6 4 5 2 3" xfId="12574" xr:uid="{C500C4EE-73D7-4C50-BF92-9C49D37A6FAB}"/>
    <cellStyle name="20% - Accent6 4 5 3" xfId="6205" xr:uid="{00000000-0005-0000-0000-0000AA030000}"/>
    <cellStyle name="20% - Accent6 4 5 3 2" xfId="14647" xr:uid="{F1927EEC-E162-4850-9720-1A0D4AA500E8}"/>
    <cellStyle name="20% - Accent6 4 5 4" xfId="10429" xr:uid="{9CD99F46-466E-47AE-84CC-1C525DDAD8CC}"/>
    <cellStyle name="20% - Accent6 4 6" xfId="2311" xr:uid="{00000000-0005-0000-0000-0000AB030000}"/>
    <cellStyle name="20% - Accent6 4 6 2" xfId="6618" xr:uid="{00000000-0005-0000-0000-0000AC030000}"/>
    <cellStyle name="20% - Accent6 4 6 2 2" xfId="15060" xr:uid="{076ABDEF-6810-445E-A911-FE73A110A6F2}"/>
    <cellStyle name="20% - Accent6 4 6 3" xfId="10842" xr:uid="{4B8017F6-78B6-4E59-835F-C3AAB67AA8B2}"/>
    <cellStyle name="20% - Accent6 4 7" xfId="4552" xr:uid="{00000000-0005-0000-0000-0000AD030000}"/>
    <cellStyle name="20% - Accent6 4 7 2" xfId="12994" xr:uid="{6AD33F32-21E6-438B-8D06-A97C6FEA6AA7}"/>
    <cellStyle name="20% - Accent6 4 8" xfId="8776" xr:uid="{A5F55A31-3892-4A9C-B5ED-F0CE1DF93369}"/>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66B323C4-2743-4EDB-9679-D695D4AE58F1}"/>
    <cellStyle name="20% - Accent6 5 2 3" xfId="11328" xr:uid="{02972AD9-78E8-4AE3-B3D0-2BC99ACB596F}"/>
    <cellStyle name="20% - Accent6 5 3" xfId="4959" xr:uid="{00000000-0005-0000-0000-0000B1030000}"/>
    <cellStyle name="20% - Accent6 5 3 2" xfId="13401" xr:uid="{207DEC54-714F-4519-B12C-1B30DBDE075A}"/>
    <cellStyle name="20% - Accent6 5 4" xfId="9183" xr:uid="{9D75E063-9582-423C-B5DB-15F219BA230F}"/>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94D93C24-3B12-4503-8723-2DA243F64063}"/>
    <cellStyle name="20% - Accent6 6 2 3" xfId="11741" xr:uid="{3122192F-2254-4D3E-824C-34CDF3B57176}"/>
    <cellStyle name="20% - Accent6 6 3" xfId="5372" xr:uid="{00000000-0005-0000-0000-0000B5030000}"/>
    <cellStyle name="20% - Accent6 6 3 2" xfId="13814" xr:uid="{70B28F62-7194-48D1-859A-37E47A12C70B}"/>
    <cellStyle name="20% - Accent6 6 4" xfId="9596" xr:uid="{EDAB2EEF-EDB8-4C87-88A6-598223ABB163}"/>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DA8BD0A4-EF77-479E-A72D-6BC651F46C72}"/>
    <cellStyle name="20% - Accent6 7 2 3" xfId="12154" xr:uid="{0C796BF0-70DF-4B97-B27D-95E0E6989E0B}"/>
    <cellStyle name="20% - Accent6 7 3" xfId="5785" xr:uid="{00000000-0005-0000-0000-0000B9030000}"/>
    <cellStyle name="20% - Accent6 7 3 2" xfId="14227" xr:uid="{05520E6D-3ED4-47FE-88D6-9B6CDCD82B42}"/>
    <cellStyle name="20% - Accent6 7 4" xfId="10009" xr:uid="{E6BD8C9D-B8C3-4D25-BB8B-EB24D4CB96E4}"/>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09F92DBF-97CC-44ED-AF9E-BB340273B1A8}"/>
    <cellStyle name="20% - Accent6 8 2 3" xfId="12567" xr:uid="{18A4B13F-28EE-400A-AA6C-2E77A9CDDD0F}"/>
    <cellStyle name="20% - Accent6 8 3" xfId="6198" xr:uid="{00000000-0005-0000-0000-0000BD030000}"/>
    <cellStyle name="20% - Accent6 8 3 2" xfId="14640" xr:uid="{5C13A59C-F52E-441B-9BCA-151B5E6BF286}"/>
    <cellStyle name="20% - Accent6 8 4" xfId="10422" xr:uid="{EE0DAD2C-C7F5-4B0C-9079-7F2FFF278FE3}"/>
    <cellStyle name="20% - Accent6 9" xfId="2304" xr:uid="{00000000-0005-0000-0000-0000BE030000}"/>
    <cellStyle name="20% - Accent6 9 2" xfId="6611" xr:uid="{00000000-0005-0000-0000-0000BF030000}"/>
    <cellStyle name="20% - Accent6 9 2 2" xfId="15053" xr:uid="{B5D5559A-A9E5-42E8-9AAC-5CA6BCA32B11}"/>
    <cellStyle name="20% - Accent6 9 3" xfId="10835" xr:uid="{49458CD3-73C3-4796-89B7-6D3D978C2BB2}"/>
    <cellStyle name="40% - Accent1" xfId="49" builtinId="31" customBuiltin="1"/>
    <cellStyle name="40% - Accent1 10" xfId="4553" xr:uid="{00000000-0005-0000-0000-0000C1030000}"/>
    <cellStyle name="40% - Accent1 10 2" xfId="12995" xr:uid="{C2C9823E-016C-4C2E-80E4-96E84AAC1AC5}"/>
    <cellStyle name="40% - Accent1 11" xfId="8777" xr:uid="{92094B28-9C70-4BE4-8161-2A2DC157AE07}"/>
    <cellStyle name="40% - Accent1 2" xfId="50" xr:uid="{00000000-0005-0000-0000-0000C2030000}"/>
    <cellStyle name="40% - Accent1 2 10" xfId="8778" xr:uid="{7D1EE080-8BAF-4514-A252-02D6E3CFAA7B}"/>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48B90398-096B-4A9D-8F0C-4A1117F97AB8}"/>
    <cellStyle name="40% - Accent1 2 2 2 2 2 3" xfId="11339" xr:uid="{4752EB0A-9A03-4A3F-82AA-3DF8700644AF}"/>
    <cellStyle name="40% - Accent1 2 2 2 2 3" xfId="4970" xr:uid="{00000000-0005-0000-0000-0000C8030000}"/>
    <cellStyle name="40% - Accent1 2 2 2 2 3 2" xfId="13412" xr:uid="{4AA7D274-37BF-486A-ACCD-8400845D5FEA}"/>
    <cellStyle name="40% - Accent1 2 2 2 2 4" xfId="9194" xr:uid="{412DC6F0-5689-4170-9B0E-D75DA7A2E025}"/>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1FDF63B5-99DB-4C00-AD5F-132C2B64F46E}"/>
    <cellStyle name="40% - Accent1 2 2 2 3 2 3" xfId="11752" xr:uid="{EA1595F2-4915-4E03-93BA-1B63A35886FF}"/>
    <cellStyle name="40% - Accent1 2 2 2 3 3" xfId="5383" xr:uid="{00000000-0005-0000-0000-0000CC030000}"/>
    <cellStyle name="40% - Accent1 2 2 2 3 3 2" xfId="13825" xr:uid="{5DA72627-D974-468B-A657-75FD566D8BE6}"/>
    <cellStyle name="40% - Accent1 2 2 2 3 4" xfId="9607" xr:uid="{DD3932A0-674D-4AFA-BEE1-C4A86BC032B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90219CC6-9A3F-445A-A368-8CC2B46CCAB5}"/>
    <cellStyle name="40% - Accent1 2 2 2 4 2 3" xfId="12165" xr:uid="{47741534-C08D-47EE-B234-D4607F4810D8}"/>
    <cellStyle name="40% - Accent1 2 2 2 4 3" xfId="5796" xr:uid="{00000000-0005-0000-0000-0000D0030000}"/>
    <cellStyle name="40% - Accent1 2 2 2 4 3 2" xfId="14238" xr:uid="{944836AA-3858-4540-8101-DB57C2A22535}"/>
    <cellStyle name="40% - Accent1 2 2 2 4 4" xfId="10020" xr:uid="{B9025078-1CCC-472C-8791-092165E1B1B2}"/>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5D740C70-B186-4B02-9751-E4F9659BB568}"/>
    <cellStyle name="40% - Accent1 2 2 2 5 2 3" xfId="12578" xr:uid="{84CFAF78-044C-4570-BD39-1469B361C1CC}"/>
    <cellStyle name="40% - Accent1 2 2 2 5 3" xfId="6209" xr:uid="{00000000-0005-0000-0000-0000D4030000}"/>
    <cellStyle name="40% - Accent1 2 2 2 5 3 2" xfId="14651" xr:uid="{F1F4139A-6B5A-4659-BE28-2C9B6060B8A5}"/>
    <cellStyle name="40% - Accent1 2 2 2 5 4" xfId="10433" xr:uid="{3061D31B-ECF7-4939-8467-F4C03D80A75F}"/>
    <cellStyle name="40% - Accent1 2 2 2 6" xfId="2315" xr:uid="{00000000-0005-0000-0000-0000D5030000}"/>
    <cellStyle name="40% - Accent1 2 2 2 6 2" xfId="6622" xr:uid="{00000000-0005-0000-0000-0000D6030000}"/>
    <cellStyle name="40% - Accent1 2 2 2 6 2 2" xfId="15064" xr:uid="{BC629495-5A31-401B-A32F-29BFF516EE06}"/>
    <cellStyle name="40% - Accent1 2 2 2 6 3" xfId="10846" xr:uid="{0C09225F-B3FD-45E1-AB0C-1937511EDB2C}"/>
    <cellStyle name="40% - Accent1 2 2 2 7" xfId="4556" xr:uid="{00000000-0005-0000-0000-0000D7030000}"/>
    <cellStyle name="40% - Accent1 2 2 2 7 2" xfId="12998" xr:uid="{26B01731-A9F2-4F61-A098-4BFE379C6582}"/>
    <cellStyle name="40% - Accent1 2 2 2 8" xfId="8780" xr:uid="{92ED8175-0151-4346-AC58-F1128C9DE431}"/>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3EB4C130-EB81-4EE8-9039-C21EDE35B019}"/>
    <cellStyle name="40% - Accent1 2 2 3 2 3" xfId="11338" xr:uid="{BA10B0A5-7F60-4DC4-A5CB-0C895B7DFD52}"/>
    <cellStyle name="40% - Accent1 2 2 3 3" xfId="4969" xr:uid="{00000000-0005-0000-0000-0000DB030000}"/>
    <cellStyle name="40% - Accent1 2 2 3 3 2" xfId="13411" xr:uid="{7C7D6E5D-CC57-4106-9E20-CB6D44D72E6F}"/>
    <cellStyle name="40% - Accent1 2 2 3 4" xfId="9193" xr:uid="{A3559C8F-3BA0-48FE-A32F-A206BB4A5C4F}"/>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127D4E57-EA1C-4C28-8020-C8623C481469}"/>
    <cellStyle name="40% - Accent1 2 2 4 2 3" xfId="11751" xr:uid="{F3F86E49-8B22-4ACE-89BD-995EBFC6408A}"/>
    <cellStyle name="40% - Accent1 2 2 4 3" xfId="5382" xr:uid="{00000000-0005-0000-0000-0000DF030000}"/>
    <cellStyle name="40% - Accent1 2 2 4 3 2" xfId="13824" xr:uid="{5F5E6BEF-77AB-44C0-87CD-2512F17B0F54}"/>
    <cellStyle name="40% - Accent1 2 2 4 4" xfId="9606" xr:uid="{BF0900F6-62BE-4308-899D-7669747DE48F}"/>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CD8C0C5D-F4F9-4634-B6D4-605E4D039286}"/>
    <cellStyle name="40% - Accent1 2 2 5 2 3" xfId="12164" xr:uid="{C21A17B5-2CB1-4071-A3EA-93A2DBEE65EB}"/>
    <cellStyle name="40% - Accent1 2 2 5 3" xfId="5795" xr:uid="{00000000-0005-0000-0000-0000E3030000}"/>
    <cellStyle name="40% - Accent1 2 2 5 3 2" xfId="14237" xr:uid="{3D06EA58-321A-410C-BCC9-68A542678240}"/>
    <cellStyle name="40% - Accent1 2 2 5 4" xfId="10019" xr:uid="{72E441F0-708F-426A-8144-415F4C209E15}"/>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4D30B134-38E6-49B1-900A-0A97F5CF2597}"/>
    <cellStyle name="40% - Accent1 2 2 6 2 3" xfId="12577" xr:uid="{C9397D88-A9FD-4755-AA63-238B457148CF}"/>
    <cellStyle name="40% - Accent1 2 2 6 3" xfId="6208" xr:uid="{00000000-0005-0000-0000-0000E7030000}"/>
    <cellStyle name="40% - Accent1 2 2 6 3 2" xfId="14650" xr:uid="{DBB0BADA-96B0-4435-9DC1-3197FFC3747B}"/>
    <cellStyle name="40% - Accent1 2 2 6 4" xfId="10432" xr:uid="{A13FA6E3-20EA-4045-91CE-1EA5D077F4EE}"/>
    <cellStyle name="40% - Accent1 2 2 7" xfId="2314" xr:uid="{00000000-0005-0000-0000-0000E8030000}"/>
    <cellStyle name="40% - Accent1 2 2 7 2" xfId="6621" xr:uid="{00000000-0005-0000-0000-0000E9030000}"/>
    <cellStyle name="40% - Accent1 2 2 7 2 2" xfId="15063" xr:uid="{0D867A26-559F-46C4-BB3A-DC1A42BB12FD}"/>
    <cellStyle name="40% - Accent1 2 2 7 3" xfId="10845" xr:uid="{71AE248B-E6F4-4309-B4E0-22CEA0854DBD}"/>
    <cellStyle name="40% - Accent1 2 2 8" xfId="4555" xr:uid="{00000000-0005-0000-0000-0000EA030000}"/>
    <cellStyle name="40% - Accent1 2 2 8 2" xfId="12997" xr:uid="{7E7FF1A2-E35E-4F4A-8752-538AC3CF1872}"/>
    <cellStyle name="40% - Accent1 2 2 9" xfId="8779" xr:uid="{D7035A9E-F445-4AE1-8D9A-96AC14BA1202}"/>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106A7D90-1934-4426-99DB-009DF950CC5F}"/>
    <cellStyle name="40% - Accent1 2 3 2 2 3" xfId="11340" xr:uid="{66C68E37-5014-4976-8923-DCC3760245F2}"/>
    <cellStyle name="40% - Accent1 2 3 2 3" xfId="4971" xr:uid="{00000000-0005-0000-0000-0000EF030000}"/>
    <cellStyle name="40% - Accent1 2 3 2 3 2" xfId="13413" xr:uid="{FC6CD7C3-9641-4419-A91F-9C7588DF6614}"/>
    <cellStyle name="40% - Accent1 2 3 2 4" xfId="9195" xr:uid="{075AE37F-12E0-493E-A980-66BA316EBC18}"/>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E1A2AFFC-8EF7-48D2-AF8C-997DE8BD20A2}"/>
    <cellStyle name="40% - Accent1 2 3 3 2 3" xfId="11753" xr:uid="{7484025E-72BC-4784-B158-BDDAAD1093E5}"/>
    <cellStyle name="40% - Accent1 2 3 3 3" xfId="5384" xr:uid="{00000000-0005-0000-0000-0000F3030000}"/>
    <cellStyle name="40% - Accent1 2 3 3 3 2" xfId="13826" xr:uid="{C2963907-8633-44DE-A8A4-DEAC2589FDD5}"/>
    <cellStyle name="40% - Accent1 2 3 3 4" xfId="9608" xr:uid="{EDD22F92-2ECB-496B-AC61-9BBD53543ECB}"/>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01100E31-6DD7-4CB0-89ED-9EA30FA3F734}"/>
    <cellStyle name="40% - Accent1 2 3 4 2 3" xfId="12166" xr:uid="{8F4D8BE8-6D9B-4B27-ABF6-7C3E51BA61F5}"/>
    <cellStyle name="40% - Accent1 2 3 4 3" xfId="5797" xr:uid="{00000000-0005-0000-0000-0000F7030000}"/>
    <cellStyle name="40% - Accent1 2 3 4 3 2" xfId="14239" xr:uid="{85003183-900E-43E4-B7FB-F26621AFE83C}"/>
    <cellStyle name="40% - Accent1 2 3 4 4" xfId="10021" xr:uid="{4FEE2552-BC31-46F9-B4B5-46A78336EAF9}"/>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FD713473-5CFA-4E98-8F4C-183BEEF22D1D}"/>
    <cellStyle name="40% - Accent1 2 3 5 2 3" xfId="12579" xr:uid="{61206082-0BA6-44B7-A29B-6CA0AC6CA11B}"/>
    <cellStyle name="40% - Accent1 2 3 5 3" xfId="6210" xr:uid="{00000000-0005-0000-0000-0000FB030000}"/>
    <cellStyle name="40% - Accent1 2 3 5 3 2" xfId="14652" xr:uid="{40A7C9CB-7B64-49AB-B220-CBCCE3B1B8EC}"/>
    <cellStyle name="40% - Accent1 2 3 5 4" xfId="10434" xr:uid="{6679E668-57C6-4FF7-9576-8BEFA72DB7DD}"/>
    <cellStyle name="40% - Accent1 2 3 6" xfId="2316" xr:uid="{00000000-0005-0000-0000-0000FC030000}"/>
    <cellStyle name="40% - Accent1 2 3 6 2" xfId="6623" xr:uid="{00000000-0005-0000-0000-0000FD030000}"/>
    <cellStyle name="40% - Accent1 2 3 6 2 2" xfId="15065" xr:uid="{305437FA-B9E8-4ED6-AC69-FEDCA3DDA94D}"/>
    <cellStyle name="40% - Accent1 2 3 6 3" xfId="10847" xr:uid="{FF2DDC2E-445E-4B8E-AF01-5B6F84FCB837}"/>
    <cellStyle name="40% - Accent1 2 3 7" xfId="4557" xr:uid="{00000000-0005-0000-0000-0000FE030000}"/>
    <cellStyle name="40% - Accent1 2 3 7 2" xfId="12999" xr:uid="{5D9B7BB8-79E2-4087-A236-B22130BCFF98}"/>
    <cellStyle name="40% - Accent1 2 3 8" xfId="8781" xr:uid="{8D5212BA-F0B6-403B-ABD7-E4C590267120}"/>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9AA5BBAE-9BE9-473C-9391-ABFABE767D3A}"/>
    <cellStyle name="40% - Accent1 2 4 2 3" xfId="11337" xr:uid="{7B8C1E6F-55A7-48C9-9B45-90AEB998C7FE}"/>
    <cellStyle name="40% - Accent1 2 4 3" xfId="4968" xr:uid="{00000000-0005-0000-0000-000002040000}"/>
    <cellStyle name="40% - Accent1 2 4 3 2" xfId="13410" xr:uid="{8041C67E-F818-481A-B787-FAFA5C362AB7}"/>
    <cellStyle name="40% - Accent1 2 4 4" xfId="9192" xr:uid="{63856FF4-45B5-4F5F-8B43-2B0896DAB840}"/>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BE2B8872-F6E7-4A39-9888-F6C6A22A916D}"/>
    <cellStyle name="40% - Accent1 2 5 2 3" xfId="11750" xr:uid="{1174FAFA-2091-4691-81C5-CBDB220F8DCD}"/>
    <cellStyle name="40% - Accent1 2 5 3" xfId="5381" xr:uid="{00000000-0005-0000-0000-000006040000}"/>
    <cellStyle name="40% - Accent1 2 5 3 2" xfId="13823" xr:uid="{661E0ADF-F6C8-4576-8BE9-4A2809CF8FE9}"/>
    <cellStyle name="40% - Accent1 2 5 4" xfId="9605" xr:uid="{ADD6A09F-6C3D-4261-B023-2120B6FCAAC6}"/>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24DB9221-BDD3-4A09-BEE7-2D9947CB3ACC}"/>
    <cellStyle name="40% - Accent1 2 6 2 3" xfId="12163" xr:uid="{D8AE1AF2-25D7-4CE7-BF5C-19383A55A184}"/>
    <cellStyle name="40% - Accent1 2 6 3" xfId="5794" xr:uid="{00000000-0005-0000-0000-00000A040000}"/>
    <cellStyle name="40% - Accent1 2 6 3 2" xfId="14236" xr:uid="{93BB17EE-940B-4323-891F-608C5FA9C29D}"/>
    <cellStyle name="40% - Accent1 2 6 4" xfId="10018" xr:uid="{F7C21AC4-550C-4A7C-8C15-9267030F7EA4}"/>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FF68C43C-F84A-435E-B0EC-27231F5CE1CA}"/>
    <cellStyle name="40% - Accent1 2 7 2 3" xfId="12576" xr:uid="{C8796F1B-6FEE-431B-9FBD-49003BEB8D35}"/>
    <cellStyle name="40% - Accent1 2 7 3" xfId="6207" xr:uid="{00000000-0005-0000-0000-00000E040000}"/>
    <cellStyle name="40% - Accent1 2 7 3 2" xfId="14649" xr:uid="{7122CFC3-5FC2-4881-9C06-776924E2AE63}"/>
    <cellStyle name="40% - Accent1 2 7 4" xfId="10431" xr:uid="{BD2EA45E-72BB-464E-B3B7-317BACBB5632}"/>
    <cellStyle name="40% - Accent1 2 8" xfId="2313" xr:uid="{00000000-0005-0000-0000-00000F040000}"/>
    <cellStyle name="40% - Accent1 2 8 2" xfId="6620" xr:uid="{00000000-0005-0000-0000-000010040000}"/>
    <cellStyle name="40% - Accent1 2 8 2 2" xfId="15062" xr:uid="{2E182F19-972B-475B-92FE-0850BE2F3EA4}"/>
    <cellStyle name="40% - Accent1 2 8 3" xfId="10844" xr:uid="{62B7EED9-C29B-4840-B9BA-316FE35D9C6C}"/>
    <cellStyle name="40% - Accent1 2 9" xfId="4554" xr:uid="{00000000-0005-0000-0000-000011040000}"/>
    <cellStyle name="40% - Accent1 2 9 2" xfId="12996" xr:uid="{F72296D2-4D34-423C-9FBE-AA8B4AAA784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5C0BC042-245C-4AA4-B806-1AE15AA94643}"/>
    <cellStyle name="40% - Accent1 3 2 2 2 3" xfId="11342" xr:uid="{850DE756-B236-459E-916A-EC12678029F4}"/>
    <cellStyle name="40% - Accent1 3 2 2 3" xfId="4973" xr:uid="{00000000-0005-0000-0000-000017040000}"/>
    <cellStyle name="40% - Accent1 3 2 2 3 2" xfId="13415" xr:uid="{051C1E4A-17EE-4C33-B275-BA3D6316C479}"/>
    <cellStyle name="40% - Accent1 3 2 2 4" xfId="9197" xr:uid="{1AA2E012-487C-41B7-8F04-456B5371F7E3}"/>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508AF82-5286-4E86-AB74-364B3A2149D7}"/>
    <cellStyle name="40% - Accent1 3 2 3 2 3" xfId="11755" xr:uid="{0FF21CCF-1F7B-4E67-98BE-417DC5B02640}"/>
    <cellStyle name="40% - Accent1 3 2 3 3" xfId="5386" xr:uid="{00000000-0005-0000-0000-00001B040000}"/>
    <cellStyle name="40% - Accent1 3 2 3 3 2" xfId="13828" xr:uid="{10AE5787-BEF6-4980-AE1E-A24964884E11}"/>
    <cellStyle name="40% - Accent1 3 2 3 4" xfId="9610" xr:uid="{9DA52043-4301-430A-A2DD-A090BDA89665}"/>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1B73CC58-4213-4B16-9C98-749D9D58B667}"/>
    <cellStyle name="40% - Accent1 3 2 4 2 3" xfId="12168" xr:uid="{73539E82-563F-4F76-96FD-9EA1B350737E}"/>
    <cellStyle name="40% - Accent1 3 2 4 3" xfId="5799" xr:uid="{00000000-0005-0000-0000-00001F040000}"/>
    <cellStyle name="40% - Accent1 3 2 4 3 2" xfId="14241" xr:uid="{65B2CA4E-953D-47B6-B993-424D747CD7A2}"/>
    <cellStyle name="40% - Accent1 3 2 4 4" xfId="10023" xr:uid="{E7484430-3BF6-42AA-B542-D3568EF4C3B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2C57927D-F2DE-42EF-8329-992CB98D8328}"/>
    <cellStyle name="40% - Accent1 3 2 5 2 3" xfId="12581" xr:uid="{41AAF818-387B-4A60-8A7F-680A85CC0990}"/>
    <cellStyle name="40% - Accent1 3 2 5 3" xfId="6212" xr:uid="{00000000-0005-0000-0000-000023040000}"/>
    <cellStyle name="40% - Accent1 3 2 5 3 2" xfId="14654" xr:uid="{C20CA3C6-8C34-4142-9F90-231D622ECA64}"/>
    <cellStyle name="40% - Accent1 3 2 5 4" xfId="10436" xr:uid="{25E8F19A-7C1C-4C61-9776-5B3F7B43A3A2}"/>
    <cellStyle name="40% - Accent1 3 2 6" xfId="2318" xr:uid="{00000000-0005-0000-0000-000024040000}"/>
    <cellStyle name="40% - Accent1 3 2 6 2" xfId="6625" xr:uid="{00000000-0005-0000-0000-000025040000}"/>
    <cellStyle name="40% - Accent1 3 2 6 2 2" xfId="15067" xr:uid="{B6BC9CA4-EAF6-429B-B8B1-25094ACD001A}"/>
    <cellStyle name="40% - Accent1 3 2 6 3" xfId="10849" xr:uid="{D2367922-BCEE-4FC1-969B-8A761AA8E1B2}"/>
    <cellStyle name="40% - Accent1 3 2 7" xfId="4559" xr:uid="{00000000-0005-0000-0000-000026040000}"/>
    <cellStyle name="40% - Accent1 3 2 7 2" xfId="13001" xr:uid="{B0087BD7-23E5-47E5-9E30-6CAE5532E19D}"/>
    <cellStyle name="40% - Accent1 3 2 8" xfId="8783" xr:uid="{856E8BFD-841F-446D-B8C6-C6E673436845}"/>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E7263E36-23EA-43ED-8B7D-A505BC89CF5A}"/>
    <cellStyle name="40% - Accent1 3 3 2 3" xfId="11341" xr:uid="{B9FFDF7F-544E-4D1B-B9E5-4780D874EEEF}"/>
    <cellStyle name="40% - Accent1 3 3 3" xfId="4972" xr:uid="{00000000-0005-0000-0000-00002A040000}"/>
    <cellStyle name="40% - Accent1 3 3 3 2" xfId="13414" xr:uid="{15811169-C63E-4C5E-A2EB-E29501B6D1D9}"/>
    <cellStyle name="40% - Accent1 3 3 4" xfId="9196" xr:uid="{46E0E987-8543-4620-BE31-290DB0CDE130}"/>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16ABD03-2124-4593-8225-B634322D05BA}"/>
    <cellStyle name="40% - Accent1 3 4 2 3" xfId="11754" xr:uid="{6C219BC1-45A7-476E-A087-8AA8408B3ACC}"/>
    <cellStyle name="40% - Accent1 3 4 3" xfId="5385" xr:uid="{00000000-0005-0000-0000-00002E040000}"/>
    <cellStyle name="40% - Accent1 3 4 3 2" xfId="13827" xr:uid="{913EE346-D311-472B-915F-C1EA9623B893}"/>
    <cellStyle name="40% - Accent1 3 4 4" xfId="9609" xr:uid="{92581302-9A44-4318-A543-22C077D6C026}"/>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E94E4833-0358-404A-B5E4-C23A4F45C41D}"/>
    <cellStyle name="40% - Accent1 3 5 2 3" xfId="12167" xr:uid="{98F161DE-6072-4013-B91B-93D9CF0F3BCA}"/>
    <cellStyle name="40% - Accent1 3 5 3" xfId="5798" xr:uid="{00000000-0005-0000-0000-000032040000}"/>
    <cellStyle name="40% - Accent1 3 5 3 2" xfId="14240" xr:uid="{39BE776C-FFF7-4D56-8921-D1A3204107DF}"/>
    <cellStyle name="40% - Accent1 3 5 4" xfId="10022" xr:uid="{7E3C01E7-F55A-4BEF-B216-7AAD2336492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5A2FD3EC-352D-4699-99EB-7E4C20AF9062}"/>
    <cellStyle name="40% - Accent1 3 6 2 3" xfId="12580" xr:uid="{1F8F6ABF-4B73-4742-9709-933D4F49495F}"/>
    <cellStyle name="40% - Accent1 3 6 3" xfId="6211" xr:uid="{00000000-0005-0000-0000-000036040000}"/>
    <cellStyle name="40% - Accent1 3 6 3 2" xfId="14653" xr:uid="{6C494CAB-ACA2-488A-8464-3CC3BD05F98B}"/>
    <cellStyle name="40% - Accent1 3 6 4" xfId="10435" xr:uid="{7D7E5CF3-7490-446D-85F9-7D6C5FDA77A3}"/>
    <cellStyle name="40% - Accent1 3 7" xfId="2317" xr:uid="{00000000-0005-0000-0000-000037040000}"/>
    <cellStyle name="40% - Accent1 3 7 2" xfId="6624" xr:uid="{00000000-0005-0000-0000-000038040000}"/>
    <cellStyle name="40% - Accent1 3 7 2 2" xfId="15066" xr:uid="{9F71B602-F72D-4C23-9F5E-7B3FF66A403A}"/>
    <cellStyle name="40% - Accent1 3 7 3" xfId="10848" xr:uid="{4BF212F7-D935-4072-9148-3F53829C2927}"/>
    <cellStyle name="40% - Accent1 3 8" xfId="4558" xr:uid="{00000000-0005-0000-0000-000039040000}"/>
    <cellStyle name="40% - Accent1 3 8 2" xfId="13000" xr:uid="{C9F5CBA1-6DD5-4A89-83CF-B8B1D141D36F}"/>
    <cellStyle name="40% - Accent1 3 9" xfId="8782" xr:uid="{2C513B78-EAC4-4602-A776-3695CC587772}"/>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EAA596C7-B9BC-418E-B9D3-3BFA9240F02C}"/>
    <cellStyle name="40% - Accent1 4 2 2 3" xfId="11343" xr:uid="{7ABFBBD9-5EE4-4821-9BE1-92C8A53EBF62}"/>
    <cellStyle name="40% - Accent1 4 2 3" xfId="4974" xr:uid="{00000000-0005-0000-0000-00003E040000}"/>
    <cellStyle name="40% - Accent1 4 2 3 2" xfId="13416" xr:uid="{02A568F8-10D0-4499-8F82-450413B72EAF}"/>
    <cellStyle name="40% - Accent1 4 2 4" xfId="9198" xr:uid="{B4EB6DCF-B323-4B2B-8DAC-FB8B284AC417}"/>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8B865569-B54F-4958-BBF6-777F18DE611D}"/>
    <cellStyle name="40% - Accent1 4 3 2 3" xfId="11756" xr:uid="{BAE0BE5B-FD38-45FE-AAC4-EDAB9C7B16C7}"/>
    <cellStyle name="40% - Accent1 4 3 3" xfId="5387" xr:uid="{00000000-0005-0000-0000-000042040000}"/>
    <cellStyle name="40% - Accent1 4 3 3 2" xfId="13829" xr:uid="{9410AB2B-C680-4388-AE49-C42644702A4A}"/>
    <cellStyle name="40% - Accent1 4 3 4" xfId="9611" xr:uid="{3B761062-F78B-4F56-B8E0-7A3E6D8C3C15}"/>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49C080E9-6BB1-4158-A505-0F3E7FF8FB2C}"/>
    <cellStyle name="40% - Accent1 4 4 2 3" xfId="12169" xr:uid="{C3CC28F5-55CC-4BD8-A00F-83CC93BAFFD7}"/>
    <cellStyle name="40% - Accent1 4 4 3" xfId="5800" xr:uid="{00000000-0005-0000-0000-000046040000}"/>
    <cellStyle name="40% - Accent1 4 4 3 2" xfId="14242" xr:uid="{EC0CA044-5792-44FD-84E9-D696BAFE9CD1}"/>
    <cellStyle name="40% - Accent1 4 4 4" xfId="10024" xr:uid="{9AFA120C-62F4-420D-8AB8-450F5673D517}"/>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D2695068-9443-409A-A094-227C7C750AA0}"/>
    <cellStyle name="40% - Accent1 4 5 2 3" xfId="12582" xr:uid="{B618A814-1A2C-4078-9A89-5A54972CA27D}"/>
    <cellStyle name="40% - Accent1 4 5 3" xfId="6213" xr:uid="{00000000-0005-0000-0000-00004A040000}"/>
    <cellStyle name="40% - Accent1 4 5 3 2" xfId="14655" xr:uid="{52599875-1FCF-483E-821F-ADC66F95E05D}"/>
    <cellStyle name="40% - Accent1 4 5 4" xfId="10437" xr:uid="{BC20F7EB-DB62-495B-A5B7-44F7BBD24C86}"/>
    <cellStyle name="40% - Accent1 4 6" xfId="2319" xr:uid="{00000000-0005-0000-0000-00004B040000}"/>
    <cellStyle name="40% - Accent1 4 6 2" xfId="6626" xr:uid="{00000000-0005-0000-0000-00004C040000}"/>
    <cellStyle name="40% - Accent1 4 6 2 2" xfId="15068" xr:uid="{28EE768A-4338-4486-BF10-FA3248DC0768}"/>
    <cellStyle name="40% - Accent1 4 6 3" xfId="10850" xr:uid="{7A8594DF-BB5E-4057-AD2D-46067A3FCE23}"/>
    <cellStyle name="40% - Accent1 4 7" xfId="4560" xr:uid="{00000000-0005-0000-0000-00004D040000}"/>
    <cellStyle name="40% - Accent1 4 7 2" xfId="13002" xr:uid="{DBBD36B3-7772-4762-80B8-E60AB0840D73}"/>
    <cellStyle name="40% - Accent1 4 8" xfId="8784" xr:uid="{77C2F557-BB9A-4B6B-8CA5-ABE384D44137}"/>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1BA8AD7D-2313-42FC-9D01-C0750D470759}"/>
    <cellStyle name="40% - Accent1 5 2 3" xfId="11336" xr:uid="{2B420465-63B8-476E-BCA8-5BD93200BE4E}"/>
    <cellStyle name="40% - Accent1 5 3" xfId="4967" xr:uid="{00000000-0005-0000-0000-000051040000}"/>
    <cellStyle name="40% - Accent1 5 3 2" xfId="13409" xr:uid="{F3558376-6F84-4544-8F9C-3766F7F657FF}"/>
    <cellStyle name="40% - Accent1 5 4" xfId="9191" xr:uid="{6D737796-B4A7-4596-B2FF-740CE8F75220}"/>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04498C56-5161-43FC-AD6E-2FD542164B64}"/>
    <cellStyle name="40% - Accent1 6 2 3" xfId="11749" xr:uid="{A1F1F4C4-26E7-4EE0-AFC6-AA9C5DD4C657}"/>
    <cellStyle name="40% - Accent1 6 3" xfId="5380" xr:uid="{00000000-0005-0000-0000-000055040000}"/>
    <cellStyle name="40% - Accent1 6 3 2" xfId="13822" xr:uid="{9A82FF3D-4E77-4356-ACCC-256A81A8EE06}"/>
    <cellStyle name="40% - Accent1 6 4" xfId="9604" xr:uid="{8302677C-6851-45F7-9B0B-B7C8EAA4FA21}"/>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73414554-DD5F-48FD-8AC0-BACC0B10ECB3}"/>
    <cellStyle name="40% - Accent1 7 2 3" xfId="12162" xr:uid="{AB5CEA16-62D2-49BA-8EB4-31EF49469373}"/>
    <cellStyle name="40% - Accent1 7 3" xfId="5793" xr:uid="{00000000-0005-0000-0000-000059040000}"/>
    <cellStyle name="40% - Accent1 7 3 2" xfId="14235" xr:uid="{3684CCF4-D11D-4112-810A-5131C54B5B57}"/>
    <cellStyle name="40% - Accent1 7 4" xfId="10017" xr:uid="{45B5BAC8-1547-4D64-84B1-0D43BE14ACE4}"/>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7555EBCF-B58B-4108-A3F3-7E6D9A3C0E2B}"/>
    <cellStyle name="40% - Accent1 8 2 3" xfId="12575" xr:uid="{603BF3D7-3C0F-4D77-8C29-13FCAD5CDCFA}"/>
    <cellStyle name="40% - Accent1 8 3" xfId="6206" xr:uid="{00000000-0005-0000-0000-00005D040000}"/>
    <cellStyle name="40% - Accent1 8 3 2" xfId="14648" xr:uid="{EED9B69C-645A-4D16-8188-67356438A9E8}"/>
    <cellStyle name="40% - Accent1 8 4" xfId="10430" xr:uid="{97E553F0-0261-4C84-AD8C-909857466D06}"/>
    <cellStyle name="40% - Accent1 9" xfId="2312" xr:uid="{00000000-0005-0000-0000-00005E040000}"/>
    <cellStyle name="40% - Accent1 9 2" xfId="6619" xr:uid="{00000000-0005-0000-0000-00005F040000}"/>
    <cellStyle name="40% - Accent1 9 2 2" xfId="15061" xr:uid="{42C9E9FF-6CA4-46CD-9393-B14554B74940}"/>
    <cellStyle name="40% - Accent1 9 3" xfId="10843" xr:uid="{5A51C355-E7AB-4168-98E6-CB9D91C5C7EE}"/>
    <cellStyle name="40% - Accent2" xfId="57" builtinId="35" customBuiltin="1"/>
    <cellStyle name="40% - Accent2 10" xfId="4561" xr:uid="{00000000-0005-0000-0000-000061040000}"/>
    <cellStyle name="40% - Accent2 10 2" xfId="13003" xr:uid="{33FD6620-28DC-438D-BB1D-5C93EBF50D47}"/>
    <cellStyle name="40% - Accent2 11" xfId="8785" xr:uid="{4C13684A-A185-431C-8984-2D0AD794CC67}"/>
    <cellStyle name="40% - Accent2 2" xfId="58" xr:uid="{00000000-0005-0000-0000-000062040000}"/>
    <cellStyle name="40% - Accent2 2 10" xfId="8786" xr:uid="{A853ED6F-DC9F-479E-AA64-E89775AB104E}"/>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F692B793-DF98-40F7-B989-7A1E485962A2}"/>
    <cellStyle name="40% - Accent2 2 2 2 2 2 3" xfId="11347" xr:uid="{191AD374-EE7B-48B0-B3A7-FB1242ECFB37}"/>
    <cellStyle name="40% - Accent2 2 2 2 2 3" xfId="4978" xr:uid="{00000000-0005-0000-0000-000068040000}"/>
    <cellStyle name="40% - Accent2 2 2 2 2 3 2" xfId="13420" xr:uid="{A6E7E61F-642B-4B7E-A549-1C929362E550}"/>
    <cellStyle name="40% - Accent2 2 2 2 2 4" xfId="9202" xr:uid="{C8311B60-07A6-4C44-9EBB-DCBC985F797F}"/>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4A7E208D-AA45-49F7-9BB6-933921093EF5}"/>
    <cellStyle name="40% - Accent2 2 2 2 3 2 3" xfId="11760" xr:uid="{EAD7F65F-C0E7-4B65-B35B-E7514D1C7931}"/>
    <cellStyle name="40% - Accent2 2 2 2 3 3" xfId="5391" xr:uid="{00000000-0005-0000-0000-00006C040000}"/>
    <cellStyle name="40% - Accent2 2 2 2 3 3 2" xfId="13833" xr:uid="{9338FC44-E51F-46F2-A63C-27F8D1A1B6A7}"/>
    <cellStyle name="40% - Accent2 2 2 2 3 4" xfId="9615" xr:uid="{8639C809-94D0-4AB6-B804-06825AC91DBE}"/>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57089C44-9AE0-4CFB-87A8-1627D63F8D58}"/>
    <cellStyle name="40% - Accent2 2 2 2 4 2 3" xfId="12173" xr:uid="{69E6E61F-7B27-40CD-96E3-8187D169FBF3}"/>
    <cellStyle name="40% - Accent2 2 2 2 4 3" xfId="5804" xr:uid="{00000000-0005-0000-0000-000070040000}"/>
    <cellStyle name="40% - Accent2 2 2 2 4 3 2" xfId="14246" xr:uid="{79AC33C7-6DB8-46CF-B863-0BD922AB7F9D}"/>
    <cellStyle name="40% - Accent2 2 2 2 4 4" xfId="10028" xr:uid="{D18B7331-9802-49A4-BFFB-A8FC057AE8CF}"/>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5371774F-5B63-4AFE-B17C-989E68B53001}"/>
    <cellStyle name="40% - Accent2 2 2 2 5 2 3" xfId="12586" xr:uid="{15E0BC0D-D52D-4603-BBA1-CA7634BD3154}"/>
    <cellStyle name="40% - Accent2 2 2 2 5 3" xfId="6217" xr:uid="{00000000-0005-0000-0000-000074040000}"/>
    <cellStyle name="40% - Accent2 2 2 2 5 3 2" xfId="14659" xr:uid="{BFEAEBED-E0DF-49E0-A385-752E68FDE91A}"/>
    <cellStyle name="40% - Accent2 2 2 2 5 4" xfId="10441" xr:uid="{B7B501C7-4A11-4320-BBD9-FDB025EABBF7}"/>
    <cellStyle name="40% - Accent2 2 2 2 6" xfId="2323" xr:uid="{00000000-0005-0000-0000-000075040000}"/>
    <cellStyle name="40% - Accent2 2 2 2 6 2" xfId="6630" xr:uid="{00000000-0005-0000-0000-000076040000}"/>
    <cellStyle name="40% - Accent2 2 2 2 6 2 2" xfId="15072" xr:uid="{F70D8BBB-811D-4D32-87AA-AB1DB69FF90F}"/>
    <cellStyle name="40% - Accent2 2 2 2 6 3" xfId="10854" xr:uid="{BC3AFBFA-773C-419D-9E69-3097270494A0}"/>
    <cellStyle name="40% - Accent2 2 2 2 7" xfId="4564" xr:uid="{00000000-0005-0000-0000-000077040000}"/>
    <cellStyle name="40% - Accent2 2 2 2 7 2" xfId="13006" xr:uid="{EB208FF9-0C4D-4A0C-8493-4ADE5BC14085}"/>
    <cellStyle name="40% - Accent2 2 2 2 8" xfId="8788" xr:uid="{83D00A9B-ACF2-4191-99F1-5225E809720C}"/>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FA40024F-EA46-4CBD-8FFD-3948E352A780}"/>
    <cellStyle name="40% - Accent2 2 2 3 2 3" xfId="11346" xr:uid="{A1A07A6D-1379-4C26-B2AB-3961B8533C13}"/>
    <cellStyle name="40% - Accent2 2 2 3 3" xfId="4977" xr:uid="{00000000-0005-0000-0000-00007B040000}"/>
    <cellStyle name="40% - Accent2 2 2 3 3 2" xfId="13419" xr:uid="{F7CEC2DA-6DAD-4E08-8901-597ABB063529}"/>
    <cellStyle name="40% - Accent2 2 2 3 4" xfId="9201" xr:uid="{DDC92299-B937-424E-AA86-DF9D8F36319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F39FAD73-3B50-45F3-B63B-9D5B0BDA8ECA}"/>
    <cellStyle name="40% - Accent2 2 2 4 2 3" xfId="11759" xr:uid="{51815CFF-0A40-4AA8-934A-0502950CE24D}"/>
    <cellStyle name="40% - Accent2 2 2 4 3" xfId="5390" xr:uid="{00000000-0005-0000-0000-00007F040000}"/>
    <cellStyle name="40% - Accent2 2 2 4 3 2" xfId="13832" xr:uid="{7B6561C8-145A-4090-8856-41CB2CDB7F0E}"/>
    <cellStyle name="40% - Accent2 2 2 4 4" xfId="9614" xr:uid="{C1435ACE-805C-43D5-96DA-A4B13C183B34}"/>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DA508413-3BC9-426B-B04B-A5A01B336D53}"/>
    <cellStyle name="40% - Accent2 2 2 5 2 3" xfId="12172" xr:uid="{DC2595DE-78FF-4B15-8FA8-C24545CB0CE7}"/>
    <cellStyle name="40% - Accent2 2 2 5 3" xfId="5803" xr:uid="{00000000-0005-0000-0000-000083040000}"/>
    <cellStyle name="40% - Accent2 2 2 5 3 2" xfId="14245" xr:uid="{CCB021F5-4EB7-47CC-9E7D-B1158E074E38}"/>
    <cellStyle name="40% - Accent2 2 2 5 4" xfId="10027" xr:uid="{5D57A254-4CE8-4972-9E37-4DF3D1F47853}"/>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702DD249-09AE-4E11-9138-D5BD58FD8288}"/>
    <cellStyle name="40% - Accent2 2 2 6 2 3" xfId="12585" xr:uid="{495C330A-07E0-4EF7-AB4D-2B871D049F0A}"/>
    <cellStyle name="40% - Accent2 2 2 6 3" xfId="6216" xr:uid="{00000000-0005-0000-0000-000087040000}"/>
    <cellStyle name="40% - Accent2 2 2 6 3 2" xfId="14658" xr:uid="{79EC637B-9120-41BD-9FAF-58BD9C367607}"/>
    <cellStyle name="40% - Accent2 2 2 6 4" xfId="10440" xr:uid="{44EB99C7-F442-4E26-ABE6-5C7B48BE3248}"/>
    <cellStyle name="40% - Accent2 2 2 7" xfId="2322" xr:uid="{00000000-0005-0000-0000-000088040000}"/>
    <cellStyle name="40% - Accent2 2 2 7 2" xfId="6629" xr:uid="{00000000-0005-0000-0000-000089040000}"/>
    <cellStyle name="40% - Accent2 2 2 7 2 2" xfId="15071" xr:uid="{E5908714-06A6-4782-BB92-13F48B122273}"/>
    <cellStyle name="40% - Accent2 2 2 7 3" xfId="10853" xr:uid="{7483D877-E67C-423A-A3CA-84F3C5E69369}"/>
    <cellStyle name="40% - Accent2 2 2 8" xfId="4563" xr:uid="{00000000-0005-0000-0000-00008A040000}"/>
    <cellStyle name="40% - Accent2 2 2 8 2" xfId="13005" xr:uid="{A27D74DE-8596-4A01-9FF6-D320FCBAAACA}"/>
    <cellStyle name="40% - Accent2 2 2 9" xfId="8787" xr:uid="{267CBCA8-A858-4ABA-80E5-A833A9401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A93773CE-EBF3-4C07-94C6-6B444A300A1D}"/>
    <cellStyle name="40% - Accent2 2 3 2 2 3" xfId="11348" xr:uid="{FCF77AB7-81C2-4CA8-903C-A03D59867849}"/>
    <cellStyle name="40% - Accent2 2 3 2 3" xfId="4979" xr:uid="{00000000-0005-0000-0000-00008F040000}"/>
    <cellStyle name="40% - Accent2 2 3 2 3 2" xfId="13421" xr:uid="{07BCFE5A-2E05-4C6E-8F09-A2A5352F6554}"/>
    <cellStyle name="40% - Accent2 2 3 2 4" xfId="9203" xr:uid="{93CFAB80-2783-4149-84D7-7E5770430EEA}"/>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F7313A37-53F8-4188-A023-FE8E62460F2F}"/>
    <cellStyle name="40% - Accent2 2 3 3 2 3" xfId="11761" xr:uid="{0A482492-4F4A-41D8-8CED-A81008D1B24E}"/>
    <cellStyle name="40% - Accent2 2 3 3 3" xfId="5392" xr:uid="{00000000-0005-0000-0000-000093040000}"/>
    <cellStyle name="40% - Accent2 2 3 3 3 2" xfId="13834" xr:uid="{50DE1750-4FF1-46F0-BCFE-1782927F1345}"/>
    <cellStyle name="40% - Accent2 2 3 3 4" xfId="9616" xr:uid="{5CBC10E1-343E-4862-933E-CD6C03A44376}"/>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4BF105BB-770B-4451-BD4C-B3710C8023D0}"/>
    <cellStyle name="40% - Accent2 2 3 4 2 3" xfId="12174" xr:uid="{89A7EF3D-3756-4694-8BAC-CA782D7289E3}"/>
    <cellStyle name="40% - Accent2 2 3 4 3" xfId="5805" xr:uid="{00000000-0005-0000-0000-000097040000}"/>
    <cellStyle name="40% - Accent2 2 3 4 3 2" xfId="14247" xr:uid="{14F4DEFA-41D4-4D76-B7E2-F29F403FF1C8}"/>
    <cellStyle name="40% - Accent2 2 3 4 4" xfId="10029" xr:uid="{CC9D993D-83DD-45B4-9F57-4C8A51059B3D}"/>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2814E141-19AE-4E6A-9763-2F522857FA08}"/>
    <cellStyle name="40% - Accent2 2 3 5 2 3" xfId="12587" xr:uid="{0AB3D73B-E93C-42BA-A9D4-47E0E689AB59}"/>
    <cellStyle name="40% - Accent2 2 3 5 3" xfId="6218" xr:uid="{00000000-0005-0000-0000-00009B040000}"/>
    <cellStyle name="40% - Accent2 2 3 5 3 2" xfId="14660" xr:uid="{8E061FC0-750F-4079-97D3-98A863CE9B05}"/>
    <cellStyle name="40% - Accent2 2 3 5 4" xfId="10442" xr:uid="{2A489822-8E8D-49D3-A36D-694D805244CC}"/>
    <cellStyle name="40% - Accent2 2 3 6" xfId="2324" xr:uid="{00000000-0005-0000-0000-00009C040000}"/>
    <cellStyle name="40% - Accent2 2 3 6 2" xfId="6631" xr:uid="{00000000-0005-0000-0000-00009D040000}"/>
    <cellStyle name="40% - Accent2 2 3 6 2 2" xfId="15073" xr:uid="{16F78794-D52E-4DA4-BE81-054089A89031}"/>
    <cellStyle name="40% - Accent2 2 3 6 3" xfId="10855" xr:uid="{D498FDC1-6976-42B6-B234-BB29FDA00474}"/>
    <cellStyle name="40% - Accent2 2 3 7" xfId="4565" xr:uid="{00000000-0005-0000-0000-00009E040000}"/>
    <cellStyle name="40% - Accent2 2 3 7 2" xfId="13007" xr:uid="{45B2437A-C76F-4CD6-9F12-66B11B085C31}"/>
    <cellStyle name="40% - Accent2 2 3 8" xfId="8789" xr:uid="{21CF3D0F-8CB4-485E-9763-FC7570FB4868}"/>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A8E87C30-931E-4314-BDE1-B10157499EF3}"/>
    <cellStyle name="40% - Accent2 2 4 2 3" xfId="11345" xr:uid="{FD9BE3CD-FC07-4B8B-BDBD-434BD4B6E58C}"/>
    <cellStyle name="40% - Accent2 2 4 3" xfId="4976" xr:uid="{00000000-0005-0000-0000-0000A2040000}"/>
    <cellStyle name="40% - Accent2 2 4 3 2" xfId="13418" xr:uid="{35676308-E6C9-41AE-900D-871340BA3445}"/>
    <cellStyle name="40% - Accent2 2 4 4" xfId="9200" xr:uid="{0B0754F3-654A-4618-A4E1-8B51031C337A}"/>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FC27FD8C-5053-44B0-A60C-44E4DA9B1057}"/>
    <cellStyle name="40% - Accent2 2 5 2 3" xfId="11758" xr:uid="{ED8BE57E-1154-447F-97FB-A88CDCEB8142}"/>
    <cellStyle name="40% - Accent2 2 5 3" xfId="5389" xr:uid="{00000000-0005-0000-0000-0000A6040000}"/>
    <cellStyle name="40% - Accent2 2 5 3 2" xfId="13831" xr:uid="{D95DE154-2AFB-46CC-AC79-40AE9C6F5DF5}"/>
    <cellStyle name="40% - Accent2 2 5 4" xfId="9613" xr:uid="{162FC2EE-7435-4ECB-9B78-DD5D27683263}"/>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FB9A62E5-410E-4675-932A-1D9EBA19E90F}"/>
    <cellStyle name="40% - Accent2 2 6 2 3" xfId="12171" xr:uid="{855AA488-9AF7-4C3E-849F-CC5E432EC60E}"/>
    <cellStyle name="40% - Accent2 2 6 3" xfId="5802" xr:uid="{00000000-0005-0000-0000-0000AA040000}"/>
    <cellStyle name="40% - Accent2 2 6 3 2" xfId="14244" xr:uid="{476E925B-AC94-4DAF-98F2-506386AF0F8F}"/>
    <cellStyle name="40% - Accent2 2 6 4" xfId="10026" xr:uid="{C4D262D7-94C4-46FA-8185-FD836A14CEDF}"/>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815EFCD8-4724-4CCB-9AA3-2530AE1DC8DB}"/>
    <cellStyle name="40% - Accent2 2 7 2 3" xfId="12584" xr:uid="{8DD309E5-D731-4E61-91EC-17C2D63E4A52}"/>
    <cellStyle name="40% - Accent2 2 7 3" xfId="6215" xr:uid="{00000000-0005-0000-0000-0000AE040000}"/>
    <cellStyle name="40% - Accent2 2 7 3 2" xfId="14657" xr:uid="{165F6785-A842-44BB-9E06-4D8C69BD4159}"/>
    <cellStyle name="40% - Accent2 2 7 4" xfId="10439" xr:uid="{4A029F6A-4C2F-498A-9CEE-57696F9DA410}"/>
    <cellStyle name="40% - Accent2 2 8" xfId="2321" xr:uid="{00000000-0005-0000-0000-0000AF040000}"/>
    <cellStyle name="40% - Accent2 2 8 2" xfId="6628" xr:uid="{00000000-0005-0000-0000-0000B0040000}"/>
    <cellStyle name="40% - Accent2 2 8 2 2" xfId="15070" xr:uid="{274E34E4-E864-4514-BAC8-DB764B922140}"/>
    <cellStyle name="40% - Accent2 2 8 3" xfId="10852" xr:uid="{B4E3F001-320B-4693-AAEF-E6FBF1DD633E}"/>
    <cellStyle name="40% - Accent2 2 9" xfId="4562" xr:uid="{00000000-0005-0000-0000-0000B1040000}"/>
    <cellStyle name="40% - Accent2 2 9 2" xfId="13004" xr:uid="{6E7AF000-35F5-4CAC-A619-029800ADB5F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8FACCD98-CCB0-497C-BFDD-60C783B58522}"/>
    <cellStyle name="40% - Accent2 3 2 2 2 3" xfId="11350" xr:uid="{0B945462-4BD5-4EE6-9C54-8447CC034B28}"/>
    <cellStyle name="40% - Accent2 3 2 2 3" xfId="4981" xr:uid="{00000000-0005-0000-0000-0000B7040000}"/>
    <cellStyle name="40% - Accent2 3 2 2 3 2" xfId="13423" xr:uid="{B4A6FD06-20D7-4167-8F36-2517E14DFB73}"/>
    <cellStyle name="40% - Accent2 3 2 2 4" xfId="9205" xr:uid="{7EAD7058-A7B4-49FA-B786-AE06BDC8897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55741C14-FD40-48E9-B4D7-1EAB8E8D3936}"/>
    <cellStyle name="40% - Accent2 3 2 3 2 3" xfId="11763" xr:uid="{7DB59BE0-02D8-416E-BDA1-E7C93DB97115}"/>
    <cellStyle name="40% - Accent2 3 2 3 3" xfId="5394" xr:uid="{00000000-0005-0000-0000-0000BB040000}"/>
    <cellStyle name="40% - Accent2 3 2 3 3 2" xfId="13836" xr:uid="{118B7FD1-9C50-4AD8-B865-5571C6DDDB5F}"/>
    <cellStyle name="40% - Accent2 3 2 3 4" xfId="9618" xr:uid="{C7786836-D28F-486A-B82D-8E6882DB7EEC}"/>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4A7064F7-0197-4203-B0B2-0B0D81E4192F}"/>
    <cellStyle name="40% - Accent2 3 2 4 2 3" xfId="12176" xr:uid="{9B4A1562-F175-4B39-A094-E0F046C34FF9}"/>
    <cellStyle name="40% - Accent2 3 2 4 3" xfId="5807" xr:uid="{00000000-0005-0000-0000-0000BF040000}"/>
    <cellStyle name="40% - Accent2 3 2 4 3 2" xfId="14249" xr:uid="{37BEE5B6-DC72-492D-B229-FED03B7091CB}"/>
    <cellStyle name="40% - Accent2 3 2 4 4" xfId="10031" xr:uid="{395FD790-2B5A-4DA9-8111-50CE8A8F3B5C}"/>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0E938D1B-93E3-4910-A161-CE90192929E3}"/>
    <cellStyle name="40% - Accent2 3 2 5 2 3" xfId="12589" xr:uid="{AFC5C622-B316-4152-BC0D-F6504E8A914D}"/>
    <cellStyle name="40% - Accent2 3 2 5 3" xfId="6220" xr:uid="{00000000-0005-0000-0000-0000C3040000}"/>
    <cellStyle name="40% - Accent2 3 2 5 3 2" xfId="14662" xr:uid="{2F34CD12-C98D-4286-8992-203D4F59058C}"/>
    <cellStyle name="40% - Accent2 3 2 5 4" xfId="10444" xr:uid="{C0A2ADD8-65FD-4CD1-B549-BB29C70D90A8}"/>
    <cellStyle name="40% - Accent2 3 2 6" xfId="2326" xr:uid="{00000000-0005-0000-0000-0000C4040000}"/>
    <cellStyle name="40% - Accent2 3 2 6 2" xfId="6633" xr:uid="{00000000-0005-0000-0000-0000C5040000}"/>
    <cellStyle name="40% - Accent2 3 2 6 2 2" xfId="15075" xr:uid="{8BD9DAA4-38A8-433F-B41C-07A9C0C1A23D}"/>
    <cellStyle name="40% - Accent2 3 2 6 3" xfId="10857" xr:uid="{6A544220-6607-4860-B825-60AED168F426}"/>
    <cellStyle name="40% - Accent2 3 2 7" xfId="4567" xr:uid="{00000000-0005-0000-0000-0000C6040000}"/>
    <cellStyle name="40% - Accent2 3 2 7 2" xfId="13009" xr:uid="{147623CD-54A1-4F87-81D1-D6221EBED4DC}"/>
    <cellStyle name="40% - Accent2 3 2 8" xfId="8791" xr:uid="{B94F5786-80CA-4A16-BF2B-C30F1C131CEF}"/>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E7C75E52-362A-45E6-9596-EA2F3995B0F7}"/>
    <cellStyle name="40% - Accent2 3 3 2 3" xfId="11349" xr:uid="{890D7DBC-774A-4A52-902F-41A5E82E2D13}"/>
    <cellStyle name="40% - Accent2 3 3 3" xfId="4980" xr:uid="{00000000-0005-0000-0000-0000CA040000}"/>
    <cellStyle name="40% - Accent2 3 3 3 2" xfId="13422" xr:uid="{4EEDF638-1B10-40C4-908B-5D2C72AEFDFF}"/>
    <cellStyle name="40% - Accent2 3 3 4" xfId="9204" xr:uid="{736CD065-9329-40E1-9937-081FF3A88BC9}"/>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2BE8E11C-0FBA-4344-97B0-E2AA602C092A}"/>
    <cellStyle name="40% - Accent2 3 4 2 3" xfId="11762" xr:uid="{36281CA0-D09D-4A05-981C-F2EE87E2AF1F}"/>
    <cellStyle name="40% - Accent2 3 4 3" xfId="5393" xr:uid="{00000000-0005-0000-0000-0000CE040000}"/>
    <cellStyle name="40% - Accent2 3 4 3 2" xfId="13835" xr:uid="{D2E378E0-7F96-4F2A-B8E2-9AC7527C25E5}"/>
    <cellStyle name="40% - Accent2 3 4 4" xfId="9617" xr:uid="{DA441ACA-AA8D-4A73-9590-DA9DBDA44414}"/>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815DB4E1-B1BC-4060-BF22-A4E9891D1496}"/>
    <cellStyle name="40% - Accent2 3 5 2 3" xfId="12175" xr:uid="{1C944986-A08E-4F62-B1B9-60C382633083}"/>
    <cellStyle name="40% - Accent2 3 5 3" xfId="5806" xr:uid="{00000000-0005-0000-0000-0000D2040000}"/>
    <cellStyle name="40% - Accent2 3 5 3 2" xfId="14248" xr:uid="{3E396ED5-04FA-4658-84CB-68B19F3C3ADC}"/>
    <cellStyle name="40% - Accent2 3 5 4" xfId="10030" xr:uid="{FD355D3C-8AE1-4FA5-BE3E-05CACAD1E4AC}"/>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95BB7AEE-5F3E-45DB-8F59-892B86ABDEC1}"/>
    <cellStyle name="40% - Accent2 3 6 2 3" xfId="12588" xr:uid="{4A292260-22C7-4829-9A49-B876DDA9F31B}"/>
    <cellStyle name="40% - Accent2 3 6 3" xfId="6219" xr:uid="{00000000-0005-0000-0000-0000D6040000}"/>
    <cellStyle name="40% - Accent2 3 6 3 2" xfId="14661" xr:uid="{55B2E6C1-71C9-44B1-AA1F-D24E5FD56AAD}"/>
    <cellStyle name="40% - Accent2 3 6 4" xfId="10443" xr:uid="{CB80B28B-6557-459E-9C40-C5241288C317}"/>
    <cellStyle name="40% - Accent2 3 7" xfId="2325" xr:uid="{00000000-0005-0000-0000-0000D7040000}"/>
    <cellStyle name="40% - Accent2 3 7 2" xfId="6632" xr:uid="{00000000-0005-0000-0000-0000D8040000}"/>
    <cellStyle name="40% - Accent2 3 7 2 2" xfId="15074" xr:uid="{43075560-42F8-4D26-81E7-0A16F5398DA2}"/>
    <cellStyle name="40% - Accent2 3 7 3" xfId="10856" xr:uid="{FD1E852F-4CCC-4959-A94D-1C461C63A222}"/>
    <cellStyle name="40% - Accent2 3 8" xfId="4566" xr:uid="{00000000-0005-0000-0000-0000D9040000}"/>
    <cellStyle name="40% - Accent2 3 8 2" xfId="13008" xr:uid="{3A0C9A7A-D6CF-4269-B68A-96286BFCC78C}"/>
    <cellStyle name="40% - Accent2 3 9" xfId="8790" xr:uid="{766C538F-60AC-4342-AB80-557E701C6E5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63E622E9-25D8-4B9C-B551-EFA4D45705A1}"/>
    <cellStyle name="40% - Accent2 4 2 2 3" xfId="11351" xr:uid="{6B0C0AD8-48EF-4C67-B1B7-74CCDCF60439}"/>
    <cellStyle name="40% - Accent2 4 2 3" xfId="4982" xr:uid="{00000000-0005-0000-0000-0000DE040000}"/>
    <cellStyle name="40% - Accent2 4 2 3 2" xfId="13424" xr:uid="{CB1AB6AA-FEA5-4F74-82E4-428B0B73C3C7}"/>
    <cellStyle name="40% - Accent2 4 2 4" xfId="9206" xr:uid="{47822CF3-281D-4631-9784-B99DB84D07FB}"/>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5ED3AE6E-E982-45A9-86DD-C9DD487F39DD}"/>
    <cellStyle name="40% - Accent2 4 3 2 3" xfId="11764" xr:uid="{5CEF7C17-EC62-43B4-91DB-21A80B19341F}"/>
    <cellStyle name="40% - Accent2 4 3 3" xfId="5395" xr:uid="{00000000-0005-0000-0000-0000E2040000}"/>
    <cellStyle name="40% - Accent2 4 3 3 2" xfId="13837" xr:uid="{59B55F8C-EABE-4904-B5A9-D7FC05E80CB2}"/>
    <cellStyle name="40% - Accent2 4 3 4" xfId="9619" xr:uid="{15007F86-CB1B-441B-9FBD-9706614331BD}"/>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69BBE011-1C57-46ED-8954-13222F813C91}"/>
    <cellStyle name="40% - Accent2 4 4 2 3" xfId="12177" xr:uid="{7317D0AC-D432-4FF4-A1C2-234D5D339054}"/>
    <cellStyle name="40% - Accent2 4 4 3" xfId="5808" xr:uid="{00000000-0005-0000-0000-0000E6040000}"/>
    <cellStyle name="40% - Accent2 4 4 3 2" xfId="14250" xr:uid="{1549F3A4-DB87-4276-84D1-9600B44E0370}"/>
    <cellStyle name="40% - Accent2 4 4 4" xfId="10032" xr:uid="{D2F58BA9-6283-4DC3-928E-298030393382}"/>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9AC117F4-C986-45BF-9E5C-DD3344B525D0}"/>
    <cellStyle name="40% - Accent2 4 5 2 3" xfId="12590" xr:uid="{4D3E2FDB-C8F4-43DD-9867-E15A4D26CD63}"/>
    <cellStyle name="40% - Accent2 4 5 3" xfId="6221" xr:uid="{00000000-0005-0000-0000-0000EA040000}"/>
    <cellStyle name="40% - Accent2 4 5 3 2" xfId="14663" xr:uid="{F1871E5F-C1B0-4DE7-990A-1FA6F738F749}"/>
    <cellStyle name="40% - Accent2 4 5 4" xfId="10445" xr:uid="{42540508-F2FC-4008-98B6-9BD0A208C245}"/>
    <cellStyle name="40% - Accent2 4 6" xfId="2327" xr:uid="{00000000-0005-0000-0000-0000EB040000}"/>
    <cellStyle name="40% - Accent2 4 6 2" xfId="6634" xr:uid="{00000000-0005-0000-0000-0000EC040000}"/>
    <cellStyle name="40% - Accent2 4 6 2 2" xfId="15076" xr:uid="{1D872769-4256-4C95-BF26-99D3780C05D6}"/>
    <cellStyle name="40% - Accent2 4 6 3" xfId="10858" xr:uid="{7470793D-1E59-4955-8E70-C1B7FA306A1B}"/>
    <cellStyle name="40% - Accent2 4 7" xfId="4568" xr:uid="{00000000-0005-0000-0000-0000ED040000}"/>
    <cellStyle name="40% - Accent2 4 7 2" xfId="13010" xr:uid="{00101B3E-4D3D-437A-88BA-9E6460169A98}"/>
    <cellStyle name="40% - Accent2 4 8" xfId="8792" xr:uid="{B2121C4B-9F78-479C-872D-E99C37919164}"/>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513B6D32-1DDE-4169-B390-F43B9C861618}"/>
    <cellStyle name="40% - Accent2 5 2 3" xfId="11344" xr:uid="{97C3334C-1146-44CA-8477-848DC6858C59}"/>
    <cellStyle name="40% - Accent2 5 3" xfId="4975" xr:uid="{00000000-0005-0000-0000-0000F1040000}"/>
    <cellStyle name="40% - Accent2 5 3 2" xfId="13417" xr:uid="{B8666505-BFBD-48B9-92DA-F5B0E59D2143}"/>
    <cellStyle name="40% - Accent2 5 4" xfId="9199" xr:uid="{45F82D9E-E3EE-4ACD-90F8-89F2B610E0C7}"/>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AE15AA91-1925-44AA-8718-71B27111A0D1}"/>
    <cellStyle name="40% - Accent2 6 2 3" xfId="11757" xr:uid="{F9B8290F-991E-4F50-ADAD-F96E28C38191}"/>
    <cellStyle name="40% - Accent2 6 3" xfId="5388" xr:uid="{00000000-0005-0000-0000-0000F5040000}"/>
    <cellStyle name="40% - Accent2 6 3 2" xfId="13830" xr:uid="{2BB75024-1D11-44F8-B3FE-409C57C9B83D}"/>
    <cellStyle name="40% - Accent2 6 4" xfId="9612" xr:uid="{29568B84-18B4-4D90-AF47-6AD956DFEA25}"/>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3B23537E-E014-488F-A90E-C95DEC69F69A}"/>
    <cellStyle name="40% - Accent2 7 2 3" xfId="12170" xr:uid="{FC134526-595F-47F6-B58D-9ADD18BFD3B5}"/>
    <cellStyle name="40% - Accent2 7 3" xfId="5801" xr:uid="{00000000-0005-0000-0000-0000F9040000}"/>
    <cellStyle name="40% - Accent2 7 3 2" xfId="14243" xr:uid="{A05FF708-4772-47B1-9821-94D07752A02D}"/>
    <cellStyle name="40% - Accent2 7 4" xfId="10025" xr:uid="{32EFF197-3D2C-4117-B3F7-024C6AD7AB48}"/>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A4FE7817-E45B-4B0C-9B0F-65A9D829AF8B}"/>
    <cellStyle name="40% - Accent2 8 2 3" xfId="12583" xr:uid="{17222990-70F0-4689-BE7C-E8000964B5D3}"/>
    <cellStyle name="40% - Accent2 8 3" xfId="6214" xr:uid="{00000000-0005-0000-0000-0000FD040000}"/>
    <cellStyle name="40% - Accent2 8 3 2" xfId="14656" xr:uid="{361B6A44-1438-4E96-AEEA-A03A545698C4}"/>
    <cellStyle name="40% - Accent2 8 4" xfId="10438" xr:uid="{F91F0219-146B-42F0-8506-CDDC50259D50}"/>
    <cellStyle name="40% - Accent2 9" xfId="2320" xr:uid="{00000000-0005-0000-0000-0000FE040000}"/>
    <cellStyle name="40% - Accent2 9 2" xfId="6627" xr:uid="{00000000-0005-0000-0000-0000FF040000}"/>
    <cellStyle name="40% - Accent2 9 2 2" xfId="15069" xr:uid="{F0CE4D99-0C84-484C-A8E8-26E9C12E365D}"/>
    <cellStyle name="40% - Accent2 9 3" xfId="10851" xr:uid="{CA0C8E15-430D-405C-86DB-1ABDCCEFCF37}"/>
    <cellStyle name="40% - Accent3" xfId="65" builtinId="39" customBuiltin="1"/>
    <cellStyle name="40% - Accent3 10" xfId="4569" xr:uid="{00000000-0005-0000-0000-000001050000}"/>
    <cellStyle name="40% - Accent3 10 2" xfId="13011" xr:uid="{B541E3F0-5673-4144-9075-034233393929}"/>
    <cellStyle name="40% - Accent3 11" xfId="8793" xr:uid="{DDA8D23D-C99D-441D-B4BB-A1304A8607F5}"/>
    <cellStyle name="40% - Accent3 2" xfId="66" xr:uid="{00000000-0005-0000-0000-000002050000}"/>
    <cellStyle name="40% - Accent3 2 10" xfId="8794" xr:uid="{3C12A2F9-97AF-475D-940D-C900778C6FF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4142F029-77CB-4E9A-B473-63FAB7D13A1F}"/>
    <cellStyle name="40% - Accent3 2 2 2 2 2 3" xfId="11355" xr:uid="{26BEA823-BC3D-4A2A-AD5D-01A6E4AFD576}"/>
    <cellStyle name="40% - Accent3 2 2 2 2 3" xfId="4986" xr:uid="{00000000-0005-0000-0000-000008050000}"/>
    <cellStyle name="40% - Accent3 2 2 2 2 3 2" xfId="13428" xr:uid="{D8A6B32F-24B6-4B0D-B156-D6DECA0D5D55}"/>
    <cellStyle name="40% - Accent3 2 2 2 2 4" xfId="9210" xr:uid="{85FDC143-D691-46DA-B350-C937536A5FD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27B85E38-6124-4508-BFC1-2196D22CF18B}"/>
    <cellStyle name="40% - Accent3 2 2 2 3 2 3" xfId="11768" xr:uid="{3206EEA9-52E3-410B-8521-33E8AF5ED18D}"/>
    <cellStyle name="40% - Accent3 2 2 2 3 3" xfId="5399" xr:uid="{00000000-0005-0000-0000-00000C050000}"/>
    <cellStyle name="40% - Accent3 2 2 2 3 3 2" xfId="13841" xr:uid="{3DA0290D-4C2A-4CD2-8747-A09E6E4CB554}"/>
    <cellStyle name="40% - Accent3 2 2 2 3 4" xfId="9623" xr:uid="{D766014E-A5AD-4947-9C42-98821A848041}"/>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574C2A20-7DA6-4545-BF9D-660736807513}"/>
    <cellStyle name="40% - Accent3 2 2 2 4 2 3" xfId="12181" xr:uid="{44D7896E-A134-4115-AA1D-AB1CD24738D3}"/>
    <cellStyle name="40% - Accent3 2 2 2 4 3" xfId="5812" xr:uid="{00000000-0005-0000-0000-000010050000}"/>
    <cellStyle name="40% - Accent3 2 2 2 4 3 2" xfId="14254" xr:uid="{FAE2F600-973D-4863-8E32-A63BA2F9E419}"/>
    <cellStyle name="40% - Accent3 2 2 2 4 4" xfId="10036" xr:uid="{F4E79351-D50F-475F-8AC0-0924D2356B4D}"/>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A934EED4-FE9B-43D0-807A-C1E93C9412F7}"/>
    <cellStyle name="40% - Accent3 2 2 2 5 2 3" xfId="12594" xr:uid="{F1AFAF9C-3B7B-4909-A043-FDD7C15BFBFD}"/>
    <cellStyle name="40% - Accent3 2 2 2 5 3" xfId="6225" xr:uid="{00000000-0005-0000-0000-000014050000}"/>
    <cellStyle name="40% - Accent3 2 2 2 5 3 2" xfId="14667" xr:uid="{0E1B20A1-F591-4A19-996B-23E6E617B269}"/>
    <cellStyle name="40% - Accent3 2 2 2 5 4" xfId="10449" xr:uid="{BB02A310-A438-4FC5-837D-7FE749EDEAA3}"/>
    <cellStyle name="40% - Accent3 2 2 2 6" xfId="2331" xr:uid="{00000000-0005-0000-0000-000015050000}"/>
    <cellStyle name="40% - Accent3 2 2 2 6 2" xfId="6638" xr:uid="{00000000-0005-0000-0000-000016050000}"/>
    <cellStyle name="40% - Accent3 2 2 2 6 2 2" xfId="15080" xr:uid="{749CBF10-C75E-45B4-A456-41C4645AF269}"/>
    <cellStyle name="40% - Accent3 2 2 2 6 3" xfId="10862" xr:uid="{308000B5-87CF-4D7F-A75C-E7E1D8D1F576}"/>
    <cellStyle name="40% - Accent3 2 2 2 7" xfId="4572" xr:uid="{00000000-0005-0000-0000-000017050000}"/>
    <cellStyle name="40% - Accent3 2 2 2 7 2" xfId="13014" xr:uid="{96CC7F7A-CE52-45DA-980A-0C338DB630EA}"/>
    <cellStyle name="40% - Accent3 2 2 2 8" xfId="8796" xr:uid="{49418BCC-D785-4318-9BDD-B909672593A2}"/>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6CED0307-6736-49E1-850A-F7810B0AE52E}"/>
    <cellStyle name="40% - Accent3 2 2 3 2 3" xfId="11354" xr:uid="{FA424974-1D87-474D-9B1B-A5BDA435A073}"/>
    <cellStyle name="40% - Accent3 2 2 3 3" xfId="4985" xr:uid="{00000000-0005-0000-0000-00001B050000}"/>
    <cellStyle name="40% - Accent3 2 2 3 3 2" xfId="13427" xr:uid="{115ABC65-1330-4CB7-B8BE-AB4907741FAD}"/>
    <cellStyle name="40% - Accent3 2 2 3 4" xfId="9209" xr:uid="{072CBD63-4AF2-479C-9244-8DA1A3C1F538}"/>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E937F05-45F0-48EC-BDE5-8D3917B3C445}"/>
    <cellStyle name="40% - Accent3 2 2 4 2 3" xfId="11767" xr:uid="{B286ABB9-AE23-41AF-9EBF-8F1322CE5423}"/>
    <cellStyle name="40% - Accent3 2 2 4 3" xfId="5398" xr:uid="{00000000-0005-0000-0000-00001F050000}"/>
    <cellStyle name="40% - Accent3 2 2 4 3 2" xfId="13840" xr:uid="{BD03A098-6426-402A-82A0-C8D0C2F82BBE}"/>
    <cellStyle name="40% - Accent3 2 2 4 4" xfId="9622" xr:uid="{3D143F47-DBDD-4363-87EC-E9DDA30996C2}"/>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EE7769C5-45E3-425C-A470-6CA63F1F5A31}"/>
    <cellStyle name="40% - Accent3 2 2 5 2 3" xfId="12180" xr:uid="{552E3DAC-8E80-407A-9FD7-EE02F32C171F}"/>
    <cellStyle name="40% - Accent3 2 2 5 3" xfId="5811" xr:uid="{00000000-0005-0000-0000-000023050000}"/>
    <cellStyle name="40% - Accent3 2 2 5 3 2" xfId="14253" xr:uid="{D80B4847-812A-43D5-B93E-86D37B2B7293}"/>
    <cellStyle name="40% - Accent3 2 2 5 4" xfId="10035" xr:uid="{92DADDA7-0A32-4916-AC00-CD8F3253D8A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63DCC253-E05D-4473-803A-83D2B10400F3}"/>
    <cellStyle name="40% - Accent3 2 2 6 2 3" xfId="12593" xr:uid="{C02D5C20-5187-488D-9006-E7DDEDB89E3F}"/>
    <cellStyle name="40% - Accent3 2 2 6 3" xfId="6224" xr:uid="{00000000-0005-0000-0000-000027050000}"/>
    <cellStyle name="40% - Accent3 2 2 6 3 2" xfId="14666" xr:uid="{A4CBF174-EC8B-4D83-AFB6-07BF22D5675E}"/>
    <cellStyle name="40% - Accent3 2 2 6 4" xfId="10448" xr:uid="{C257B1C0-EA8D-4562-95A6-E17A99532711}"/>
    <cellStyle name="40% - Accent3 2 2 7" xfId="2330" xr:uid="{00000000-0005-0000-0000-000028050000}"/>
    <cellStyle name="40% - Accent3 2 2 7 2" xfId="6637" xr:uid="{00000000-0005-0000-0000-000029050000}"/>
    <cellStyle name="40% - Accent3 2 2 7 2 2" xfId="15079" xr:uid="{02861AE1-2C4A-4EC9-B508-350B9C4BB6B2}"/>
    <cellStyle name="40% - Accent3 2 2 7 3" xfId="10861" xr:uid="{25EAF5B6-54F8-4C28-86FC-AEB44431655D}"/>
    <cellStyle name="40% - Accent3 2 2 8" xfId="4571" xr:uid="{00000000-0005-0000-0000-00002A050000}"/>
    <cellStyle name="40% - Accent3 2 2 8 2" xfId="13013" xr:uid="{8BEE91E5-903E-4070-B1AE-A21644FC9D83}"/>
    <cellStyle name="40% - Accent3 2 2 9" xfId="8795" xr:uid="{0BC3A738-E5D0-4362-A563-FDAE709AD86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5088D92E-695E-44E1-968A-B82968A5F5C3}"/>
    <cellStyle name="40% - Accent3 2 3 2 2 3" xfId="11356" xr:uid="{A60D3C56-FE9C-4233-9E5C-6DE461B6AE55}"/>
    <cellStyle name="40% - Accent3 2 3 2 3" xfId="4987" xr:uid="{00000000-0005-0000-0000-00002F050000}"/>
    <cellStyle name="40% - Accent3 2 3 2 3 2" xfId="13429" xr:uid="{13E9DEA0-81F2-45D1-99F0-2A1597A816FC}"/>
    <cellStyle name="40% - Accent3 2 3 2 4" xfId="9211" xr:uid="{E38B323E-1936-4E37-9C88-A4E4CA036361}"/>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1648EFF0-74DA-42F5-8003-C69BD9746BBB}"/>
    <cellStyle name="40% - Accent3 2 3 3 2 3" xfId="11769" xr:uid="{5B952FEE-016D-47C6-AC90-14C93F41C0C4}"/>
    <cellStyle name="40% - Accent3 2 3 3 3" xfId="5400" xr:uid="{00000000-0005-0000-0000-000033050000}"/>
    <cellStyle name="40% - Accent3 2 3 3 3 2" xfId="13842" xr:uid="{C8F3864F-63E4-48C9-8C88-BBC68ADDB88D}"/>
    <cellStyle name="40% - Accent3 2 3 3 4" xfId="9624" xr:uid="{8FDC6A30-CEFF-479E-9C1C-406DC3AC7BDA}"/>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70A04F9D-1099-4B2C-B2A3-8F89583619D0}"/>
    <cellStyle name="40% - Accent3 2 3 4 2 3" xfId="12182" xr:uid="{57335AFB-0AA7-4B9B-861B-FEDA6A752BF6}"/>
    <cellStyle name="40% - Accent3 2 3 4 3" xfId="5813" xr:uid="{00000000-0005-0000-0000-000037050000}"/>
    <cellStyle name="40% - Accent3 2 3 4 3 2" xfId="14255" xr:uid="{CAC9658F-349F-48D1-B93D-057BCC3C3EB7}"/>
    <cellStyle name="40% - Accent3 2 3 4 4" xfId="10037" xr:uid="{49431635-CD03-47FD-89C8-63A8AAC64C62}"/>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B09979E6-0B15-46FB-B780-0F206EAFD0A8}"/>
    <cellStyle name="40% - Accent3 2 3 5 2 3" xfId="12595" xr:uid="{5E91DD42-F9C5-43F5-9CF5-B1E1B2E186C8}"/>
    <cellStyle name="40% - Accent3 2 3 5 3" xfId="6226" xr:uid="{00000000-0005-0000-0000-00003B050000}"/>
    <cellStyle name="40% - Accent3 2 3 5 3 2" xfId="14668" xr:uid="{36BDF56E-07A7-4E67-9EA8-663EA980F633}"/>
    <cellStyle name="40% - Accent3 2 3 5 4" xfId="10450" xr:uid="{3EF8A040-8864-47FE-8D5A-A37B22DCC89F}"/>
    <cellStyle name="40% - Accent3 2 3 6" xfId="2332" xr:uid="{00000000-0005-0000-0000-00003C050000}"/>
    <cellStyle name="40% - Accent3 2 3 6 2" xfId="6639" xr:uid="{00000000-0005-0000-0000-00003D050000}"/>
    <cellStyle name="40% - Accent3 2 3 6 2 2" xfId="15081" xr:uid="{08028DDC-03AE-4CDD-94D5-759D597E4EDA}"/>
    <cellStyle name="40% - Accent3 2 3 6 3" xfId="10863" xr:uid="{8D981FCB-D792-4975-A5B0-8902796DE430}"/>
    <cellStyle name="40% - Accent3 2 3 7" xfId="4573" xr:uid="{00000000-0005-0000-0000-00003E050000}"/>
    <cellStyle name="40% - Accent3 2 3 7 2" xfId="13015" xr:uid="{318C5B3D-F41F-42AB-8153-8EF70907261B}"/>
    <cellStyle name="40% - Accent3 2 3 8" xfId="8797" xr:uid="{318CEBD3-C8E6-4E5C-B030-E2F46B3DEEBD}"/>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4BA5DB46-911A-419A-A3AD-A7D63D3E5CD0}"/>
    <cellStyle name="40% - Accent3 2 4 2 3" xfId="11353" xr:uid="{9039506D-6FA1-4BB9-B44C-BE2F08C37726}"/>
    <cellStyle name="40% - Accent3 2 4 3" xfId="4984" xr:uid="{00000000-0005-0000-0000-000042050000}"/>
    <cellStyle name="40% - Accent3 2 4 3 2" xfId="13426" xr:uid="{E617617C-E999-42D2-B87B-A4644D9340EF}"/>
    <cellStyle name="40% - Accent3 2 4 4" xfId="9208" xr:uid="{33C739FA-8C67-443E-BAEF-07C4D7AE1288}"/>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632C21AE-950A-4A31-9C57-91C997405FB8}"/>
    <cellStyle name="40% - Accent3 2 5 2 3" xfId="11766" xr:uid="{4BB60480-ACED-434B-B54B-EFE75A248BE7}"/>
    <cellStyle name="40% - Accent3 2 5 3" xfId="5397" xr:uid="{00000000-0005-0000-0000-000046050000}"/>
    <cellStyle name="40% - Accent3 2 5 3 2" xfId="13839" xr:uid="{3FFC45DB-8B60-4FC9-9E06-EF41C69C3F3C}"/>
    <cellStyle name="40% - Accent3 2 5 4" xfId="9621" xr:uid="{EFB3910F-7DE9-477E-961C-7E9B3791BC3F}"/>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745B2014-B4C6-4569-90F1-8D423F548211}"/>
    <cellStyle name="40% - Accent3 2 6 2 3" xfId="12179" xr:uid="{0A0630D0-570B-4D6A-9259-722365C70215}"/>
    <cellStyle name="40% - Accent3 2 6 3" xfId="5810" xr:uid="{00000000-0005-0000-0000-00004A050000}"/>
    <cellStyle name="40% - Accent3 2 6 3 2" xfId="14252" xr:uid="{8CC95CF9-3D31-4CFD-9826-DBD3068E8EAA}"/>
    <cellStyle name="40% - Accent3 2 6 4" xfId="10034" xr:uid="{6E96D09E-5BD9-43F1-9BD9-12ADAC9EB86A}"/>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DFBA754E-3116-41A5-BE0A-29C3283882A1}"/>
    <cellStyle name="40% - Accent3 2 7 2 3" xfId="12592" xr:uid="{6C65DBC4-E7E9-4E89-9637-30AEB3CA8F82}"/>
    <cellStyle name="40% - Accent3 2 7 3" xfId="6223" xr:uid="{00000000-0005-0000-0000-00004E050000}"/>
    <cellStyle name="40% - Accent3 2 7 3 2" xfId="14665" xr:uid="{4A78532D-ADB3-4A0E-95D5-FA2DAC745954}"/>
    <cellStyle name="40% - Accent3 2 7 4" xfId="10447" xr:uid="{9FAE16ED-81E8-473A-BE44-9C6581CDD59A}"/>
    <cellStyle name="40% - Accent3 2 8" xfId="2329" xr:uid="{00000000-0005-0000-0000-00004F050000}"/>
    <cellStyle name="40% - Accent3 2 8 2" xfId="6636" xr:uid="{00000000-0005-0000-0000-000050050000}"/>
    <cellStyle name="40% - Accent3 2 8 2 2" xfId="15078" xr:uid="{9AAC15AF-BBA2-444B-8EDD-36F49EAB2698}"/>
    <cellStyle name="40% - Accent3 2 8 3" xfId="10860" xr:uid="{3F2FCFFB-D8EF-4C9C-BF19-1E53C0D2BBFB}"/>
    <cellStyle name="40% - Accent3 2 9" xfId="4570" xr:uid="{00000000-0005-0000-0000-000051050000}"/>
    <cellStyle name="40% - Accent3 2 9 2" xfId="13012" xr:uid="{D21BBC0A-C73C-4FE4-AEF9-0EDA9FCA16F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37E42CFB-CFA9-4AEB-9ED5-646BFC5EEB41}"/>
    <cellStyle name="40% - Accent3 3 2 2 2 3" xfId="11358" xr:uid="{23AC032B-9CE7-4625-8DA1-147F0DCC3267}"/>
    <cellStyle name="40% - Accent3 3 2 2 3" xfId="4989" xr:uid="{00000000-0005-0000-0000-000057050000}"/>
    <cellStyle name="40% - Accent3 3 2 2 3 2" xfId="13431" xr:uid="{D1BE3CA8-7DC2-45F5-8B4D-2A4CEDA63D26}"/>
    <cellStyle name="40% - Accent3 3 2 2 4" xfId="9213" xr:uid="{ACCDA15D-9FB4-4680-B793-7CFDABCA0679}"/>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C6A07F29-F40A-4D1D-B8B3-F8FD4C2CD1F9}"/>
    <cellStyle name="40% - Accent3 3 2 3 2 3" xfId="11771" xr:uid="{0EE1F982-D679-44BF-9C97-0335B3963F70}"/>
    <cellStyle name="40% - Accent3 3 2 3 3" xfId="5402" xr:uid="{00000000-0005-0000-0000-00005B050000}"/>
    <cellStyle name="40% - Accent3 3 2 3 3 2" xfId="13844" xr:uid="{AA4E20C5-3463-480E-B376-DCF1A8AEA92B}"/>
    <cellStyle name="40% - Accent3 3 2 3 4" xfId="9626" xr:uid="{58A41287-31D9-4F8D-9115-6FA44720B20E}"/>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BC9ACB6-5336-4804-808F-502178F5DA49}"/>
    <cellStyle name="40% - Accent3 3 2 4 2 3" xfId="12184" xr:uid="{277A5E89-D1F3-4C66-8018-444E23BEFF1F}"/>
    <cellStyle name="40% - Accent3 3 2 4 3" xfId="5815" xr:uid="{00000000-0005-0000-0000-00005F050000}"/>
    <cellStyle name="40% - Accent3 3 2 4 3 2" xfId="14257" xr:uid="{A62C766F-2D8E-4D73-AAAF-1882E6D00CF5}"/>
    <cellStyle name="40% - Accent3 3 2 4 4" xfId="10039" xr:uid="{53EF0B2E-508D-4EC5-96D8-31B9DD88221D}"/>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AAA39D76-AE46-41D0-9633-383B090A5D58}"/>
    <cellStyle name="40% - Accent3 3 2 5 2 3" xfId="12597" xr:uid="{7AB5F1AC-2B30-4071-80E5-E653F2ADAE83}"/>
    <cellStyle name="40% - Accent3 3 2 5 3" xfId="6228" xr:uid="{00000000-0005-0000-0000-000063050000}"/>
    <cellStyle name="40% - Accent3 3 2 5 3 2" xfId="14670" xr:uid="{23D81227-64C1-4133-9561-32B29979FC73}"/>
    <cellStyle name="40% - Accent3 3 2 5 4" xfId="10452" xr:uid="{58B7A067-16AF-4F45-9597-6E0CEE0177EF}"/>
    <cellStyle name="40% - Accent3 3 2 6" xfId="2334" xr:uid="{00000000-0005-0000-0000-000064050000}"/>
    <cellStyle name="40% - Accent3 3 2 6 2" xfId="6641" xr:uid="{00000000-0005-0000-0000-000065050000}"/>
    <cellStyle name="40% - Accent3 3 2 6 2 2" xfId="15083" xr:uid="{CBCDC33B-A5CA-45C9-ACE7-6FEC87B5D51E}"/>
    <cellStyle name="40% - Accent3 3 2 6 3" xfId="10865" xr:uid="{DE69FFBF-C0A5-4D89-9FC1-EA79D5A5530C}"/>
    <cellStyle name="40% - Accent3 3 2 7" xfId="4575" xr:uid="{00000000-0005-0000-0000-000066050000}"/>
    <cellStyle name="40% - Accent3 3 2 7 2" xfId="13017" xr:uid="{D7E5A5AB-8127-40C3-9270-B0EEFECBEBD1}"/>
    <cellStyle name="40% - Accent3 3 2 8" xfId="8799" xr:uid="{1AB0A75D-3B55-44C6-9019-DC9F38C99317}"/>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B43B5EA3-0994-415B-8D04-8C3AF23357B6}"/>
    <cellStyle name="40% - Accent3 3 3 2 3" xfId="11357" xr:uid="{3B0E1216-829B-47A8-98A4-550392B6675F}"/>
    <cellStyle name="40% - Accent3 3 3 3" xfId="4988" xr:uid="{00000000-0005-0000-0000-00006A050000}"/>
    <cellStyle name="40% - Accent3 3 3 3 2" xfId="13430" xr:uid="{4C48DA6F-6B8A-4310-982C-02DCDD915202}"/>
    <cellStyle name="40% - Accent3 3 3 4" xfId="9212" xr:uid="{C53537CA-BBD7-4691-877A-71C1BBA7AFFC}"/>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DE19282B-B706-45B6-AC53-55D8B69AC45A}"/>
    <cellStyle name="40% - Accent3 3 4 2 3" xfId="11770" xr:uid="{CC8ABF8E-6414-47FD-A53F-401E4D9504CE}"/>
    <cellStyle name="40% - Accent3 3 4 3" xfId="5401" xr:uid="{00000000-0005-0000-0000-00006E050000}"/>
    <cellStyle name="40% - Accent3 3 4 3 2" xfId="13843" xr:uid="{E79991BA-0D5E-46E3-9C79-DB46FD714630}"/>
    <cellStyle name="40% - Accent3 3 4 4" xfId="9625" xr:uid="{798F4EAF-4540-42E6-B82C-92AB0E3EB24A}"/>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DAA7EA6C-26D3-4B7A-98ED-7955E1D379F9}"/>
    <cellStyle name="40% - Accent3 3 5 2 3" xfId="12183" xr:uid="{7804ABE2-DD72-4BB1-A7F5-B85915F79AA1}"/>
    <cellStyle name="40% - Accent3 3 5 3" xfId="5814" xr:uid="{00000000-0005-0000-0000-000072050000}"/>
    <cellStyle name="40% - Accent3 3 5 3 2" xfId="14256" xr:uid="{711E021B-5483-4D2C-893B-FA420DF250C6}"/>
    <cellStyle name="40% - Accent3 3 5 4" xfId="10038" xr:uid="{9FF862BC-1ACE-429A-9A3C-66D3974DD4BE}"/>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ABAE5EE3-8903-4B12-B578-FEA47929F03E}"/>
    <cellStyle name="40% - Accent3 3 6 2 3" xfId="12596" xr:uid="{927DACF7-0FB5-4CBA-A8E2-EF7B5CB7FA51}"/>
    <cellStyle name="40% - Accent3 3 6 3" xfId="6227" xr:uid="{00000000-0005-0000-0000-000076050000}"/>
    <cellStyle name="40% - Accent3 3 6 3 2" xfId="14669" xr:uid="{3A7A4B90-8EC3-4069-9405-ACC58FAACD40}"/>
    <cellStyle name="40% - Accent3 3 6 4" xfId="10451" xr:uid="{C99A5686-F355-424C-AFD2-FA7755B4D695}"/>
    <cellStyle name="40% - Accent3 3 7" xfId="2333" xr:uid="{00000000-0005-0000-0000-000077050000}"/>
    <cellStyle name="40% - Accent3 3 7 2" xfId="6640" xr:uid="{00000000-0005-0000-0000-000078050000}"/>
    <cellStyle name="40% - Accent3 3 7 2 2" xfId="15082" xr:uid="{6E0B7F18-1A3A-4EF8-9159-BA3D5902D86C}"/>
    <cellStyle name="40% - Accent3 3 7 3" xfId="10864" xr:uid="{334FE031-9F25-4EB3-A7C7-64FB54870A82}"/>
    <cellStyle name="40% - Accent3 3 8" xfId="4574" xr:uid="{00000000-0005-0000-0000-000079050000}"/>
    <cellStyle name="40% - Accent3 3 8 2" xfId="13016" xr:uid="{79614FF6-FF9A-452A-A266-33F3E874370B}"/>
    <cellStyle name="40% - Accent3 3 9" xfId="8798" xr:uid="{A4048BAE-8685-48F6-9172-125825F6A3C6}"/>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CA1D8518-EA74-4339-87F2-B59E4FE5B201}"/>
    <cellStyle name="40% - Accent3 4 2 2 3" xfId="11359" xr:uid="{11636126-64AE-4093-9571-306A337598EE}"/>
    <cellStyle name="40% - Accent3 4 2 3" xfId="4990" xr:uid="{00000000-0005-0000-0000-00007E050000}"/>
    <cellStyle name="40% - Accent3 4 2 3 2" xfId="13432" xr:uid="{58FE71B4-0550-4F7B-A8C8-410CCB75932B}"/>
    <cellStyle name="40% - Accent3 4 2 4" xfId="9214" xr:uid="{486F9B40-620A-420A-97A4-102A180D19F4}"/>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301440AD-FEAC-49AD-84D0-94EABF0669F6}"/>
    <cellStyle name="40% - Accent3 4 3 2 3" xfId="11772" xr:uid="{F6BA87FE-B7CF-4C89-8C02-95B6B335640F}"/>
    <cellStyle name="40% - Accent3 4 3 3" xfId="5403" xr:uid="{00000000-0005-0000-0000-000082050000}"/>
    <cellStyle name="40% - Accent3 4 3 3 2" xfId="13845" xr:uid="{4E7E973B-8C53-4863-8D9D-8586D6AB55B7}"/>
    <cellStyle name="40% - Accent3 4 3 4" xfId="9627" xr:uid="{1A8E8961-10F0-41F6-A6A1-3F11941BA1D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EA2E9CB-7EBE-4583-A71A-B3B33E022D85}"/>
    <cellStyle name="40% - Accent3 4 4 2 3" xfId="12185" xr:uid="{99DE8140-2228-4ACA-8DE5-9C067DCC4C9A}"/>
    <cellStyle name="40% - Accent3 4 4 3" xfId="5816" xr:uid="{00000000-0005-0000-0000-000086050000}"/>
    <cellStyle name="40% - Accent3 4 4 3 2" xfId="14258" xr:uid="{7F874C25-6A42-4DF3-9732-5C083B9CF8C7}"/>
    <cellStyle name="40% - Accent3 4 4 4" xfId="10040" xr:uid="{146DAAAD-9D0B-47B0-B3DA-6EF38E3C8F4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08C34CBA-C7B1-4605-B4E2-8C7B04B7F7D3}"/>
    <cellStyle name="40% - Accent3 4 5 2 3" xfId="12598" xr:uid="{DF8EC2F7-2A32-443F-997D-B910C82C786B}"/>
    <cellStyle name="40% - Accent3 4 5 3" xfId="6229" xr:uid="{00000000-0005-0000-0000-00008A050000}"/>
    <cellStyle name="40% - Accent3 4 5 3 2" xfId="14671" xr:uid="{135C1EBE-D8D3-4E0E-9C3C-3C59E295B73B}"/>
    <cellStyle name="40% - Accent3 4 5 4" xfId="10453" xr:uid="{DDED642C-D267-4C50-BFF2-67064A26F388}"/>
    <cellStyle name="40% - Accent3 4 6" xfId="2335" xr:uid="{00000000-0005-0000-0000-00008B050000}"/>
    <cellStyle name="40% - Accent3 4 6 2" xfId="6642" xr:uid="{00000000-0005-0000-0000-00008C050000}"/>
    <cellStyle name="40% - Accent3 4 6 2 2" xfId="15084" xr:uid="{719315E6-BB87-4481-B559-FB81FA0075EC}"/>
    <cellStyle name="40% - Accent3 4 6 3" xfId="10866" xr:uid="{E5E7D3C1-4817-4B0B-BA2F-A7D4CDA5CA88}"/>
    <cellStyle name="40% - Accent3 4 7" xfId="4576" xr:uid="{00000000-0005-0000-0000-00008D050000}"/>
    <cellStyle name="40% - Accent3 4 7 2" xfId="13018" xr:uid="{25B1445C-1961-4A36-8A5F-299BD615CF52}"/>
    <cellStyle name="40% - Accent3 4 8" xfId="8800" xr:uid="{672CF0CE-9DA6-457F-AA72-9D812A0CB011}"/>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DC1D5EA6-8D13-4D86-A5CB-8A4DBC1588DD}"/>
    <cellStyle name="40% - Accent3 5 2 3" xfId="11352" xr:uid="{E8D410FE-86D8-4FA4-B09C-590C92406DC6}"/>
    <cellStyle name="40% - Accent3 5 3" xfId="4983" xr:uid="{00000000-0005-0000-0000-000091050000}"/>
    <cellStyle name="40% - Accent3 5 3 2" xfId="13425" xr:uid="{AC50F578-96BD-475D-9F4C-EFB88004ADC3}"/>
    <cellStyle name="40% - Accent3 5 4" xfId="9207" xr:uid="{3E69E83E-C6AE-4143-8517-D3824FBA0867}"/>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2F41B780-1C87-4086-B631-6ECD3D7D5AD9}"/>
    <cellStyle name="40% - Accent3 6 2 3" xfId="11765" xr:uid="{4B3208A2-A861-4C85-9F83-0452E9D61F9D}"/>
    <cellStyle name="40% - Accent3 6 3" xfId="5396" xr:uid="{00000000-0005-0000-0000-000095050000}"/>
    <cellStyle name="40% - Accent3 6 3 2" xfId="13838" xr:uid="{46ADBB7E-AF21-42A9-A059-7EF78EBCC936}"/>
    <cellStyle name="40% - Accent3 6 4" xfId="9620" xr:uid="{44C64579-4F0D-4809-9E0E-E08951DF3013}"/>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45A47712-6411-43CA-9888-37AA10EE75EC}"/>
    <cellStyle name="40% - Accent3 7 2 3" xfId="12178" xr:uid="{35BAF6FB-0A24-441B-A54C-BD1A0EFFEA79}"/>
    <cellStyle name="40% - Accent3 7 3" xfId="5809" xr:uid="{00000000-0005-0000-0000-000099050000}"/>
    <cellStyle name="40% - Accent3 7 3 2" xfId="14251" xr:uid="{4048D005-5A15-4F3D-B912-44BAF59EC6D3}"/>
    <cellStyle name="40% - Accent3 7 4" xfId="10033" xr:uid="{B60050F9-F250-44A1-9548-1FDAAB8F57D8}"/>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DF694D7E-9A01-41F8-9AF7-4A8B6BB3027B}"/>
    <cellStyle name="40% - Accent3 8 2 3" xfId="12591" xr:uid="{E48B14DD-2480-4290-A624-A3DEC599EB4D}"/>
    <cellStyle name="40% - Accent3 8 3" xfId="6222" xr:uid="{00000000-0005-0000-0000-00009D050000}"/>
    <cellStyle name="40% - Accent3 8 3 2" xfId="14664" xr:uid="{0B4B5DAD-CFD7-4792-983D-0C2065EEC566}"/>
    <cellStyle name="40% - Accent3 8 4" xfId="10446" xr:uid="{290CC189-3898-4A8A-98F5-EFF9FD0B786D}"/>
    <cellStyle name="40% - Accent3 9" xfId="2328" xr:uid="{00000000-0005-0000-0000-00009E050000}"/>
    <cellStyle name="40% - Accent3 9 2" xfId="6635" xr:uid="{00000000-0005-0000-0000-00009F050000}"/>
    <cellStyle name="40% - Accent3 9 2 2" xfId="15077" xr:uid="{E4E24635-4886-4E2C-8602-7A5593BEFC81}"/>
    <cellStyle name="40% - Accent3 9 3" xfId="10859" xr:uid="{5D045CC5-9B55-43A1-9CB5-2CC4338B69D6}"/>
    <cellStyle name="40% - Accent4" xfId="73" builtinId="43" customBuiltin="1"/>
    <cellStyle name="40% - Accent4 10" xfId="4577" xr:uid="{00000000-0005-0000-0000-0000A1050000}"/>
    <cellStyle name="40% - Accent4 10 2" xfId="13019" xr:uid="{404ED25A-4934-48DD-BFDD-2E720AB35653}"/>
    <cellStyle name="40% - Accent4 11" xfId="8801" xr:uid="{FE287776-041E-4C68-97F8-878BD64FD386}"/>
    <cellStyle name="40% - Accent4 2" xfId="74" xr:uid="{00000000-0005-0000-0000-0000A2050000}"/>
    <cellStyle name="40% - Accent4 2 10" xfId="8802" xr:uid="{EDFDF481-68D8-4542-90D7-2CCAA15B3D1A}"/>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D65A36BA-E399-4BAE-B71A-246C41521AD2}"/>
    <cellStyle name="40% - Accent4 2 2 2 2 2 3" xfId="11363" xr:uid="{DDB7E871-F640-4197-AD45-512F5FCDF6E4}"/>
    <cellStyle name="40% - Accent4 2 2 2 2 3" xfId="4994" xr:uid="{00000000-0005-0000-0000-0000A8050000}"/>
    <cellStyle name="40% - Accent4 2 2 2 2 3 2" xfId="13436" xr:uid="{F64617A9-90B6-4A5E-BBAB-A34F590A25AF}"/>
    <cellStyle name="40% - Accent4 2 2 2 2 4" xfId="9218" xr:uid="{A1DBF4D2-E083-493C-B6EE-6131B3A7CA3C}"/>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49FB8F0-8594-4A2B-8EA7-FDB25D0473B1}"/>
    <cellStyle name="40% - Accent4 2 2 2 3 2 3" xfId="11776" xr:uid="{E9944C5D-B2AE-49B1-B401-052003C20F88}"/>
    <cellStyle name="40% - Accent4 2 2 2 3 3" xfId="5407" xr:uid="{00000000-0005-0000-0000-0000AC050000}"/>
    <cellStyle name="40% - Accent4 2 2 2 3 3 2" xfId="13849" xr:uid="{92695417-7D56-42E2-97B9-FC32ED1026A2}"/>
    <cellStyle name="40% - Accent4 2 2 2 3 4" xfId="9631" xr:uid="{A74760E3-C872-4DD8-876B-1B3F5939C32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ECEADEFF-395F-4C9F-A5DD-6886EAA88F1E}"/>
    <cellStyle name="40% - Accent4 2 2 2 4 2 3" xfId="12189" xr:uid="{3940D8F5-C201-44CE-A6BD-E1A5CE5B447A}"/>
    <cellStyle name="40% - Accent4 2 2 2 4 3" xfId="5820" xr:uid="{00000000-0005-0000-0000-0000B0050000}"/>
    <cellStyle name="40% - Accent4 2 2 2 4 3 2" xfId="14262" xr:uid="{B8518C17-BF68-4581-92F9-A6656807A387}"/>
    <cellStyle name="40% - Accent4 2 2 2 4 4" xfId="10044" xr:uid="{FF30CFFD-D9EB-42E3-A52D-FCFC6FE072C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CC8B8BDB-E770-45F0-9785-3C5D04ED43DB}"/>
    <cellStyle name="40% - Accent4 2 2 2 5 2 3" xfId="12602" xr:uid="{6F07E82A-5FF2-466A-8B05-6322623279B2}"/>
    <cellStyle name="40% - Accent4 2 2 2 5 3" xfId="6233" xr:uid="{00000000-0005-0000-0000-0000B4050000}"/>
    <cellStyle name="40% - Accent4 2 2 2 5 3 2" xfId="14675" xr:uid="{63BF7F37-5E38-455B-B55D-69859DC1E340}"/>
    <cellStyle name="40% - Accent4 2 2 2 5 4" xfId="10457" xr:uid="{DD8C06E5-38C2-4F2D-9F8A-781E4F817E29}"/>
    <cellStyle name="40% - Accent4 2 2 2 6" xfId="2339" xr:uid="{00000000-0005-0000-0000-0000B5050000}"/>
    <cellStyle name="40% - Accent4 2 2 2 6 2" xfId="6646" xr:uid="{00000000-0005-0000-0000-0000B6050000}"/>
    <cellStyle name="40% - Accent4 2 2 2 6 2 2" xfId="15088" xr:uid="{8AABCAA4-46E2-4E64-AC78-7759E1CF9E51}"/>
    <cellStyle name="40% - Accent4 2 2 2 6 3" xfId="10870" xr:uid="{73867BBF-7C10-4C07-BD06-61A834FE9E26}"/>
    <cellStyle name="40% - Accent4 2 2 2 7" xfId="4580" xr:uid="{00000000-0005-0000-0000-0000B7050000}"/>
    <cellStyle name="40% - Accent4 2 2 2 7 2" xfId="13022" xr:uid="{A575FAC3-D632-4AE8-ADCE-243BB2AE2ABC}"/>
    <cellStyle name="40% - Accent4 2 2 2 8" xfId="8804" xr:uid="{8370D987-6D04-4381-91BA-FECB6F70F33F}"/>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8AB9C640-5A10-4298-8A59-31467AE9FCE1}"/>
    <cellStyle name="40% - Accent4 2 2 3 2 3" xfId="11362" xr:uid="{43879F18-C2BC-4F92-B3DD-42A3DA22A40F}"/>
    <cellStyle name="40% - Accent4 2 2 3 3" xfId="4993" xr:uid="{00000000-0005-0000-0000-0000BB050000}"/>
    <cellStyle name="40% - Accent4 2 2 3 3 2" xfId="13435" xr:uid="{5C84DA14-8623-4445-881F-6A1C1ECF6C39}"/>
    <cellStyle name="40% - Accent4 2 2 3 4" xfId="9217" xr:uid="{624A299F-4CDE-4B7A-B018-C9701A0D8396}"/>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D503CD77-FF59-4A51-BCDB-AC18F10A9593}"/>
    <cellStyle name="40% - Accent4 2 2 4 2 3" xfId="11775" xr:uid="{798E600D-D279-4FC2-BEA2-F2C131A407DD}"/>
    <cellStyle name="40% - Accent4 2 2 4 3" xfId="5406" xr:uid="{00000000-0005-0000-0000-0000BF050000}"/>
    <cellStyle name="40% - Accent4 2 2 4 3 2" xfId="13848" xr:uid="{07A106D7-0812-404D-8588-1C3121BBD2B8}"/>
    <cellStyle name="40% - Accent4 2 2 4 4" xfId="9630" xr:uid="{97EDCC96-C5F3-4454-994C-5E1E73DEBE7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2C036B64-D25F-48F4-8524-0D0A47FA6151}"/>
    <cellStyle name="40% - Accent4 2 2 5 2 3" xfId="12188" xr:uid="{DBD43C77-8D88-4108-9822-A4B1B016297E}"/>
    <cellStyle name="40% - Accent4 2 2 5 3" xfId="5819" xr:uid="{00000000-0005-0000-0000-0000C3050000}"/>
    <cellStyle name="40% - Accent4 2 2 5 3 2" xfId="14261" xr:uid="{32CC8112-D126-4D66-97F6-CD760E5FE915}"/>
    <cellStyle name="40% - Accent4 2 2 5 4" xfId="10043" xr:uid="{18E1F233-FA83-4B02-A1E7-27D6969A029C}"/>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97442F36-46FC-47F8-A6F0-E05B7903E254}"/>
    <cellStyle name="40% - Accent4 2 2 6 2 3" xfId="12601" xr:uid="{6A91B248-6CF0-416C-BA59-D7E431AE050D}"/>
    <cellStyle name="40% - Accent4 2 2 6 3" xfId="6232" xr:uid="{00000000-0005-0000-0000-0000C7050000}"/>
    <cellStyle name="40% - Accent4 2 2 6 3 2" xfId="14674" xr:uid="{49DBAA78-8183-406D-91EC-DC89C4A5210B}"/>
    <cellStyle name="40% - Accent4 2 2 6 4" xfId="10456" xr:uid="{959E7043-EDCC-49CC-9E79-D21AE6B072E5}"/>
    <cellStyle name="40% - Accent4 2 2 7" xfId="2338" xr:uid="{00000000-0005-0000-0000-0000C8050000}"/>
    <cellStyle name="40% - Accent4 2 2 7 2" xfId="6645" xr:uid="{00000000-0005-0000-0000-0000C9050000}"/>
    <cellStyle name="40% - Accent4 2 2 7 2 2" xfId="15087" xr:uid="{27673800-A7D8-41F5-BFD1-2036C930F327}"/>
    <cellStyle name="40% - Accent4 2 2 7 3" xfId="10869" xr:uid="{F42A8D19-F001-48F3-97B6-BB8191267925}"/>
    <cellStyle name="40% - Accent4 2 2 8" xfId="4579" xr:uid="{00000000-0005-0000-0000-0000CA050000}"/>
    <cellStyle name="40% - Accent4 2 2 8 2" xfId="13021" xr:uid="{2DC32608-CC7B-49AB-BF55-671B5FD4827D}"/>
    <cellStyle name="40% - Accent4 2 2 9" xfId="8803" xr:uid="{3BC8C120-63C9-440F-AE56-CB570ABC6F19}"/>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79ECEB3A-9F84-4C13-AD57-E623BF99DF00}"/>
    <cellStyle name="40% - Accent4 2 3 2 2 3" xfId="11364" xr:uid="{BBD3AA28-F4C4-4487-91F0-744EDA2EFFA9}"/>
    <cellStyle name="40% - Accent4 2 3 2 3" xfId="4995" xr:uid="{00000000-0005-0000-0000-0000CF050000}"/>
    <cellStyle name="40% - Accent4 2 3 2 3 2" xfId="13437" xr:uid="{1F68392F-4249-4993-A0A4-F4055E638FCA}"/>
    <cellStyle name="40% - Accent4 2 3 2 4" xfId="9219" xr:uid="{3C5803C0-1078-40CF-9624-CAD2AC7CD0E3}"/>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B012478A-E883-4C3B-8CEA-5EC8950F1FDF}"/>
    <cellStyle name="40% - Accent4 2 3 3 2 3" xfId="11777" xr:uid="{889BDF10-8414-4D17-91A8-A612AFEC77A4}"/>
    <cellStyle name="40% - Accent4 2 3 3 3" xfId="5408" xr:uid="{00000000-0005-0000-0000-0000D3050000}"/>
    <cellStyle name="40% - Accent4 2 3 3 3 2" xfId="13850" xr:uid="{C294E101-7014-4AA4-B4AB-3D21832E574A}"/>
    <cellStyle name="40% - Accent4 2 3 3 4" xfId="9632" xr:uid="{7031FDD8-F4FB-4DB5-9EDB-64F61FBED88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DD8C1A73-3F95-4A3C-89CD-BBA576EC1321}"/>
    <cellStyle name="40% - Accent4 2 3 4 2 3" xfId="12190" xr:uid="{DAEC3537-E38E-4492-B754-2DB8274F90FF}"/>
    <cellStyle name="40% - Accent4 2 3 4 3" xfId="5821" xr:uid="{00000000-0005-0000-0000-0000D7050000}"/>
    <cellStyle name="40% - Accent4 2 3 4 3 2" xfId="14263" xr:uid="{F47ACB1A-CF9D-4360-B67F-4C080F1EAC29}"/>
    <cellStyle name="40% - Accent4 2 3 4 4" xfId="10045" xr:uid="{FFEF9916-D927-414E-9F68-5DA520F1C9ED}"/>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C3D8681F-1693-4183-845C-D85E53FAC6FC}"/>
    <cellStyle name="40% - Accent4 2 3 5 2 3" xfId="12603" xr:uid="{B4058654-2A36-4480-8DA6-E0B6AAD40D08}"/>
    <cellStyle name="40% - Accent4 2 3 5 3" xfId="6234" xr:uid="{00000000-0005-0000-0000-0000DB050000}"/>
    <cellStyle name="40% - Accent4 2 3 5 3 2" xfId="14676" xr:uid="{8EB3B25C-872A-4F25-B9AD-1935B166313D}"/>
    <cellStyle name="40% - Accent4 2 3 5 4" xfId="10458" xr:uid="{B078FB3D-92FC-4F82-8D8F-15FBE04F0D20}"/>
    <cellStyle name="40% - Accent4 2 3 6" xfId="2340" xr:uid="{00000000-0005-0000-0000-0000DC050000}"/>
    <cellStyle name="40% - Accent4 2 3 6 2" xfId="6647" xr:uid="{00000000-0005-0000-0000-0000DD050000}"/>
    <cellStyle name="40% - Accent4 2 3 6 2 2" xfId="15089" xr:uid="{1BAAFA92-B5F1-484F-8264-79AD57C41D5E}"/>
    <cellStyle name="40% - Accent4 2 3 6 3" xfId="10871" xr:uid="{D1850919-E583-474F-8E8F-062FB6118918}"/>
    <cellStyle name="40% - Accent4 2 3 7" xfId="4581" xr:uid="{00000000-0005-0000-0000-0000DE050000}"/>
    <cellStyle name="40% - Accent4 2 3 7 2" xfId="13023" xr:uid="{9F69B44D-1E54-4E11-8026-CD2D07B2BDC1}"/>
    <cellStyle name="40% - Accent4 2 3 8" xfId="8805" xr:uid="{D64AE704-1F3E-4D84-8388-13BDB56BCBD5}"/>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2DA57E5D-51A2-4624-9DC6-854C52EDBA16}"/>
    <cellStyle name="40% - Accent4 2 4 2 3" xfId="11361" xr:uid="{F6811F32-CF8C-46C8-9E6F-C7405DC73911}"/>
    <cellStyle name="40% - Accent4 2 4 3" xfId="4992" xr:uid="{00000000-0005-0000-0000-0000E2050000}"/>
    <cellStyle name="40% - Accent4 2 4 3 2" xfId="13434" xr:uid="{0A16238A-B7CE-4667-BF0A-00D79E6EAD10}"/>
    <cellStyle name="40% - Accent4 2 4 4" xfId="9216" xr:uid="{A091477A-D8E4-43CD-802F-6ACB1387256B}"/>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5CE741D0-89AE-4F7B-961A-E0DD2721BDE1}"/>
    <cellStyle name="40% - Accent4 2 5 2 3" xfId="11774" xr:uid="{229B0992-5619-4A68-8E45-12C348463B78}"/>
    <cellStyle name="40% - Accent4 2 5 3" xfId="5405" xr:uid="{00000000-0005-0000-0000-0000E6050000}"/>
    <cellStyle name="40% - Accent4 2 5 3 2" xfId="13847" xr:uid="{52460A0E-8C25-4E49-9385-F5B91353E5E3}"/>
    <cellStyle name="40% - Accent4 2 5 4" xfId="9629" xr:uid="{C1324411-241B-4D46-A97F-AEBE83607C9E}"/>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0AF11AE4-C97E-4F5B-AC22-06D57C04F68E}"/>
    <cellStyle name="40% - Accent4 2 6 2 3" xfId="12187" xr:uid="{421F2E5A-D917-4F08-AA27-1F947B6A6B6F}"/>
    <cellStyle name="40% - Accent4 2 6 3" xfId="5818" xr:uid="{00000000-0005-0000-0000-0000EA050000}"/>
    <cellStyle name="40% - Accent4 2 6 3 2" xfId="14260" xr:uid="{6AD1167F-5EB3-4A2F-85A1-79F47AFDE8E8}"/>
    <cellStyle name="40% - Accent4 2 6 4" xfId="10042" xr:uid="{74634B3E-C038-4EA7-9349-05B9DD0CBEAC}"/>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12E5EF77-BDAE-4C8C-BF33-8942BF572945}"/>
    <cellStyle name="40% - Accent4 2 7 2 3" xfId="12600" xr:uid="{28FD9FFB-E748-4AEB-8888-5D01D54F2273}"/>
    <cellStyle name="40% - Accent4 2 7 3" xfId="6231" xr:uid="{00000000-0005-0000-0000-0000EE050000}"/>
    <cellStyle name="40% - Accent4 2 7 3 2" xfId="14673" xr:uid="{152CEE4D-0A2A-499B-917D-BA801544DB21}"/>
    <cellStyle name="40% - Accent4 2 7 4" xfId="10455" xr:uid="{4BA273B1-029E-4E18-9DF5-5145B3664CFC}"/>
    <cellStyle name="40% - Accent4 2 8" xfId="2337" xr:uid="{00000000-0005-0000-0000-0000EF050000}"/>
    <cellStyle name="40% - Accent4 2 8 2" xfId="6644" xr:uid="{00000000-0005-0000-0000-0000F0050000}"/>
    <cellStyle name="40% - Accent4 2 8 2 2" xfId="15086" xr:uid="{211CEB8D-F828-4B85-95E2-7F9235BC8788}"/>
    <cellStyle name="40% - Accent4 2 8 3" xfId="10868" xr:uid="{6F3223A1-4C56-436F-B896-55B8E264DEB4}"/>
    <cellStyle name="40% - Accent4 2 9" xfId="4578" xr:uid="{00000000-0005-0000-0000-0000F1050000}"/>
    <cellStyle name="40% - Accent4 2 9 2" xfId="13020" xr:uid="{88338CAC-3146-4643-AE0E-C6D0176737C3}"/>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7D677FDF-C524-47E8-8687-68F0DA60FBEB}"/>
    <cellStyle name="40% - Accent4 3 2 2 2 3" xfId="11366" xr:uid="{8AD3620D-C830-46F9-9672-6B6B724AD023}"/>
    <cellStyle name="40% - Accent4 3 2 2 3" xfId="4997" xr:uid="{00000000-0005-0000-0000-0000F7050000}"/>
    <cellStyle name="40% - Accent4 3 2 2 3 2" xfId="13439" xr:uid="{1DE4D403-C28D-4BFF-B628-AAA1854BDA2D}"/>
    <cellStyle name="40% - Accent4 3 2 2 4" xfId="9221" xr:uid="{580B7968-044E-4FF6-A9CC-CA60C2B109E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9527F4DE-C5F9-49AB-BB33-F3732970D45D}"/>
    <cellStyle name="40% - Accent4 3 2 3 2 3" xfId="11779" xr:uid="{DC66AE5D-57C8-4615-A565-8E7FF79277EE}"/>
    <cellStyle name="40% - Accent4 3 2 3 3" xfId="5410" xr:uid="{00000000-0005-0000-0000-0000FB050000}"/>
    <cellStyle name="40% - Accent4 3 2 3 3 2" xfId="13852" xr:uid="{FE206CE7-D075-4171-BB5C-E0CF88D4D5F1}"/>
    <cellStyle name="40% - Accent4 3 2 3 4" xfId="9634" xr:uid="{74367E6F-A094-43F9-AA8B-A9AD4C542B2B}"/>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E8620197-00D4-4D1C-A485-7F207580BA35}"/>
    <cellStyle name="40% - Accent4 3 2 4 2 3" xfId="12192" xr:uid="{FF175A8F-90DE-4A7C-99B5-9F2A15481C74}"/>
    <cellStyle name="40% - Accent4 3 2 4 3" xfId="5823" xr:uid="{00000000-0005-0000-0000-0000FF050000}"/>
    <cellStyle name="40% - Accent4 3 2 4 3 2" xfId="14265" xr:uid="{4FFD968F-A6F6-4592-AD72-FC611E1370BF}"/>
    <cellStyle name="40% - Accent4 3 2 4 4" xfId="10047" xr:uid="{ED052CD4-55B5-4568-A581-5D3A586C553C}"/>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128A66D4-DF57-4788-A99F-A085105C53DD}"/>
    <cellStyle name="40% - Accent4 3 2 5 2 3" xfId="12605" xr:uid="{13BB41FE-AB6B-4B14-9224-30E10C2DAED4}"/>
    <cellStyle name="40% - Accent4 3 2 5 3" xfId="6236" xr:uid="{00000000-0005-0000-0000-000003060000}"/>
    <cellStyle name="40% - Accent4 3 2 5 3 2" xfId="14678" xr:uid="{9D8D0093-07C2-4912-ABC7-4C452A897C98}"/>
    <cellStyle name="40% - Accent4 3 2 5 4" xfId="10460" xr:uid="{68D9C96C-D1D3-4B0A-BC80-04FE2B348AA4}"/>
    <cellStyle name="40% - Accent4 3 2 6" xfId="2342" xr:uid="{00000000-0005-0000-0000-000004060000}"/>
    <cellStyle name="40% - Accent4 3 2 6 2" xfId="6649" xr:uid="{00000000-0005-0000-0000-000005060000}"/>
    <cellStyle name="40% - Accent4 3 2 6 2 2" xfId="15091" xr:uid="{EF9A96A8-FCFE-492C-92AB-C3C0623B930A}"/>
    <cellStyle name="40% - Accent4 3 2 6 3" xfId="10873" xr:uid="{D88007BC-4249-4F05-BAA7-A5B5759532F5}"/>
    <cellStyle name="40% - Accent4 3 2 7" xfId="4583" xr:uid="{00000000-0005-0000-0000-000006060000}"/>
    <cellStyle name="40% - Accent4 3 2 7 2" xfId="13025" xr:uid="{89A5EE42-4341-4AD5-B37E-8F7BC9F06A4E}"/>
    <cellStyle name="40% - Accent4 3 2 8" xfId="8807" xr:uid="{A83CCD25-F639-497D-85A6-1E1AF0FDF328}"/>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FB3D28F6-DA8F-4D26-88FE-9D0BA9C5878A}"/>
    <cellStyle name="40% - Accent4 3 3 2 3" xfId="11365" xr:uid="{058BDCC7-F55D-42EB-A064-3E900F085D0E}"/>
    <cellStyle name="40% - Accent4 3 3 3" xfId="4996" xr:uid="{00000000-0005-0000-0000-00000A060000}"/>
    <cellStyle name="40% - Accent4 3 3 3 2" xfId="13438" xr:uid="{0C4A4B08-1E51-4BE6-8BDC-6D89C52B1C3E}"/>
    <cellStyle name="40% - Accent4 3 3 4" xfId="9220" xr:uid="{E031D12B-E72E-4E69-B75E-80B8A6DEB403}"/>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767C77F9-8A58-48A6-A129-4B1000085A06}"/>
    <cellStyle name="40% - Accent4 3 4 2 3" xfId="11778" xr:uid="{183242FF-05F8-4801-AAD4-4043AD928456}"/>
    <cellStyle name="40% - Accent4 3 4 3" xfId="5409" xr:uid="{00000000-0005-0000-0000-00000E060000}"/>
    <cellStyle name="40% - Accent4 3 4 3 2" xfId="13851" xr:uid="{A76B79B4-74D6-4E1A-B025-04C2D9C20106}"/>
    <cellStyle name="40% - Accent4 3 4 4" xfId="9633" xr:uid="{2E1ED57C-BD76-4402-9B7D-2474557059E2}"/>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2CFF3203-CB10-40C5-AB8C-2E6BE3A98BEC}"/>
    <cellStyle name="40% - Accent4 3 5 2 3" xfId="12191" xr:uid="{F12C8785-6097-4ABB-B2E6-EA732B4B93FF}"/>
    <cellStyle name="40% - Accent4 3 5 3" xfId="5822" xr:uid="{00000000-0005-0000-0000-000012060000}"/>
    <cellStyle name="40% - Accent4 3 5 3 2" xfId="14264" xr:uid="{32715850-7DBF-4F3C-81D3-57CCD267DAE9}"/>
    <cellStyle name="40% - Accent4 3 5 4" xfId="10046" xr:uid="{90FA4E65-2197-4760-9CB5-08FB096C0B4F}"/>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679C31EC-24AB-4DC1-8DD1-31452A75870B}"/>
    <cellStyle name="40% - Accent4 3 6 2 3" xfId="12604" xr:uid="{601EB878-84CD-4E54-AF4B-88A6784FADB0}"/>
    <cellStyle name="40% - Accent4 3 6 3" xfId="6235" xr:uid="{00000000-0005-0000-0000-000016060000}"/>
    <cellStyle name="40% - Accent4 3 6 3 2" xfId="14677" xr:uid="{F4DE235B-56CD-4453-85AE-4462D1BB984A}"/>
    <cellStyle name="40% - Accent4 3 6 4" xfId="10459" xr:uid="{09F841FF-F168-49C3-B1AE-F7205FED5316}"/>
    <cellStyle name="40% - Accent4 3 7" xfId="2341" xr:uid="{00000000-0005-0000-0000-000017060000}"/>
    <cellStyle name="40% - Accent4 3 7 2" xfId="6648" xr:uid="{00000000-0005-0000-0000-000018060000}"/>
    <cellStyle name="40% - Accent4 3 7 2 2" xfId="15090" xr:uid="{5127A720-AB9F-4C86-A4E6-A9AE2E277995}"/>
    <cellStyle name="40% - Accent4 3 7 3" xfId="10872" xr:uid="{9B1AA438-390E-476F-8FFD-F8985DDD6A56}"/>
    <cellStyle name="40% - Accent4 3 8" xfId="4582" xr:uid="{00000000-0005-0000-0000-000019060000}"/>
    <cellStyle name="40% - Accent4 3 8 2" xfId="13024" xr:uid="{57D5E481-9219-4FD1-9C9E-BA8883D4027D}"/>
    <cellStyle name="40% - Accent4 3 9" xfId="8806" xr:uid="{33DFB93E-CCDD-42C9-AE8A-0A2F55A658EB}"/>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E1387581-355A-439E-991E-D7B3FCBFB0A5}"/>
    <cellStyle name="40% - Accent4 4 2 2 3" xfId="11367" xr:uid="{ABBAE4A6-9D36-4E31-A9E4-EBD8044CEA10}"/>
    <cellStyle name="40% - Accent4 4 2 3" xfId="4998" xr:uid="{00000000-0005-0000-0000-00001E060000}"/>
    <cellStyle name="40% - Accent4 4 2 3 2" xfId="13440" xr:uid="{4B5873BD-B793-4673-B96F-C5BDA64E4144}"/>
    <cellStyle name="40% - Accent4 4 2 4" xfId="9222" xr:uid="{6ABAC2FD-433F-4DAC-8BB2-26C77FA582B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E442D0CF-C0DD-43CF-BFF5-3AE2626364BB}"/>
    <cellStyle name="40% - Accent4 4 3 2 3" xfId="11780" xr:uid="{40AEFB82-754C-4129-9919-546F651A6143}"/>
    <cellStyle name="40% - Accent4 4 3 3" xfId="5411" xr:uid="{00000000-0005-0000-0000-000022060000}"/>
    <cellStyle name="40% - Accent4 4 3 3 2" xfId="13853" xr:uid="{67C77003-D3C3-4F6E-9470-9297E8F205E9}"/>
    <cellStyle name="40% - Accent4 4 3 4" xfId="9635" xr:uid="{2FAAE6DC-0518-4708-8E70-7EA99AA0F35A}"/>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BACC7160-AFC0-418D-85E2-393826CC1057}"/>
    <cellStyle name="40% - Accent4 4 4 2 3" xfId="12193" xr:uid="{49E9040E-3438-4C1D-B9E4-E30A649EFC14}"/>
    <cellStyle name="40% - Accent4 4 4 3" xfId="5824" xr:uid="{00000000-0005-0000-0000-000026060000}"/>
    <cellStyle name="40% - Accent4 4 4 3 2" xfId="14266" xr:uid="{1898B874-2A89-404A-99A2-8E734A90B638}"/>
    <cellStyle name="40% - Accent4 4 4 4" xfId="10048" xr:uid="{08DF18F7-53C1-4CF1-950F-3B303AAA8E13}"/>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5A9832E3-FB25-49B1-AC3F-F7C91DD56F14}"/>
    <cellStyle name="40% - Accent4 4 5 2 3" xfId="12606" xr:uid="{F3E9F3FF-FC8C-4AD5-B8C0-7B803B4BFD4D}"/>
    <cellStyle name="40% - Accent4 4 5 3" xfId="6237" xr:uid="{00000000-0005-0000-0000-00002A060000}"/>
    <cellStyle name="40% - Accent4 4 5 3 2" xfId="14679" xr:uid="{066EFA2F-F325-4DA3-965B-D2D9104F2B93}"/>
    <cellStyle name="40% - Accent4 4 5 4" xfId="10461" xr:uid="{2D081986-86EC-4704-B8AD-C97C4620E1BA}"/>
    <cellStyle name="40% - Accent4 4 6" xfId="2343" xr:uid="{00000000-0005-0000-0000-00002B060000}"/>
    <cellStyle name="40% - Accent4 4 6 2" xfId="6650" xr:uid="{00000000-0005-0000-0000-00002C060000}"/>
    <cellStyle name="40% - Accent4 4 6 2 2" xfId="15092" xr:uid="{65FD128A-8ACF-4A32-9D59-658FF6B6109B}"/>
    <cellStyle name="40% - Accent4 4 6 3" xfId="10874" xr:uid="{7EAF2F9E-8443-4F2D-A107-23DC52226FD6}"/>
    <cellStyle name="40% - Accent4 4 7" xfId="4584" xr:uid="{00000000-0005-0000-0000-00002D060000}"/>
    <cellStyle name="40% - Accent4 4 7 2" xfId="13026" xr:uid="{B53EADAE-0C7D-48DD-B852-EB4F8B5457B4}"/>
    <cellStyle name="40% - Accent4 4 8" xfId="8808" xr:uid="{33C26A2D-320A-4B98-83EE-E03A0E90DC3B}"/>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AE8232EF-2EF4-4214-92EE-B8253433DA61}"/>
    <cellStyle name="40% - Accent4 5 2 3" xfId="11360" xr:uid="{256C9605-9F85-4FAC-9818-3C05AA113A78}"/>
    <cellStyle name="40% - Accent4 5 3" xfId="4991" xr:uid="{00000000-0005-0000-0000-000031060000}"/>
    <cellStyle name="40% - Accent4 5 3 2" xfId="13433" xr:uid="{B45FD1EE-6D8E-43C3-9D71-828A9C99D9FF}"/>
    <cellStyle name="40% - Accent4 5 4" xfId="9215" xr:uid="{9B907CFD-D613-45EC-8280-A29FD050D6E9}"/>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688E02DE-B26C-4C1C-8F7F-3406BB308E4D}"/>
    <cellStyle name="40% - Accent4 6 2 3" xfId="11773" xr:uid="{7C71C913-0770-4519-98B2-C175F2EA1056}"/>
    <cellStyle name="40% - Accent4 6 3" xfId="5404" xr:uid="{00000000-0005-0000-0000-000035060000}"/>
    <cellStyle name="40% - Accent4 6 3 2" xfId="13846" xr:uid="{7D32D730-6882-46C2-BF95-1821BAA16C6D}"/>
    <cellStyle name="40% - Accent4 6 4" xfId="9628" xr:uid="{B06B51E5-CB7B-4087-B124-9AE6F7550D01}"/>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46F9CA42-03C7-4A6D-BF87-0BCA3C8077A2}"/>
    <cellStyle name="40% - Accent4 7 2 3" xfId="12186" xr:uid="{CD2630DC-3A56-49A4-9E4B-C9FE0A323CD1}"/>
    <cellStyle name="40% - Accent4 7 3" xfId="5817" xr:uid="{00000000-0005-0000-0000-000039060000}"/>
    <cellStyle name="40% - Accent4 7 3 2" xfId="14259" xr:uid="{CD09B24C-DED4-4A57-9B1A-958CC5336EC3}"/>
    <cellStyle name="40% - Accent4 7 4" xfId="10041" xr:uid="{04EDBFB0-DE05-4B72-9722-7F140CE3F8BD}"/>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03638819-8A30-4692-A93E-58D5CD5609BC}"/>
    <cellStyle name="40% - Accent4 8 2 3" xfId="12599" xr:uid="{97FADFCD-D6C4-42F3-BF4E-6C590FB2D22B}"/>
    <cellStyle name="40% - Accent4 8 3" xfId="6230" xr:uid="{00000000-0005-0000-0000-00003D060000}"/>
    <cellStyle name="40% - Accent4 8 3 2" xfId="14672" xr:uid="{6A4F5E9E-BF5C-418E-A3C2-E9D8327821D2}"/>
    <cellStyle name="40% - Accent4 8 4" xfId="10454" xr:uid="{0CF3C166-D9F6-4BD2-A8FC-51C4C572F218}"/>
    <cellStyle name="40% - Accent4 9" xfId="2336" xr:uid="{00000000-0005-0000-0000-00003E060000}"/>
    <cellStyle name="40% - Accent4 9 2" xfId="6643" xr:uid="{00000000-0005-0000-0000-00003F060000}"/>
    <cellStyle name="40% - Accent4 9 2 2" xfId="15085" xr:uid="{CE2106A1-A571-4F68-ADAD-A62EF8DA7921}"/>
    <cellStyle name="40% - Accent4 9 3" xfId="10867" xr:uid="{A3905671-AEFD-4CEE-884F-C5CF38A8D30E}"/>
    <cellStyle name="40% - Accent5" xfId="81" builtinId="47" customBuiltin="1"/>
    <cellStyle name="40% - Accent5 10" xfId="4585" xr:uid="{00000000-0005-0000-0000-000041060000}"/>
    <cellStyle name="40% - Accent5 10 2" xfId="13027" xr:uid="{2F6C3A61-3D25-43FA-9549-54EEA0002D85}"/>
    <cellStyle name="40% - Accent5 11" xfId="8809" xr:uid="{5AD7CB40-D564-4A1A-8CE7-DFE3822EF797}"/>
    <cellStyle name="40% - Accent5 2" xfId="82" xr:uid="{00000000-0005-0000-0000-000042060000}"/>
    <cellStyle name="40% - Accent5 2 10" xfId="8810" xr:uid="{7EA1D96A-F68D-4DB5-8970-FB04147A41D3}"/>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9F3DF9B0-9127-4D97-97EB-50E1DABCC67A}"/>
    <cellStyle name="40% - Accent5 2 2 2 2 2 3" xfId="11371" xr:uid="{79D872A8-53D0-4965-A6A7-F39FB7358D88}"/>
    <cellStyle name="40% - Accent5 2 2 2 2 3" xfId="5002" xr:uid="{00000000-0005-0000-0000-000048060000}"/>
    <cellStyle name="40% - Accent5 2 2 2 2 3 2" xfId="13444" xr:uid="{2B6B5DCA-F002-4003-8A7B-5729533EFF54}"/>
    <cellStyle name="40% - Accent5 2 2 2 2 4" xfId="9226" xr:uid="{8FD9340B-759D-40EA-A7FC-5C5C1D32F63D}"/>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D6BBAA4E-5676-406D-94BA-8D4163961DD2}"/>
    <cellStyle name="40% - Accent5 2 2 2 3 2 3" xfId="11784" xr:uid="{676A7178-9697-48A9-92BA-7F895E0AAA4A}"/>
    <cellStyle name="40% - Accent5 2 2 2 3 3" xfId="5415" xr:uid="{00000000-0005-0000-0000-00004C060000}"/>
    <cellStyle name="40% - Accent5 2 2 2 3 3 2" xfId="13857" xr:uid="{09BF8945-1388-40E9-9EA1-743166AA0BE8}"/>
    <cellStyle name="40% - Accent5 2 2 2 3 4" xfId="9639" xr:uid="{960EE0FB-0633-409A-97EF-A43116D460EB}"/>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5B6B4E37-ACA9-495F-9C65-78B8E62FC2F9}"/>
    <cellStyle name="40% - Accent5 2 2 2 4 2 3" xfId="12197" xr:uid="{50E0B54C-0E45-4E2B-933A-E5E26D29BFEB}"/>
    <cellStyle name="40% - Accent5 2 2 2 4 3" xfId="5828" xr:uid="{00000000-0005-0000-0000-000050060000}"/>
    <cellStyle name="40% - Accent5 2 2 2 4 3 2" xfId="14270" xr:uid="{9C24E693-0002-4AD7-BD64-2E8CB8D1E887}"/>
    <cellStyle name="40% - Accent5 2 2 2 4 4" xfId="10052" xr:uid="{2FC237D7-B9F8-4B56-A1CA-AFB31E30CEA2}"/>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D4F89529-1B97-406C-B3EF-6E9CBD035CFB}"/>
    <cellStyle name="40% - Accent5 2 2 2 5 2 3" xfId="12610" xr:uid="{2F1233FD-EC68-49E3-BB9E-EA2EFB81C6BE}"/>
    <cellStyle name="40% - Accent5 2 2 2 5 3" xfId="6241" xr:uid="{00000000-0005-0000-0000-000054060000}"/>
    <cellStyle name="40% - Accent5 2 2 2 5 3 2" xfId="14683" xr:uid="{88BFABD3-A57A-45F6-AE74-220895246E15}"/>
    <cellStyle name="40% - Accent5 2 2 2 5 4" xfId="10465" xr:uid="{909D272B-D923-46F9-A9EC-D534B9FDD17F}"/>
    <cellStyle name="40% - Accent5 2 2 2 6" xfId="2347" xr:uid="{00000000-0005-0000-0000-000055060000}"/>
    <cellStyle name="40% - Accent5 2 2 2 6 2" xfId="6654" xr:uid="{00000000-0005-0000-0000-000056060000}"/>
    <cellStyle name="40% - Accent5 2 2 2 6 2 2" xfId="15096" xr:uid="{B10DE39B-CC3B-4ED7-B6D2-459E558BD8C4}"/>
    <cellStyle name="40% - Accent5 2 2 2 6 3" xfId="10878" xr:uid="{AC7BB218-A7A9-4CAD-AD56-FE6C54C15BE2}"/>
    <cellStyle name="40% - Accent5 2 2 2 7" xfId="4588" xr:uid="{00000000-0005-0000-0000-000057060000}"/>
    <cellStyle name="40% - Accent5 2 2 2 7 2" xfId="13030" xr:uid="{7268570E-655C-4C75-8E3A-FEA22A2CC1E7}"/>
    <cellStyle name="40% - Accent5 2 2 2 8" xfId="8812" xr:uid="{947F4F16-B2C9-43BC-AAFD-AFD7FD8F25E1}"/>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9FFF4DEB-2CE1-408C-88D3-A4EB004A55BA}"/>
    <cellStyle name="40% - Accent5 2 2 3 2 3" xfId="11370" xr:uid="{13B23DF2-A738-4B8D-A20A-D8AEBE648AC9}"/>
    <cellStyle name="40% - Accent5 2 2 3 3" xfId="5001" xr:uid="{00000000-0005-0000-0000-00005B060000}"/>
    <cellStyle name="40% - Accent5 2 2 3 3 2" xfId="13443" xr:uid="{B1DE47CD-895B-436E-B875-7151DF0403D3}"/>
    <cellStyle name="40% - Accent5 2 2 3 4" xfId="9225" xr:uid="{06C0260A-A006-4074-A64E-0450778FD3A6}"/>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8DD2DD82-2F48-4F2B-B9EF-AC36D5B321B8}"/>
    <cellStyle name="40% - Accent5 2 2 4 2 3" xfId="11783" xr:uid="{84CDC782-460D-4DCE-A8A5-3CD5D25A4549}"/>
    <cellStyle name="40% - Accent5 2 2 4 3" xfId="5414" xr:uid="{00000000-0005-0000-0000-00005F060000}"/>
    <cellStyle name="40% - Accent5 2 2 4 3 2" xfId="13856" xr:uid="{A9323129-EBDB-46D5-A5A8-C46F2F7BD6D0}"/>
    <cellStyle name="40% - Accent5 2 2 4 4" xfId="9638" xr:uid="{30A4BA75-B49D-4232-88B1-64D02C7E04A8}"/>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B3145FCB-FD05-4720-925B-5CF2E61F410E}"/>
    <cellStyle name="40% - Accent5 2 2 5 2 3" xfId="12196" xr:uid="{121BC0EE-9AF8-46B3-B3D4-645559C682D8}"/>
    <cellStyle name="40% - Accent5 2 2 5 3" xfId="5827" xr:uid="{00000000-0005-0000-0000-000063060000}"/>
    <cellStyle name="40% - Accent5 2 2 5 3 2" xfId="14269" xr:uid="{50D8CDD8-E834-488E-8EBA-DB3A59D4C234}"/>
    <cellStyle name="40% - Accent5 2 2 5 4" xfId="10051" xr:uid="{1D5EAD45-F312-4115-AC50-D2131A8718E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D02B0B89-B447-4E13-BDFD-3207F83AB791}"/>
    <cellStyle name="40% - Accent5 2 2 6 2 3" xfId="12609" xr:uid="{98769344-1341-4B51-956D-ECC1BF523FA3}"/>
    <cellStyle name="40% - Accent5 2 2 6 3" xfId="6240" xr:uid="{00000000-0005-0000-0000-000067060000}"/>
    <cellStyle name="40% - Accent5 2 2 6 3 2" xfId="14682" xr:uid="{95D278C6-1EEC-4EDD-BEAD-E32779DD51A4}"/>
    <cellStyle name="40% - Accent5 2 2 6 4" xfId="10464" xr:uid="{708FED81-309A-4DE8-AE4D-1EE7DEA4A01F}"/>
    <cellStyle name="40% - Accent5 2 2 7" xfId="2346" xr:uid="{00000000-0005-0000-0000-000068060000}"/>
    <cellStyle name="40% - Accent5 2 2 7 2" xfId="6653" xr:uid="{00000000-0005-0000-0000-000069060000}"/>
    <cellStyle name="40% - Accent5 2 2 7 2 2" xfId="15095" xr:uid="{B6F80CE4-BD7A-4B8A-AF61-699884848A0D}"/>
    <cellStyle name="40% - Accent5 2 2 7 3" xfId="10877" xr:uid="{35F6AC6F-B974-4D72-B77E-D1F30BF55ACE}"/>
    <cellStyle name="40% - Accent5 2 2 8" xfId="4587" xr:uid="{00000000-0005-0000-0000-00006A060000}"/>
    <cellStyle name="40% - Accent5 2 2 8 2" xfId="13029" xr:uid="{B77E69C9-51ED-4F7E-98C7-70EB6BE9565A}"/>
    <cellStyle name="40% - Accent5 2 2 9" xfId="8811" xr:uid="{41CD5086-8D23-462B-98DC-20A43C32C882}"/>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2FC6CFD4-A85D-4504-B53E-FA26737B4D57}"/>
    <cellStyle name="40% - Accent5 2 3 2 2 3" xfId="11372" xr:uid="{39CC9EFD-40BF-4EE1-8AE6-59AE23D7D45D}"/>
    <cellStyle name="40% - Accent5 2 3 2 3" xfId="5003" xr:uid="{00000000-0005-0000-0000-00006F060000}"/>
    <cellStyle name="40% - Accent5 2 3 2 3 2" xfId="13445" xr:uid="{ACA1689B-1212-43CA-A927-2054A86660D8}"/>
    <cellStyle name="40% - Accent5 2 3 2 4" xfId="9227" xr:uid="{025AA067-E5C6-4F1E-8D64-36437C750830}"/>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A2F9CA98-B1E2-4A23-A028-5A388134F84D}"/>
    <cellStyle name="40% - Accent5 2 3 3 2 3" xfId="11785" xr:uid="{5B5F6A6D-54AC-49F1-942B-0230AF722621}"/>
    <cellStyle name="40% - Accent5 2 3 3 3" xfId="5416" xr:uid="{00000000-0005-0000-0000-000073060000}"/>
    <cellStyle name="40% - Accent5 2 3 3 3 2" xfId="13858" xr:uid="{EB1A3D78-7B32-45E8-A6EE-8D3A77767A46}"/>
    <cellStyle name="40% - Accent5 2 3 3 4" xfId="9640" xr:uid="{BCBA6915-7F7C-4DD5-9901-07E87289119A}"/>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76998066-B0DA-4AF1-BFBE-2439489A8ABF}"/>
    <cellStyle name="40% - Accent5 2 3 4 2 3" xfId="12198" xr:uid="{F7E94FD3-C461-4B1A-8225-AA75CB20C976}"/>
    <cellStyle name="40% - Accent5 2 3 4 3" xfId="5829" xr:uid="{00000000-0005-0000-0000-000077060000}"/>
    <cellStyle name="40% - Accent5 2 3 4 3 2" xfId="14271" xr:uid="{8D7BCD01-06AD-49DE-8549-3E17ADF82417}"/>
    <cellStyle name="40% - Accent5 2 3 4 4" xfId="10053" xr:uid="{D65D19FF-F09E-4D51-8EDD-EA447F0C7BB6}"/>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86203BB0-5AD9-49A1-97DA-2AF48CB8754A}"/>
    <cellStyle name="40% - Accent5 2 3 5 2 3" xfId="12611" xr:uid="{281803E1-64EA-4747-8CF6-4B9DEE7888FC}"/>
    <cellStyle name="40% - Accent5 2 3 5 3" xfId="6242" xr:uid="{00000000-0005-0000-0000-00007B060000}"/>
    <cellStyle name="40% - Accent5 2 3 5 3 2" xfId="14684" xr:uid="{7BCC83E9-85E5-4996-9557-66A56E18852E}"/>
    <cellStyle name="40% - Accent5 2 3 5 4" xfId="10466" xr:uid="{A8DFF6E6-CBE5-4EAD-AB37-B19C42312855}"/>
    <cellStyle name="40% - Accent5 2 3 6" xfId="2348" xr:uid="{00000000-0005-0000-0000-00007C060000}"/>
    <cellStyle name="40% - Accent5 2 3 6 2" xfId="6655" xr:uid="{00000000-0005-0000-0000-00007D060000}"/>
    <cellStyle name="40% - Accent5 2 3 6 2 2" xfId="15097" xr:uid="{7F2AEA2D-4F61-44A7-A929-36CF0B2F32FA}"/>
    <cellStyle name="40% - Accent5 2 3 6 3" xfId="10879" xr:uid="{ACFE448D-8B13-4563-852C-4D6F05C6B846}"/>
    <cellStyle name="40% - Accent5 2 3 7" xfId="4589" xr:uid="{00000000-0005-0000-0000-00007E060000}"/>
    <cellStyle name="40% - Accent5 2 3 7 2" xfId="13031" xr:uid="{9ACF6801-CFD1-4D55-9A92-B6DCF288ADD7}"/>
    <cellStyle name="40% - Accent5 2 3 8" xfId="8813" xr:uid="{B14B70BD-1B6F-4209-A7C9-747502284037}"/>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2C5C8E7D-4880-497F-9F17-767BE0023F36}"/>
    <cellStyle name="40% - Accent5 2 4 2 3" xfId="11369" xr:uid="{50B70114-9540-4AB9-95AE-08C65FD336AA}"/>
    <cellStyle name="40% - Accent5 2 4 3" xfId="5000" xr:uid="{00000000-0005-0000-0000-000082060000}"/>
    <cellStyle name="40% - Accent5 2 4 3 2" xfId="13442" xr:uid="{CB624325-435C-4740-AFDC-D6F94F8A07BB}"/>
    <cellStyle name="40% - Accent5 2 4 4" xfId="9224" xr:uid="{B61E7DE6-A3FF-434C-B877-2D8BC7528C2F}"/>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8DBF9079-E99F-40E5-A2DC-51D4C589E9E9}"/>
    <cellStyle name="40% - Accent5 2 5 2 3" xfId="11782" xr:uid="{1ABC2962-89B3-40CC-B63E-5A7036EC5734}"/>
    <cellStyle name="40% - Accent5 2 5 3" xfId="5413" xr:uid="{00000000-0005-0000-0000-000086060000}"/>
    <cellStyle name="40% - Accent5 2 5 3 2" xfId="13855" xr:uid="{5207D1B4-1DFF-45EB-ABB7-D33FC365C47C}"/>
    <cellStyle name="40% - Accent5 2 5 4" xfId="9637" xr:uid="{A6685A9F-C0E4-4440-A3EF-316C548AF51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9C829452-7B56-4141-972C-270E7BA3AF37}"/>
    <cellStyle name="40% - Accent5 2 6 2 3" xfId="12195" xr:uid="{E28D843F-E5D8-4686-879E-17AB24BF7A49}"/>
    <cellStyle name="40% - Accent5 2 6 3" xfId="5826" xr:uid="{00000000-0005-0000-0000-00008A060000}"/>
    <cellStyle name="40% - Accent5 2 6 3 2" xfId="14268" xr:uid="{FB5A1F9C-F2C8-499B-A378-0C09C509AEFD}"/>
    <cellStyle name="40% - Accent5 2 6 4" xfId="10050" xr:uid="{D40943BB-9DE7-4C87-848A-872844C26F7D}"/>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BEC7B53C-B313-4E69-B2E4-145D0BF1F43A}"/>
    <cellStyle name="40% - Accent5 2 7 2 3" xfId="12608" xr:uid="{E30825D9-AEDB-4A6F-9739-3097A239DB58}"/>
    <cellStyle name="40% - Accent5 2 7 3" xfId="6239" xr:uid="{00000000-0005-0000-0000-00008E060000}"/>
    <cellStyle name="40% - Accent5 2 7 3 2" xfId="14681" xr:uid="{4043899B-4920-4C55-9375-2031D5061088}"/>
    <cellStyle name="40% - Accent5 2 7 4" xfId="10463" xr:uid="{A10403B3-4A78-445B-8A80-47B7E592D198}"/>
    <cellStyle name="40% - Accent5 2 8" xfId="2345" xr:uid="{00000000-0005-0000-0000-00008F060000}"/>
    <cellStyle name="40% - Accent5 2 8 2" xfId="6652" xr:uid="{00000000-0005-0000-0000-000090060000}"/>
    <cellStyle name="40% - Accent5 2 8 2 2" xfId="15094" xr:uid="{D54EB957-6F79-40B1-BB7D-8F9A2B097A83}"/>
    <cellStyle name="40% - Accent5 2 8 3" xfId="10876" xr:uid="{D97DD099-8731-433E-99F7-ECB11119FF12}"/>
    <cellStyle name="40% - Accent5 2 9" xfId="4586" xr:uid="{00000000-0005-0000-0000-000091060000}"/>
    <cellStyle name="40% - Accent5 2 9 2" xfId="13028" xr:uid="{60C76D82-ED20-4B2C-B845-FB8CAA472B51}"/>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B66719BB-5C9A-46E6-8D9D-B2D51E98E417}"/>
    <cellStyle name="40% - Accent5 3 2 2 2 3" xfId="11374" xr:uid="{C41F1117-C8C9-439A-97DA-4BDBAA1F06D6}"/>
    <cellStyle name="40% - Accent5 3 2 2 3" xfId="5005" xr:uid="{00000000-0005-0000-0000-000097060000}"/>
    <cellStyle name="40% - Accent5 3 2 2 3 2" xfId="13447" xr:uid="{C50C797B-FF21-4B4A-8A43-802861B14DDA}"/>
    <cellStyle name="40% - Accent5 3 2 2 4" xfId="9229" xr:uid="{53D586A8-D600-4814-9A06-DCA399B2A884}"/>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EFED3BA9-550C-4D25-9651-D79AA64C8461}"/>
    <cellStyle name="40% - Accent5 3 2 3 2 3" xfId="11787" xr:uid="{7B67D894-1364-42BA-BD62-0671543F8CD6}"/>
    <cellStyle name="40% - Accent5 3 2 3 3" xfId="5418" xr:uid="{00000000-0005-0000-0000-00009B060000}"/>
    <cellStyle name="40% - Accent5 3 2 3 3 2" xfId="13860" xr:uid="{50B2A1A1-3723-4510-9B6D-C47EACA0E1BB}"/>
    <cellStyle name="40% - Accent5 3 2 3 4" xfId="9642" xr:uid="{F95CBE37-D164-46EE-A741-45F38D124531}"/>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E0C75327-786E-4D88-8D83-EEFC3842FCCF}"/>
    <cellStyle name="40% - Accent5 3 2 4 2 3" xfId="12200" xr:uid="{7567C05A-CD7E-428C-B8C8-7A82236C5130}"/>
    <cellStyle name="40% - Accent5 3 2 4 3" xfId="5831" xr:uid="{00000000-0005-0000-0000-00009F060000}"/>
    <cellStyle name="40% - Accent5 3 2 4 3 2" xfId="14273" xr:uid="{0E873A39-6263-48BC-8548-B6A7731DF17D}"/>
    <cellStyle name="40% - Accent5 3 2 4 4" xfId="10055" xr:uid="{C6B50D35-B363-4CB3-A255-DEAF6457E661}"/>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B7AE16C9-B92E-4C5B-B7A2-E5E1022DA8E4}"/>
    <cellStyle name="40% - Accent5 3 2 5 2 3" xfId="12613" xr:uid="{B8CE1423-5E0B-4D34-901C-E207C8ACEEF7}"/>
    <cellStyle name="40% - Accent5 3 2 5 3" xfId="6244" xr:uid="{00000000-0005-0000-0000-0000A3060000}"/>
    <cellStyle name="40% - Accent5 3 2 5 3 2" xfId="14686" xr:uid="{8E7AC70A-5C6F-4827-BCA9-368F9080F22C}"/>
    <cellStyle name="40% - Accent5 3 2 5 4" xfId="10468" xr:uid="{B07086BE-67D0-4BF3-9A81-714D493F422B}"/>
    <cellStyle name="40% - Accent5 3 2 6" xfId="2350" xr:uid="{00000000-0005-0000-0000-0000A4060000}"/>
    <cellStyle name="40% - Accent5 3 2 6 2" xfId="6657" xr:uid="{00000000-0005-0000-0000-0000A5060000}"/>
    <cellStyle name="40% - Accent5 3 2 6 2 2" xfId="15099" xr:uid="{B6A03365-6582-4B7D-AE74-111DD0E358CC}"/>
    <cellStyle name="40% - Accent5 3 2 6 3" xfId="10881" xr:uid="{3BC47782-B8AB-4D83-8C6C-D3A86B25447A}"/>
    <cellStyle name="40% - Accent5 3 2 7" xfId="4591" xr:uid="{00000000-0005-0000-0000-0000A6060000}"/>
    <cellStyle name="40% - Accent5 3 2 7 2" xfId="13033" xr:uid="{1B94BACE-64BC-4649-851C-3FCD5B9A2700}"/>
    <cellStyle name="40% - Accent5 3 2 8" xfId="8815" xr:uid="{6AF63F7A-DD73-455E-BAC0-44EA6E0B083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56A441F7-403E-49DE-B880-6FA63283B4B0}"/>
    <cellStyle name="40% - Accent5 3 3 2 3" xfId="11373" xr:uid="{B67FDDD3-DC41-49B8-86A4-88EA1AF41C34}"/>
    <cellStyle name="40% - Accent5 3 3 3" xfId="5004" xr:uid="{00000000-0005-0000-0000-0000AA060000}"/>
    <cellStyle name="40% - Accent5 3 3 3 2" xfId="13446" xr:uid="{29916A91-C270-4F56-81D8-2C31523BD180}"/>
    <cellStyle name="40% - Accent5 3 3 4" xfId="9228" xr:uid="{69BC4361-AE44-4ADB-86EA-811B10060D83}"/>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447756BC-0865-47E0-A114-40D019868396}"/>
    <cellStyle name="40% - Accent5 3 4 2 3" xfId="11786" xr:uid="{A2A6F2D7-6B47-4EC7-BBD6-4747E3E0C24D}"/>
    <cellStyle name="40% - Accent5 3 4 3" xfId="5417" xr:uid="{00000000-0005-0000-0000-0000AE060000}"/>
    <cellStyle name="40% - Accent5 3 4 3 2" xfId="13859" xr:uid="{CBD10361-2DA5-4F3A-9C12-6648402EFDAF}"/>
    <cellStyle name="40% - Accent5 3 4 4" xfId="9641" xr:uid="{ECE4B4BE-0D0F-4B24-927B-1415DD08AA7C}"/>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528D7767-E96E-4754-93BF-381FB42B518A}"/>
    <cellStyle name="40% - Accent5 3 5 2 3" xfId="12199" xr:uid="{220585ED-17C3-4954-B0F4-4080470D933F}"/>
    <cellStyle name="40% - Accent5 3 5 3" xfId="5830" xr:uid="{00000000-0005-0000-0000-0000B2060000}"/>
    <cellStyle name="40% - Accent5 3 5 3 2" xfId="14272" xr:uid="{FEDF85D2-01C1-48F0-9F29-0131DDEF1CB0}"/>
    <cellStyle name="40% - Accent5 3 5 4" xfId="10054" xr:uid="{CEABAEC0-0EB6-4348-85A4-99C3F9D74A42}"/>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877B2A7C-C7CC-4702-9609-73E384BA4B33}"/>
    <cellStyle name="40% - Accent5 3 6 2 3" xfId="12612" xr:uid="{4B510097-F33E-4D99-8013-1B68EA2C4259}"/>
    <cellStyle name="40% - Accent5 3 6 3" xfId="6243" xr:uid="{00000000-0005-0000-0000-0000B6060000}"/>
    <cellStyle name="40% - Accent5 3 6 3 2" xfId="14685" xr:uid="{226114A1-DE8B-4E59-ACF4-01DB63AC3D53}"/>
    <cellStyle name="40% - Accent5 3 6 4" xfId="10467" xr:uid="{E9FDEA8F-54F6-440A-86BB-4B6DBA3B48B5}"/>
    <cellStyle name="40% - Accent5 3 7" xfId="2349" xr:uid="{00000000-0005-0000-0000-0000B7060000}"/>
    <cellStyle name="40% - Accent5 3 7 2" xfId="6656" xr:uid="{00000000-0005-0000-0000-0000B8060000}"/>
    <cellStyle name="40% - Accent5 3 7 2 2" xfId="15098" xr:uid="{091A7540-320A-4E34-9F19-4BED7D1BCF72}"/>
    <cellStyle name="40% - Accent5 3 7 3" xfId="10880" xr:uid="{AA79A0A7-CF67-4A1D-B76C-56AA88D177B9}"/>
    <cellStyle name="40% - Accent5 3 8" xfId="4590" xr:uid="{00000000-0005-0000-0000-0000B9060000}"/>
    <cellStyle name="40% - Accent5 3 8 2" xfId="13032" xr:uid="{DF5B7202-3573-4DA7-B196-151AAE462D4F}"/>
    <cellStyle name="40% - Accent5 3 9" xfId="8814" xr:uid="{6CF98B41-710D-437F-B3BB-3A92C5265EFF}"/>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7DFC7F35-E15E-4F81-976D-139C03E40610}"/>
    <cellStyle name="40% - Accent5 4 2 2 3" xfId="11375" xr:uid="{4D3307AF-4098-4E9C-BAFA-98F5B7032018}"/>
    <cellStyle name="40% - Accent5 4 2 3" xfId="5006" xr:uid="{00000000-0005-0000-0000-0000BE060000}"/>
    <cellStyle name="40% - Accent5 4 2 3 2" xfId="13448" xr:uid="{F7696781-2BFF-4E80-AF13-942C04D8333F}"/>
    <cellStyle name="40% - Accent5 4 2 4" xfId="9230" xr:uid="{A60478A6-AB51-4428-B343-16EC0B51735A}"/>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FABF5035-8E44-4256-B4B8-3C4053575CE3}"/>
    <cellStyle name="40% - Accent5 4 3 2 3" xfId="11788" xr:uid="{126B93F2-D3E6-48F6-B59E-4EB7E510F7A1}"/>
    <cellStyle name="40% - Accent5 4 3 3" xfId="5419" xr:uid="{00000000-0005-0000-0000-0000C2060000}"/>
    <cellStyle name="40% - Accent5 4 3 3 2" xfId="13861" xr:uid="{5636DBB5-9F7D-4415-9F94-874CC525BAD1}"/>
    <cellStyle name="40% - Accent5 4 3 4" xfId="9643" xr:uid="{F95CA96F-8CD0-41A9-88C7-7FD09330AC02}"/>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86FC5A15-7CDE-4FC7-9FC3-FA35D2CC1351}"/>
    <cellStyle name="40% - Accent5 4 4 2 3" xfId="12201" xr:uid="{5FDE7FA0-0F01-4851-82E6-AA85D0B1F7A0}"/>
    <cellStyle name="40% - Accent5 4 4 3" xfId="5832" xr:uid="{00000000-0005-0000-0000-0000C6060000}"/>
    <cellStyle name="40% - Accent5 4 4 3 2" xfId="14274" xr:uid="{5BB8EFFB-B585-4B20-8ACC-FC52877D2CB4}"/>
    <cellStyle name="40% - Accent5 4 4 4" xfId="10056" xr:uid="{1810E21A-66BB-4180-AF25-BEF7521993B1}"/>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5635F3C6-AF89-4F47-82AC-AD7BD1CBB9F8}"/>
    <cellStyle name="40% - Accent5 4 5 2 3" xfId="12614" xr:uid="{3336514D-5B76-4B00-B7A9-C422CC06869D}"/>
    <cellStyle name="40% - Accent5 4 5 3" xfId="6245" xr:uid="{00000000-0005-0000-0000-0000CA060000}"/>
    <cellStyle name="40% - Accent5 4 5 3 2" xfId="14687" xr:uid="{2F51F0E6-0F51-4F9E-956A-E37CCEE575C6}"/>
    <cellStyle name="40% - Accent5 4 5 4" xfId="10469" xr:uid="{D6C9A243-6C32-4667-A209-D69115640F90}"/>
    <cellStyle name="40% - Accent5 4 6" xfId="2351" xr:uid="{00000000-0005-0000-0000-0000CB060000}"/>
    <cellStyle name="40% - Accent5 4 6 2" xfId="6658" xr:uid="{00000000-0005-0000-0000-0000CC060000}"/>
    <cellStyle name="40% - Accent5 4 6 2 2" xfId="15100" xr:uid="{750DD8BE-B26B-4629-8B19-73063B51F5B0}"/>
    <cellStyle name="40% - Accent5 4 6 3" xfId="10882" xr:uid="{F89FC99C-EEA7-4179-979F-51745200261E}"/>
    <cellStyle name="40% - Accent5 4 7" xfId="4592" xr:uid="{00000000-0005-0000-0000-0000CD060000}"/>
    <cellStyle name="40% - Accent5 4 7 2" xfId="13034" xr:uid="{1E9EC905-89FA-42A8-96BA-ACCA92B1FC38}"/>
    <cellStyle name="40% - Accent5 4 8" xfId="8816" xr:uid="{9D530DCA-273B-4608-9804-2E380893B45A}"/>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575A1D66-EB60-467A-84FA-D1802B7AAE30}"/>
    <cellStyle name="40% - Accent5 5 2 3" xfId="11368" xr:uid="{46CBBF8D-A83C-4A5A-A19D-80F817EFF4A5}"/>
    <cellStyle name="40% - Accent5 5 3" xfId="4999" xr:uid="{00000000-0005-0000-0000-0000D1060000}"/>
    <cellStyle name="40% - Accent5 5 3 2" xfId="13441" xr:uid="{9A511ACF-AE8B-411D-94F4-E8DEDD1F34BF}"/>
    <cellStyle name="40% - Accent5 5 4" xfId="9223" xr:uid="{2129601B-5A4F-4253-A363-81234C07171B}"/>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5E0FF57C-123F-4C70-8BB8-F18E5194A5CA}"/>
    <cellStyle name="40% - Accent5 6 2 3" xfId="11781" xr:uid="{AEFF783C-CC63-49D9-9AB6-E780E8D4879D}"/>
    <cellStyle name="40% - Accent5 6 3" xfId="5412" xr:uid="{00000000-0005-0000-0000-0000D5060000}"/>
    <cellStyle name="40% - Accent5 6 3 2" xfId="13854" xr:uid="{1838DECF-0751-42D7-BFD1-54BCE95C8483}"/>
    <cellStyle name="40% - Accent5 6 4" xfId="9636" xr:uid="{4924F8C8-6102-4DBE-949B-E6225971A846}"/>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AFBEDB8A-5A5D-4DCB-84EF-26A8C86574AC}"/>
    <cellStyle name="40% - Accent5 7 2 3" xfId="12194" xr:uid="{452FEE15-F957-4E79-9DF3-84C299B5697D}"/>
    <cellStyle name="40% - Accent5 7 3" xfId="5825" xr:uid="{00000000-0005-0000-0000-0000D9060000}"/>
    <cellStyle name="40% - Accent5 7 3 2" xfId="14267" xr:uid="{C8EB2363-3B4F-4180-AF30-47E6D0366108}"/>
    <cellStyle name="40% - Accent5 7 4" xfId="10049" xr:uid="{EA34864A-C2FE-4AC6-9F47-1595FEC81315}"/>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F86A110D-4405-48D9-B7A4-25E0FBCCCE6C}"/>
    <cellStyle name="40% - Accent5 8 2 3" xfId="12607" xr:uid="{4D2B17B1-EB9B-4E5F-B1D5-B6F27F56A832}"/>
    <cellStyle name="40% - Accent5 8 3" xfId="6238" xr:uid="{00000000-0005-0000-0000-0000DD060000}"/>
    <cellStyle name="40% - Accent5 8 3 2" xfId="14680" xr:uid="{41BAA544-9063-437B-B794-6088115C99A6}"/>
    <cellStyle name="40% - Accent5 8 4" xfId="10462" xr:uid="{A041A346-D5B2-4710-B2A5-BBB087858432}"/>
    <cellStyle name="40% - Accent5 9" xfId="2344" xr:uid="{00000000-0005-0000-0000-0000DE060000}"/>
    <cellStyle name="40% - Accent5 9 2" xfId="6651" xr:uid="{00000000-0005-0000-0000-0000DF060000}"/>
    <cellStyle name="40% - Accent5 9 2 2" xfId="15093" xr:uid="{266EFCA9-5874-494B-9E4B-01F378C13807}"/>
    <cellStyle name="40% - Accent5 9 3" xfId="10875" xr:uid="{31497108-A05B-4E7C-BAD3-71F1BDE30257}"/>
    <cellStyle name="40% - Accent6" xfId="89" builtinId="51" customBuiltin="1"/>
    <cellStyle name="40% - Accent6 10" xfId="4593" xr:uid="{00000000-0005-0000-0000-0000E1060000}"/>
    <cellStyle name="40% - Accent6 10 2" xfId="13035" xr:uid="{BCE22AC3-4C7B-4924-8782-FC142B22F2B1}"/>
    <cellStyle name="40% - Accent6 11" xfId="8817" xr:uid="{9DE0C78B-9C25-4D21-9916-1BB4D0E16F9A}"/>
    <cellStyle name="40% - Accent6 2" xfId="90" xr:uid="{00000000-0005-0000-0000-0000E2060000}"/>
    <cellStyle name="40% - Accent6 2 10" xfId="8818" xr:uid="{FAE459DF-4D19-40FA-BCF0-21A40F361BE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947BC4AF-225A-4087-856F-260CC2CFB197}"/>
    <cellStyle name="40% - Accent6 2 2 2 2 2 3" xfId="11379" xr:uid="{7E4A665D-74D4-4043-A2A8-AD5383530F79}"/>
    <cellStyle name="40% - Accent6 2 2 2 2 3" xfId="5010" xr:uid="{00000000-0005-0000-0000-0000E8060000}"/>
    <cellStyle name="40% - Accent6 2 2 2 2 3 2" xfId="13452" xr:uid="{A4A9575C-1B2A-42F3-B5C9-8A0390224E96}"/>
    <cellStyle name="40% - Accent6 2 2 2 2 4" xfId="9234" xr:uid="{72E6E5E3-43D9-4432-A8F1-F103E9F65B5B}"/>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16DFC428-6163-43B4-A295-100F635DA33C}"/>
    <cellStyle name="40% - Accent6 2 2 2 3 2 3" xfId="11792" xr:uid="{D2B9F441-96D0-438F-B8D7-DA73B707EDCB}"/>
    <cellStyle name="40% - Accent6 2 2 2 3 3" xfId="5423" xr:uid="{00000000-0005-0000-0000-0000EC060000}"/>
    <cellStyle name="40% - Accent6 2 2 2 3 3 2" xfId="13865" xr:uid="{A7F4905A-781B-4983-8E48-C3C73B9BFCBE}"/>
    <cellStyle name="40% - Accent6 2 2 2 3 4" xfId="9647" xr:uid="{DA692358-D542-4438-AD83-E24A1DF8F355}"/>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8BC09D72-9BAC-45FA-A361-C18FFB872B82}"/>
    <cellStyle name="40% - Accent6 2 2 2 4 2 3" xfId="12205" xr:uid="{46E2967E-8A77-4EA6-9BA3-6259FF1A1CDF}"/>
    <cellStyle name="40% - Accent6 2 2 2 4 3" xfId="5836" xr:uid="{00000000-0005-0000-0000-0000F0060000}"/>
    <cellStyle name="40% - Accent6 2 2 2 4 3 2" xfId="14278" xr:uid="{5C101653-BBA0-47DE-8824-C6CEA2885137}"/>
    <cellStyle name="40% - Accent6 2 2 2 4 4" xfId="10060" xr:uid="{65CC2A7A-405C-4809-8499-785AF809D78F}"/>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194A1E7B-B32F-4BEC-B62C-99F9CC7B940D}"/>
    <cellStyle name="40% - Accent6 2 2 2 5 2 3" xfId="12618" xr:uid="{4103D20F-11B3-4A78-9C1A-30E05B699949}"/>
    <cellStyle name="40% - Accent6 2 2 2 5 3" xfId="6249" xr:uid="{00000000-0005-0000-0000-0000F4060000}"/>
    <cellStyle name="40% - Accent6 2 2 2 5 3 2" xfId="14691" xr:uid="{5463D6D5-43C3-4F06-B1A8-BD756D7B5E6E}"/>
    <cellStyle name="40% - Accent6 2 2 2 5 4" xfId="10473" xr:uid="{05AF552A-7C65-4CE7-9CE8-3EDFFEDD3342}"/>
    <cellStyle name="40% - Accent6 2 2 2 6" xfId="2355" xr:uid="{00000000-0005-0000-0000-0000F5060000}"/>
    <cellStyle name="40% - Accent6 2 2 2 6 2" xfId="6662" xr:uid="{00000000-0005-0000-0000-0000F6060000}"/>
    <cellStyle name="40% - Accent6 2 2 2 6 2 2" xfId="15104" xr:uid="{898B53E9-495B-45F1-B3A5-50B834FBC732}"/>
    <cellStyle name="40% - Accent6 2 2 2 6 3" xfId="10886" xr:uid="{4692A32F-771A-4840-8064-3CDCADB33411}"/>
    <cellStyle name="40% - Accent6 2 2 2 7" xfId="4596" xr:uid="{00000000-0005-0000-0000-0000F7060000}"/>
    <cellStyle name="40% - Accent6 2 2 2 7 2" xfId="13038" xr:uid="{0B8B3931-CBB5-478E-B237-590A0F885D9F}"/>
    <cellStyle name="40% - Accent6 2 2 2 8" xfId="8820" xr:uid="{ED65E3BE-97F9-4E17-B694-53FC46C7E238}"/>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5CDE66D0-F27F-4F2B-90AC-5F8A75EB67AC}"/>
    <cellStyle name="40% - Accent6 2 2 3 2 3" xfId="11378" xr:uid="{CF6395E3-99D8-4E26-A104-218753C64B63}"/>
    <cellStyle name="40% - Accent6 2 2 3 3" xfId="5009" xr:uid="{00000000-0005-0000-0000-0000FB060000}"/>
    <cellStyle name="40% - Accent6 2 2 3 3 2" xfId="13451" xr:uid="{887D0E72-ADD3-4057-8D10-94115FEF456F}"/>
    <cellStyle name="40% - Accent6 2 2 3 4" xfId="9233" xr:uid="{1FED4D78-1FF0-48A3-8434-83FD01FF1A8F}"/>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3EF8D6CA-FD3A-457E-BAF7-8B9D8364CD20}"/>
    <cellStyle name="40% - Accent6 2 2 4 2 3" xfId="11791" xr:uid="{C05ABC1E-9A39-4E1B-91C8-1455AFD7EEA2}"/>
    <cellStyle name="40% - Accent6 2 2 4 3" xfId="5422" xr:uid="{00000000-0005-0000-0000-0000FF060000}"/>
    <cellStyle name="40% - Accent6 2 2 4 3 2" xfId="13864" xr:uid="{69B3296F-4135-4D89-8F5A-539318021D77}"/>
    <cellStyle name="40% - Accent6 2 2 4 4" xfId="9646" xr:uid="{F7323284-908D-46A0-936F-4A21326AC1D2}"/>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39F8FFE1-39D6-4F37-BE0B-B723E4059991}"/>
    <cellStyle name="40% - Accent6 2 2 5 2 3" xfId="12204" xr:uid="{DF49FC22-FABB-4AEB-82A5-42F13A2D8CAF}"/>
    <cellStyle name="40% - Accent6 2 2 5 3" xfId="5835" xr:uid="{00000000-0005-0000-0000-000003070000}"/>
    <cellStyle name="40% - Accent6 2 2 5 3 2" xfId="14277" xr:uid="{115DF39E-C98A-4860-81D3-2AF11B92D0AE}"/>
    <cellStyle name="40% - Accent6 2 2 5 4" xfId="10059" xr:uid="{444D08F8-B45B-4DB5-AF09-E133626EA6BD}"/>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DC1A192D-3409-40D8-B36A-15CE19CADB34}"/>
    <cellStyle name="40% - Accent6 2 2 6 2 3" xfId="12617" xr:uid="{4EA09FCD-0E33-4EAE-AAD4-AD37D7245651}"/>
    <cellStyle name="40% - Accent6 2 2 6 3" xfId="6248" xr:uid="{00000000-0005-0000-0000-000007070000}"/>
    <cellStyle name="40% - Accent6 2 2 6 3 2" xfId="14690" xr:uid="{E71EABF9-D8A2-4051-924B-ADDE0B5495C0}"/>
    <cellStyle name="40% - Accent6 2 2 6 4" xfId="10472" xr:uid="{5E0E59D9-FC2E-4C71-B456-C623CDF89B1B}"/>
    <cellStyle name="40% - Accent6 2 2 7" xfId="2354" xr:uid="{00000000-0005-0000-0000-000008070000}"/>
    <cellStyle name="40% - Accent6 2 2 7 2" xfId="6661" xr:uid="{00000000-0005-0000-0000-000009070000}"/>
    <cellStyle name="40% - Accent6 2 2 7 2 2" xfId="15103" xr:uid="{9D335130-9B28-4445-A491-AF4484AAB852}"/>
    <cellStyle name="40% - Accent6 2 2 7 3" xfId="10885" xr:uid="{50185071-4615-4A2C-B1F5-9E69844F8483}"/>
    <cellStyle name="40% - Accent6 2 2 8" xfId="4595" xr:uid="{00000000-0005-0000-0000-00000A070000}"/>
    <cellStyle name="40% - Accent6 2 2 8 2" xfId="13037" xr:uid="{9652C7A9-B897-4A8E-A2C2-26F41FC14423}"/>
    <cellStyle name="40% - Accent6 2 2 9" xfId="8819" xr:uid="{8BB75D0A-E9B7-4124-9086-E95FBC6B9ECA}"/>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468308F3-2396-4643-BD09-FE6313057FA3}"/>
    <cellStyle name="40% - Accent6 2 3 2 2 3" xfId="11380" xr:uid="{CDD6B7D1-0A52-4E4F-93E1-27753D511078}"/>
    <cellStyle name="40% - Accent6 2 3 2 3" xfId="5011" xr:uid="{00000000-0005-0000-0000-00000F070000}"/>
    <cellStyle name="40% - Accent6 2 3 2 3 2" xfId="13453" xr:uid="{287CE579-0FAB-45AA-A73E-51B7418BA579}"/>
    <cellStyle name="40% - Accent6 2 3 2 4" xfId="9235" xr:uid="{F8642DB6-D83F-41B6-B1D2-B65AD2748764}"/>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7275132E-9CCA-4DDE-B308-DD673A0CB83D}"/>
    <cellStyle name="40% - Accent6 2 3 3 2 3" xfId="11793" xr:uid="{AE30E676-3B32-4351-81D0-4930749B546A}"/>
    <cellStyle name="40% - Accent6 2 3 3 3" xfId="5424" xr:uid="{00000000-0005-0000-0000-000013070000}"/>
    <cellStyle name="40% - Accent6 2 3 3 3 2" xfId="13866" xr:uid="{E1B34CF5-6B88-4FBF-AE16-88A305AFBFFE}"/>
    <cellStyle name="40% - Accent6 2 3 3 4" xfId="9648" xr:uid="{B9F63855-5A60-401E-996C-7469E6906D8A}"/>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57623751-CD28-494A-8C5D-7CDBFEF2C145}"/>
    <cellStyle name="40% - Accent6 2 3 4 2 3" xfId="12206" xr:uid="{536E3FD3-F48B-49A2-AFA9-61EDD64577F5}"/>
    <cellStyle name="40% - Accent6 2 3 4 3" xfId="5837" xr:uid="{00000000-0005-0000-0000-000017070000}"/>
    <cellStyle name="40% - Accent6 2 3 4 3 2" xfId="14279" xr:uid="{FDE03DC9-24AF-461F-81EE-EC066141268E}"/>
    <cellStyle name="40% - Accent6 2 3 4 4" xfId="10061" xr:uid="{DEDA4866-2F85-485B-B0DF-F1E6ED2FF68D}"/>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94A6FC5D-1CCD-47EB-910A-931895E3AF8A}"/>
    <cellStyle name="40% - Accent6 2 3 5 2 3" xfId="12619" xr:uid="{B1C13B4C-E651-4A9F-9A6C-E0242F4FA2BE}"/>
    <cellStyle name="40% - Accent6 2 3 5 3" xfId="6250" xr:uid="{00000000-0005-0000-0000-00001B070000}"/>
    <cellStyle name="40% - Accent6 2 3 5 3 2" xfId="14692" xr:uid="{709BEF41-458E-4037-9E48-8F7AF48F3736}"/>
    <cellStyle name="40% - Accent6 2 3 5 4" xfId="10474" xr:uid="{ADDD4398-7289-493F-B515-FB90CFF82F47}"/>
    <cellStyle name="40% - Accent6 2 3 6" xfId="2356" xr:uid="{00000000-0005-0000-0000-00001C070000}"/>
    <cellStyle name="40% - Accent6 2 3 6 2" xfId="6663" xr:uid="{00000000-0005-0000-0000-00001D070000}"/>
    <cellStyle name="40% - Accent6 2 3 6 2 2" xfId="15105" xr:uid="{0F4BB0B1-77CB-400E-A789-22907D87D370}"/>
    <cellStyle name="40% - Accent6 2 3 6 3" xfId="10887" xr:uid="{DDB79107-B50C-4FE8-BAC4-1605887E4837}"/>
    <cellStyle name="40% - Accent6 2 3 7" xfId="4597" xr:uid="{00000000-0005-0000-0000-00001E070000}"/>
    <cellStyle name="40% - Accent6 2 3 7 2" xfId="13039" xr:uid="{3A37AE25-79DD-4A17-A1A6-250B82ABA715}"/>
    <cellStyle name="40% - Accent6 2 3 8" xfId="8821" xr:uid="{2CB836EF-FB2B-4633-9E95-1D73D90D9664}"/>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FE6B0800-071B-48FA-A8DA-7E98E67C0BC0}"/>
    <cellStyle name="40% - Accent6 2 4 2 3" xfId="11377" xr:uid="{E4E2CEA9-6A33-4D4D-AF6C-B7A16E7360FC}"/>
    <cellStyle name="40% - Accent6 2 4 3" xfId="5008" xr:uid="{00000000-0005-0000-0000-000022070000}"/>
    <cellStyle name="40% - Accent6 2 4 3 2" xfId="13450" xr:uid="{4360809F-F206-40E3-B55C-8B4E870FE3EC}"/>
    <cellStyle name="40% - Accent6 2 4 4" xfId="9232" xr:uid="{AFF69AC8-351F-4657-98BB-6A79B4881C04}"/>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BA29C3D2-8E02-4CF2-BBE7-7EF8FC4DA956}"/>
    <cellStyle name="40% - Accent6 2 5 2 3" xfId="11790" xr:uid="{5FC45C0F-5B33-4A14-A21F-8FBDD1D69D9D}"/>
    <cellStyle name="40% - Accent6 2 5 3" xfId="5421" xr:uid="{00000000-0005-0000-0000-000026070000}"/>
    <cellStyle name="40% - Accent6 2 5 3 2" xfId="13863" xr:uid="{D89195FA-2B82-4DA4-A314-B5FCE9546F33}"/>
    <cellStyle name="40% - Accent6 2 5 4" xfId="9645" xr:uid="{9C470BF9-4F54-4502-924D-FA30C02E24C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3174F5A4-B8B6-4705-A263-46931F13DCBD}"/>
    <cellStyle name="40% - Accent6 2 6 2 3" xfId="12203" xr:uid="{D03586A1-176C-4636-8F7D-3B7E6E93F515}"/>
    <cellStyle name="40% - Accent6 2 6 3" xfId="5834" xr:uid="{00000000-0005-0000-0000-00002A070000}"/>
    <cellStyle name="40% - Accent6 2 6 3 2" xfId="14276" xr:uid="{20B75C65-FF9D-4189-A21D-B04DFBA55DF0}"/>
    <cellStyle name="40% - Accent6 2 6 4" xfId="10058" xr:uid="{0EBE64A2-BF35-433A-BCC1-21A1D7A87C62}"/>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982B0C27-0E85-4E42-8D78-A88D4139B0F1}"/>
    <cellStyle name="40% - Accent6 2 7 2 3" xfId="12616" xr:uid="{1F45B9EF-3F24-4BBC-AA03-C818C892A459}"/>
    <cellStyle name="40% - Accent6 2 7 3" xfId="6247" xr:uid="{00000000-0005-0000-0000-00002E070000}"/>
    <cellStyle name="40% - Accent6 2 7 3 2" xfId="14689" xr:uid="{48CDB6A4-6358-4D16-961A-016A4EF10F22}"/>
    <cellStyle name="40% - Accent6 2 7 4" xfId="10471" xr:uid="{5DCADDBD-5AA2-4C57-A39E-4B1A480F64D6}"/>
    <cellStyle name="40% - Accent6 2 8" xfId="2353" xr:uid="{00000000-0005-0000-0000-00002F070000}"/>
    <cellStyle name="40% - Accent6 2 8 2" xfId="6660" xr:uid="{00000000-0005-0000-0000-000030070000}"/>
    <cellStyle name="40% - Accent6 2 8 2 2" xfId="15102" xr:uid="{829E422B-6C4D-4B53-815F-57C5048FADFD}"/>
    <cellStyle name="40% - Accent6 2 8 3" xfId="10884" xr:uid="{0C0649C1-784F-4E30-B7DE-D519B5F7C4CD}"/>
    <cellStyle name="40% - Accent6 2 9" xfId="4594" xr:uid="{00000000-0005-0000-0000-000031070000}"/>
    <cellStyle name="40% - Accent6 2 9 2" xfId="13036" xr:uid="{982C26F5-D0A2-483E-9EC6-89231042E665}"/>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62607311-280F-4D20-8795-EDDD79D0D87B}"/>
    <cellStyle name="40% - Accent6 3 2 2 2 3" xfId="11382" xr:uid="{FC41B2E8-DDD3-4360-870E-E3ADE2C1C81E}"/>
    <cellStyle name="40% - Accent6 3 2 2 3" xfId="5013" xr:uid="{00000000-0005-0000-0000-000037070000}"/>
    <cellStyle name="40% - Accent6 3 2 2 3 2" xfId="13455" xr:uid="{4C2D91C0-033B-4CF3-A412-E22FAB39822B}"/>
    <cellStyle name="40% - Accent6 3 2 2 4" xfId="9237" xr:uid="{2EA0C65C-02B9-48B8-BCAE-BD45C98F696D}"/>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B7969B7F-55D4-4D28-B62B-734827CEB6FD}"/>
    <cellStyle name="40% - Accent6 3 2 3 2 3" xfId="11795" xr:uid="{EB4A9907-FE60-481F-BEB3-DA225489392C}"/>
    <cellStyle name="40% - Accent6 3 2 3 3" xfId="5426" xr:uid="{00000000-0005-0000-0000-00003B070000}"/>
    <cellStyle name="40% - Accent6 3 2 3 3 2" xfId="13868" xr:uid="{670E1679-C520-4FF9-8DF8-842F6F08F995}"/>
    <cellStyle name="40% - Accent6 3 2 3 4" xfId="9650" xr:uid="{32ACEB03-6C0A-424E-8CA5-CC6BD0C270FC}"/>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0121F5DB-B22E-49C4-B024-09B87885837B}"/>
    <cellStyle name="40% - Accent6 3 2 4 2 3" xfId="12208" xr:uid="{56CF94C8-A4A7-4071-B2A5-D6B73EABACC6}"/>
    <cellStyle name="40% - Accent6 3 2 4 3" xfId="5839" xr:uid="{00000000-0005-0000-0000-00003F070000}"/>
    <cellStyle name="40% - Accent6 3 2 4 3 2" xfId="14281" xr:uid="{B4F10923-5735-42A1-B875-06F4B384A392}"/>
    <cellStyle name="40% - Accent6 3 2 4 4" xfId="10063" xr:uid="{605A4CDE-1CD2-43B0-B1FB-9D2228AEBD4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185FB0BD-023A-44C6-9A78-E61F3A644607}"/>
    <cellStyle name="40% - Accent6 3 2 5 2 3" xfId="12621" xr:uid="{8C3BF642-B670-43BB-B4FF-89F829CA2464}"/>
    <cellStyle name="40% - Accent6 3 2 5 3" xfId="6252" xr:uid="{00000000-0005-0000-0000-000043070000}"/>
    <cellStyle name="40% - Accent6 3 2 5 3 2" xfId="14694" xr:uid="{B352C290-B2CF-4EA6-A20B-E3F4993518F4}"/>
    <cellStyle name="40% - Accent6 3 2 5 4" xfId="10476" xr:uid="{ABCE8F82-D8D9-4442-B7E4-583AF67AD366}"/>
    <cellStyle name="40% - Accent6 3 2 6" xfId="2358" xr:uid="{00000000-0005-0000-0000-000044070000}"/>
    <cellStyle name="40% - Accent6 3 2 6 2" xfId="6665" xr:uid="{00000000-0005-0000-0000-000045070000}"/>
    <cellStyle name="40% - Accent6 3 2 6 2 2" xfId="15107" xr:uid="{7054F42E-6277-4BB8-978F-67295F0DF274}"/>
    <cellStyle name="40% - Accent6 3 2 6 3" xfId="10889" xr:uid="{59BBAA1D-DC02-40F9-B603-87516734821A}"/>
    <cellStyle name="40% - Accent6 3 2 7" xfId="4599" xr:uid="{00000000-0005-0000-0000-000046070000}"/>
    <cellStyle name="40% - Accent6 3 2 7 2" xfId="13041" xr:uid="{9C9C33B5-401F-4C40-8471-0799B429AD71}"/>
    <cellStyle name="40% - Accent6 3 2 8" xfId="8823" xr:uid="{BDBBC05E-1DB8-4F7B-891C-5448CC60F9BE}"/>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BB46BAB0-2F65-449A-B6EF-A103898C4A2D}"/>
    <cellStyle name="40% - Accent6 3 3 2 3" xfId="11381" xr:uid="{F1114059-3A10-4116-80DC-5CB6F484EA9B}"/>
    <cellStyle name="40% - Accent6 3 3 3" xfId="5012" xr:uid="{00000000-0005-0000-0000-00004A070000}"/>
    <cellStyle name="40% - Accent6 3 3 3 2" xfId="13454" xr:uid="{63FDCF16-5150-461C-B939-CD4B087DB9A5}"/>
    <cellStyle name="40% - Accent6 3 3 4" xfId="9236" xr:uid="{0CA9A552-289E-412B-BB37-0916AE94CCD3}"/>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0FA82F1E-58E1-49A0-A434-C360A027A799}"/>
    <cellStyle name="40% - Accent6 3 4 2 3" xfId="11794" xr:uid="{FA038EB8-B728-44B6-B353-833368238100}"/>
    <cellStyle name="40% - Accent6 3 4 3" xfId="5425" xr:uid="{00000000-0005-0000-0000-00004E070000}"/>
    <cellStyle name="40% - Accent6 3 4 3 2" xfId="13867" xr:uid="{C240A744-BFE2-4975-B06B-625A1CDAECB0}"/>
    <cellStyle name="40% - Accent6 3 4 4" xfId="9649" xr:uid="{D519E881-3BC9-4175-BDD4-FAA8E1F7BC42}"/>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1F5190F4-36F0-425B-B530-3907653015A9}"/>
    <cellStyle name="40% - Accent6 3 5 2 3" xfId="12207" xr:uid="{A1C068AB-9CAB-4431-8C06-C90B7F30D1B5}"/>
    <cellStyle name="40% - Accent6 3 5 3" xfId="5838" xr:uid="{00000000-0005-0000-0000-000052070000}"/>
    <cellStyle name="40% - Accent6 3 5 3 2" xfId="14280" xr:uid="{4B5CB025-E7F2-44EB-A50B-C61F2450EDFE}"/>
    <cellStyle name="40% - Accent6 3 5 4" xfId="10062" xr:uid="{94D03660-64B2-46D6-B284-33823FEC4498}"/>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4C5F2BA5-EE8F-414E-98F9-F4ADA11650AB}"/>
    <cellStyle name="40% - Accent6 3 6 2 3" xfId="12620" xr:uid="{B4049859-B42B-4399-94FF-F41B028E8CCF}"/>
    <cellStyle name="40% - Accent6 3 6 3" xfId="6251" xr:uid="{00000000-0005-0000-0000-000056070000}"/>
    <cellStyle name="40% - Accent6 3 6 3 2" xfId="14693" xr:uid="{9936A7C9-1353-4E24-BF63-452753C24488}"/>
    <cellStyle name="40% - Accent6 3 6 4" xfId="10475" xr:uid="{D639AE6E-3BD2-4C59-8B11-0A167E3D28ED}"/>
    <cellStyle name="40% - Accent6 3 7" xfId="2357" xr:uid="{00000000-0005-0000-0000-000057070000}"/>
    <cellStyle name="40% - Accent6 3 7 2" xfId="6664" xr:uid="{00000000-0005-0000-0000-000058070000}"/>
    <cellStyle name="40% - Accent6 3 7 2 2" xfId="15106" xr:uid="{46BBE342-8E5C-456C-BB14-FAC9CEB3E18C}"/>
    <cellStyle name="40% - Accent6 3 7 3" xfId="10888" xr:uid="{190757D1-893E-406E-8F30-06BC82E9BC5F}"/>
    <cellStyle name="40% - Accent6 3 8" xfId="4598" xr:uid="{00000000-0005-0000-0000-000059070000}"/>
    <cellStyle name="40% - Accent6 3 8 2" xfId="13040" xr:uid="{3ACDC747-902D-43C0-87FB-B4299CACD873}"/>
    <cellStyle name="40% - Accent6 3 9" xfId="8822" xr:uid="{6056C9A8-E889-4361-8691-8122ADEDDCF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61EC5B2B-AD6B-4FEE-A944-2ED66911587D}"/>
    <cellStyle name="40% - Accent6 4 2 2 3" xfId="11383" xr:uid="{1F1D38EE-146D-4584-AB81-530A2020E75C}"/>
    <cellStyle name="40% - Accent6 4 2 3" xfId="5014" xr:uid="{00000000-0005-0000-0000-00005E070000}"/>
    <cellStyle name="40% - Accent6 4 2 3 2" xfId="13456" xr:uid="{9AEB2C3C-92E6-443E-9AF6-29CD9A5C4F28}"/>
    <cellStyle name="40% - Accent6 4 2 4" xfId="9238" xr:uid="{D5484E5E-F99C-4CDA-BD9A-EF10AD686CA6}"/>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65D66171-8ED6-4B9E-A664-9439C0068FDB}"/>
    <cellStyle name="40% - Accent6 4 3 2 3" xfId="11796" xr:uid="{5CDB2421-3E78-4B59-B32A-E6614BBB6698}"/>
    <cellStyle name="40% - Accent6 4 3 3" xfId="5427" xr:uid="{00000000-0005-0000-0000-000062070000}"/>
    <cellStyle name="40% - Accent6 4 3 3 2" xfId="13869" xr:uid="{7C7188F9-1B5E-4526-9C18-B2EB9ECB1FF4}"/>
    <cellStyle name="40% - Accent6 4 3 4" xfId="9651" xr:uid="{3842F04F-F279-456D-AAAF-402AC48083AB}"/>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85D62D87-31A8-46B5-8284-B91A272B1D75}"/>
    <cellStyle name="40% - Accent6 4 4 2 3" xfId="12209" xr:uid="{71F6FA3A-483F-4E46-BCAA-EE6FA6F97CC7}"/>
    <cellStyle name="40% - Accent6 4 4 3" xfId="5840" xr:uid="{00000000-0005-0000-0000-000066070000}"/>
    <cellStyle name="40% - Accent6 4 4 3 2" xfId="14282" xr:uid="{AB1BCF8C-9B3E-4C47-A732-5CCB7131B3A2}"/>
    <cellStyle name="40% - Accent6 4 4 4" xfId="10064" xr:uid="{0165EAC6-CAB9-47B7-9C60-B1FEE98BDBD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639F926F-8763-48AF-9208-E4084232A835}"/>
    <cellStyle name="40% - Accent6 4 5 2 3" xfId="12622" xr:uid="{8A57EC64-CA45-451E-80C8-175574348F8A}"/>
    <cellStyle name="40% - Accent6 4 5 3" xfId="6253" xr:uid="{00000000-0005-0000-0000-00006A070000}"/>
    <cellStyle name="40% - Accent6 4 5 3 2" xfId="14695" xr:uid="{08093751-09A7-4467-B3E7-5BC51FFEF247}"/>
    <cellStyle name="40% - Accent6 4 5 4" xfId="10477" xr:uid="{35BDB114-867E-4ABA-8DF5-AC58C7A0E722}"/>
    <cellStyle name="40% - Accent6 4 6" xfId="2359" xr:uid="{00000000-0005-0000-0000-00006B070000}"/>
    <cellStyle name="40% - Accent6 4 6 2" xfId="6666" xr:uid="{00000000-0005-0000-0000-00006C070000}"/>
    <cellStyle name="40% - Accent6 4 6 2 2" xfId="15108" xr:uid="{94703C45-5B71-42F1-9947-BD2FD9371EA8}"/>
    <cellStyle name="40% - Accent6 4 6 3" xfId="10890" xr:uid="{A6966BA6-672E-4522-9F88-E248F0E8DE43}"/>
    <cellStyle name="40% - Accent6 4 7" xfId="4600" xr:uid="{00000000-0005-0000-0000-00006D070000}"/>
    <cellStyle name="40% - Accent6 4 7 2" xfId="13042" xr:uid="{17BD699C-470A-4C65-8867-A249D7927D02}"/>
    <cellStyle name="40% - Accent6 4 8" xfId="8824" xr:uid="{264DF3E4-CD02-4AFD-B715-2BDB8AC50445}"/>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598D9C9F-A089-4305-9B97-1066CEF24C14}"/>
    <cellStyle name="40% - Accent6 5 2 3" xfId="11376" xr:uid="{8A927359-E681-452B-ABB0-E1614DD39418}"/>
    <cellStyle name="40% - Accent6 5 3" xfId="5007" xr:uid="{00000000-0005-0000-0000-000071070000}"/>
    <cellStyle name="40% - Accent6 5 3 2" xfId="13449" xr:uid="{3D969A3D-C5AA-4170-BF45-A28068F24C15}"/>
    <cellStyle name="40% - Accent6 5 4" xfId="9231" xr:uid="{8C1235B4-5B05-4E92-A20B-1C370B20C32C}"/>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A24EBC9C-D7DC-4124-A94A-B32334E1FC6E}"/>
    <cellStyle name="40% - Accent6 6 2 3" xfId="11789" xr:uid="{3550647F-BC6D-48AA-B18A-31A26C3860B4}"/>
    <cellStyle name="40% - Accent6 6 3" xfId="5420" xr:uid="{00000000-0005-0000-0000-000075070000}"/>
    <cellStyle name="40% - Accent6 6 3 2" xfId="13862" xr:uid="{78D304CE-FB48-44C8-AA4F-AA229425FBDD}"/>
    <cellStyle name="40% - Accent6 6 4" xfId="9644" xr:uid="{19ADAB72-E154-428B-BB61-338B021837DF}"/>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A77FED4D-E9B5-46BA-9C3A-602CA10DAEEC}"/>
    <cellStyle name="40% - Accent6 7 2 3" xfId="12202" xr:uid="{C3EA77DD-4D4B-4F68-BDE2-BE61A1612D86}"/>
    <cellStyle name="40% - Accent6 7 3" xfId="5833" xr:uid="{00000000-0005-0000-0000-000079070000}"/>
    <cellStyle name="40% - Accent6 7 3 2" xfId="14275" xr:uid="{B5B7992F-7799-44A4-B811-C2B2F0D95107}"/>
    <cellStyle name="40% - Accent6 7 4" xfId="10057" xr:uid="{9C65E84B-7154-4AED-B6C1-897135410D26}"/>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9C88AA3B-5439-45D7-AA4F-A2EFB0E6821A}"/>
    <cellStyle name="40% - Accent6 8 2 3" xfId="12615" xr:uid="{85B18474-BA90-4CF4-93CC-EE55E06EDC73}"/>
    <cellStyle name="40% - Accent6 8 3" xfId="6246" xr:uid="{00000000-0005-0000-0000-00007D070000}"/>
    <cellStyle name="40% - Accent6 8 3 2" xfId="14688" xr:uid="{5F42B333-C445-42E6-89B9-C1D2034CFB32}"/>
    <cellStyle name="40% - Accent6 8 4" xfId="10470" xr:uid="{BCE3A2EC-7117-4495-A0AE-0917B401F6B7}"/>
    <cellStyle name="40% - Accent6 9" xfId="2352" xr:uid="{00000000-0005-0000-0000-00007E070000}"/>
    <cellStyle name="40% - Accent6 9 2" xfId="6659" xr:uid="{00000000-0005-0000-0000-00007F070000}"/>
    <cellStyle name="40% - Accent6 9 2 2" xfId="15101" xr:uid="{E8EC9132-7E33-462A-B2FF-E643D134C5B3}"/>
    <cellStyle name="40% - Accent6 9 3" xfId="10883" xr:uid="{C2D7FA0F-202E-4FE8-88F5-EF4EEBE6A78A}"/>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2337BD9F-4F2B-4B0B-91B9-BFA9ABFD13D3}"/>
    <cellStyle name="Comma 4 2 2 2 10 3" xfId="11208" xr:uid="{92DF8EE2-C6C9-4492-B08A-19CC3BA6B375}"/>
    <cellStyle name="Comma 4 2 2 2 11" xfId="4601" xr:uid="{00000000-0005-0000-0000-0000A3070000}"/>
    <cellStyle name="Comma 4 2 2 2 11 2" xfId="13043" xr:uid="{1E782558-391B-4E26-A994-6F062E658F54}"/>
    <cellStyle name="Comma 4 2 2 2 12" xfId="8825" xr:uid="{4C831BC7-0EDB-46CE-A8F5-A34356947DD2}"/>
    <cellStyle name="Comma 4 2 2 2 2" xfId="129" xr:uid="{00000000-0005-0000-0000-0000A4070000}"/>
    <cellStyle name="Comma 4 2 2 2 2 10" xfId="4602" xr:uid="{00000000-0005-0000-0000-0000A5070000}"/>
    <cellStyle name="Comma 4 2 2 2 2 10 2" xfId="13044" xr:uid="{7058233E-D58A-4190-B838-6DC9EB4E23D5}"/>
    <cellStyle name="Comma 4 2 2 2 2 11" xfId="8826" xr:uid="{7731FACB-6BE5-494D-B0BC-1303146B6D23}"/>
    <cellStyle name="Comma 4 2 2 2 2 2" xfId="130" xr:uid="{00000000-0005-0000-0000-0000A6070000}"/>
    <cellStyle name="Comma 4 2 2 2 2 2 10" xfId="8827" xr:uid="{6260EBB6-40B1-4B49-80ED-E029511637B5}"/>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EE262E30-B29E-4FC3-936F-B8693ADDEC4C}"/>
    <cellStyle name="Comma 4 2 2 2 2 2 2 2 3" xfId="11386" xr:uid="{5DF1915E-605F-4926-A344-1661BB47042E}"/>
    <cellStyle name="Comma 4 2 2 2 2 2 2 3" xfId="5017" xr:uid="{00000000-0005-0000-0000-0000AA070000}"/>
    <cellStyle name="Comma 4 2 2 2 2 2 2 3 2" xfId="13459" xr:uid="{301C4A06-185E-42A7-A45F-6A306E5BBA04}"/>
    <cellStyle name="Comma 4 2 2 2 2 2 2 4" xfId="9241" xr:uid="{3C2564F0-3CF4-4021-82BD-F30BC58FB389}"/>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1F4B377E-E09D-4695-9EE5-1692912494CD}"/>
    <cellStyle name="Comma 4 2 2 2 2 2 3 2 3" xfId="11799" xr:uid="{CB52A453-BDE5-4437-9D2A-0FF29FF9EDA2}"/>
    <cellStyle name="Comma 4 2 2 2 2 2 3 3" xfId="5430" xr:uid="{00000000-0005-0000-0000-0000AE070000}"/>
    <cellStyle name="Comma 4 2 2 2 2 2 3 3 2" xfId="13872" xr:uid="{E45B9032-F935-453E-8B0F-9E62F5B16585}"/>
    <cellStyle name="Comma 4 2 2 2 2 2 3 4" xfId="9654" xr:uid="{6CF36027-000C-48C6-9968-DF555D7BBDE4}"/>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E1A21D49-3101-4009-8A54-8745F069B96E}"/>
    <cellStyle name="Comma 4 2 2 2 2 2 4 2 3" xfId="12212" xr:uid="{B9D3E209-3345-4E1A-80B3-5B9AE553C3F9}"/>
    <cellStyle name="Comma 4 2 2 2 2 2 4 3" xfId="5843" xr:uid="{00000000-0005-0000-0000-0000B2070000}"/>
    <cellStyle name="Comma 4 2 2 2 2 2 4 3 2" xfId="14285" xr:uid="{D5DD5899-95EB-460B-881A-69888BB8E519}"/>
    <cellStyle name="Comma 4 2 2 2 2 2 4 4" xfId="10067" xr:uid="{AD51028E-A321-49F2-9641-7B7A55A5D811}"/>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7FC24D73-4CAF-4B52-ABB9-EA6A4A8E1531}"/>
    <cellStyle name="Comma 4 2 2 2 2 2 5 2 3" xfId="12625" xr:uid="{072D74D7-4610-4D6A-A5F1-90D55B6ACE58}"/>
    <cellStyle name="Comma 4 2 2 2 2 2 5 3" xfId="6256" xr:uid="{00000000-0005-0000-0000-0000B6070000}"/>
    <cellStyle name="Comma 4 2 2 2 2 2 5 3 2" xfId="14698" xr:uid="{8F709185-0DF3-4F20-B54D-E6552B15AC1A}"/>
    <cellStyle name="Comma 4 2 2 2 2 2 5 4" xfId="10480" xr:uid="{CE29B463-31DB-47AB-9F08-049D5EE536B9}"/>
    <cellStyle name="Comma 4 2 2 2 2 2 6" xfId="2384" xr:uid="{00000000-0005-0000-0000-0000B7070000}"/>
    <cellStyle name="Comma 4 2 2 2 2 2 6 2" xfId="6669" xr:uid="{00000000-0005-0000-0000-0000B8070000}"/>
    <cellStyle name="Comma 4 2 2 2 2 2 6 2 2" xfId="15111" xr:uid="{30AE0699-8C14-4D74-9B78-DC5BC276BB95}"/>
    <cellStyle name="Comma 4 2 2 2 2 2 6 3" xfId="10893" xr:uid="{E1785165-C267-4F06-B19A-91DB742B9EAE}"/>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9CA1C32-F9E2-40FB-9D22-30681A4ABDE7}"/>
    <cellStyle name="Comma 4 2 2 2 2 2 8 3" xfId="11210" xr:uid="{6B56B9C9-F7B5-4F73-B375-305661445CEB}"/>
    <cellStyle name="Comma 4 2 2 2 2 2 9" xfId="4603" xr:uid="{00000000-0005-0000-0000-0000BC070000}"/>
    <cellStyle name="Comma 4 2 2 2 2 2 9 2" xfId="13045" xr:uid="{58D13E5D-BBC8-4B64-A9DA-1D7A05D0CBF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515DF756-A285-490B-85BF-703CDCEBC6EB}"/>
    <cellStyle name="Comma 4 2 2 2 2 3 2 3" xfId="11385" xr:uid="{537B8133-5EC1-4B30-9CFF-D54409BA2766}"/>
    <cellStyle name="Comma 4 2 2 2 2 3 3" xfId="5016" xr:uid="{00000000-0005-0000-0000-0000C0070000}"/>
    <cellStyle name="Comma 4 2 2 2 2 3 3 2" xfId="13458" xr:uid="{9D8D2A97-FB58-46B3-A198-9BF64EE82E24}"/>
    <cellStyle name="Comma 4 2 2 2 2 3 4" xfId="9240" xr:uid="{954E43FA-DC1F-4538-85FD-01AFCE0F8371}"/>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780D5626-AD80-4490-8ACB-0F8D89933135}"/>
    <cellStyle name="Comma 4 2 2 2 2 4 2 3" xfId="11798" xr:uid="{6F404EC5-DEB1-41BD-A250-F7C77DC72E9E}"/>
    <cellStyle name="Comma 4 2 2 2 2 4 3" xfId="5429" xr:uid="{00000000-0005-0000-0000-0000C4070000}"/>
    <cellStyle name="Comma 4 2 2 2 2 4 3 2" xfId="13871" xr:uid="{E14AA7EF-9B3E-4AD7-B89A-AB612D7727C2}"/>
    <cellStyle name="Comma 4 2 2 2 2 4 4" xfId="9653" xr:uid="{BDDDBCC2-BA30-4002-B661-FF7F3FA9777A}"/>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5667B0BB-C1CC-4449-BCAD-D7A4B3EB4F35}"/>
    <cellStyle name="Comma 4 2 2 2 2 5 2 3" xfId="12211" xr:uid="{40B5968A-D3DC-4123-9A2D-FD6B55ECC0E2}"/>
    <cellStyle name="Comma 4 2 2 2 2 5 3" xfId="5842" xr:uid="{00000000-0005-0000-0000-0000C8070000}"/>
    <cellStyle name="Comma 4 2 2 2 2 5 3 2" xfId="14284" xr:uid="{8961031B-4709-431C-889D-8E45C7C2C5E8}"/>
    <cellStyle name="Comma 4 2 2 2 2 5 4" xfId="10066" xr:uid="{96328A22-031C-4EE7-B6E7-AB9C71339256}"/>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7B612E9A-7114-42FA-9D0F-2102B826931E}"/>
    <cellStyle name="Comma 4 2 2 2 2 6 2 3" xfId="12624" xr:uid="{7E6AC8B9-E316-4B2D-ABEB-4E343BB32A5D}"/>
    <cellStyle name="Comma 4 2 2 2 2 6 3" xfId="6255" xr:uid="{00000000-0005-0000-0000-0000CC070000}"/>
    <cellStyle name="Comma 4 2 2 2 2 6 3 2" xfId="14697" xr:uid="{4A95A2E4-2C6D-4E73-B365-A71F4520BF0E}"/>
    <cellStyle name="Comma 4 2 2 2 2 6 4" xfId="10479" xr:uid="{F7411DD6-D1C6-49B4-BC25-2B19E93905AE}"/>
    <cellStyle name="Comma 4 2 2 2 2 7" xfId="2383" xr:uid="{00000000-0005-0000-0000-0000CD070000}"/>
    <cellStyle name="Comma 4 2 2 2 2 7 2" xfId="6668" xr:uid="{00000000-0005-0000-0000-0000CE070000}"/>
    <cellStyle name="Comma 4 2 2 2 2 7 2 2" xfId="15110" xr:uid="{F5E5E9AE-5D90-4FE5-BC52-609A871777D6}"/>
    <cellStyle name="Comma 4 2 2 2 2 7 3" xfId="10892" xr:uid="{7AEA0D30-B5ED-41BA-A09E-A76EBC333DEC}"/>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00F62A31-FE3F-4372-91E3-4ADAAE6D3585}"/>
    <cellStyle name="Comma 4 2 2 2 2 9 3" xfId="11209" xr:uid="{E0E729DD-FFAB-4E1D-9413-D73B34689FA3}"/>
    <cellStyle name="Comma 4 2 2 2 3" xfId="131" xr:uid="{00000000-0005-0000-0000-0000D2070000}"/>
    <cellStyle name="Comma 4 2 2 2 3 10" xfId="8828" xr:uid="{BA7573EC-709D-4CE5-A9D3-61D7FDFE3DBB}"/>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19E2522D-EF49-405A-BE93-6A7E1DFC87DA}"/>
    <cellStyle name="Comma 4 2 2 2 3 2 2 3" xfId="11387" xr:uid="{F8436984-BC6E-4B9D-8E95-1150BE3AF7C7}"/>
    <cellStyle name="Comma 4 2 2 2 3 2 3" xfId="5018" xr:uid="{00000000-0005-0000-0000-0000D6070000}"/>
    <cellStyle name="Comma 4 2 2 2 3 2 3 2" xfId="13460" xr:uid="{ADF45536-C1B6-4923-AFC0-D370F6564869}"/>
    <cellStyle name="Comma 4 2 2 2 3 2 4" xfId="9242" xr:uid="{5A4707A2-0726-4CA4-9B42-0A36928F3A12}"/>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E5ECBCDA-75A5-4A6A-BE93-92B95170300F}"/>
    <cellStyle name="Comma 4 2 2 2 3 3 2 3" xfId="11800" xr:uid="{0F42FA1D-D66D-4F1A-8D65-FF40C5995773}"/>
    <cellStyle name="Comma 4 2 2 2 3 3 3" xfId="5431" xr:uid="{00000000-0005-0000-0000-0000DA070000}"/>
    <cellStyle name="Comma 4 2 2 2 3 3 3 2" xfId="13873" xr:uid="{48B6982B-463A-4481-9ED7-7871532C7771}"/>
    <cellStyle name="Comma 4 2 2 2 3 3 4" xfId="9655" xr:uid="{9A1E372F-D286-4D69-8279-3681DBBCD4F2}"/>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32D07361-13D0-449E-963D-1E5E00E3CB79}"/>
    <cellStyle name="Comma 4 2 2 2 3 4 2 3" xfId="12213" xr:uid="{B80B9936-C1BF-4550-ACB0-D6F2264203B8}"/>
    <cellStyle name="Comma 4 2 2 2 3 4 3" xfId="5844" xr:uid="{00000000-0005-0000-0000-0000DE070000}"/>
    <cellStyle name="Comma 4 2 2 2 3 4 3 2" xfId="14286" xr:uid="{578CEB71-BB06-4436-806C-85C806BC39C0}"/>
    <cellStyle name="Comma 4 2 2 2 3 4 4" xfId="10068" xr:uid="{7E6F91C7-ADBA-451F-879F-E868FDDD3D81}"/>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EC848087-1256-42D5-9E7D-7704A16494B7}"/>
    <cellStyle name="Comma 4 2 2 2 3 5 2 3" xfId="12626" xr:uid="{FF83C5A1-8A0A-4B2F-8DFD-0C23E882AE0E}"/>
    <cellStyle name="Comma 4 2 2 2 3 5 3" xfId="6257" xr:uid="{00000000-0005-0000-0000-0000E2070000}"/>
    <cellStyle name="Comma 4 2 2 2 3 5 3 2" xfId="14699" xr:uid="{2FEA5AED-4F45-47D1-A1E7-BA0293A9B1F3}"/>
    <cellStyle name="Comma 4 2 2 2 3 5 4" xfId="10481" xr:uid="{354B006B-5F86-4498-BFD2-5288C634057B}"/>
    <cellStyle name="Comma 4 2 2 2 3 6" xfId="2385" xr:uid="{00000000-0005-0000-0000-0000E3070000}"/>
    <cellStyle name="Comma 4 2 2 2 3 6 2" xfId="6670" xr:uid="{00000000-0005-0000-0000-0000E4070000}"/>
    <cellStyle name="Comma 4 2 2 2 3 6 2 2" xfId="15112" xr:uid="{40025FC8-D7DB-46E7-8A27-460C4A212811}"/>
    <cellStyle name="Comma 4 2 2 2 3 6 3" xfId="10894" xr:uid="{1855F021-B2FE-469E-9862-54FF1AF67639}"/>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6B2D991C-EB3C-4647-8AF4-7E51B15353D9}"/>
    <cellStyle name="Comma 4 2 2 2 3 8 3" xfId="11211" xr:uid="{B68F2431-2203-43D2-AA3C-13DC0F57F6AA}"/>
    <cellStyle name="Comma 4 2 2 2 3 9" xfId="4604" xr:uid="{00000000-0005-0000-0000-0000E8070000}"/>
    <cellStyle name="Comma 4 2 2 2 3 9 2" xfId="13046" xr:uid="{8D879D18-DAA5-4038-89EC-F683052B951F}"/>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39A0C6D8-A38E-4B41-A837-9704A4DAFEBA}"/>
    <cellStyle name="Comma 4 2 2 2 4 2 3" xfId="11384" xr:uid="{4726887F-A091-405B-ADFF-CAE1C9046E41}"/>
    <cellStyle name="Comma 4 2 2 2 4 3" xfId="5015" xr:uid="{00000000-0005-0000-0000-0000EC070000}"/>
    <cellStyle name="Comma 4 2 2 2 4 3 2" xfId="13457" xr:uid="{CDD3D0EE-9547-454D-8F29-0B445D408904}"/>
    <cellStyle name="Comma 4 2 2 2 4 4" xfId="9239" xr:uid="{CFBD2B64-F778-472B-A68E-56B05DA3FEF4}"/>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B868518E-1B2F-4642-A21D-A6CDFD1C59E9}"/>
    <cellStyle name="Comma 4 2 2 2 5 2 3" xfId="11797" xr:uid="{5F91EBF0-6E2D-4779-88BD-6E71F7E9B02F}"/>
    <cellStyle name="Comma 4 2 2 2 5 3" xfId="5428" xr:uid="{00000000-0005-0000-0000-0000F0070000}"/>
    <cellStyle name="Comma 4 2 2 2 5 3 2" xfId="13870" xr:uid="{975E5AA3-00C7-469D-868A-43407E1D066C}"/>
    <cellStyle name="Comma 4 2 2 2 5 4" xfId="9652" xr:uid="{B4C57812-5A13-479A-B6DC-7E98629C9729}"/>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1FC5D47F-28B8-496E-95F5-276EF27C940E}"/>
    <cellStyle name="Comma 4 2 2 2 6 2 3" xfId="12210" xr:uid="{EFF85BE7-DAC4-4CB1-8E92-5BC50C1CBA43}"/>
    <cellStyle name="Comma 4 2 2 2 6 3" xfId="5841" xr:uid="{00000000-0005-0000-0000-0000F4070000}"/>
    <cellStyle name="Comma 4 2 2 2 6 3 2" xfId="14283" xr:uid="{052D5514-4FC7-4F11-A7DE-3D80AC64A5A5}"/>
    <cellStyle name="Comma 4 2 2 2 6 4" xfId="10065" xr:uid="{1FEA2036-E95B-4F86-9E6F-FDAAEF63C11F}"/>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15256E55-7AB2-4CD9-B86E-2B02AE673237}"/>
    <cellStyle name="Comma 4 2 2 2 7 2 3" xfId="12623" xr:uid="{F5C8E881-A04D-4CB1-9AF7-1AC474678A82}"/>
    <cellStyle name="Comma 4 2 2 2 7 3" xfId="6254" xr:uid="{00000000-0005-0000-0000-0000F8070000}"/>
    <cellStyle name="Comma 4 2 2 2 7 3 2" xfId="14696" xr:uid="{011B1784-8FD4-4F5A-92E1-1ED4CC85CB21}"/>
    <cellStyle name="Comma 4 2 2 2 7 4" xfId="10478" xr:uid="{2D64F86D-CB9F-4766-989E-84708EC913A6}"/>
    <cellStyle name="Comma 4 2 2 2 8" xfId="2382" xr:uid="{00000000-0005-0000-0000-0000F9070000}"/>
    <cellStyle name="Comma 4 2 2 2 8 2" xfId="6667" xr:uid="{00000000-0005-0000-0000-0000FA070000}"/>
    <cellStyle name="Comma 4 2 2 2 8 2 2" xfId="15109" xr:uid="{398BE720-5067-416B-BEC8-E526A76D7EFB}"/>
    <cellStyle name="Comma 4 2 2 2 8 3" xfId="10891" xr:uid="{6B2DB4D5-E8E4-4B1C-BEBE-E2FD1D71E5C8}"/>
    <cellStyle name="Comma 4 2 2 2 9" xfId="2381" xr:uid="{00000000-0005-0000-0000-0000FB070000}"/>
    <cellStyle name="Comma 4 2 2 3" xfId="132" xr:uid="{00000000-0005-0000-0000-0000FC070000}"/>
    <cellStyle name="Comma 4 2 2 3 10" xfId="4605" xr:uid="{00000000-0005-0000-0000-0000FD070000}"/>
    <cellStyle name="Comma 4 2 2 3 10 2" xfId="13047" xr:uid="{D07732A3-D22A-4692-8996-8A7044AE801F}"/>
    <cellStyle name="Comma 4 2 2 3 11" xfId="8829" xr:uid="{1A6EACA6-9C63-45D6-801D-7F92CB5ADCCF}"/>
    <cellStyle name="Comma 4 2 2 3 2" xfId="133" xr:uid="{00000000-0005-0000-0000-0000FE070000}"/>
    <cellStyle name="Comma 4 2 2 3 2 10" xfId="8830" xr:uid="{F20D113B-15F4-4A08-BA78-4D5D989FDAB3}"/>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1698A260-D49E-4B52-B8F9-53F8D991A089}"/>
    <cellStyle name="Comma 4 2 2 3 2 2 2 3" xfId="11389" xr:uid="{50026F63-96A8-4C1C-A5B2-2EE572164903}"/>
    <cellStyle name="Comma 4 2 2 3 2 2 3" xfId="5020" xr:uid="{00000000-0005-0000-0000-000002080000}"/>
    <cellStyle name="Comma 4 2 2 3 2 2 3 2" xfId="13462" xr:uid="{453ADB55-C0D0-43FC-A169-0F9BFC302508}"/>
    <cellStyle name="Comma 4 2 2 3 2 2 4" xfId="9244" xr:uid="{D4F5DF28-6F16-4ADB-BC5D-74C29F7789AA}"/>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FA5C1B99-5EB3-430D-BA9E-FA291910F882}"/>
    <cellStyle name="Comma 4 2 2 3 2 3 2 3" xfId="11802" xr:uid="{430FB22D-DF18-4EE5-921B-CDFB3775FCA2}"/>
    <cellStyle name="Comma 4 2 2 3 2 3 3" xfId="5433" xr:uid="{00000000-0005-0000-0000-000006080000}"/>
    <cellStyle name="Comma 4 2 2 3 2 3 3 2" xfId="13875" xr:uid="{53563380-7BA7-4E97-ADBD-58DEE4522ED8}"/>
    <cellStyle name="Comma 4 2 2 3 2 3 4" xfId="9657" xr:uid="{5BFF41E8-9B9B-4030-9022-C38950C37EA9}"/>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65685EEB-C3C3-47E5-AE12-22B168E5034E}"/>
    <cellStyle name="Comma 4 2 2 3 2 4 2 3" xfId="12215" xr:uid="{810E4D00-3ECA-4763-BFEC-06A2445EF12D}"/>
    <cellStyle name="Comma 4 2 2 3 2 4 3" xfId="5846" xr:uid="{00000000-0005-0000-0000-00000A080000}"/>
    <cellStyle name="Comma 4 2 2 3 2 4 3 2" xfId="14288" xr:uid="{78D35A5C-E3B7-43FF-8E81-CC12C757385B}"/>
    <cellStyle name="Comma 4 2 2 3 2 4 4" xfId="10070" xr:uid="{905DC55F-5F18-407E-906D-A0BCC2DCEFC3}"/>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7491CE18-EE88-4DD2-A9BC-00C3C11370FA}"/>
    <cellStyle name="Comma 4 2 2 3 2 5 2 3" xfId="12628" xr:uid="{CEFCBF43-E66F-4457-8E88-326CA9190D59}"/>
    <cellStyle name="Comma 4 2 2 3 2 5 3" xfId="6259" xr:uid="{00000000-0005-0000-0000-00000E080000}"/>
    <cellStyle name="Comma 4 2 2 3 2 5 3 2" xfId="14701" xr:uid="{0D4E204C-2D77-4858-87B8-297AF053D4BA}"/>
    <cellStyle name="Comma 4 2 2 3 2 5 4" xfId="10483" xr:uid="{87CAD21B-9F7C-445C-8781-527BBAF4E156}"/>
    <cellStyle name="Comma 4 2 2 3 2 6" xfId="2387" xr:uid="{00000000-0005-0000-0000-00000F080000}"/>
    <cellStyle name="Comma 4 2 2 3 2 6 2" xfId="6672" xr:uid="{00000000-0005-0000-0000-000010080000}"/>
    <cellStyle name="Comma 4 2 2 3 2 6 2 2" xfId="15114" xr:uid="{0A2438F1-0F9F-452D-94D9-D0865FA58F8F}"/>
    <cellStyle name="Comma 4 2 2 3 2 6 3" xfId="10896" xr:uid="{5C7B29C9-AB6B-4843-B216-0C6D8D433DB0}"/>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FDBC20E7-18C5-4028-B1B2-C37A3E16DF05}"/>
    <cellStyle name="Comma 4 2 2 3 2 8 3" xfId="11213" xr:uid="{7237C65D-F03B-478D-B53C-38025D289D14}"/>
    <cellStyle name="Comma 4 2 2 3 2 9" xfId="4606" xr:uid="{00000000-0005-0000-0000-000014080000}"/>
    <cellStyle name="Comma 4 2 2 3 2 9 2" xfId="13048" xr:uid="{7917B879-6255-43EB-B95F-84625798A35A}"/>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7C5B0FF1-C498-45AA-A2F3-C376180AA80C}"/>
    <cellStyle name="Comma 4 2 2 3 3 2 3" xfId="11388" xr:uid="{E833A186-537B-4137-92EC-2F06D51EE9CD}"/>
    <cellStyle name="Comma 4 2 2 3 3 3" xfId="5019" xr:uid="{00000000-0005-0000-0000-000018080000}"/>
    <cellStyle name="Comma 4 2 2 3 3 3 2" xfId="13461" xr:uid="{71826314-4802-49E3-887C-441D691BBC7D}"/>
    <cellStyle name="Comma 4 2 2 3 3 4" xfId="9243" xr:uid="{D09E2CCE-4B65-4451-AECA-11C6CF9B522E}"/>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A734F023-BAD3-41B7-A523-81AF79FF5A37}"/>
    <cellStyle name="Comma 4 2 2 3 4 2 3" xfId="11801" xr:uid="{E797E27A-BCBB-43B0-B6D5-962FDDA0867B}"/>
    <cellStyle name="Comma 4 2 2 3 4 3" xfId="5432" xr:uid="{00000000-0005-0000-0000-00001C080000}"/>
    <cellStyle name="Comma 4 2 2 3 4 3 2" xfId="13874" xr:uid="{C57FCFBD-970B-4A69-A002-3532D4B08701}"/>
    <cellStyle name="Comma 4 2 2 3 4 4" xfId="9656" xr:uid="{531D2A3B-AE80-401D-8502-806F78F9F6AC}"/>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00E6D11-69E7-40DB-9734-BFCDBAD5CD24}"/>
    <cellStyle name="Comma 4 2 2 3 5 2 3" xfId="12214" xr:uid="{45E9AB81-D463-49CC-90A8-E02D022EEE80}"/>
    <cellStyle name="Comma 4 2 2 3 5 3" xfId="5845" xr:uid="{00000000-0005-0000-0000-000020080000}"/>
    <cellStyle name="Comma 4 2 2 3 5 3 2" xfId="14287" xr:uid="{660EAEEA-9A47-4A69-A1DA-F538145131D6}"/>
    <cellStyle name="Comma 4 2 2 3 5 4" xfId="10069" xr:uid="{81E132E1-8FB4-44E6-972F-C9E89BF07B5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53E19388-88CD-4DBC-AED3-76E13798B89B}"/>
    <cellStyle name="Comma 4 2 2 3 6 2 3" xfId="12627" xr:uid="{F80E8F23-0CE7-4C51-BBC6-D901D1E7D370}"/>
    <cellStyle name="Comma 4 2 2 3 6 3" xfId="6258" xr:uid="{00000000-0005-0000-0000-000024080000}"/>
    <cellStyle name="Comma 4 2 2 3 6 3 2" xfId="14700" xr:uid="{7252BD05-B6A3-4675-A995-269ED7D41388}"/>
    <cellStyle name="Comma 4 2 2 3 6 4" xfId="10482" xr:uid="{606B73E2-43E1-4314-8769-8C36B6D330B1}"/>
    <cellStyle name="Comma 4 2 2 3 7" xfId="2386" xr:uid="{00000000-0005-0000-0000-000025080000}"/>
    <cellStyle name="Comma 4 2 2 3 7 2" xfId="6671" xr:uid="{00000000-0005-0000-0000-000026080000}"/>
    <cellStyle name="Comma 4 2 2 3 7 2 2" xfId="15113" xr:uid="{96329276-B9BA-49D6-A248-47F4AE52D06E}"/>
    <cellStyle name="Comma 4 2 2 3 7 3" xfId="10895" xr:uid="{9E1E4237-A383-4F35-A4D4-7B1BD6131C34}"/>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574182EC-DE2B-4752-8295-9046F68EEB04}"/>
    <cellStyle name="Comma 4 2 2 3 9 3" xfId="11212" xr:uid="{72F8CA6C-BB98-4B9C-BAAC-AC146B5E52E3}"/>
    <cellStyle name="Comma 4 2 2 4" xfId="134" xr:uid="{00000000-0005-0000-0000-00002A080000}"/>
    <cellStyle name="Comma 4 2 2 4 10" xfId="8831" xr:uid="{805EE1BD-6DF9-4E7B-B6D3-350A9337D304}"/>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E038D886-E3F1-4600-857E-96BBD0F1FC6B}"/>
    <cellStyle name="Comma 4 2 2 4 2 2 3" xfId="11390" xr:uid="{8B650A4B-ED07-44CE-AE73-37C0CEE6A4C4}"/>
    <cellStyle name="Comma 4 2 2 4 2 3" xfId="5021" xr:uid="{00000000-0005-0000-0000-00002E080000}"/>
    <cellStyle name="Comma 4 2 2 4 2 3 2" xfId="13463" xr:uid="{1497B75E-33C6-4EC5-B2B2-83BEFEA05728}"/>
    <cellStyle name="Comma 4 2 2 4 2 4" xfId="9245" xr:uid="{8280629F-F1A4-435A-AA7C-50E4CE5F278B}"/>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FA13C5EC-1448-4C8D-BC16-9AC13E8C9F26}"/>
    <cellStyle name="Comma 4 2 2 4 3 2 3" xfId="11803" xr:uid="{75648872-6A8F-4D1A-81D9-28BC59C1EA80}"/>
    <cellStyle name="Comma 4 2 2 4 3 3" xfId="5434" xr:uid="{00000000-0005-0000-0000-000032080000}"/>
    <cellStyle name="Comma 4 2 2 4 3 3 2" xfId="13876" xr:uid="{C72F8824-A5CE-418B-8EA1-10FB9B521E21}"/>
    <cellStyle name="Comma 4 2 2 4 3 4" xfId="9658" xr:uid="{7C750025-A1C2-4732-90FC-3DE1E87A2EE9}"/>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A35D964D-D378-4087-ACF8-FCCE7588E3D1}"/>
    <cellStyle name="Comma 4 2 2 4 4 2 3" xfId="12216" xr:uid="{BB2B8A25-DA5B-4150-B7C4-3E3B1EBE69D7}"/>
    <cellStyle name="Comma 4 2 2 4 4 3" xfId="5847" xr:uid="{00000000-0005-0000-0000-000036080000}"/>
    <cellStyle name="Comma 4 2 2 4 4 3 2" xfId="14289" xr:uid="{989876D8-A5BA-43FC-BDB6-CACAC1D5DA25}"/>
    <cellStyle name="Comma 4 2 2 4 4 4" xfId="10071" xr:uid="{DAB4EA0B-0EE1-48E3-8878-EBFC7DF2D394}"/>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4A8B784D-B932-40AC-A4E1-43E31F738F03}"/>
    <cellStyle name="Comma 4 2 2 4 5 2 3" xfId="12629" xr:uid="{597AA113-CD59-4F6F-96BD-12DDE446DD6A}"/>
    <cellStyle name="Comma 4 2 2 4 5 3" xfId="6260" xr:uid="{00000000-0005-0000-0000-00003A080000}"/>
    <cellStyle name="Comma 4 2 2 4 5 3 2" xfId="14702" xr:uid="{78C09B66-B4AE-4B56-9A7F-34773D74291A}"/>
    <cellStyle name="Comma 4 2 2 4 5 4" xfId="10484" xr:uid="{2045288E-7E1E-4FDA-AF21-69E5FEF529C7}"/>
    <cellStyle name="Comma 4 2 2 4 6" xfId="2388" xr:uid="{00000000-0005-0000-0000-00003B080000}"/>
    <cellStyle name="Comma 4 2 2 4 6 2" xfId="6673" xr:uid="{00000000-0005-0000-0000-00003C080000}"/>
    <cellStyle name="Comma 4 2 2 4 6 2 2" xfId="15115" xr:uid="{5E0580E5-3D72-4F84-AA78-92BFE0E8C759}"/>
    <cellStyle name="Comma 4 2 2 4 6 3" xfId="10897" xr:uid="{17216C34-B689-44B7-A03D-55E0F77CCE93}"/>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90D2A7DB-5FA3-49CB-A3DC-43F80CB3157C}"/>
    <cellStyle name="Comma 4 2 2 4 8 3" xfId="11214" xr:uid="{D18B8A80-F540-44BE-AB31-B596E6905BAB}"/>
    <cellStyle name="Comma 4 2 2 4 9" xfId="4607" xr:uid="{00000000-0005-0000-0000-000040080000}"/>
    <cellStyle name="Comma 4 2 2 4 9 2" xfId="13049" xr:uid="{E13544A8-412C-484D-8D60-D94FCC9D00B8}"/>
    <cellStyle name="Comma 4 2 2 5" xfId="135" xr:uid="{00000000-0005-0000-0000-000041080000}"/>
    <cellStyle name="Comma 4 2 2 5 10" xfId="8832" xr:uid="{CDB4B08F-D635-4C95-AA75-05EC32FC81B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A105A365-1B3D-417E-9BDB-74FF53078D30}"/>
    <cellStyle name="Comma 4 2 2 5 2 2 3" xfId="11391" xr:uid="{18E2BF15-0D1E-463E-84B8-E2CD32122FA4}"/>
    <cellStyle name="Comma 4 2 2 5 2 3" xfId="5022" xr:uid="{00000000-0005-0000-0000-000045080000}"/>
    <cellStyle name="Comma 4 2 2 5 2 3 2" xfId="13464" xr:uid="{DCD0B950-58E2-45CC-A028-FF5D95B1E751}"/>
    <cellStyle name="Comma 4 2 2 5 2 4" xfId="9246" xr:uid="{30DC436A-9123-416D-9E30-17CDD43F238E}"/>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4C59B65D-B7CB-4579-8BFA-C580A56B2B27}"/>
    <cellStyle name="Comma 4 2 2 5 3 2 3" xfId="11804" xr:uid="{FA64DF42-8FD9-4C6B-B1F3-7C9FC32A05A9}"/>
    <cellStyle name="Comma 4 2 2 5 3 3" xfId="5435" xr:uid="{00000000-0005-0000-0000-000049080000}"/>
    <cellStyle name="Comma 4 2 2 5 3 3 2" xfId="13877" xr:uid="{87CBC1E1-5F2B-4994-9BBE-D330D38EFB93}"/>
    <cellStyle name="Comma 4 2 2 5 3 4" xfId="9659" xr:uid="{AFBDE2AD-1C67-405C-8506-8A2B80576650}"/>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BBD26E16-6B9B-49C9-AFFE-4FEFD2C7ECA0}"/>
    <cellStyle name="Comma 4 2 2 5 4 2 3" xfId="12217" xr:uid="{D10B59B5-9C2A-41E0-AC81-622E60789920}"/>
    <cellStyle name="Comma 4 2 2 5 4 3" xfId="5848" xr:uid="{00000000-0005-0000-0000-00004D080000}"/>
    <cellStyle name="Comma 4 2 2 5 4 3 2" xfId="14290" xr:uid="{C3D44F9A-C21F-4C7F-9EA0-14BC0D55756B}"/>
    <cellStyle name="Comma 4 2 2 5 4 4" xfId="10072" xr:uid="{43283DD6-8681-49F1-85E2-ED701F751717}"/>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6CFD4661-9EC4-4238-957B-385145E969A5}"/>
    <cellStyle name="Comma 4 2 2 5 5 2 3" xfId="12630" xr:uid="{9B2793D6-F9A8-46BB-ACB9-562C1AB5EABD}"/>
    <cellStyle name="Comma 4 2 2 5 5 3" xfId="6261" xr:uid="{00000000-0005-0000-0000-000051080000}"/>
    <cellStyle name="Comma 4 2 2 5 5 3 2" xfId="14703" xr:uid="{9AC8C561-F571-42C1-B246-1FB275F0913B}"/>
    <cellStyle name="Comma 4 2 2 5 5 4" xfId="10485" xr:uid="{0CFFC7D4-1F25-411F-96F2-1E9E8EDB16B2}"/>
    <cellStyle name="Comma 4 2 2 5 6" xfId="2389" xr:uid="{00000000-0005-0000-0000-000052080000}"/>
    <cellStyle name="Comma 4 2 2 5 6 2" xfId="6674" xr:uid="{00000000-0005-0000-0000-000053080000}"/>
    <cellStyle name="Comma 4 2 2 5 6 2 2" xfId="15116" xr:uid="{C97D1887-BFBC-4F07-AC72-890FFE38A6A9}"/>
    <cellStyle name="Comma 4 2 2 5 6 3" xfId="10898" xr:uid="{06FEBBA4-812C-455C-BFFA-FA5CD105D67B}"/>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618041BA-D16D-468D-AD99-491E176C968B}"/>
    <cellStyle name="Comma 4 2 2 5 8 3" xfId="11215" xr:uid="{FB80B137-083C-4360-818C-1B508B65F124}"/>
    <cellStyle name="Comma 4 2 2 5 9" xfId="4608" xr:uid="{00000000-0005-0000-0000-000057080000}"/>
    <cellStyle name="Comma 4 2 2 5 9 2" xfId="13050" xr:uid="{87154963-185F-478C-9899-240FE855B787}"/>
    <cellStyle name="Comma 4 2 3" xfId="136" xr:uid="{00000000-0005-0000-0000-000058080000}"/>
    <cellStyle name="Comma 4 2 3 10" xfId="2768" xr:uid="{00000000-0005-0000-0000-000059080000}"/>
    <cellStyle name="Comma 4 2 3 10 2" xfId="6992" xr:uid="{00000000-0005-0000-0000-00005A080000}"/>
    <cellStyle name="Comma 4 2 3 10 2 2" xfId="15434" xr:uid="{69725173-3DE6-4354-89FD-98C690BD7E4E}"/>
    <cellStyle name="Comma 4 2 3 10 3" xfId="11216" xr:uid="{C3809907-B06F-48F5-B205-C9417C489772}"/>
    <cellStyle name="Comma 4 2 3 11" xfId="4609" xr:uid="{00000000-0005-0000-0000-00005B080000}"/>
    <cellStyle name="Comma 4 2 3 11 2" xfId="13051" xr:uid="{EFCFDFC1-120D-4A55-9BC4-965FF0FD30A0}"/>
    <cellStyle name="Comma 4 2 3 12" xfId="8833" xr:uid="{71EE5A6E-BF1D-4E9D-A448-2D73F4172ECB}"/>
    <cellStyle name="Comma 4 2 3 2" xfId="137" xr:uid="{00000000-0005-0000-0000-00005C080000}"/>
    <cellStyle name="Comma 4 2 3 2 10" xfId="4610" xr:uid="{00000000-0005-0000-0000-00005D080000}"/>
    <cellStyle name="Comma 4 2 3 2 10 2" xfId="13052" xr:uid="{089832F6-5411-416C-95F6-71F4C79A5488}"/>
    <cellStyle name="Comma 4 2 3 2 11" xfId="8834" xr:uid="{17724501-041B-4A6F-8613-C2CCB704B08C}"/>
    <cellStyle name="Comma 4 2 3 2 2" xfId="138" xr:uid="{00000000-0005-0000-0000-00005E080000}"/>
    <cellStyle name="Comma 4 2 3 2 2 10" xfId="8835" xr:uid="{0A432906-A3F8-44BB-94D2-8CEEA3843608}"/>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17D8CD77-9256-4FDD-A3C4-29762FC62019}"/>
    <cellStyle name="Comma 4 2 3 2 2 2 2 3" xfId="11394" xr:uid="{01A95348-30B1-46AC-960D-FF93969179C1}"/>
    <cellStyle name="Comma 4 2 3 2 2 2 3" xfId="5025" xr:uid="{00000000-0005-0000-0000-000062080000}"/>
    <cellStyle name="Comma 4 2 3 2 2 2 3 2" xfId="13467" xr:uid="{79536D69-D1DB-4E50-86AD-8D1FFE172BCC}"/>
    <cellStyle name="Comma 4 2 3 2 2 2 4" xfId="9249" xr:uid="{D32C808A-EFD2-48F8-B709-9C24D6A14A9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8530718A-B4D0-4FAD-A049-955FB6495519}"/>
    <cellStyle name="Comma 4 2 3 2 2 3 2 3" xfId="11807" xr:uid="{C6EB926A-9B7C-42FF-9C31-AECEA9E08C7D}"/>
    <cellStyle name="Comma 4 2 3 2 2 3 3" xfId="5438" xr:uid="{00000000-0005-0000-0000-000066080000}"/>
    <cellStyle name="Comma 4 2 3 2 2 3 3 2" xfId="13880" xr:uid="{1E4E6FCB-D915-435A-A662-12C9272334D5}"/>
    <cellStyle name="Comma 4 2 3 2 2 3 4" xfId="9662" xr:uid="{0C39AFDE-F017-4354-A0FE-32FF1120F918}"/>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24FC9A7D-097D-4AFC-B451-B51B5F910FBF}"/>
    <cellStyle name="Comma 4 2 3 2 2 4 2 3" xfId="12220" xr:uid="{E5180262-CE50-4574-8748-FEC88BB53875}"/>
    <cellStyle name="Comma 4 2 3 2 2 4 3" xfId="5851" xr:uid="{00000000-0005-0000-0000-00006A080000}"/>
    <cellStyle name="Comma 4 2 3 2 2 4 3 2" xfId="14293" xr:uid="{F6FB80A2-BE58-4A1E-AE87-7F310C6E38D0}"/>
    <cellStyle name="Comma 4 2 3 2 2 4 4" xfId="10075" xr:uid="{AC02599C-45EC-475D-95EE-2D9D66F0996C}"/>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CDC51EF3-B07C-48F5-BCD4-62313C3AC129}"/>
    <cellStyle name="Comma 4 2 3 2 2 5 2 3" xfId="12633" xr:uid="{9C0DC0EC-EDE2-4325-A3DD-698BF45989B1}"/>
    <cellStyle name="Comma 4 2 3 2 2 5 3" xfId="6264" xr:uid="{00000000-0005-0000-0000-00006E080000}"/>
    <cellStyle name="Comma 4 2 3 2 2 5 3 2" xfId="14706" xr:uid="{D2A69D01-CDCA-4B42-8BA1-FB52C10D8005}"/>
    <cellStyle name="Comma 4 2 3 2 2 5 4" xfId="10488" xr:uid="{68A33BAC-A565-4F38-AA63-C1F5B8E9DF62}"/>
    <cellStyle name="Comma 4 2 3 2 2 6" xfId="2392" xr:uid="{00000000-0005-0000-0000-00006F080000}"/>
    <cellStyle name="Comma 4 2 3 2 2 6 2" xfId="6677" xr:uid="{00000000-0005-0000-0000-000070080000}"/>
    <cellStyle name="Comma 4 2 3 2 2 6 2 2" xfId="15119" xr:uid="{14B1036E-05FD-40C8-BE8D-1E6724E4B9D1}"/>
    <cellStyle name="Comma 4 2 3 2 2 6 3" xfId="10901" xr:uid="{8FA77F7A-7866-4360-A7E9-3CFD330FEED9}"/>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D360CC5D-1096-472A-BA57-B062C7BB61BE}"/>
    <cellStyle name="Comma 4 2 3 2 2 8 3" xfId="11218" xr:uid="{470AFB78-430B-457C-86CE-DC183A971A4C}"/>
    <cellStyle name="Comma 4 2 3 2 2 9" xfId="4611" xr:uid="{00000000-0005-0000-0000-000074080000}"/>
    <cellStyle name="Comma 4 2 3 2 2 9 2" xfId="13053" xr:uid="{A3307CC5-B887-4AE9-96D7-A4BED1CF9BC0}"/>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8C819D72-EE59-4CBC-8BCA-3E3861E031C0}"/>
    <cellStyle name="Comma 4 2 3 2 3 2 3" xfId="11393" xr:uid="{25D19EF3-D8A6-49D4-A91E-9DD42AFF27BD}"/>
    <cellStyle name="Comma 4 2 3 2 3 3" xfId="5024" xr:uid="{00000000-0005-0000-0000-000078080000}"/>
    <cellStyle name="Comma 4 2 3 2 3 3 2" xfId="13466" xr:uid="{C2A73530-B076-486D-8CF8-797440F38450}"/>
    <cellStyle name="Comma 4 2 3 2 3 4" xfId="9248" xr:uid="{204A0640-7EFE-403F-BD8C-F5824628D98F}"/>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A9E8F030-BE83-42F2-84B4-BE691BD97715}"/>
    <cellStyle name="Comma 4 2 3 2 4 2 3" xfId="11806" xr:uid="{9AFBB6FB-47F2-444A-B0CA-1F1A0BCCD845}"/>
    <cellStyle name="Comma 4 2 3 2 4 3" xfId="5437" xr:uid="{00000000-0005-0000-0000-00007C080000}"/>
    <cellStyle name="Comma 4 2 3 2 4 3 2" xfId="13879" xr:uid="{7831F202-8B9C-49E4-8A0D-1861DB75534D}"/>
    <cellStyle name="Comma 4 2 3 2 4 4" xfId="9661" xr:uid="{34025CD1-9C8D-4C17-A3AB-B155C339EAB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864E06CF-884B-4259-987A-8C9D4EB386DD}"/>
    <cellStyle name="Comma 4 2 3 2 5 2 3" xfId="12219" xr:uid="{DA5314ED-54A4-4BE9-B67F-54748D90ED11}"/>
    <cellStyle name="Comma 4 2 3 2 5 3" xfId="5850" xr:uid="{00000000-0005-0000-0000-000080080000}"/>
    <cellStyle name="Comma 4 2 3 2 5 3 2" xfId="14292" xr:uid="{707D033E-C2B7-40C1-9CB5-9E0A189ACA11}"/>
    <cellStyle name="Comma 4 2 3 2 5 4" xfId="10074" xr:uid="{B409947D-B682-40F8-AAC8-A119345C9369}"/>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3C22DD1E-0F70-40A1-ACFB-F60EDB7E5188}"/>
    <cellStyle name="Comma 4 2 3 2 6 2 3" xfId="12632" xr:uid="{4376EAD1-888C-4596-9C09-8DEB53CD8A60}"/>
    <cellStyle name="Comma 4 2 3 2 6 3" xfId="6263" xr:uid="{00000000-0005-0000-0000-000084080000}"/>
    <cellStyle name="Comma 4 2 3 2 6 3 2" xfId="14705" xr:uid="{B18060A8-6099-4FDC-ABB9-E6D2124E45A6}"/>
    <cellStyle name="Comma 4 2 3 2 6 4" xfId="10487" xr:uid="{BF40F0F9-E2FB-4FBB-A084-FA096232B900}"/>
    <cellStyle name="Comma 4 2 3 2 7" xfId="2391" xr:uid="{00000000-0005-0000-0000-000085080000}"/>
    <cellStyle name="Comma 4 2 3 2 7 2" xfId="6676" xr:uid="{00000000-0005-0000-0000-000086080000}"/>
    <cellStyle name="Comma 4 2 3 2 7 2 2" xfId="15118" xr:uid="{66B0230B-7954-445A-963E-57C0206C7E95}"/>
    <cellStyle name="Comma 4 2 3 2 7 3" xfId="10900" xr:uid="{2CBAA39C-8EE9-4B53-B878-FDC2360175A8}"/>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F20FA79A-A184-4E09-A1AA-03971B705048}"/>
    <cellStyle name="Comma 4 2 3 2 9 3" xfId="11217" xr:uid="{BF7DD95D-C903-43A8-8BE3-3EE19D90B105}"/>
    <cellStyle name="Comma 4 2 3 3" xfId="139" xr:uid="{00000000-0005-0000-0000-00008A080000}"/>
    <cellStyle name="Comma 4 2 3 3 10" xfId="8836" xr:uid="{545AE630-BCF5-49D2-9511-41DE0593DFFB}"/>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EDBDB3CD-2FB6-41C6-9216-6FE9F5DC8014}"/>
    <cellStyle name="Comma 4 2 3 3 2 2 3" xfId="11395" xr:uid="{FC5C2406-E622-4C92-B2FD-7AFE73929437}"/>
    <cellStyle name="Comma 4 2 3 3 2 3" xfId="5026" xr:uid="{00000000-0005-0000-0000-00008E080000}"/>
    <cellStyle name="Comma 4 2 3 3 2 3 2" xfId="13468" xr:uid="{DF4429FB-88AA-4BE7-903A-EB956ED5D3B1}"/>
    <cellStyle name="Comma 4 2 3 3 2 4" xfId="9250" xr:uid="{53B51D96-1D61-474F-994E-644DA8B3DD4F}"/>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EE993B44-ED75-4314-8BEA-1EA756F10D60}"/>
    <cellStyle name="Comma 4 2 3 3 3 2 3" xfId="11808" xr:uid="{52C98A4B-99AB-4D1A-A468-80A6D04CBBC8}"/>
    <cellStyle name="Comma 4 2 3 3 3 3" xfId="5439" xr:uid="{00000000-0005-0000-0000-000092080000}"/>
    <cellStyle name="Comma 4 2 3 3 3 3 2" xfId="13881" xr:uid="{039D2B26-78C3-4D18-8A96-819C929B87F8}"/>
    <cellStyle name="Comma 4 2 3 3 3 4" xfId="9663" xr:uid="{21E1FD2D-7509-49A9-9D6E-30B3DCC98D3E}"/>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20DF102B-CC30-4AF3-A258-99F41131A15E}"/>
    <cellStyle name="Comma 4 2 3 3 4 2 3" xfId="12221" xr:uid="{50D4D880-6CD8-4BDF-A8CF-17984E475075}"/>
    <cellStyle name="Comma 4 2 3 3 4 3" xfId="5852" xr:uid="{00000000-0005-0000-0000-000096080000}"/>
    <cellStyle name="Comma 4 2 3 3 4 3 2" xfId="14294" xr:uid="{65E02652-3C31-4FB6-9ACA-430F6319AED8}"/>
    <cellStyle name="Comma 4 2 3 3 4 4" xfId="10076" xr:uid="{E7517EBF-B344-47ED-8EB7-B977AC5C9C40}"/>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54B9AED6-9485-4134-85C6-C22B92687968}"/>
    <cellStyle name="Comma 4 2 3 3 5 2 3" xfId="12634" xr:uid="{925EDF85-359E-4F4A-B826-A153FA217AC0}"/>
    <cellStyle name="Comma 4 2 3 3 5 3" xfId="6265" xr:uid="{00000000-0005-0000-0000-00009A080000}"/>
    <cellStyle name="Comma 4 2 3 3 5 3 2" xfId="14707" xr:uid="{D6D5C63B-A1B2-4C2C-A03C-077E9323BCD9}"/>
    <cellStyle name="Comma 4 2 3 3 5 4" xfId="10489" xr:uid="{236D01AC-7DCF-4FB2-ABD6-2D12EBA57380}"/>
    <cellStyle name="Comma 4 2 3 3 6" xfId="2393" xr:uid="{00000000-0005-0000-0000-00009B080000}"/>
    <cellStyle name="Comma 4 2 3 3 6 2" xfId="6678" xr:uid="{00000000-0005-0000-0000-00009C080000}"/>
    <cellStyle name="Comma 4 2 3 3 6 2 2" xfId="15120" xr:uid="{6AA603D5-4E55-4C97-8B1F-EB889B453EAE}"/>
    <cellStyle name="Comma 4 2 3 3 6 3" xfId="10902" xr:uid="{C412E99C-CE83-472B-9E2E-B36CB369937E}"/>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F03B6236-EB3E-46B2-8C9A-030119AE64AC}"/>
    <cellStyle name="Comma 4 2 3 3 8 3" xfId="11219" xr:uid="{2F9EDFEA-A527-483E-9FBB-998AFAC6996C}"/>
    <cellStyle name="Comma 4 2 3 3 9" xfId="4612" xr:uid="{00000000-0005-0000-0000-0000A0080000}"/>
    <cellStyle name="Comma 4 2 3 3 9 2" xfId="13054" xr:uid="{20C31618-1527-4E56-A853-88A6635D317B}"/>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E05B28A3-6797-4074-B404-59E9E74FEDC2}"/>
    <cellStyle name="Comma 4 2 3 4 2 3" xfId="11392" xr:uid="{D448A4A5-0231-4968-92FD-9EB54DF7A93A}"/>
    <cellStyle name="Comma 4 2 3 4 3" xfId="5023" xr:uid="{00000000-0005-0000-0000-0000A4080000}"/>
    <cellStyle name="Comma 4 2 3 4 3 2" xfId="13465" xr:uid="{1C9DBE27-ACD6-48B0-9B07-773FC4677E34}"/>
    <cellStyle name="Comma 4 2 3 4 4" xfId="9247" xr:uid="{164DE40C-58BB-4D6E-82CA-E57AE62E71FA}"/>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C2849910-5F63-4751-8A82-5A31F3D3128D}"/>
    <cellStyle name="Comma 4 2 3 5 2 3" xfId="11805" xr:uid="{D9B83511-BF48-478A-8F5F-E3A8DEA0B4FE}"/>
    <cellStyle name="Comma 4 2 3 5 3" xfId="5436" xr:uid="{00000000-0005-0000-0000-0000A8080000}"/>
    <cellStyle name="Comma 4 2 3 5 3 2" xfId="13878" xr:uid="{2047D15F-2277-4FD9-B659-C312F75225CA}"/>
    <cellStyle name="Comma 4 2 3 5 4" xfId="9660" xr:uid="{B0E5652E-E96E-41BA-B5F8-733F0BAD5EBD}"/>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F4F65DBB-6200-4E37-98DB-220887ADBD4F}"/>
    <cellStyle name="Comma 4 2 3 6 2 3" xfId="12218" xr:uid="{8A9E09D5-268C-4D3A-ADA4-294ACD83481D}"/>
    <cellStyle name="Comma 4 2 3 6 3" xfId="5849" xr:uid="{00000000-0005-0000-0000-0000AC080000}"/>
    <cellStyle name="Comma 4 2 3 6 3 2" xfId="14291" xr:uid="{0743DE85-6B0A-4CBF-8E05-DD6BA14F0818}"/>
    <cellStyle name="Comma 4 2 3 6 4" xfId="10073" xr:uid="{BB029107-EF90-45EE-98BF-93DDD16CAF0E}"/>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AB471264-96D1-423D-A28B-9DD27F031C1F}"/>
    <cellStyle name="Comma 4 2 3 7 2 3" xfId="12631" xr:uid="{672710DD-941D-4FA3-8BF4-6F2005EBA345}"/>
    <cellStyle name="Comma 4 2 3 7 3" xfId="6262" xr:uid="{00000000-0005-0000-0000-0000B0080000}"/>
    <cellStyle name="Comma 4 2 3 7 3 2" xfId="14704" xr:uid="{3CB2B99B-3BF1-49C6-8988-56F7326079E8}"/>
    <cellStyle name="Comma 4 2 3 7 4" xfId="10486" xr:uid="{2B3F4006-1331-4AF3-9442-EC19CD003BB8}"/>
    <cellStyle name="Comma 4 2 3 8" xfId="2390" xr:uid="{00000000-0005-0000-0000-0000B1080000}"/>
    <cellStyle name="Comma 4 2 3 8 2" xfId="6675" xr:uid="{00000000-0005-0000-0000-0000B2080000}"/>
    <cellStyle name="Comma 4 2 3 8 2 2" xfId="15117" xr:uid="{C6AC00E9-3C6D-4E8F-90B6-DC410EB8CC57}"/>
    <cellStyle name="Comma 4 2 3 8 3" xfId="10899" xr:uid="{1689B0C9-E3E8-459D-AB60-096ABDDC8234}"/>
    <cellStyle name="Comma 4 2 3 9" xfId="2373" xr:uid="{00000000-0005-0000-0000-0000B3080000}"/>
    <cellStyle name="Comma 4 2 4" xfId="140" xr:uid="{00000000-0005-0000-0000-0000B4080000}"/>
    <cellStyle name="Comma 4 2 4 10" xfId="4613" xr:uid="{00000000-0005-0000-0000-0000B5080000}"/>
    <cellStyle name="Comma 4 2 4 10 2" xfId="13055" xr:uid="{12E34040-659B-4B95-9F07-BA1E04346CF1}"/>
    <cellStyle name="Comma 4 2 4 11" xfId="8837" xr:uid="{449A303C-ED33-42D8-BBCD-658C0E65CB46}"/>
    <cellStyle name="Comma 4 2 4 2" xfId="141" xr:uid="{00000000-0005-0000-0000-0000B6080000}"/>
    <cellStyle name="Comma 4 2 4 2 10" xfId="8838" xr:uid="{915661EE-E15F-460D-9E3A-DE8B22277D4E}"/>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940DED86-D01A-4261-9A2A-E87C8C795F2D}"/>
    <cellStyle name="Comma 4 2 4 2 2 2 3" xfId="11397" xr:uid="{520AEF6F-84EC-493F-95BD-9A6DD831B587}"/>
    <cellStyle name="Comma 4 2 4 2 2 3" xfId="5028" xr:uid="{00000000-0005-0000-0000-0000BA080000}"/>
    <cellStyle name="Comma 4 2 4 2 2 3 2" xfId="13470" xr:uid="{41B00D40-1759-4431-9E08-027DD86A363C}"/>
    <cellStyle name="Comma 4 2 4 2 2 4" xfId="9252" xr:uid="{7E3ACCA5-B100-4B6E-A892-C6A035A6684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CCDE9D2B-171A-4230-9099-760788FAB42A}"/>
    <cellStyle name="Comma 4 2 4 2 3 2 3" xfId="11810" xr:uid="{065BCC18-7F5E-416B-A742-71BE7C299953}"/>
    <cellStyle name="Comma 4 2 4 2 3 3" xfId="5441" xr:uid="{00000000-0005-0000-0000-0000BE080000}"/>
    <cellStyle name="Comma 4 2 4 2 3 3 2" xfId="13883" xr:uid="{29C57305-924C-4595-A4BF-CDD9DE235CE3}"/>
    <cellStyle name="Comma 4 2 4 2 3 4" xfId="9665" xr:uid="{9E06841A-0CF5-4EAD-9094-72B2EFE45B55}"/>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3C3386E1-A27B-448B-AFF8-1FA273E9E6C0}"/>
    <cellStyle name="Comma 4 2 4 2 4 2 3" xfId="12223" xr:uid="{09FA92BE-596B-4D80-806A-B9B970A587E9}"/>
    <cellStyle name="Comma 4 2 4 2 4 3" xfId="5854" xr:uid="{00000000-0005-0000-0000-0000C2080000}"/>
    <cellStyle name="Comma 4 2 4 2 4 3 2" xfId="14296" xr:uid="{6BD933AA-763C-41CB-8AB9-656D5560FA6F}"/>
    <cellStyle name="Comma 4 2 4 2 4 4" xfId="10078" xr:uid="{38D4850E-8EC2-4C08-8108-99A6A4D52C45}"/>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4FB2DD48-3F9B-459F-932B-BEA2BDE01141}"/>
    <cellStyle name="Comma 4 2 4 2 5 2 3" xfId="12636" xr:uid="{5D0D494F-3048-4ADA-B88A-8A76729FD8D4}"/>
    <cellStyle name="Comma 4 2 4 2 5 3" xfId="6267" xr:uid="{00000000-0005-0000-0000-0000C6080000}"/>
    <cellStyle name="Comma 4 2 4 2 5 3 2" xfId="14709" xr:uid="{51710B63-249A-4B24-9F00-34CD2ECD96A0}"/>
    <cellStyle name="Comma 4 2 4 2 5 4" xfId="10491" xr:uid="{EFC149A1-3FC3-44A3-B97D-581EAAA61241}"/>
    <cellStyle name="Comma 4 2 4 2 6" xfId="2395" xr:uid="{00000000-0005-0000-0000-0000C7080000}"/>
    <cellStyle name="Comma 4 2 4 2 6 2" xfId="6680" xr:uid="{00000000-0005-0000-0000-0000C8080000}"/>
    <cellStyle name="Comma 4 2 4 2 6 2 2" xfId="15122" xr:uid="{A02F0972-EC8C-4B9C-A1AC-4633718B6FDE}"/>
    <cellStyle name="Comma 4 2 4 2 6 3" xfId="10904" xr:uid="{77266A23-8B5A-4BE0-98EF-09806E6B0C1E}"/>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4D2CD399-2C29-43D2-8C31-E1770CB60E33}"/>
    <cellStyle name="Comma 4 2 4 2 8 3" xfId="11221" xr:uid="{30E97A8F-9436-49FC-821A-F0A313CC635D}"/>
    <cellStyle name="Comma 4 2 4 2 9" xfId="4614" xr:uid="{00000000-0005-0000-0000-0000CC080000}"/>
    <cellStyle name="Comma 4 2 4 2 9 2" xfId="13056" xr:uid="{8EA56A12-9D40-48C2-AE26-B927E6ED1391}"/>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992D7085-EADE-4D22-9C04-8A3BF0C4EF52}"/>
    <cellStyle name="Comma 4 2 4 3 2 3" xfId="11396" xr:uid="{5A031945-6411-48CE-8A86-0C2F8DC9A29D}"/>
    <cellStyle name="Comma 4 2 4 3 3" xfId="5027" xr:uid="{00000000-0005-0000-0000-0000D0080000}"/>
    <cellStyle name="Comma 4 2 4 3 3 2" xfId="13469" xr:uid="{8F0A9570-C41D-443E-93C5-8BE23F7AB919}"/>
    <cellStyle name="Comma 4 2 4 3 4" xfId="9251" xr:uid="{4CCABE9D-6F68-40F8-BB0E-8F89032F5F6B}"/>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31895D20-7974-42CC-A8F9-FD95BEF519E9}"/>
    <cellStyle name="Comma 4 2 4 4 2 3" xfId="11809" xr:uid="{F90882CF-5605-449B-A9C3-B9A6E3B6D511}"/>
    <cellStyle name="Comma 4 2 4 4 3" xfId="5440" xr:uid="{00000000-0005-0000-0000-0000D4080000}"/>
    <cellStyle name="Comma 4 2 4 4 3 2" xfId="13882" xr:uid="{84522C3E-DD44-4F0C-A727-BFD8BD99F3DB}"/>
    <cellStyle name="Comma 4 2 4 4 4" xfId="9664" xr:uid="{342270BB-F4A9-4F46-9110-5B876CE45325}"/>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FE3DB21-ADEB-45D7-92C4-C1275D06F172}"/>
    <cellStyle name="Comma 4 2 4 5 2 3" xfId="12222" xr:uid="{E2858D55-1D47-47E1-9FED-CDCF5013A8D4}"/>
    <cellStyle name="Comma 4 2 4 5 3" xfId="5853" xr:uid="{00000000-0005-0000-0000-0000D8080000}"/>
    <cellStyle name="Comma 4 2 4 5 3 2" xfId="14295" xr:uid="{945DBD8E-4BDB-4562-8FC5-C3C38B42E047}"/>
    <cellStyle name="Comma 4 2 4 5 4" xfId="10077" xr:uid="{C5176C45-CAFF-4143-9002-64B619380ED2}"/>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8D3F67EB-20F7-4550-A8B0-EDA2DF1D122C}"/>
    <cellStyle name="Comma 4 2 4 6 2 3" xfId="12635" xr:uid="{BBB443E8-8E76-40C3-8055-361719EE2462}"/>
    <cellStyle name="Comma 4 2 4 6 3" xfId="6266" xr:uid="{00000000-0005-0000-0000-0000DC080000}"/>
    <cellStyle name="Comma 4 2 4 6 3 2" xfId="14708" xr:uid="{AA2FA6FB-B9B9-43C4-9B6B-84B00C33CC69}"/>
    <cellStyle name="Comma 4 2 4 6 4" xfId="10490" xr:uid="{73C028FC-30C2-4871-9130-3379397E5016}"/>
    <cellStyle name="Comma 4 2 4 7" xfId="2394" xr:uid="{00000000-0005-0000-0000-0000DD080000}"/>
    <cellStyle name="Comma 4 2 4 7 2" xfId="6679" xr:uid="{00000000-0005-0000-0000-0000DE080000}"/>
    <cellStyle name="Comma 4 2 4 7 2 2" xfId="15121" xr:uid="{C0332889-6564-4847-B085-F5C6D799BBA8}"/>
    <cellStyle name="Comma 4 2 4 7 3" xfId="10903" xr:uid="{2428DCED-D927-47DE-B803-64CD6010CDBE}"/>
    <cellStyle name="Comma 4 2 4 8" xfId="2369" xr:uid="{00000000-0005-0000-0000-0000DF080000}"/>
    <cellStyle name="Comma 4 2 4 9" xfId="2772" xr:uid="{00000000-0005-0000-0000-0000E0080000}"/>
    <cellStyle name="Comma 4 2 4 9 2" xfId="6996" xr:uid="{00000000-0005-0000-0000-0000E1080000}"/>
    <cellStyle name="Comma 4 2 4 9 2 2" xfId="15438" xr:uid="{8233B6E4-2DFC-44F4-8D62-3E006EE94EF0}"/>
    <cellStyle name="Comma 4 2 4 9 3" xfId="11220" xr:uid="{8B565851-3506-45C4-A827-494517FB9C7E}"/>
    <cellStyle name="Comma 4 2 5" xfId="142" xr:uid="{00000000-0005-0000-0000-0000E2080000}"/>
    <cellStyle name="Comma 4 2 5 10" xfId="8839" xr:uid="{364CCF87-354C-42FB-87AF-9B1D205EE3E7}"/>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5F50D6E9-E0FA-4DA0-8836-8D1CD8D72067}"/>
    <cellStyle name="Comma 4 2 5 2 2 3" xfId="11398" xr:uid="{915BD2B7-8BB5-4D0A-AF73-A2D8A8E667C0}"/>
    <cellStyle name="Comma 4 2 5 2 3" xfId="5029" xr:uid="{00000000-0005-0000-0000-0000E6080000}"/>
    <cellStyle name="Comma 4 2 5 2 3 2" xfId="13471" xr:uid="{5B9EBC43-22AA-46CC-86A3-FA65B7A98655}"/>
    <cellStyle name="Comma 4 2 5 2 4" xfId="9253" xr:uid="{D927CBF0-2550-4C96-A4AF-AB9E4FAF0BB1}"/>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2F384C74-0BEB-4527-9803-696370E2C889}"/>
    <cellStyle name="Comma 4 2 5 3 2 3" xfId="11811" xr:uid="{B3CFCD09-9F0C-41FF-8952-023E708B83FB}"/>
    <cellStyle name="Comma 4 2 5 3 3" xfId="5442" xr:uid="{00000000-0005-0000-0000-0000EA080000}"/>
    <cellStyle name="Comma 4 2 5 3 3 2" xfId="13884" xr:uid="{129E9CE4-7AF8-4F5B-841A-C95EE10E4E10}"/>
    <cellStyle name="Comma 4 2 5 3 4" xfId="9666" xr:uid="{AB8052AA-B8E3-4124-BB91-B752A03A5080}"/>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B3BE95DD-882D-462E-8E9C-B7A48DF447C1}"/>
    <cellStyle name="Comma 4 2 5 4 2 3" xfId="12224" xr:uid="{C0CBB34A-E365-49EC-AE27-B65855D69B2F}"/>
    <cellStyle name="Comma 4 2 5 4 3" xfId="5855" xr:uid="{00000000-0005-0000-0000-0000EE080000}"/>
    <cellStyle name="Comma 4 2 5 4 3 2" xfId="14297" xr:uid="{A3EB0134-8CA1-46B2-ACEA-2C4254B07CEF}"/>
    <cellStyle name="Comma 4 2 5 4 4" xfId="10079" xr:uid="{F4B1FAD4-0771-4CCB-BB91-60CA6422AD31}"/>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BC630554-7DCD-40D7-BC04-A970AFEBB25A}"/>
    <cellStyle name="Comma 4 2 5 5 2 3" xfId="12637" xr:uid="{95F789AF-8364-4F26-BD46-8BB6C73E615B}"/>
    <cellStyle name="Comma 4 2 5 5 3" xfId="6268" xr:uid="{00000000-0005-0000-0000-0000F2080000}"/>
    <cellStyle name="Comma 4 2 5 5 3 2" xfId="14710" xr:uid="{F9B282DC-FD28-4AA3-B538-0BDAD5DF6605}"/>
    <cellStyle name="Comma 4 2 5 5 4" xfId="10492" xr:uid="{9425C197-4341-4173-9A80-C4E5D256E406}"/>
    <cellStyle name="Comma 4 2 5 6" xfId="2396" xr:uid="{00000000-0005-0000-0000-0000F3080000}"/>
    <cellStyle name="Comma 4 2 5 6 2" xfId="6681" xr:uid="{00000000-0005-0000-0000-0000F4080000}"/>
    <cellStyle name="Comma 4 2 5 6 2 2" xfId="15123" xr:uid="{1245B519-C7AB-4761-95F7-B27CF92A8163}"/>
    <cellStyle name="Comma 4 2 5 6 3" xfId="10905" xr:uid="{247B3C4B-B365-4FE3-921A-40CC25A33DDC}"/>
    <cellStyle name="Comma 4 2 5 7" xfId="2367" xr:uid="{00000000-0005-0000-0000-0000F5080000}"/>
    <cellStyle name="Comma 4 2 5 8" xfId="2774" xr:uid="{00000000-0005-0000-0000-0000F6080000}"/>
    <cellStyle name="Comma 4 2 5 8 2" xfId="6998" xr:uid="{00000000-0005-0000-0000-0000F7080000}"/>
    <cellStyle name="Comma 4 2 5 8 2 2" xfId="15440" xr:uid="{2199EEC7-C52F-463A-AA6B-BB55F88BBC57}"/>
    <cellStyle name="Comma 4 2 5 8 3" xfId="11222" xr:uid="{1D3FE4AD-6DDC-472D-A6B7-3619DFFD153D}"/>
    <cellStyle name="Comma 4 2 5 9" xfId="4615" xr:uid="{00000000-0005-0000-0000-0000F8080000}"/>
    <cellStyle name="Comma 4 2 5 9 2" xfId="13057" xr:uid="{17A8A48D-63D3-4A95-985B-85D79A0365E8}"/>
    <cellStyle name="Comma 4 2 6" xfId="143" xr:uid="{00000000-0005-0000-0000-0000F9080000}"/>
    <cellStyle name="Comma 4 2 6 10" xfId="8840" xr:uid="{977F18A1-3130-44A3-BF98-9F5A6589E3B1}"/>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D51C9295-1726-4CB4-83BA-41AB958F3F96}"/>
    <cellStyle name="Comma 4 2 6 2 2 3" xfId="11399" xr:uid="{A411B5BB-9C4D-4CCD-A140-FAC10E8029F5}"/>
    <cellStyle name="Comma 4 2 6 2 3" xfId="5030" xr:uid="{00000000-0005-0000-0000-0000FD080000}"/>
    <cellStyle name="Comma 4 2 6 2 3 2" xfId="13472" xr:uid="{A84B0555-CA74-45AC-A8C9-F2F55BDA2339}"/>
    <cellStyle name="Comma 4 2 6 2 4" xfId="9254" xr:uid="{C43DE286-B318-4632-86AB-136DB6326C07}"/>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38CF358E-B4E4-463A-B8F8-168D8DB4A707}"/>
    <cellStyle name="Comma 4 2 6 3 2 3" xfId="11812" xr:uid="{0A84CB2D-3755-4DC7-8193-6AD5EF84099B}"/>
    <cellStyle name="Comma 4 2 6 3 3" xfId="5443" xr:uid="{00000000-0005-0000-0000-000001090000}"/>
    <cellStyle name="Comma 4 2 6 3 3 2" xfId="13885" xr:uid="{01A463D4-0DEE-4E8E-9B3E-3627B38D7B81}"/>
    <cellStyle name="Comma 4 2 6 3 4" xfId="9667" xr:uid="{5BDDADF1-80F5-4293-951C-BE271220073E}"/>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2C8AF73F-6018-4A9B-9B39-4571AAF07333}"/>
    <cellStyle name="Comma 4 2 6 4 2 3" xfId="12225" xr:uid="{46F41564-7465-4F4F-960A-195E4D2CB91C}"/>
    <cellStyle name="Comma 4 2 6 4 3" xfId="5856" xr:uid="{00000000-0005-0000-0000-000005090000}"/>
    <cellStyle name="Comma 4 2 6 4 3 2" xfId="14298" xr:uid="{ED7F77AA-C471-46EF-8E20-9EEBEF1B074F}"/>
    <cellStyle name="Comma 4 2 6 4 4" xfId="10080" xr:uid="{A88D8F08-46B5-42A1-8074-72167994F40F}"/>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014ABFCA-7B0A-4E4E-B641-3DB4F168908C}"/>
    <cellStyle name="Comma 4 2 6 5 2 3" xfId="12638" xr:uid="{B0C912FE-63B5-49A3-9268-A1B0F8658D93}"/>
    <cellStyle name="Comma 4 2 6 5 3" xfId="6269" xr:uid="{00000000-0005-0000-0000-000009090000}"/>
    <cellStyle name="Comma 4 2 6 5 3 2" xfId="14711" xr:uid="{D4EB325C-FB57-4DA3-8BA5-13B37EF5A942}"/>
    <cellStyle name="Comma 4 2 6 5 4" xfId="10493" xr:uid="{684522E9-567F-4C22-AAA4-0C4CAD4B1AAA}"/>
    <cellStyle name="Comma 4 2 6 6" xfId="2397" xr:uid="{00000000-0005-0000-0000-00000A090000}"/>
    <cellStyle name="Comma 4 2 6 6 2" xfId="6682" xr:uid="{00000000-0005-0000-0000-00000B090000}"/>
    <cellStyle name="Comma 4 2 6 6 2 2" xfId="15124" xr:uid="{D739FF53-FBCC-4BE8-BE43-7A5F280512F0}"/>
    <cellStyle name="Comma 4 2 6 6 3" xfId="10906" xr:uid="{BD1F3CA6-AC1D-4E31-8030-2456C42E1719}"/>
    <cellStyle name="Comma 4 2 6 7" xfId="2366" xr:uid="{00000000-0005-0000-0000-00000C090000}"/>
    <cellStyle name="Comma 4 2 6 8" xfId="2775" xr:uid="{00000000-0005-0000-0000-00000D090000}"/>
    <cellStyle name="Comma 4 2 6 8 2" xfId="6999" xr:uid="{00000000-0005-0000-0000-00000E090000}"/>
    <cellStyle name="Comma 4 2 6 8 2 2" xfId="15441" xr:uid="{C13E1B01-4D91-4702-B264-E8D037C403C0}"/>
    <cellStyle name="Comma 4 2 6 8 3" xfId="11223" xr:uid="{5D57384F-8055-40B1-A80D-97B0AA025948}"/>
    <cellStyle name="Comma 4 2 6 9" xfId="4616" xr:uid="{00000000-0005-0000-0000-00000F090000}"/>
    <cellStyle name="Comma 4 2 6 9 2" xfId="13058" xr:uid="{15E6C268-B23A-441D-BC1A-C500B06DDA3C}"/>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C3205D93-62E5-4EDD-91BD-5A49F817B250}"/>
    <cellStyle name="Comma 4 3 2 10 3" xfId="11224" xr:uid="{E252154C-7435-4193-9B94-D63971BFA4A7}"/>
    <cellStyle name="Comma 4 3 2 11" xfId="4617" xr:uid="{00000000-0005-0000-0000-000014090000}"/>
    <cellStyle name="Comma 4 3 2 11 2" xfId="13059" xr:uid="{0BBB8D97-BCE6-4945-A708-85279821AF49}"/>
    <cellStyle name="Comma 4 3 2 12" xfId="8841" xr:uid="{AAF92A0B-EFD7-47D5-ACCE-547E7D71FDFC}"/>
    <cellStyle name="Comma 4 3 2 2" xfId="146" xr:uid="{00000000-0005-0000-0000-000015090000}"/>
    <cellStyle name="Comma 4 3 2 2 10" xfId="4618" xr:uid="{00000000-0005-0000-0000-000016090000}"/>
    <cellStyle name="Comma 4 3 2 2 10 2" xfId="13060" xr:uid="{BDA3F6A5-22D1-47FB-947D-3C584C5B45A9}"/>
    <cellStyle name="Comma 4 3 2 2 11" xfId="8842" xr:uid="{A82A69CF-DEB1-4506-AFB7-98FBEC8768E3}"/>
    <cellStyle name="Comma 4 3 2 2 2" xfId="147" xr:uid="{00000000-0005-0000-0000-000017090000}"/>
    <cellStyle name="Comma 4 3 2 2 2 10" xfId="8843" xr:uid="{DFC5E71A-882A-4785-9FB2-CD20E8CC690C}"/>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9192B89F-36B6-434F-A620-FE1A4185A57E}"/>
    <cellStyle name="Comma 4 3 2 2 2 2 2 3" xfId="11402" xr:uid="{D72A4E30-054F-43A5-892E-8DCAD90999EE}"/>
    <cellStyle name="Comma 4 3 2 2 2 2 3" xfId="5033" xr:uid="{00000000-0005-0000-0000-00001B090000}"/>
    <cellStyle name="Comma 4 3 2 2 2 2 3 2" xfId="13475" xr:uid="{9FF7E903-C0D4-4842-B2B3-544A12210678}"/>
    <cellStyle name="Comma 4 3 2 2 2 2 4" xfId="9257" xr:uid="{48D8B5FD-F1A4-4CEC-A4B8-0DBF149996D8}"/>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8254A61C-4E18-45AB-A836-7EF165A85439}"/>
    <cellStyle name="Comma 4 3 2 2 2 3 2 3" xfId="11815" xr:uid="{D18B858E-693A-4394-AA8D-7048BB477A2C}"/>
    <cellStyle name="Comma 4 3 2 2 2 3 3" xfId="5446" xr:uid="{00000000-0005-0000-0000-00001F090000}"/>
    <cellStyle name="Comma 4 3 2 2 2 3 3 2" xfId="13888" xr:uid="{93A5306F-D115-415C-99CF-1DF1ED0E7C2E}"/>
    <cellStyle name="Comma 4 3 2 2 2 3 4" xfId="9670" xr:uid="{FE5675E7-A421-47EE-A0E4-756E92FBBC93}"/>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52B12206-DDA8-493C-9DE0-A11987AA49F9}"/>
    <cellStyle name="Comma 4 3 2 2 2 4 2 3" xfId="12228" xr:uid="{E4B0695B-A5AB-491A-A1E2-B1E745C1D1F0}"/>
    <cellStyle name="Comma 4 3 2 2 2 4 3" xfId="5859" xr:uid="{00000000-0005-0000-0000-000023090000}"/>
    <cellStyle name="Comma 4 3 2 2 2 4 3 2" xfId="14301" xr:uid="{05F95ACB-76CA-4C46-BB5B-0CAE5FEA86BC}"/>
    <cellStyle name="Comma 4 3 2 2 2 4 4" xfId="10083" xr:uid="{EAA81AC9-8CAB-44E8-9E8F-0605811B4CDB}"/>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EA0A6CC9-E5AE-4C95-8DA4-B68B4088CC18}"/>
    <cellStyle name="Comma 4 3 2 2 2 5 2 3" xfId="12641" xr:uid="{EBFBAB14-5990-4CA6-BC64-FD82E8EC59C2}"/>
    <cellStyle name="Comma 4 3 2 2 2 5 3" xfId="6272" xr:uid="{00000000-0005-0000-0000-000027090000}"/>
    <cellStyle name="Comma 4 3 2 2 2 5 3 2" xfId="14714" xr:uid="{A06AE75A-A504-4AA4-95C5-215890D0E5A7}"/>
    <cellStyle name="Comma 4 3 2 2 2 5 4" xfId="10496" xr:uid="{07A2602F-DED5-4CF4-BA83-9ECE52D03351}"/>
    <cellStyle name="Comma 4 3 2 2 2 6" xfId="2400" xr:uid="{00000000-0005-0000-0000-000028090000}"/>
    <cellStyle name="Comma 4 3 2 2 2 6 2" xfId="6685" xr:uid="{00000000-0005-0000-0000-000029090000}"/>
    <cellStyle name="Comma 4 3 2 2 2 6 2 2" xfId="15127" xr:uid="{916CF671-3BEE-4C0F-8D85-A5EC84AA1359}"/>
    <cellStyle name="Comma 4 3 2 2 2 6 3" xfId="10909" xr:uid="{027D7025-3188-440D-808E-44BC1B4EA219}"/>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0B565BE9-0B21-4EF7-B4A7-3FF742427E5A}"/>
    <cellStyle name="Comma 4 3 2 2 2 8 3" xfId="11226" xr:uid="{74036C5C-ADFD-4F96-B62A-D292C90013FF}"/>
    <cellStyle name="Comma 4 3 2 2 2 9" xfId="4619" xr:uid="{00000000-0005-0000-0000-00002D090000}"/>
    <cellStyle name="Comma 4 3 2 2 2 9 2" xfId="13061" xr:uid="{23CA3DE8-68B8-48DC-9888-7CA27156472D}"/>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C677905D-056F-4416-9778-CDF2122AB517}"/>
    <cellStyle name="Comma 4 3 2 2 3 2 3" xfId="11401" xr:uid="{D8004805-CF24-4B96-8F8A-12B033131F84}"/>
    <cellStyle name="Comma 4 3 2 2 3 3" xfId="5032" xr:uid="{00000000-0005-0000-0000-000031090000}"/>
    <cellStyle name="Comma 4 3 2 2 3 3 2" xfId="13474" xr:uid="{2800FCD3-7F86-4232-B512-895C9ABC83D6}"/>
    <cellStyle name="Comma 4 3 2 2 3 4" xfId="9256" xr:uid="{E2F4CA8A-909B-4856-99E7-D6B6AC8F279B}"/>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1CB41F8C-57D0-4856-9D87-91C0DA523408}"/>
    <cellStyle name="Comma 4 3 2 2 4 2 3" xfId="11814" xr:uid="{ABDADCF4-475C-4BCA-AD6C-72DCA291EE50}"/>
    <cellStyle name="Comma 4 3 2 2 4 3" xfId="5445" xr:uid="{00000000-0005-0000-0000-000035090000}"/>
    <cellStyle name="Comma 4 3 2 2 4 3 2" xfId="13887" xr:uid="{A5AEEFAA-203B-49B9-AA3C-CD881EF7F9D6}"/>
    <cellStyle name="Comma 4 3 2 2 4 4" xfId="9669" xr:uid="{06182230-40DE-455E-B325-199936E0BF14}"/>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221B938B-0762-451C-BED5-FD49B504BB3A}"/>
    <cellStyle name="Comma 4 3 2 2 5 2 3" xfId="12227" xr:uid="{68DEEC83-2D63-4973-A723-11233F868596}"/>
    <cellStyle name="Comma 4 3 2 2 5 3" xfId="5858" xr:uid="{00000000-0005-0000-0000-000039090000}"/>
    <cellStyle name="Comma 4 3 2 2 5 3 2" xfId="14300" xr:uid="{0A17FD7C-1A96-4770-A431-78CE735A4997}"/>
    <cellStyle name="Comma 4 3 2 2 5 4" xfId="10082" xr:uid="{6F670740-8AFE-4B15-AC8F-908CACE72EAC}"/>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650AD6D0-B0C3-4A15-988A-7DB889FB5B8D}"/>
    <cellStyle name="Comma 4 3 2 2 6 2 3" xfId="12640" xr:uid="{01C32128-DA96-4999-8C9A-74B4AE4AD461}"/>
    <cellStyle name="Comma 4 3 2 2 6 3" xfId="6271" xr:uid="{00000000-0005-0000-0000-00003D090000}"/>
    <cellStyle name="Comma 4 3 2 2 6 3 2" xfId="14713" xr:uid="{2BF98C42-75B1-429A-845E-1A5BC5A33216}"/>
    <cellStyle name="Comma 4 3 2 2 6 4" xfId="10495" xr:uid="{A86CB1C9-A3AB-464D-95A2-1052FD424BD5}"/>
    <cellStyle name="Comma 4 3 2 2 7" xfId="2399" xr:uid="{00000000-0005-0000-0000-00003E090000}"/>
    <cellStyle name="Comma 4 3 2 2 7 2" xfId="6684" xr:uid="{00000000-0005-0000-0000-00003F090000}"/>
    <cellStyle name="Comma 4 3 2 2 7 2 2" xfId="15126" xr:uid="{4F9ACC33-7866-4C70-AA17-5555777358FA}"/>
    <cellStyle name="Comma 4 3 2 2 7 3" xfId="10908" xr:uid="{6AD7C323-3032-4E29-A57D-DB2F107EC5AA}"/>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A892DB60-4194-448B-B29D-EFF6C4FE81F2}"/>
    <cellStyle name="Comma 4 3 2 2 9 3" xfId="11225" xr:uid="{D6A0BCE8-D8AC-4065-9269-C573618F45FA}"/>
    <cellStyle name="Comma 4 3 2 3" xfId="148" xr:uid="{00000000-0005-0000-0000-000043090000}"/>
    <cellStyle name="Comma 4 3 2 3 10" xfId="8844" xr:uid="{9FC9D8D2-1C84-4F66-9B9A-216E478B7D2C}"/>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ED8E2038-9B3C-4E1F-A5C4-3BD9903E126F}"/>
    <cellStyle name="Comma 4 3 2 3 2 2 3" xfId="11403" xr:uid="{C316526A-BE6A-4B9D-AC15-A7296DA740CF}"/>
    <cellStyle name="Comma 4 3 2 3 2 3" xfId="5034" xr:uid="{00000000-0005-0000-0000-000047090000}"/>
    <cellStyle name="Comma 4 3 2 3 2 3 2" xfId="13476" xr:uid="{260100EC-F7E8-4752-91D6-9D3E37F4853B}"/>
    <cellStyle name="Comma 4 3 2 3 2 4" xfId="9258" xr:uid="{67EF343E-7E08-424C-989B-5F682FA847FA}"/>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EF4CEBE9-53AB-4B98-9C38-5CC7EAD9D0D9}"/>
    <cellStyle name="Comma 4 3 2 3 3 2 3" xfId="11816" xr:uid="{C0352316-16FE-4A42-A9D2-8B362822BD07}"/>
    <cellStyle name="Comma 4 3 2 3 3 3" xfId="5447" xr:uid="{00000000-0005-0000-0000-00004B090000}"/>
    <cellStyle name="Comma 4 3 2 3 3 3 2" xfId="13889" xr:uid="{3DF9C951-5A05-4995-87C1-07EDC144D1D7}"/>
    <cellStyle name="Comma 4 3 2 3 3 4" xfId="9671" xr:uid="{39FF8D99-96CD-4F37-9CFC-F56CB1BAC7A8}"/>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8497641B-4CF8-4D64-8B15-E912EBA998CC}"/>
    <cellStyle name="Comma 4 3 2 3 4 2 3" xfId="12229" xr:uid="{285E79D1-FB47-495E-BDC5-EE909DF13ECA}"/>
    <cellStyle name="Comma 4 3 2 3 4 3" xfId="5860" xr:uid="{00000000-0005-0000-0000-00004F090000}"/>
    <cellStyle name="Comma 4 3 2 3 4 3 2" xfId="14302" xr:uid="{2C0B2D35-35A0-47D8-90C6-2BB3CEC579DB}"/>
    <cellStyle name="Comma 4 3 2 3 4 4" xfId="10084" xr:uid="{B81CAC14-A66E-461C-BD1C-6B3E13CE4C5E}"/>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6CD07352-7BEC-40B0-96F1-E62A9530FA34}"/>
    <cellStyle name="Comma 4 3 2 3 5 2 3" xfId="12642" xr:uid="{DC7606C4-9F25-4F23-B844-02AF8CBDDC06}"/>
    <cellStyle name="Comma 4 3 2 3 5 3" xfId="6273" xr:uid="{00000000-0005-0000-0000-000053090000}"/>
    <cellStyle name="Comma 4 3 2 3 5 3 2" xfId="14715" xr:uid="{153F0F10-4D0D-42D0-BB34-43817FE34406}"/>
    <cellStyle name="Comma 4 3 2 3 5 4" xfId="10497" xr:uid="{B215DECD-5596-4FA9-B20D-81207E90AA1A}"/>
    <cellStyle name="Comma 4 3 2 3 6" xfId="2401" xr:uid="{00000000-0005-0000-0000-000054090000}"/>
    <cellStyle name="Comma 4 3 2 3 6 2" xfId="6686" xr:uid="{00000000-0005-0000-0000-000055090000}"/>
    <cellStyle name="Comma 4 3 2 3 6 2 2" xfId="15128" xr:uid="{86F4D8BB-4407-47E0-AC61-658FE1BED5C3}"/>
    <cellStyle name="Comma 4 3 2 3 6 3" xfId="10910" xr:uid="{F7FE4A1E-8773-4F11-AF4B-BF3DEBDFD33C}"/>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B52BEAA7-9DAA-4C11-B359-EEECA724AFD1}"/>
    <cellStyle name="Comma 4 3 2 3 8 3" xfId="11227" xr:uid="{6E831BD0-88A1-4E3F-B5CB-F5F1B05151C5}"/>
    <cellStyle name="Comma 4 3 2 3 9" xfId="4620" xr:uid="{00000000-0005-0000-0000-000059090000}"/>
    <cellStyle name="Comma 4 3 2 3 9 2" xfId="13062" xr:uid="{AA5F58ED-1AA3-4CCE-8C93-F56F93590BB8}"/>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F9AADAD8-CD76-4D6B-8BED-A03E4BE578AF}"/>
    <cellStyle name="Comma 4 3 2 4 2 3" xfId="11400" xr:uid="{CFBB326A-888D-4359-AA53-9ABCA418EF18}"/>
    <cellStyle name="Comma 4 3 2 4 3" xfId="5031" xr:uid="{00000000-0005-0000-0000-00005D090000}"/>
    <cellStyle name="Comma 4 3 2 4 3 2" xfId="13473" xr:uid="{1E8AFBBB-2FBC-48D7-A691-7084219948EC}"/>
    <cellStyle name="Comma 4 3 2 4 4" xfId="9255" xr:uid="{6384F25E-6B62-43B0-87D8-5ABF01A911E0}"/>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5F73530E-D613-4E9F-ABEE-4EEBEB08E95E}"/>
    <cellStyle name="Comma 4 3 2 5 2 3" xfId="11813" xr:uid="{E19DB29B-DDE0-44D6-91EA-2E2426556B19}"/>
    <cellStyle name="Comma 4 3 2 5 3" xfId="5444" xr:uid="{00000000-0005-0000-0000-000061090000}"/>
    <cellStyle name="Comma 4 3 2 5 3 2" xfId="13886" xr:uid="{CE756B9D-8C9D-453D-8500-5C0C25FAF5F4}"/>
    <cellStyle name="Comma 4 3 2 5 4" xfId="9668" xr:uid="{4AEB1636-B962-419A-8D28-800C2CC9F91B}"/>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915E5EB6-C262-40E6-927D-72CDC4460417}"/>
    <cellStyle name="Comma 4 3 2 6 2 3" xfId="12226" xr:uid="{61AF6476-43C0-4412-9A2B-3D3724A99C0C}"/>
    <cellStyle name="Comma 4 3 2 6 3" xfId="5857" xr:uid="{00000000-0005-0000-0000-000065090000}"/>
    <cellStyle name="Comma 4 3 2 6 3 2" xfId="14299" xr:uid="{14F9D5DA-05B4-4952-BB96-9508FC55B870}"/>
    <cellStyle name="Comma 4 3 2 6 4" xfId="10081" xr:uid="{C3F2F9AC-2A93-44FA-90A1-BCA41988AC8C}"/>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5024FE1-E971-4278-9406-21236FE653FD}"/>
    <cellStyle name="Comma 4 3 2 7 2 3" xfId="12639" xr:uid="{BB8B9DBA-1943-4CE8-8E1F-7BB893FB99BA}"/>
    <cellStyle name="Comma 4 3 2 7 3" xfId="6270" xr:uid="{00000000-0005-0000-0000-000069090000}"/>
    <cellStyle name="Comma 4 3 2 7 3 2" xfId="14712" xr:uid="{25375B9E-E0FB-4441-9ED8-2A387CDC7961}"/>
    <cellStyle name="Comma 4 3 2 7 4" xfId="10494" xr:uid="{734F747A-FD74-4EEC-B2C8-BD08C862E516}"/>
    <cellStyle name="Comma 4 3 2 8" xfId="2398" xr:uid="{00000000-0005-0000-0000-00006A090000}"/>
    <cellStyle name="Comma 4 3 2 8 2" xfId="6683" xr:uid="{00000000-0005-0000-0000-00006B090000}"/>
    <cellStyle name="Comma 4 3 2 8 2 2" xfId="15125" xr:uid="{A1F38ACF-2760-457B-94CB-1B7472DBA3C3}"/>
    <cellStyle name="Comma 4 3 2 8 3" xfId="10907" xr:uid="{158E4923-2E86-4EDA-96A0-C7CAFB12690A}"/>
    <cellStyle name="Comma 4 3 2 9" xfId="2365" xr:uid="{00000000-0005-0000-0000-00006C090000}"/>
    <cellStyle name="Comma 4 3 3" xfId="149" xr:uid="{00000000-0005-0000-0000-00006D090000}"/>
    <cellStyle name="Comma 4 3 3 10" xfId="4621" xr:uid="{00000000-0005-0000-0000-00006E090000}"/>
    <cellStyle name="Comma 4 3 3 10 2" xfId="13063" xr:uid="{5412185A-2E46-43FD-A312-8142D50AB2C9}"/>
    <cellStyle name="Comma 4 3 3 11" xfId="8845" xr:uid="{8D58CD7D-1431-4287-B5DB-23DEAB9EC0EF}"/>
    <cellStyle name="Comma 4 3 3 2" xfId="150" xr:uid="{00000000-0005-0000-0000-00006F090000}"/>
    <cellStyle name="Comma 4 3 3 2 10" xfId="8846" xr:uid="{EF5A1CF1-D0CC-4284-BB8E-E381C80C2622}"/>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E7C2A51B-C9CA-4E12-98F2-189A4F83F0E7}"/>
    <cellStyle name="Comma 4 3 3 2 2 2 3" xfId="11405" xr:uid="{DC127978-ADF7-4438-99F9-14C445A32ED6}"/>
    <cellStyle name="Comma 4 3 3 2 2 3" xfId="5036" xr:uid="{00000000-0005-0000-0000-000073090000}"/>
    <cellStyle name="Comma 4 3 3 2 2 3 2" xfId="13478" xr:uid="{A446439E-AD1C-470E-9D4F-87616A01904B}"/>
    <cellStyle name="Comma 4 3 3 2 2 4" xfId="9260" xr:uid="{F066DCB6-25CC-4975-BD85-6654BA52823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E9AF7390-6961-4ED2-9812-FDB9E712D3FF}"/>
    <cellStyle name="Comma 4 3 3 2 3 2 3" xfId="11818" xr:uid="{FA378B5A-8CC2-4FAE-AE3F-D44ED4B4D90C}"/>
    <cellStyle name="Comma 4 3 3 2 3 3" xfId="5449" xr:uid="{00000000-0005-0000-0000-000077090000}"/>
    <cellStyle name="Comma 4 3 3 2 3 3 2" xfId="13891" xr:uid="{ACC20D8A-69D0-49D8-B0F6-FE2B614FAED9}"/>
    <cellStyle name="Comma 4 3 3 2 3 4" xfId="9673" xr:uid="{09E63683-9C50-45E0-A2A4-18D3FDF67B02}"/>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727F6771-CC74-4F30-AA7B-4437A37815BA}"/>
    <cellStyle name="Comma 4 3 3 2 4 2 3" xfId="12231" xr:uid="{6DDDB6A3-A565-459F-8C15-33806D24CD69}"/>
    <cellStyle name="Comma 4 3 3 2 4 3" xfId="5862" xr:uid="{00000000-0005-0000-0000-00007B090000}"/>
    <cellStyle name="Comma 4 3 3 2 4 3 2" xfId="14304" xr:uid="{C6CFB03D-B7D0-4053-B073-B286D416C7F3}"/>
    <cellStyle name="Comma 4 3 3 2 4 4" xfId="10086" xr:uid="{4020C31F-005D-4C01-838E-E7735B99AF1D}"/>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97713F1B-B999-4FF4-B326-3211D8A35B9A}"/>
    <cellStyle name="Comma 4 3 3 2 5 2 3" xfId="12644" xr:uid="{8BEB18AA-9AFC-430A-A2F1-A8DE68B2246D}"/>
    <cellStyle name="Comma 4 3 3 2 5 3" xfId="6275" xr:uid="{00000000-0005-0000-0000-00007F090000}"/>
    <cellStyle name="Comma 4 3 3 2 5 3 2" xfId="14717" xr:uid="{21553F5C-607E-4437-ABDA-9A1C1765F53B}"/>
    <cellStyle name="Comma 4 3 3 2 5 4" xfId="10499" xr:uid="{43D8EEBB-A81C-4406-8280-DE75F119A3E9}"/>
    <cellStyle name="Comma 4 3 3 2 6" xfId="2403" xr:uid="{00000000-0005-0000-0000-000080090000}"/>
    <cellStyle name="Comma 4 3 3 2 6 2" xfId="6688" xr:uid="{00000000-0005-0000-0000-000081090000}"/>
    <cellStyle name="Comma 4 3 3 2 6 2 2" xfId="15130" xr:uid="{38DAB132-437C-41BC-AB03-EAB5197793E6}"/>
    <cellStyle name="Comma 4 3 3 2 6 3" xfId="10912" xr:uid="{5927DF10-A1F6-4BCC-826A-1EB9A4FAE5F7}"/>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325052F1-CE81-45CC-83E3-706DCDA6CA9C}"/>
    <cellStyle name="Comma 4 3 3 2 8 3" xfId="11229" xr:uid="{2814C1FC-B7AD-4FA8-90C3-84698FA824A0}"/>
    <cellStyle name="Comma 4 3 3 2 9" xfId="4622" xr:uid="{00000000-0005-0000-0000-000085090000}"/>
    <cellStyle name="Comma 4 3 3 2 9 2" xfId="13064" xr:uid="{5560B809-35D1-4F37-BF1A-D0DEF0F0FD31}"/>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66A0F180-CF7D-49A1-85D1-5B967331986D}"/>
    <cellStyle name="Comma 4 3 3 3 2 3" xfId="11404" xr:uid="{12FA59E4-8CBC-453D-92DD-E9531549D54B}"/>
    <cellStyle name="Comma 4 3 3 3 3" xfId="5035" xr:uid="{00000000-0005-0000-0000-000089090000}"/>
    <cellStyle name="Comma 4 3 3 3 3 2" xfId="13477" xr:uid="{1945172E-7F82-4DD1-990A-06CC8CF3C1C8}"/>
    <cellStyle name="Comma 4 3 3 3 4" xfId="9259" xr:uid="{ED00CEF5-E05E-4131-BBFB-479D7DF9E337}"/>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6601F8A8-7CB0-4657-9F29-C9C3BB08E464}"/>
    <cellStyle name="Comma 4 3 3 4 2 3" xfId="11817" xr:uid="{FB2DA5FF-F58C-4816-AE40-ED1BF4EE3FE8}"/>
    <cellStyle name="Comma 4 3 3 4 3" xfId="5448" xr:uid="{00000000-0005-0000-0000-00008D090000}"/>
    <cellStyle name="Comma 4 3 3 4 3 2" xfId="13890" xr:uid="{6358170A-45A8-4B20-8EA5-D9C4080F35B0}"/>
    <cellStyle name="Comma 4 3 3 4 4" xfId="9672" xr:uid="{373D1C2D-5D57-496C-8F9C-E50C80BCED35}"/>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3DD5F47-BC8C-4A56-906E-4B80843A9643}"/>
    <cellStyle name="Comma 4 3 3 5 2 3" xfId="12230" xr:uid="{2AE4C121-929A-4AC5-A03E-670FD2BBCD46}"/>
    <cellStyle name="Comma 4 3 3 5 3" xfId="5861" xr:uid="{00000000-0005-0000-0000-000091090000}"/>
    <cellStyle name="Comma 4 3 3 5 3 2" xfId="14303" xr:uid="{1FD0E2B0-89E8-4C03-9B82-DFA576679BFB}"/>
    <cellStyle name="Comma 4 3 3 5 4" xfId="10085" xr:uid="{FF50483C-CBF1-4DED-A9F9-3FC9B3FA9D2D}"/>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25F6B6AE-792A-4A62-839C-815EF8D02E0A}"/>
    <cellStyle name="Comma 4 3 3 6 2 3" xfId="12643" xr:uid="{E27F27E2-DECC-4D0A-9D0F-D2B0F1DC9B49}"/>
    <cellStyle name="Comma 4 3 3 6 3" xfId="6274" xr:uid="{00000000-0005-0000-0000-000095090000}"/>
    <cellStyle name="Comma 4 3 3 6 3 2" xfId="14716" xr:uid="{1F39EB9D-19A0-4C9D-9D4E-996A3EE6791C}"/>
    <cellStyle name="Comma 4 3 3 6 4" xfId="10498" xr:uid="{0C484129-BBD3-4C28-9CED-F5302B5B068D}"/>
    <cellStyle name="Comma 4 3 3 7" xfId="2402" xr:uid="{00000000-0005-0000-0000-000096090000}"/>
    <cellStyle name="Comma 4 3 3 7 2" xfId="6687" xr:uid="{00000000-0005-0000-0000-000097090000}"/>
    <cellStyle name="Comma 4 3 3 7 2 2" xfId="15129" xr:uid="{0BC7A0F9-D38A-42B0-A7DA-228D94F93993}"/>
    <cellStyle name="Comma 4 3 3 7 3" xfId="10911" xr:uid="{E7F64B00-1300-4643-BF33-BF72DC81BAE0}"/>
    <cellStyle name="Comma 4 3 3 8" xfId="2361" xr:uid="{00000000-0005-0000-0000-000098090000}"/>
    <cellStyle name="Comma 4 3 3 9" xfId="2780" xr:uid="{00000000-0005-0000-0000-000099090000}"/>
    <cellStyle name="Comma 4 3 3 9 2" xfId="7004" xr:uid="{00000000-0005-0000-0000-00009A090000}"/>
    <cellStyle name="Comma 4 3 3 9 2 2" xfId="15446" xr:uid="{1E3DF05E-9C3D-439B-8409-12C6094120B4}"/>
    <cellStyle name="Comma 4 3 3 9 3" xfId="11228" xr:uid="{E58BDC4C-4776-421F-BC00-961716EF18D7}"/>
    <cellStyle name="Comma 4 3 4" xfId="151" xr:uid="{00000000-0005-0000-0000-00009B090000}"/>
    <cellStyle name="Comma 4 3 4 10" xfId="8847" xr:uid="{39C5B041-6BF6-44DD-B940-6D9D2400AE95}"/>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E3FEDDA8-6773-43D8-8648-E2D332714652}"/>
    <cellStyle name="Comma 4 3 4 2 2 3" xfId="11406" xr:uid="{EE1874B7-4FDC-4182-95B1-72ECC8BB5C07}"/>
    <cellStyle name="Comma 4 3 4 2 3" xfId="5037" xr:uid="{00000000-0005-0000-0000-00009F090000}"/>
    <cellStyle name="Comma 4 3 4 2 3 2" xfId="13479" xr:uid="{F332B267-F356-4204-A651-BD37CB3BD1AC}"/>
    <cellStyle name="Comma 4 3 4 2 4" xfId="9261" xr:uid="{7785CEEC-70BD-464F-B021-72358EFED945}"/>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067681EC-9C62-484C-9A5F-E6C08A8662CB}"/>
    <cellStyle name="Comma 4 3 4 3 2 3" xfId="11819" xr:uid="{3707D82D-06E8-428F-A434-54D999AF5445}"/>
    <cellStyle name="Comma 4 3 4 3 3" xfId="5450" xr:uid="{00000000-0005-0000-0000-0000A3090000}"/>
    <cellStyle name="Comma 4 3 4 3 3 2" xfId="13892" xr:uid="{F11F9F70-7E87-42CA-A7BD-2D56523C9762}"/>
    <cellStyle name="Comma 4 3 4 3 4" xfId="9674" xr:uid="{78CD7500-2E69-4363-B96F-BC96B3731823}"/>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75DC66E3-DF61-4428-9E11-FD984FD1AFB9}"/>
    <cellStyle name="Comma 4 3 4 4 2 3" xfId="12232" xr:uid="{6CFE83E3-7D9C-4412-B423-4827C72F0C94}"/>
    <cellStyle name="Comma 4 3 4 4 3" xfId="5863" xr:uid="{00000000-0005-0000-0000-0000A7090000}"/>
    <cellStyle name="Comma 4 3 4 4 3 2" xfId="14305" xr:uid="{2A04E597-2FE3-4C7A-872E-AA6DD7277011}"/>
    <cellStyle name="Comma 4 3 4 4 4" xfId="10087" xr:uid="{EB7E06F4-C91D-449A-817B-17841B13F2B0}"/>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AD1F3B8-6529-4B36-8EE6-CD6795DDC333}"/>
    <cellStyle name="Comma 4 3 4 5 2 3" xfId="12645" xr:uid="{D3D3D43D-F81E-4C91-9CB5-B5D0E40C823A}"/>
    <cellStyle name="Comma 4 3 4 5 3" xfId="6276" xr:uid="{00000000-0005-0000-0000-0000AB090000}"/>
    <cellStyle name="Comma 4 3 4 5 3 2" xfId="14718" xr:uid="{7A46EF34-BEDD-46B7-B1BC-6AA2031C427C}"/>
    <cellStyle name="Comma 4 3 4 5 4" xfId="10500" xr:uid="{BF4D951C-49D1-49E0-BFF0-D140E5E5E206}"/>
    <cellStyle name="Comma 4 3 4 6" xfId="2404" xr:uid="{00000000-0005-0000-0000-0000AC090000}"/>
    <cellStyle name="Comma 4 3 4 6 2" xfId="6689" xr:uid="{00000000-0005-0000-0000-0000AD090000}"/>
    <cellStyle name="Comma 4 3 4 6 2 2" xfId="15131" xr:uid="{738F2620-EAD9-481C-B699-A68251CB76C9}"/>
    <cellStyle name="Comma 4 3 4 6 3" xfId="10913" xr:uid="{1B0A647E-7ECE-4C1F-99B0-C0C666C4CC0E}"/>
    <cellStyle name="Comma 4 3 4 7" xfId="2700" xr:uid="{00000000-0005-0000-0000-0000AE090000}"/>
    <cellStyle name="Comma 4 3 4 8" xfId="2782" xr:uid="{00000000-0005-0000-0000-0000AF090000}"/>
    <cellStyle name="Comma 4 3 4 8 2" xfId="7006" xr:uid="{00000000-0005-0000-0000-0000B0090000}"/>
    <cellStyle name="Comma 4 3 4 8 2 2" xfId="15448" xr:uid="{E0CDA2C4-357E-4774-B2D9-B79653475F7D}"/>
    <cellStyle name="Comma 4 3 4 8 3" xfId="11230" xr:uid="{4359509D-CAB7-4B4F-AA0A-E0D4E1B139E0}"/>
    <cellStyle name="Comma 4 3 4 9" xfId="4623" xr:uid="{00000000-0005-0000-0000-0000B1090000}"/>
    <cellStyle name="Comma 4 3 4 9 2" xfId="13065" xr:uid="{A38475AA-D631-489E-A111-CB983A73ED0D}"/>
    <cellStyle name="Comma 4 3 5" xfId="152" xr:uid="{00000000-0005-0000-0000-0000B2090000}"/>
    <cellStyle name="Comma 4 3 5 10" xfId="8848" xr:uid="{33BE5FD3-700E-4D4F-898C-48D9E979C552}"/>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8E6F4016-7685-47A4-A630-48643F19899B}"/>
    <cellStyle name="Comma 4 3 5 2 2 3" xfId="11407" xr:uid="{C277E49E-C1DC-4ED2-88AD-5A5EC54D2F98}"/>
    <cellStyle name="Comma 4 3 5 2 3" xfId="5038" xr:uid="{00000000-0005-0000-0000-0000B6090000}"/>
    <cellStyle name="Comma 4 3 5 2 3 2" xfId="13480" xr:uid="{26324288-E069-40E9-BCAB-1E94E3E6F564}"/>
    <cellStyle name="Comma 4 3 5 2 4" xfId="9262" xr:uid="{A6EFAD06-FC08-4A58-853D-0A9A253842D7}"/>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22227B3-A0AA-4ED4-A3DE-81BE91DE2E19}"/>
    <cellStyle name="Comma 4 3 5 3 2 3" xfId="11820" xr:uid="{59965097-773B-4BD9-B262-54F9AFC6A024}"/>
    <cellStyle name="Comma 4 3 5 3 3" xfId="5451" xr:uid="{00000000-0005-0000-0000-0000BA090000}"/>
    <cellStyle name="Comma 4 3 5 3 3 2" xfId="13893" xr:uid="{1B415212-CD54-4A4D-8B5E-91B9C2364862}"/>
    <cellStyle name="Comma 4 3 5 3 4" xfId="9675" xr:uid="{77A9C933-FD6E-4BC5-BE1A-5B529B2FCA16}"/>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4B9E753A-AD10-47EC-AD46-6752AD38EEB5}"/>
    <cellStyle name="Comma 4 3 5 4 2 3" xfId="12233" xr:uid="{7E6E35EA-F2E8-4392-A0D0-2F54D57A5C80}"/>
    <cellStyle name="Comma 4 3 5 4 3" xfId="5864" xr:uid="{00000000-0005-0000-0000-0000BE090000}"/>
    <cellStyle name="Comma 4 3 5 4 3 2" xfId="14306" xr:uid="{D58CCF9D-F810-43F3-8A95-A8537393226E}"/>
    <cellStyle name="Comma 4 3 5 4 4" xfId="10088" xr:uid="{49D5EE7D-B5FF-41E5-9118-E418DC1A6B65}"/>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B0864C97-5D9B-4A2C-8A40-279B364DE51C}"/>
    <cellStyle name="Comma 4 3 5 5 2 3" xfId="12646" xr:uid="{C5B8CABE-3E16-4915-A7D0-DD40F33745E5}"/>
    <cellStyle name="Comma 4 3 5 5 3" xfId="6277" xr:uid="{00000000-0005-0000-0000-0000C2090000}"/>
    <cellStyle name="Comma 4 3 5 5 3 2" xfId="14719" xr:uid="{54A598F0-5586-4809-93EC-1CD3886EBC21}"/>
    <cellStyle name="Comma 4 3 5 5 4" xfId="10501" xr:uid="{741CF794-01C1-488E-861D-7B975C591984}"/>
    <cellStyle name="Comma 4 3 5 6" xfId="2405" xr:uid="{00000000-0005-0000-0000-0000C3090000}"/>
    <cellStyle name="Comma 4 3 5 6 2" xfId="6690" xr:uid="{00000000-0005-0000-0000-0000C4090000}"/>
    <cellStyle name="Comma 4 3 5 6 2 2" xfId="15132" xr:uid="{C47E348A-221F-4408-8E0B-2B89C7DF6F32}"/>
    <cellStyle name="Comma 4 3 5 6 3" xfId="10914" xr:uid="{7EBEAF49-4E32-47D5-B7B3-5B2720DF1A2B}"/>
    <cellStyle name="Comma 4 3 5 7" xfId="2701" xr:uid="{00000000-0005-0000-0000-0000C5090000}"/>
    <cellStyle name="Comma 4 3 5 8" xfId="2783" xr:uid="{00000000-0005-0000-0000-0000C6090000}"/>
    <cellStyle name="Comma 4 3 5 8 2" xfId="7007" xr:uid="{00000000-0005-0000-0000-0000C7090000}"/>
    <cellStyle name="Comma 4 3 5 8 2 2" xfId="15449" xr:uid="{42CC422C-CF43-42B3-9008-EF714A987022}"/>
    <cellStyle name="Comma 4 3 5 8 3" xfId="11231" xr:uid="{241D9057-0312-488A-97A9-1AF291146AC4}"/>
    <cellStyle name="Comma 4 3 5 9" xfId="4624" xr:uid="{00000000-0005-0000-0000-0000C8090000}"/>
    <cellStyle name="Comma 4 3 5 9 2" xfId="13066" xr:uid="{93867CBB-EEE2-4593-A99F-30F194B07AEC}"/>
    <cellStyle name="Comma 4 4" xfId="153" xr:uid="{00000000-0005-0000-0000-0000C9090000}"/>
    <cellStyle name="Comma 4 4 10" xfId="2784" xr:uid="{00000000-0005-0000-0000-0000CA090000}"/>
    <cellStyle name="Comma 4 4 10 2" xfId="7008" xr:uid="{00000000-0005-0000-0000-0000CB090000}"/>
    <cellStyle name="Comma 4 4 10 2 2" xfId="15450" xr:uid="{40ECAF08-A45E-41DF-9313-D39C2328CE5D}"/>
    <cellStyle name="Comma 4 4 10 3" xfId="11232" xr:uid="{096C22EF-AC29-4AA3-8C73-4B6D68074D3C}"/>
    <cellStyle name="Comma 4 4 11" xfId="4625" xr:uid="{00000000-0005-0000-0000-0000CC090000}"/>
    <cellStyle name="Comma 4 4 11 2" xfId="13067" xr:uid="{D549BC84-0B85-47AF-94A2-ACC6F0A362A7}"/>
    <cellStyle name="Comma 4 4 12" xfId="8849" xr:uid="{13E702B6-52D8-4D97-977D-C674156973CD}"/>
    <cellStyle name="Comma 4 4 2" xfId="154" xr:uid="{00000000-0005-0000-0000-0000CD090000}"/>
    <cellStyle name="Comma 4 4 2 10" xfId="4626" xr:uid="{00000000-0005-0000-0000-0000CE090000}"/>
    <cellStyle name="Comma 4 4 2 10 2" xfId="13068" xr:uid="{580FCEF9-4F71-4CDC-BF06-77FE984C6F7F}"/>
    <cellStyle name="Comma 4 4 2 11" xfId="8850" xr:uid="{BA17A9ED-A27A-4B0A-BD21-912EF7DC3FCC}"/>
    <cellStyle name="Comma 4 4 2 2" xfId="155" xr:uid="{00000000-0005-0000-0000-0000CF090000}"/>
    <cellStyle name="Comma 4 4 2 2 10" xfId="8851" xr:uid="{ECF5A1D6-08E6-466B-91A9-12327DFF969E}"/>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86046E40-DDDD-43A9-A7EA-B71C0DFB348D}"/>
    <cellStyle name="Comma 4 4 2 2 2 2 3" xfId="11410" xr:uid="{0C7E1C6A-3FE5-45FB-AD8C-EFF8898C7982}"/>
    <cellStyle name="Comma 4 4 2 2 2 3" xfId="5041" xr:uid="{00000000-0005-0000-0000-0000D3090000}"/>
    <cellStyle name="Comma 4 4 2 2 2 3 2" xfId="13483" xr:uid="{DE03B5F7-52A2-4767-84FD-EF6F23CC76BC}"/>
    <cellStyle name="Comma 4 4 2 2 2 4" xfId="9265" xr:uid="{90858666-E4B2-4B6B-94FC-F95DBD32B58F}"/>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8680700C-C085-4672-BF75-D0012ABD85F3}"/>
    <cellStyle name="Comma 4 4 2 2 3 2 3" xfId="11823" xr:uid="{46FDD6A5-F15E-4009-9B2A-3222000966BB}"/>
    <cellStyle name="Comma 4 4 2 2 3 3" xfId="5454" xr:uid="{00000000-0005-0000-0000-0000D7090000}"/>
    <cellStyle name="Comma 4 4 2 2 3 3 2" xfId="13896" xr:uid="{8F2D14BA-9E09-40C3-A26A-69FE458277BA}"/>
    <cellStyle name="Comma 4 4 2 2 3 4" xfId="9678" xr:uid="{9FDB9B18-E195-4B1D-94F5-7D4FAE5E3C9F}"/>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1F9A8D83-537B-47FE-B27E-001D29F7A81C}"/>
    <cellStyle name="Comma 4 4 2 2 4 2 3" xfId="12236" xr:uid="{43BBCF4B-B9F1-42AA-9779-1FEA19B7AC79}"/>
    <cellStyle name="Comma 4 4 2 2 4 3" xfId="5867" xr:uid="{00000000-0005-0000-0000-0000DB090000}"/>
    <cellStyle name="Comma 4 4 2 2 4 3 2" xfId="14309" xr:uid="{9AA48F79-B835-4272-BC2F-A5D8F3569AAC}"/>
    <cellStyle name="Comma 4 4 2 2 4 4" xfId="10091" xr:uid="{C5692423-2A0C-4202-9A07-1E170C20C004}"/>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41005A49-65EF-4AFD-8EF7-4EB15AEB7A6B}"/>
    <cellStyle name="Comma 4 4 2 2 5 2 3" xfId="12649" xr:uid="{550B7FD5-13F4-40C0-AB39-3E35E965ECBD}"/>
    <cellStyle name="Comma 4 4 2 2 5 3" xfId="6280" xr:uid="{00000000-0005-0000-0000-0000DF090000}"/>
    <cellStyle name="Comma 4 4 2 2 5 3 2" xfId="14722" xr:uid="{FAD236DB-0E4B-4E6E-BC62-B7E176A70F6F}"/>
    <cellStyle name="Comma 4 4 2 2 5 4" xfId="10504" xr:uid="{21E49984-59AC-4DCF-B184-2A64D1E8F8F9}"/>
    <cellStyle name="Comma 4 4 2 2 6" xfId="2408" xr:uid="{00000000-0005-0000-0000-0000E0090000}"/>
    <cellStyle name="Comma 4 4 2 2 6 2" xfId="6693" xr:uid="{00000000-0005-0000-0000-0000E1090000}"/>
    <cellStyle name="Comma 4 4 2 2 6 2 2" xfId="15135" xr:uid="{507D811D-2E08-432A-A0BD-AC82DC60A759}"/>
    <cellStyle name="Comma 4 4 2 2 6 3" xfId="10917" xr:uid="{D6F668C6-66CA-4FF7-8322-01B3F5DDD81A}"/>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C5B9A413-74F6-4456-820C-7A17040B300E}"/>
    <cellStyle name="Comma 4 4 2 2 8 3" xfId="11234" xr:uid="{B9168A43-3F76-4C13-80D2-9015EB326E2E}"/>
    <cellStyle name="Comma 4 4 2 2 9" xfId="4627" xr:uid="{00000000-0005-0000-0000-0000E5090000}"/>
    <cellStyle name="Comma 4 4 2 2 9 2" xfId="13069" xr:uid="{2BEFB663-97EC-4013-9A37-23ED9A6023A6}"/>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D61DC288-9A21-4F8C-A7BC-64E6ACF5D34C}"/>
    <cellStyle name="Comma 4 4 2 3 2 3" xfId="11409" xr:uid="{1428BAA4-E435-42B6-8A62-29872DBCBA20}"/>
    <cellStyle name="Comma 4 4 2 3 3" xfId="5040" xr:uid="{00000000-0005-0000-0000-0000E9090000}"/>
    <cellStyle name="Comma 4 4 2 3 3 2" xfId="13482" xr:uid="{CED0A165-3182-477A-8CC3-1E3CABA57126}"/>
    <cellStyle name="Comma 4 4 2 3 4" xfId="9264" xr:uid="{F190BA8E-FD6E-4DB7-89D2-341BC33369C2}"/>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35709A21-FADD-439F-8596-B6EEBAE3211B}"/>
    <cellStyle name="Comma 4 4 2 4 2 3" xfId="11822" xr:uid="{100D5A1B-D147-4399-A9EF-70A7863AD708}"/>
    <cellStyle name="Comma 4 4 2 4 3" xfId="5453" xr:uid="{00000000-0005-0000-0000-0000ED090000}"/>
    <cellStyle name="Comma 4 4 2 4 3 2" xfId="13895" xr:uid="{7C5E7991-280D-499A-91DB-184C8A3E7756}"/>
    <cellStyle name="Comma 4 4 2 4 4" xfId="9677" xr:uid="{C72A9B20-0072-48ED-9AB5-7A6A2C0A3750}"/>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4446E1C-2548-4DDD-97E4-BA414139554B}"/>
    <cellStyle name="Comma 4 4 2 5 2 3" xfId="12235" xr:uid="{8DF9C6F8-3447-43EA-B03F-32A357150A28}"/>
    <cellStyle name="Comma 4 4 2 5 3" xfId="5866" xr:uid="{00000000-0005-0000-0000-0000F1090000}"/>
    <cellStyle name="Comma 4 4 2 5 3 2" xfId="14308" xr:uid="{D8550E90-D4E2-4713-8F27-14D63675714F}"/>
    <cellStyle name="Comma 4 4 2 5 4" xfId="10090" xr:uid="{D2001EBB-E3D6-4922-BE28-988EE0220DB4}"/>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C1D21135-076E-4FB4-9A93-4BD60F98349E}"/>
    <cellStyle name="Comma 4 4 2 6 2 3" xfId="12648" xr:uid="{8C500296-1A51-4DAE-8B43-8AC4CC3A3129}"/>
    <cellStyle name="Comma 4 4 2 6 3" xfId="6279" xr:uid="{00000000-0005-0000-0000-0000F5090000}"/>
    <cellStyle name="Comma 4 4 2 6 3 2" xfId="14721" xr:uid="{813C0F78-1C3F-472B-B1DC-C36C7EFB4A44}"/>
    <cellStyle name="Comma 4 4 2 6 4" xfId="10503" xr:uid="{FA4E3375-BE75-41B8-8DD5-45A37AC4F912}"/>
    <cellStyle name="Comma 4 4 2 7" xfId="2407" xr:uid="{00000000-0005-0000-0000-0000F6090000}"/>
    <cellStyle name="Comma 4 4 2 7 2" xfId="6692" xr:uid="{00000000-0005-0000-0000-0000F7090000}"/>
    <cellStyle name="Comma 4 4 2 7 2 2" xfId="15134" xr:uid="{B8502E78-5BCC-45F9-B511-24008E29DF98}"/>
    <cellStyle name="Comma 4 4 2 7 3" xfId="10916" xr:uid="{F0D3247D-8489-423C-A0DC-A79289551F05}"/>
    <cellStyle name="Comma 4 4 2 8" xfId="2703" xr:uid="{00000000-0005-0000-0000-0000F8090000}"/>
    <cellStyle name="Comma 4 4 2 9" xfId="2785" xr:uid="{00000000-0005-0000-0000-0000F9090000}"/>
    <cellStyle name="Comma 4 4 2 9 2" xfId="7009" xr:uid="{00000000-0005-0000-0000-0000FA090000}"/>
    <cellStyle name="Comma 4 4 2 9 2 2" xfId="15451" xr:uid="{4F00E4AD-F032-47D6-A469-2040A0A7AE29}"/>
    <cellStyle name="Comma 4 4 2 9 3" xfId="11233" xr:uid="{64ECB02C-A487-4D34-A7AF-1977BB6D43AA}"/>
    <cellStyle name="Comma 4 4 3" xfId="156" xr:uid="{00000000-0005-0000-0000-0000FB090000}"/>
    <cellStyle name="Comma 4 4 3 10" xfId="8852" xr:uid="{65A80087-9239-4183-9350-2F636BEF54F3}"/>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C4E41143-1FB1-4A2E-A3FF-3D64C42AE0B8}"/>
    <cellStyle name="Comma 4 4 3 2 2 3" xfId="11411" xr:uid="{6253BBEB-5566-4868-A4E3-FF79DCB3E539}"/>
    <cellStyle name="Comma 4 4 3 2 3" xfId="5042" xr:uid="{00000000-0005-0000-0000-0000FF090000}"/>
    <cellStyle name="Comma 4 4 3 2 3 2" xfId="13484" xr:uid="{EF969496-03B0-4C5B-9D1B-05985E96EB08}"/>
    <cellStyle name="Comma 4 4 3 2 4" xfId="9266" xr:uid="{CE1939F5-2322-447B-9F88-251654748173}"/>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F6E1EA0F-E7C6-47B9-8E1E-18A3B46236CE}"/>
    <cellStyle name="Comma 4 4 3 3 2 3" xfId="11824" xr:uid="{A4A58E44-EC46-4B2C-967D-A7B27B09FD45}"/>
    <cellStyle name="Comma 4 4 3 3 3" xfId="5455" xr:uid="{00000000-0005-0000-0000-0000030A0000}"/>
    <cellStyle name="Comma 4 4 3 3 3 2" xfId="13897" xr:uid="{184D2415-9981-47E1-BD67-39A94847B424}"/>
    <cellStyle name="Comma 4 4 3 3 4" xfId="9679" xr:uid="{ECBE45AA-D8CD-4F07-83F2-7DD86774286F}"/>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943AB7D3-ECC5-4A83-A686-F961EB1386B4}"/>
    <cellStyle name="Comma 4 4 3 4 2 3" xfId="12237" xr:uid="{729A3A51-4392-4C28-861E-AD1FC292BEB4}"/>
    <cellStyle name="Comma 4 4 3 4 3" xfId="5868" xr:uid="{00000000-0005-0000-0000-0000070A0000}"/>
    <cellStyle name="Comma 4 4 3 4 3 2" xfId="14310" xr:uid="{FE6A381B-544D-406A-9676-198B7CA24E2A}"/>
    <cellStyle name="Comma 4 4 3 4 4" xfId="10092" xr:uid="{FE373E06-BF65-4621-8166-4DB1E4F18DC4}"/>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C5C2B5BB-A2B5-42F4-9DBD-DABCE386CE79}"/>
    <cellStyle name="Comma 4 4 3 5 2 3" xfId="12650" xr:uid="{6CB3E400-B56C-4CA4-87EC-24F7330A9999}"/>
    <cellStyle name="Comma 4 4 3 5 3" xfId="6281" xr:uid="{00000000-0005-0000-0000-00000B0A0000}"/>
    <cellStyle name="Comma 4 4 3 5 3 2" xfId="14723" xr:uid="{C472510D-D832-48F6-8D7F-77FD1A408664}"/>
    <cellStyle name="Comma 4 4 3 5 4" xfId="10505" xr:uid="{403B7C6D-C859-4680-87EC-CF9365F07F93}"/>
    <cellStyle name="Comma 4 4 3 6" xfId="2409" xr:uid="{00000000-0005-0000-0000-00000C0A0000}"/>
    <cellStyle name="Comma 4 4 3 6 2" xfId="6694" xr:uid="{00000000-0005-0000-0000-00000D0A0000}"/>
    <cellStyle name="Comma 4 4 3 6 2 2" xfId="15136" xr:uid="{3275EE7D-A14A-44D3-BF59-A7C2CBB12167}"/>
    <cellStyle name="Comma 4 4 3 6 3" xfId="10918" xr:uid="{D8F3F915-4DE7-498E-A392-82B12BDC53E4}"/>
    <cellStyle name="Comma 4 4 3 7" xfId="2705" xr:uid="{00000000-0005-0000-0000-00000E0A0000}"/>
    <cellStyle name="Comma 4 4 3 8" xfId="2787" xr:uid="{00000000-0005-0000-0000-00000F0A0000}"/>
    <cellStyle name="Comma 4 4 3 8 2" xfId="7011" xr:uid="{00000000-0005-0000-0000-0000100A0000}"/>
    <cellStyle name="Comma 4 4 3 8 2 2" xfId="15453" xr:uid="{98A6E5D0-AFD9-4AD5-A31C-38BFCDA26EEE}"/>
    <cellStyle name="Comma 4 4 3 8 3" xfId="11235" xr:uid="{F7E54E17-B25C-4B55-9ED0-6076963A764B}"/>
    <cellStyle name="Comma 4 4 3 9" xfId="4628" xr:uid="{00000000-0005-0000-0000-0000110A0000}"/>
    <cellStyle name="Comma 4 4 3 9 2" xfId="13070" xr:uid="{3DAB29A0-69CE-4005-9110-80BE2D7EE203}"/>
    <cellStyle name="Comma 4 4 4" xfId="690" xr:uid="{00000000-0005-0000-0000-0000120A0000}"/>
    <cellStyle name="Comma 4 4 4 2" xfId="2961" xr:uid="{00000000-0005-0000-0000-0000130A0000}"/>
    <cellStyle name="Comma 4 4 4 2 2" xfId="7184" xr:uid="{00000000-0005-0000-0000-0000140A0000}"/>
    <cellStyle name="Comma 4 4 4 2 2 2" xfId="15626" xr:uid="{EB4E685A-DFF6-4228-9F16-650A4CAE99E7}"/>
    <cellStyle name="Comma 4 4 4 2 3" xfId="11408" xr:uid="{838169EA-90DD-4EA4-8682-6760078FF1BD}"/>
    <cellStyle name="Comma 4 4 4 3" xfId="5039" xr:uid="{00000000-0005-0000-0000-0000150A0000}"/>
    <cellStyle name="Comma 4 4 4 3 2" xfId="13481" xr:uid="{8E24FFB3-6018-41F8-A793-BE784CA9042B}"/>
    <cellStyle name="Comma 4 4 4 4" xfId="9263" xr:uid="{B75D409D-DC70-4524-9ADD-8488F1659DE6}"/>
    <cellStyle name="Comma 4 4 5" xfId="1143" xr:uid="{00000000-0005-0000-0000-0000160A0000}"/>
    <cellStyle name="Comma 4 4 5 2" xfId="3374" xr:uid="{00000000-0005-0000-0000-0000170A0000}"/>
    <cellStyle name="Comma 4 4 5 2 2" xfId="7597" xr:uid="{00000000-0005-0000-0000-0000180A0000}"/>
    <cellStyle name="Comma 4 4 5 2 2 2" xfId="16039" xr:uid="{4299D403-5913-451B-8440-B69E253D175A}"/>
    <cellStyle name="Comma 4 4 5 2 3" xfId="11821" xr:uid="{FF47C654-0A37-48F1-A82D-8BE50711112E}"/>
    <cellStyle name="Comma 4 4 5 3" xfId="5452" xr:uid="{00000000-0005-0000-0000-0000190A0000}"/>
    <cellStyle name="Comma 4 4 5 3 2" xfId="13894" xr:uid="{6FA80724-80AA-473E-A1BA-4CEA10892466}"/>
    <cellStyle name="Comma 4 4 5 4" xfId="9676" xr:uid="{E8C18A4D-76CD-491C-B8FE-5C7402BE8A09}"/>
    <cellStyle name="Comma 4 4 6" xfId="1557" xr:uid="{00000000-0005-0000-0000-00001A0A0000}"/>
    <cellStyle name="Comma 4 4 6 2" xfId="3787" xr:uid="{00000000-0005-0000-0000-00001B0A0000}"/>
    <cellStyle name="Comma 4 4 6 2 2" xfId="8010" xr:uid="{00000000-0005-0000-0000-00001C0A0000}"/>
    <cellStyle name="Comma 4 4 6 2 2 2" xfId="16452" xr:uid="{096D32A1-FE8C-4F9C-AC89-85893D31B483}"/>
    <cellStyle name="Comma 4 4 6 2 3" xfId="12234" xr:uid="{A4D0278E-1C9D-4340-A510-A9F82D5720CB}"/>
    <cellStyle name="Comma 4 4 6 3" xfId="5865" xr:uid="{00000000-0005-0000-0000-00001D0A0000}"/>
    <cellStyle name="Comma 4 4 6 3 2" xfId="14307" xr:uid="{7186D5E3-B3C3-4F39-8E51-28FC32FB4AFC}"/>
    <cellStyle name="Comma 4 4 6 4" xfId="10089" xr:uid="{62C58D9A-2000-4CF8-9E9C-9D598F4A3B70}"/>
    <cellStyle name="Comma 4 4 7" xfId="1971" xr:uid="{00000000-0005-0000-0000-00001E0A0000}"/>
    <cellStyle name="Comma 4 4 7 2" xfId="4200" xr:uid="{00000000-0005-0000-0000-00001F0A0000}"/>
    <cellStyle name="Comma 4 4 7 2 2" xfId="8423" xr:uid="{00000000-0005-0000-0000-0000200A0000}"/>
    <cellStyle name="Comma 4 4 7 2 2 2" xfId="16865" xr:uid="{AA454D9C-5DA2-48C9-A5F0-52AF15B8474F}"/>
    <cellStyle name="Comma 4 4 7 2 3" xfId="12647" xr:uid="{EB7B56BB-2524-4F36-9C18-9A29F107911E}"/>
    <cellStyle name="Comma 4 4 7 3" xfId="6278" xr:uid="{00000000-0005-0000-0000-0000210A0000}"/>
    <cellStyle name="Comma 4 4 7 3 2" xfId="14720" xr:uid="{24FFE16F-83F3-4002-B04C-C8F4D492FCDD}"/>
    <cellStyle name="Comma 4 4 7 4" xfId="10502" xr:uid="{FB12E5EA-2DF8-49DA-8729-AED18F1CAB7F}"/>
    <cellStyle name="Comma 4 4 8" xfId="2406" xr:uid="{00000000-0005-0000-0000-0000220A0000}"/>
    <cellStyle name="Comma 4 4 8 2" xfId="6691" xr:uid="{00000000-0005-0000-0000-0000230A0000}"/>
    <cellStyle name="Comma 4 4 8 2 2" xfId="15133" xr:uid="{3C09756E-9448-4691-BE91-9A55C606C03B}"/>
    <cellStyle name="Comma 4 4 8 3" xfId="10915" xr:uid="{DDABC50E-CDC9-4DA6-9383-F9527FB86087}"/>
    <cellStyle name="Comma 4 4 9" xfId="2702" xr:uid="{00000000-0005-0000-0000-0000240A0000}"/>
    <cellStyle name="Comma 4 5" xfId="157" xr:uid="{00000000-0005-0000-0000-0000250A0000}"/>
    <cellStyle name="Comma 4 5 10" xfId="4629" xr:uid="{00000000-0005-0000-0000-0000260A0000}"/>
    <cellStyle name="Comma 4 5 10 2" xfId="13071" xr:uid="{98533798-2E0D-4EA9-BFB9-56D100AE4B53}"/>
    <cellStyle name="Comma 4 5 11" xfId="8853" xr:uid="{DEBAE20E-8A3E-4626-A01D-DF77E41DC6E9}"/>
    <cellStyle name="Comma 4 5 2" xfId="158" xr:uid="{00000000-0005-0000-0000-0000270A0000}"/>
    <cellStyle name="Comma 4 5 2 10" xfId="8854" xr:uid="{0615CCEB-D72D-46B3-A5E5-C89BAFD37394}"/>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DC4FB38F-B2C2-4367-8AA1-B380E7D0AD4B}"/>
    <cellStyle name="Comma 4 5 2 2 2 3" xfId="11413" xr:uid="{0C45F269-5A58-4E0F-947D-D46D3760A81B}"/>
    <cellStyle name="Comma 4 5 2 2 3" xfId="5044" xr:uid="{00000000-0005-0000-0000-00002B0A0000}"/>
    <cellStyle name="Comma 4 5 2 2 3 2" xfId="13486" xr:uid="{F3A028C2-5CD3-4F23-8A42-63C64B12D0EB}"/>
    <cellStyle name="Comma 4 5 2 2 4" xfId="9268" xr:uid="{5D04B66A-6C30-41C6-8898-7540AB72E280}"/>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2BF52697-0D73-4454-AE99-D138BF45C98E}"/>
    <cellStyle name="Comma 4 5 2 3 2 3" xfId="11826" xr:uid="{9894A36C-4B84-4365-BE48-91C6371FA564}"/>
    <cellStyle name="Comma 4 5 2 3 3" xfId="5457" xr:uid="{00000000-0005-0000-0000-00002F0A0000}"/>
    <cellStyle name="Comma 4 5 2 3 3 2" xfId="13899" xr:uid="{D4147387-7C11-44EF-98E4-3141DFC5F96C}"/>
    <cellStyle name="Comma 4 5 2 3 4" xfId="9681" xr:uid="{2718E052-B9D8-41CF-964E-6B98032AF236}"/>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3C2982C6-AD3D-42C3-8F4E-A337EE639764}"/>
    <cellStyle name="Comma 4 5 2 4 2 3" xfId="12239" xr:uid="{CCFFD6CF-711C-414F-86CF-BD9A957B709B}"/>
    <cellStyle name="Comma 4 5 2 4 3" xfId="5870" xr:uid="{00000000-0005-0000-0000-0000330A0000}"/>
    <cellStyle name="Comma 4 5 2 4 3 2" xfId="14312" xr:uid="{63778F49-AA20-49EF-9C9E-7C504ACACEAB}"/>
    <cellStyle name="Comma 4 5 2 4 4" xfId="10094" xr:uid="{8B651A5E-1F0B-4825-8E76-41729D16C5A0}"/>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7EBBBA83-19C6-433C-83B1-2C9DA7FA1187}"/>
    <cellStyle name="Comma 4 5 2 5 2 3" xfId="12652" xr:uid="{B511C5C8-A26A-4FEA-B2B9-BFC49DA1AB43}"/>
    <cellStyle name="Comma 4 5 2 5 3" xfId="6283" xr:uid="{00000000-0005-0000-0000-0000370A0000}"/>
    <cellStyle name="Comma 4 5 2 5 3 2" xfId="14725" xr:uid="{206CCEDC-C47F-4229-8B00-D8458219670A}"/>
    <cellStyle name="Comma 4 5 2 5 4" xfId="10507" xr:uid="{99731575-EC7B-406D-A6D9-94A91C6419F7}"/>
    <cellStyle name="Comma 4 5 2 6" xfId="2411" xr:uid="{00000000-0005-0000-0000-0000380A0000}"/>
    <cellStyle name="Comma 4 5 2 6 2" xfId="6696" xr:uid="{00000000-0005-0000-0000-0000390A0000}"/>
    <cellStyle name="Comma 4 5 2 6 2 2" xfId="15138" xr:uid="{B4540E05-788D-4B90-99B1-FF09C3A16617}"/>
    <cellStyle name="Comma 4 5 2 6 3" xfId="10920" xr:uid="{61E34FA7-612F-4E7F-A83F-D4EFB070B111}"/>
    <cellStyle name="Comma 4 5 2 7" xfId="2707" xr:uid="{00000000-0005-0000-0000-00003A0A0000}"/>
    <cellStyle name="Comma 4 5 2 8" xfId="2789" xr:uid="{00000000-0005-0000-0000-00003B0A0000}"/>
    <cellStyle name="Comma 4 5 2 8 2" xfId="7013" xr:uid="{00000000-0005-0000-0000-00003C0A0000}"/>
    <cellStyle name="Comma 4 5 2 8 2 2" xfId="15455" xr:uid="{A16BF578-DD24-4C27-8E4D-4DC9FBA48E83}"/>
    <cellStyle name="Comma 4 5 2 8 3" xfId="11237" xr:uid="{BE256B22-22BC-412C-ABF5-1E422B753FFF}"/>
    <cellStyle name="Comma 4 5 2 9" xfId="4630" xr:uid="{00000000-0005-0000-0000-00003D0A0000}"/>
    <cellStyle name="Comma 4 5 2 9 2" xfId="13072" xr:uid="{4CC81403-69C4-4D37-88A5-472FA6E2E326}"/>
    <cellStyle name="Comma 4 5 3" xfId="694" xr:uid="{00000000-0005-0000-0000-00003E0A0000}"/>
    <cellStyle name="Comma 4 5 3 2" xfId="2965" xr:uid="{00000000-0005-0000-0000-00003F0A0000}"/>
    <cellStyle name="Comma 4 5 3 2 2" xfId="7188" xr:uid="{00000000-0005-0000-0000-0000400A0000}"/>
    <cellStyle name="Comma 4 5 3 2 2 2" xfId="15630" xr:uid="{31EE5B1E-8614-4FBB-AC99-262A23F8A042}"/>
    <cellStyle name="Comma 4 5 3 2 3" xfId="11412" xr:uid="{3033925D-750A-4FB4-9F41-2A7A88FB2426}"/>
    <cellStyle name="Comma 4 5 3 3" xfId="5043" xr:uid="{00000000-0005-0000-0000-0000410A0000}"/>
    <cellStyle name="Comma 4 5 3 3 2" xfId="13485" xr:uid="{92D4B5E6-8DB2-4A86-838A-C9F50132AEFD}"/>
    <cellStyle name="Comma 4 5 3 4" xfId="9267" xr:uid="{3AC07251-D093-4872-A2DF-3FBC24C4EDA9}"/>
    <cellStyle name="Comma 4 5 4" xfId="1147" xr:uid="{00000000-0005-0000-0000-0000420A0000}"/>
    <cellStyle name="Comma 4 5 4 2" xfId="3378" xr:uid="{00000000-0005-0000-0000-0000430A0000}"/>
    <cellStyle name="Comma 4 5 4 2 2" xfId="7601" xr:uid="{00000000-0005-0000-0000-0000440A0000}"/>
    <cellStyle name="Comma 4 5 4 2 2 2" xfId="16043" xr:uid="{63FF8235-2F5B-47E7-96FA-EAD17768A71D}"/>
    <cellStyle name="Comma 4 5 4 2 3" xfId="11825" xr:uid="{6F7173EE-C95F-448C-97A7-D0654F04C421}"/>
    <cellStyle name="Comma 4 5 4 3" xfId="5456" xr:uid="{00000000-0005-0000-0000-0000450A0000}"/>
    <cellStyle name="Comma 4 5 4 3 2" xfId="13898" xr:uid="{B3E67505-631C-4368-9436-BC94BDF61097}"/>
    <cellStyle name="Comma 4 5 4 4" xfId="9680" xr:uid="{90B22098-051A-4656-B4B6-E8D977F749E1}"/>
    <cellStyle name="Comma 4 5 5" xfId="1561" xr:uid="{00000000-0005-0000-0000-0000460A0000}"/>
    <cellStyle name="Comma 4 5 5 2" xfId="3791" xr:uid="{00000000-0005-0000-0000-0000470A0000}"/>
    <cellStyle name="Comma 4 5 5 2 2" xfId="8014" xr:uid="{00000000-0005-0000-0000-0000480A0000}"/>
    <cellStyle name="Comma 4 5 5 2 2 2" xfId="16456" xr:uid="{E687B517-2517-46DF-9030-FF2FDBBC9F78}"/>
    <cellStyle name="Comma 4 5 5 2 3" xfId="12238" xr:uid="{45E22774-4FC8-46A8-B7A1-EB0AEBA65008}"/>
    <cellStyle name="Comma 4 5 5 3" xfId="5869" xr:uid="{00000000-0005-0000-0000-0000490A0000}"/>
    <cellStyle name="Comma 4 5 5 3 2" xfId="14311" xr:uid="{0A05FC84-2CC9-4439-AE7C-EDB8F994788B}"/>
    <cellStyle name="Comma 4 5 5 4" xfId="10093" xr:uid="{6FF715C0-0916-4364-A975-AB16B0A83DD7}"/>
    <cellStyle name="Comma 4 5 6" xfId="1975" xr:uid="{00000000-0005-0000-0000-00004A0A0000}"/>
    <cellStyle name="Comma 4 5 6 2" xfId="4204" xr:uid="{00000000-0005-0000-0000-00004B0A0000}"/>
    <cellStyle name="Comma 4 5 6 2 2" xfId="8427" xr:uid="{00000000-0005-0000-0000-00004C0A0000}"/>
    <cellStyle name="Comma 4 5 6 2 2 2" xfId="16869" xr:uid="{CDD61000-3E2E-4B4C-BBDF-3D9298F5436A}"/>
    <cellStyle name="Comma 4 5 6 2 3" xfId="12651" xr:uid="{21F7E403-288B-49A8-A5E5-5217329641D8}"/>
    <cellStyle name="Comma 4 5 6 3" xfId="6282" xr:uid="{00000000-0005-0000-0000-00004D0A0000}"/>
    <cellStyle name="Comma 4 5 6 3 2" xfId="14724" xr:uid="{5B5645FA-F44E-4C63-8DE7-9CD4F98FD600}"/>
    <cellStyle name="Comma 4 5 6 4" xfId="10506" xr:uid="{8D06C9F4-DDF5-4575-840C-55AB46D83122}"/>
    <cellStyle name="Comma 4 5 7" xfId="2410" xr:uid="{00000000-0005-0000-0000-00004E0A0000}"/>
    <cellStyle name="Comma 4 5 7 2" xfId="6695" xr:uid="{00000000-0005-0000-0000-00004F0A0000}"/>
    <cellStyle name="Comma 4 5 7 2 2" xfId="15137" xr:uid="{55245EEB-CC10-444C-BD9D-0E33659E7A84}"/>
    <cellStyle name="Comma 4 5 7 3" xfId="10919" xr:uid="{FCBEAB24-5868-4F6E-8D15-52E215616C96}"/>
    <cellStyle name="Comma 4 5 8" xfId="2706" xr:uid="{00000000-0005-0000-0000-0000500A0000}"/>
    <cellStyle name="Comma 4 5 9" xfId="2788" xr:uid="{00000000-0005-0000-0000-0000510A0000}"/>
    <cellStyle name="Comma 4 5 9 2" xfId="7012" xr:uid="{00000000-0005-0000-0000-0000520A0000}"/>
    <cellStyle name="Comma 4 5 9 2 2" xfId="15454" xr:uid="{D9623E0C-CFB9-494B-8C4A-F0F40BAD8B7C}"/>
    <cellStyle name="Comma 4 5 9 3" xfId="11236" xr:uid="{EFD75612-4041-446F-B5E7-0CF08AF2E099}"/>
    <cellStyle name="Comma 4 6" xfId="159" xr:uid="{00000000-0005-0000-0000-0000530A0000}"/>
    <cellStyle name="Comma 4 6 10" xfId="8855" xr:uid="{369E3BDC-03F1-498B-9896-3FE88C55BDB0}"/>
    <cellStyle name="Comma 4 6 2" xfId="696" xr:uid="{00000000-0005-0000-0000-0000540A0000}"/>
    <cellStyle name="Comma 4 6 2 2" xfId="2967" xr:uid="{00000000-0005-0000-0000-0000550A0000}"/>
    <cellStyle name="Comma 4 6 2 2 2" xfId="7190" xr:uid="{00000000-0005-0000-0000-0000560A0000}"/>
    <cellStyle name="Comma 4 6 2 2 2 2" xfId="15632" xr:uid="{52283F22-4AEF-416B-8082-10C1C34CE510}"/>
    <cellStyle name="Comma 4 6 2 2 3" xfId="11414" xr:uid="{7B6DF608-C1CB-49EB-B55E-34A73FD1029F}"/>
    <cellStyle name="Comma 4 6 2 3" xfId="5045" xr:uid="{00000000-0005-0000-0000-0000570A0000}"/>
    <cellStyle name="Comma 4 6 2 3 2" xfId="13487" xr:uid="{0079AF8C-65E6-48F5-913B-1D250685AD9D}"/>
    <cellStyle name="Comma 4 6 2 4" xfId="9269" xr:uid="{F04514FD-089F-400C-88FD-7FBB9770B8AE}"/>
    <cellStyle name="Comma 4 6 3" xfId="1149" xr:uid="{00000000-0005-0000-0000-0000580A0000}"/>
    <cellStyle name="Comma 4 6 3 2" xfId="3380" xr:uid="{00000000-0005-0000-0000-0000590A0000}"/>
    <cellStyle name="Comma 4 6 3 2 2" xfId="7603" xr:uid="{00000000-0005-0000-0000-00005A0A0000}"/>
    <cellStyle name="Comma 4 6 3 2 2 2" xfId="16045" xr:uid="{3DCF0789-5ACE-4D2E-8FBF-4D7568CE7CF2}"/>
    <cellStyle name="Comma 4 6 3 2 3" xfId="11827" xr:uid="{4BA3F293-E1D8-4E4F-AE67-2249B05EAF70}"/>
    <cellStyle name="Comma 4 6 3 3" xfId="5458" xr:uid="{00000000-0005-0000-0000-00005B0A0000}"/>
    <cellStyle name="Comma 4 6 3 3 2" xfId="13900" xr:uid="{69BC072E-580C-4689-A4F3-CF44381B24B5}"/>
    <cellStyle name="Comma 4 6 3 4" xfId="9682" xr:uid="{691D1038-1ED9-410C-9FE2-1955A0C6A7AB}"/>
    <cellStyle name="Comma 4 6 4" xfId="1563" xr:uid="{00000000-0005-0000-0000-00005C0A0000}"/>
    <cellStyle name="Comma 4 6 4 2" xfId="3793" xr:uid="{00000000-0005-0000-0000-00005D0A0000}"/>
    <cellStyle name="Comma 4 6 4 2 2" xfId="8016" xr:uid="{00000000-0005-0000-0000-00005E0A0000}"/>
    <cellStyle name="Comma 4 6 4 2 2 2" xfId="16458" xr:uid="{85E39AF6-5FDA-43AE-89D1-A9CCA0FB0228}"/>
    <cellStyle name="Comma 4 6 4 2 3" xfId="12240" xr:uid="{1BE259CC-05BE-4225-B10F-48775927C50C}"/>
    <cellStyle name="Comma 4 6 4 3" xfId="5871" xr:uid="{00000000-0005-0000-0000-00005F0A0000}"/>
    <cellStyle name="Comma 4 6 4 3 2" xfId="14313" xr:uid="{6C7A6F4F-B3B4-4F8E-86C8-DF33826A6F0E}"/>
    <cellStyle name="Comma 4 6 4 4" xfId="10095" xr:uid="{2F6C76C0-BC13-403E-8A53-113EFEF3AAB7}"/>
    <cellStyle name="Comma 4 6 5" xfId="1977" xr:uid="{00000000-0005-0000-0000-0000600A0000}"/>
    <cellStyle name="Comma 4 6 5 2" xfId="4206" xr:uid="{00000000-0005-0000-0000-0000610A0000}"/>
    <cellStyle name="Comma 4 6 5 2 2" xfId="8429" xr:uid="{00000000-0005-0000-0000-0000620A0000}"/>
    <cellStyle name="Comma 4 6 5 2 2 2" xfId="16871" xr:uid="{D60E1226-AD15-4159-A62F-1287F2215971}"/>
    <cellStyle name="Comma 4 6 5 2 3" xfId="12653" xr:uid="{572CA195-2FC4-469D-A966-A41D36F99CE8}"/>
    <cellStyle name="Comma 4 6 5 3" xfId="6284" xr:uid="{00000000-0005-0000-0000-0000630A0000}"/>
    <cellStyle name="Comma 4 6 5 3 2" xfId="14726" xr:uid="{E03FC0FD-708B-4EE3-9F3C-F2604199062A}"/>
    <cellStyle name="Comma 4 6 5 4" xfId="10508" xr:uid="{D75881FA-95B2-4BFE-80BC-2F73C9631C8D}"/>
    <cellStyle name="Comma 4 6 6" xfId="2412" xr:uid="{00000000-0005-0000-0000-0000640A0000}"/>
    <cellStyle name="Comma 4 6 6 2" xfId="6697" xr:uid="{00000000-0005-0000-0000-0000650A0000}"/>
    <cellStyle name="Comma 4 6 6 2 2" xfId="15139" xr:uid="{4C237C1C-97A3-4BC8-8442-7BCFF8452295}"/>
    <cellStyle name="Comma 4 6 6 3" xfId="10921" xr:uid="{A2A3047B-8DE7-4C5B-8480-2E4AD59C469D}"/>
    <cellStyle name="Comma 4 6 7" xfId="2708" xr:uid="{00000000-0005-0000-0000-0000660A0000}"/>
    <cellStyle name="Comma 4 6 8" xfId="2790" xr:uid="{00000000-0005-0000-0000-0000670A0000}"/>
    <cellStyle name="Comma 4 6 8 2" xfId="7014" xr:uid="{00000000-0005-0000-0000-0000680A0000}"/>
    <cellStyle name="Comma 4 6 8 2 2" xfId="15456" xr:uid="{C531E1F0-F273-45D4-9612-009C14D6CDED}"/>
    <cellStyle name="Comma 4 6 8 3" xfId="11238" xr:uid="{2B79F572-8C24-4A70-AA7D-53A67A99B6BF}"/>
    <cellStyle name="Comma 4 6 9" xfId="4631" xr:uid="{00000000-0005-0000-0000-0000690A0000}"/>
    <cellStyle name="Comma 4 6 9 2" xfId="13073" xr:uid="{00EC0300-4AF9-43B7-B3E3-36EEF40506CE}"/>
    <cellStyle name="Comma 4 7" xfId="160" xr:uid="{00000000-0005-0000-0000-00006A0A0000}"/>
    <cellStyle name="Comma 4 7 10" xfId="8856" xr:uid="{727AF3CE-B582-4CD7-A46A-9404E3CF055A}"/>
    <cellStyle name="Comma 4 7 2" xfId="697" xr:uid="{00000000-0005-0000-0000-00006B0A0000}"/>
    <cellStyle name="Comma 4 7 2 2" xfId="2968" xr:uid="{00000000-0005-0000-0000-00006C0A0000}"/>
    <cellStyle name="Comma 4 7 2 2 2" xfId="7191" xr:uid="{00000000-0005-0000-0000-00006D0A0000}"/>
    <cellStyle name="Comma 4 7 2 2 2 2" xfId="15633" xr:uid="{0F0C7167-C46C-4380-8B51-62A45C3E75A5}"/>
    <cellStyle name="Comma 4 7 2 2 3" xfId="11415" xr:uid="{2D7D4C6F-A8CC-47D1-BBC2-F64D8F19A7F4}"/>
    <cellStyle name="Comma 4 7 2 3" xfId="5046" xr:uid="{00000000-0005-0000-0000-00006E0A0000}"/>
    <cellStyle name="Comma 4 7 2 3 2" xfId="13488" xr:uid="{A324EC23-77F6-4868-AF2B-63697919E28F}"/>
    <cellStyle name="Comma 4 7 2 4" xfId="9270" xr:uid="{6BBF9DCF-7C00-47ED-81F7-A99E36A606EB}"/>
    <cellStyle name="Comma 4 7 3" xfId="1150" xr:uid="{00000000-0005-0000-0000-00006F0A0000}"/>
    <cellStyle name="Comma 4 7 3 2" xfId="3381" xr:uid="{00000000-0005-0000-0000-0000700A0000}"/>
    <cellStyle name="Comma 4 7 3 2 2" xfId="7604" xr:uid="{00000000-0005-0000-0000-0000710A0000}"/>
    <cellStyle name="Comma 4 7 3 2 2 2" xfId="16046" xr:uid="{AFE76DC6-4527-4DDF-9C10-F230416482ED}"/>
    <cellStyle name="Comma 4 7 3 2 3" xfId="11828" xr:uid="{1A188765-0710-4EA5-A05D-8E305575CCB8}"/>
    <cellStyle name="Comma 4 7 3 3" xfId="5459" xr:uid="{00000000-0005-0000-0000-0000720A0000}"/>
    <cellStyle name="Comma 4 7 3 3 2" xfId="13901" xr:uid="{22B3D1F9-881F-43D4-B7BA-87308FC868F0}"/>
    <cellStyle name="Comma 4 7 3 4" xfId="9683" xr:uid="{0852C98D-2969-49FE-A224-2CB39476C198}"/>
    <cellStyle name="Comma 4 7 4" xfId="1564" xr:uid="{00000000-0005-0000-0000-0000730A0000}"/>
    <cellStyle name="Comma 4 7 4 2" xfId="3794" xr:uid="{00000000-0005-0000-0000-0000740A0000}"/>
    <cellStyle name="Comma 4 7 4 2 2" xfId="8017" xr:uid="{00000000-0005-0000-0000-0000750A0000}"/>
    <cellStyle name="Comma 4 7 4 2 2 2" xfId="16459" xr:uid="{A314F177-7F0F-4A8E-B1CC-C31F24A9E9A9}"/>
    <cellStyle name="Comma 4 7 4 2 3" xfId="12241" xr:uid="{BB412218-FEFA-47F9-A393-141B8BB3A65F}"/>
    <cellStyle name="Comma 4 7 4 3" xfId="5872" xr:uid="{00000000-0005-0000-0000-0000760A0000}"/>
    <cellStyle name="Comma 4 7 4 3 2" xfId="14314" xr:uid="{770CEDA4-67EF-4BB2-814E-92A14B4AAFB2}"/>
    <cellStyle name="Comma 4 7 4 4" xfId="10096" xr:uid="{65E3AC81-7C7E-4D9C-9C37-A57423BBEC8C}"/>
    <cellStyle name="Comma 4 7 5" xfId="1978" xr:uid="{00000000-0005-0000-0000-0000770A0000}"/>
    <cellStyle name="Comma 4 7 5 2" xfId="4207" xr:uid="{00000000-0005-0000-0000-0000780A0000}"/>
    <cellStyle name="Comma 4 7 5 2 2" xfId="8430" xr:uid="{00000000-0005-0000-0000-0000790A0000}"/>
    <cellStyle name="Comma 4 7 5 2 2 2" xfId="16872" xr:uid="{D8F71ABC-FBF3-4569-BC1B-68586D8F7838}"/>
    <cellStyle name="Comma 4 7 5 2 3" xfId="12654" xr:uid="{1BC77C8B-FA98-42E9-9FD9-3188F9145594}"/>
    <cellStyle name="Comma 4 7 5 3" xfId="6285" xr:uid="{00000000-0005-0000-0000-00007A0A0000}"/>
    <cellStyle name="Comma 4 7 5 3 2" xfId="14727" xr:uid="{74AC73C7-9AD9-4BEF-809C-3E79ED1CF3BA}"/>
    <cellStyle name="Comma 4 7 5 4" xfId="10509" xr:uid="{E0D46810-42A8-428A-AA06-4B67793418AD}"/>
    <cellStyle name="Comma 4 7 6" xfId="2413" xr:uid="{00000000-0005-0000-0000-00007B0A0000}"/>
    <cellStyle name="Comma 4 7 6 2" xfId="6698" xr:uid="{00000000-0005-0000-0000-00007C0A0000}"/>
    <cellStyle name="Comma 4 7 6 2 2" xfId="15140" xr:uid="{B73A76AC-EEA3-447F-AE70-240A11E4C821}"/>
    <cellStyle name="Comma 4 7 6 3" xfId="10922" xr:uid="{92912B65-4D06-42FE-BC33-915137AA8179}"/>
    <cellStyle name="Comma 4 7 7" xfId="2709" xr:uid="{00000000-0005-0000-0000-00007D0A0000}"/>
    <cellStyle name="Comma 4 7 8" xfId="2791" xr:uid="{00000000-0005-0000-0000-00007E0A0000}"/>
    <cellStyle name="Comma 4 7 8 2" xfId="7015" xr:uid="{00000000-0005-0000-0000-00007F0A0000}"/>
    <cellStyle name="Comma 4 7 8 2 2" xfId="15457" xr:uid="{2C82085F-F3D2-40C7-94D8-5A79BC23A476}"/>
    <cellStyle name="Comma 4 7 8 3" xfId="11239" xr:uid="{61D3A2BF-C806-4559-815C-25234550C68A}"/>
    <cellStyle name="Comma 4 7 9" xfId="4632" xr:uid="{00000000-0005-0000-0000-0000800A0000}"/>
    <cellStyle name="Comma 4 7 9 2" xfId="13074" xr:uid="{550B0125-D26D-4E68-9A0E-8A3D6276AD6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EE2B24FB-8896-4D42-810F-EB623EF20DB8}"/>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8FE6B46E-31D5-4D0E-A4DF-23D32BA0688D}"/>
    <cellStyle name="Currency 14 3" xfId="8720" xr:uid="{729B09A7-2394-4D7C-912C-1471FB3455A3}"/>
    <cellStyle name="Currency 14 3 2" xfId="8724" xr:uid="{1945FB0F-31EC-4D98-B64C-BAFBADA341A1}"/>
    <cellStyle name="Currency 14 3 2 2" xfId="8727" xr:uid="{03BA8DEE-11D2-406B-B26D-8EE163916FB0}"/>
    <cellStyle name="Currency 14 3 2 3" xfId="17165" xr:uid="{7D4E4384-D567-4895-935C-414623D4A54C}"/>
    <cellStyle name="Currency 14 3 3" xfId="17162" xr:uid="{48345CFD-D495-4489-9270-BA71515CFB19}"/>
    <cellStyle name="Currency 14 4" xfId="12945" xr:uid="{38B3F945-C59C-4412-ABFE-6D0C49F3DB68}"/>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38B3F2BA-8D8F-41D8-A357-AEE4F1B181E0}"/>
    <cellStyle name="Currency 3 2 2 10 3" xfId="11240" xr:uid="{B28D3440-3693-4382-8D8D-77D8E928B6C9}"/>
    <cellStyle name="Currency 3 2 2 11" xfId="4633" xr:uid="{00000000-0005-0000-0000-0000A50A0000}"/>
    <cellStyle name="Currency 3 2 2 11 2" xfId="13075" xr:uid="{2DCB500F-8B81-4401-905F-6E9BD12148E6}"/>
    <cellStyle name="Currency 3 2 2 12" xfId="8857" xr:uid="{E4463E80-90E9-4BE2-A3FE-ACB9114D5E7D}"/>
    <cellStyle name="Currency 3 2 2 2" xfId="179" xr:uid="{00000000-0005-0000-0000-0000A60A0000}"/>
    <cellStyle name="Currency 3 2 2 2 10" xfId="4634" xr:uid="{00000000-0005-0000-0000-0000A70A0000}"/>
    <cellStyle name="Currency 3 2 2 2 10 2" xfId="13076" xr:uid="{4C293E24-BD2D-4E7E-89EC-A0CB4563CBF8}"/>
    <cellStyle name="Currency 3 2 2 2 11" xfId="8858" xr:uid="{8E17EFD8-9749-402F-AF78-41151C288C21}"/>
    <cellStyle name="Currency 3 2 2 2 2" xfId="180" xr:uid="{00000000-0005-0000-0000-0000A80A0000}"/>
    <cellStyle name="Currency 3 2 2 2 2 10" xfId="8859" xr:uid="{BA8A392B-2F59-4F2B-866E-EF89EC894312}"/>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ADDEBE6A-235A-40CE-A90B-2C624E2EE9B0}"/>
    <cellStyle name="Currency 3 2 2 2 2 2 2 3" xfId="11418" xr:uid="{35DD8144-2933-41EE-97EF-F7E9B16F1879}"/>
    <cellStyle name="Currency 3 2 2 2 2 2 3" xfId="5049" xr:uid="{00000000-0005-0000-0000-0000AC0A0000}"/>
    <cellStyle name="Currency 3 2 2 2 2 2 3 2" xfId="13491" xr:uid="{4BE29571-8F27-4E08-BBDB-29BF40A2CAB2}"/>
    <cellStyle name="Currency 3 2 2 2 2 2 4" xfId="9273" xr:uid="{7CABCC0D-7A16-426C-BEB0-DA45D9183169}"/>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209310E7-2277-4875-AD1E-A19ABFEDFB7C}"/>
    <cellStyle name="Currency 3 2 2 2 2 3 2 3" xfId="11831" xr:uid="{2665B65B-8313-404C-9778-4F3A53C1929B}"/>
    <cellStyle name="Currency 3 2 2 2 2 3 3" xfId="5462" xr:uid="{00000000-0005-0000-0000-0000B00A0000}"/>
    <cellStyle name="Currency 3 2 2 2 2 3 3 2" xfId="13904" xr:uid="{124ABC73-4680-4742-900F-3E1E38AB1347}"/>
    <cellStyle name="Currency 3 2 2 2 2 3 4" xfId="9686" xr:uid="{6FDB5966-8BAC-4217-891E-7B1CF1581121}"/>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5F342598-FF06-43AB-9438-EEE47B4999F0}"/>
    <cellStyle name="Currency 3 2 2 2 2 4 2 3" xfId="12244" xr:uid="{279293BD-0126-4C1E-96C4-7743113F4B88}"/>
    <cellStyle name="Currency 3 2 2 2 2 4 3" xfId="5875" xr:uid="{00000000-0005-0000-0000-0000B40A0000}"/>
    <cellStyle name="Currency 3 2 2 2 2 4 3 2" xfId="14317" xr:uid="{74435C40-B6B1-4392-B9FA-C0D5784E4E51}"/>
    <cellStyle name="Currency 3 2 2 2 2 4 4" xfId="10099" xr:uid="{0628686F-C0D0-4693-A0F1-CDCC20A09F53}"/>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5AB79785-C109-4222-B463-450089FC0105}"/>
    <cellStyle name="Currency 3 2 2 2 2 5 2 3" xfId="12657" xr:uid="{6746C0A2-B852-420C-BB04-F9FE0863E309}"/>
    <cellStyle name="Currency 3 2 2 2 2 5 3" xfId="6288" xr:uid="{00000000-0005-0000-0000-0000B80A0000}"/>
    <cellStyle name="Currency 3 2 2 2 2 5 3 2" xfId="14730" xr:uid="{DF8B8B56-BD35-420C-8C3B-4656F5D8E153}"/>
    <cellStyle name="Currency 3 2 2 2 2 5 4" xfId="10512" xr:uid="{D8B0DC37-F3CA-491A-8CD1-C12AF0D7C6A6}"/>
    <cellStyle name="Currency 3 2 2 2 2 6" xfId="2416" xr:uid="{00000000-0005-0000-0000-0000B90A0000}"/>
    <cellStyle name="Currency 3 2 2 2 2 6 2" xfId="6701" xr:uid="{00000000-0005-0000-0000-0000BA0A0000}"/>
    <cellStyle name="Currency 3 2 2 2 2 6 2 2" xfId="15143" xr:uid="{045B95F7-C01B-4290-B2F5-ECAD0922FEA4}"/>
    <cellStyle name="Currency 3 2 2 2 2 6 3" xfId="10925" xr:uid="{E5B7ED11-D984-4AF7-8CDC-D27E429EA289}"/>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21A59707-F1D7-453A-878B-3646B1165B10}"/>
    <cellStyle name="Currency 3 2 2 2 2 8 3" xfId="11242" xr:uid="{8E9704C8-4678-4978-B234-970A7114AE1E}"/>
    <cellStyle name="Currency 3 2 2 2 2 9" xfId="4635" xr:uid="{00000000-0005-0000-0000-0000BE0A0000}"/>
    <cellStyle name="Currency 3 2 2 2 2 9 2" xfId="13077" xr:uid="{99A38299-2280-4056-835F-1267B180DD8D}"/>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57338BDF-507D-401B-9A05-C2BE1A46F757}"/>
    <cellStyle name="Currency 3 2 2 2 3 2 3" xfId="11417" xr:uid="{75D32869-9DB1-49C4-A7B3-521B6A986155}"/>
    <cellStyle name="Currency 3 2 2 2 3 3" xfId="5048" xr:uid="{00000000-0005-0000-0000-0000C20A0000}"/>
    <cellStyle name="Currency 3 2 2 2 3 3 2" xfId="13490" xr:uid="{0E0984E1-7C21-4C1A-AB3B-14A05E968213}"/>
    <cellStyle name="Currency 3 2 2 2 3 4" xfId="9272" xr:uid="{7F110F22-5028-45D2-9F20-6D8C43A58C32}"/>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18B82803-0C9B-4DEC-B321-667BB43F71B5}"/>
    <cellStyle name="Currency 3 2 2 2 4 2 3" xfId="11830" xr:uid="{C1E19F28-4DEA-4719-B7DB-FCF9D66F0B83}"/>
    <cellStyle name="Currency 3 2 2 2 4 3" xfId="5461" xr:uid="{00000000-0005-0000-0000-0000C60A0000}"/>
    <cellStyle name="Currency 3 2 2 2 4 3 2" xfId="13903" xr:uid="{B3AA02F9-4E27-470E-94E2-635A7D8CA6BD}"/>
    <cellStyle name="Currency 3 2 2 2 4 4" xfId="9685" xr:uid="{7FAC0939-607C-4CE0-97C5-16154ABDA367}"/>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64E20A7B-B98D-4E6D-8FDC-3DFC1BDD0941}"/>
    <cellStyle name="Currency 3 2 2 2 5 2 3" xfId="12243" xr:uid="{0BDA8D1D-FE88-4A26-A495-A142C4BD6C5C}"/>
    <cellStyle name="Currency 3 2 2 2 5 3" xfId="5874" xr:uid="{00000000-0005-0000-0000-0000CA0A0000}"/>
    <cellStyle name="Currency 3 2 2 2 5 3 2" xfId="14316" xr:uid="{434D714C-E067-40D8-AE05-1E8583874B52}"/>
    <cellStyle name="Currency 3 2 2 2 5 4" xfId="10098" xr:uid="{F4F2FEF3-DB22-4C46-9D07-4E933953D4EC}"/>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6B2F4D31-96D4-459A-8912-76AF633BE5E6}"/>
    <cellStyle name="Currency 3 2 2 2 6 2 3" xfId="12656" xr:uid="{2EF71DB7-1244-47F9-A336-080C008734A7}"/>
    <cellStyle name="Currency 3 2 2 2 6 3" xfId="6287" xr:uid="{00000000-0005-0000-0000-0000CE0A0000}"/>
    <cellStyle name="Currency 3 2 2 2 6 3 2" xfId="14729" xr:uid="{E557542B-AD7C-40DE-B6BD-CBAA4E58A216}"/>
    <cellStyle name="Currency 3 2 2 2 6 4" xfId="10511" xr:uid="{D88BCA48-4AE7-4E46-BD51-058B0FF31701}"/>
    <cellStyle name="Currency 3 2 2 2 7" xfId="2415" xr:uid="{00000000-0005-0000-0000-0000CF0A0000}"/>
    <cellStyle name="Currency 3 2 2 2 7 2" xfId="6700" xr:uid="{00000000-0005-0000-0000-0000D00A0000}"/>
    <cellStyle name="Currency 3 2 2 2 7 2 2" xfId="15142" xr:uid="{CE3A4CEA-47FC-464A-8D52-7C1E58CE0227}"/>
    <cellStyle name="Currency 3 2 2 2 7 3" xfId="10924" xr:uid="{510DB171-FF54-4A00-91AA-EC9D3467902B}"/>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98CA4711-64EA-48B2-B7A2-58E0326E9347}"/>
    <cellStyle name="Currency 3 2 2 2 9 3" xfId="11241" xr:uid="{C38416DB-CFBB-46E6-9F3E-27DBC42F65C5}"/>
    <cellStyle name="Currency 3 2 2 3" xfId="181" xr:uid="{00000000-0005-0000-0000-0000D40A0000}"/>
    <cellStyle name="Currency 3 2 2 3 10" xfId="8860" xr:uid="{3F7A4D5F-6FC7-4A86-B199-000E14C7D625}"/>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806B7EAD-6641-4334-9EE3-6CB891F02249}"/>
    <cellStyle name="Currency 3 2 2 3 2 2 3" xfId="11419" xr:uid="{B23E80A8-55A3-451E-894A-C0FAFC18B0C3}"/>
    <cellStyle name="Currency 3 2 2 3 2 3" xfId="5050" xr:uid="{00000000-0005-0000-0000-0000D80A0000}"/>
    <cellStyle name="Currency 3 2 2 3 2 3 2" xfId="13492" xr:uid="{22A8D77F-A230-4F97-9025-719D3DA60B62}"/>
    <cellStyle name="Currency 3 2 2 3 2 4" xfId="9274" xr:uid="{18DA3C87-7EFA-42D2-8401-056D84ED231C}"/>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5E3C4391-865B-4271-B4C0-11F7CD9D0251}"/>
    <cellStyle name="Currency 3 2 2 3 3 2 3" xfId="11832" xr:uid="{F515F301-2EA0-4B0C-AB44-EC710E095E3D}"/>
    <cellStyle name="Currency 3 2 2 3 3 3" xfId="5463" xr:uid="{00000000-0005-0000-0000-0000DC0A0000}"/>
    <cellStyle name="Currency 3 2 2 3 3 3 2" xfId="13905" xr:uid="{B698E593-C873-4DA6-B46E-74025536264B}"/>
    <cellStyle name="Currency 3 2 2 3 3 4" xfId="9687" xr:uid="{C4AEFDD5-59DB-4731-9824-17D7305F0758}"/>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2D91B337-5C0E-4EC4-B975-8E5932EC6A6A}"/>
    <cellStyle name="Currency 3 2 2 3 4 2 3" xfId="12245" xr:uid="{2EAB2F2A-6566-4E3A-8DA8-C7736A3AD972}"/>
    <cellStyle name="Currency 3 2 2 3 4 3" xfId="5876" xr:uid="{00000000-0005-0000-0000-0000E00A0000}"/>
    <cellStyle name="Currency 3 2 2 3 4 3 2" xfId="14318" xr:uid="{655C43B3-56A1-4518-8C03-2AD99544EFEE}"/>
    <cellStyle name="Currency 3 2 2 3 4 4" xfId="10100" xr:uid="{236AF7FE-1F30-41F9-813B-ED5DF26CC128}"/>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DB4DCE4D-B451-432C-9B14-22506FEDED93}"/>
    <cellStyle name="Currency 3 2 2 3 5 2 3" xfId="12658" xr:uid="{1CF9FE22-0790-40F5-9E71-A025B8203EB1}"/>
    <cellStyle name="Currency 3 2 2 3 5 3" xfId="6289" xr:uid="{00000000-0005-0000-0000-0000E40A0000}"/>
    <cellStyle name="Currency 3 2 2 3 5 3 2" xfId="14731" xr:uid="{19DB7E06-63B0-411E-AF0C-8EC07413E27D}"/>
    <cellStyle name="Currency 3 2 2 3 5 4" xfId="10513" xr:uid="{22E740E7-23F5-4A7A-9D66-7EDE334022EE}"/>
    <cellStyle name="Currency 3 2 2 3 6" xfId="2417" xr:uid="{00000000-0005-0000-0000-0000E50A0000}"/>
    <cellStyle name="Currency 3 2 2 3 6 2" xfId="6702" xr:uid="{00000000-0005-0000-0000-0000E60A0000}"/>
    <cellStyle name="Currency 3 2 2 3 6 2 2" xfId="15144" xr:uid="{5A879CAB-3503-4248-A984-1703EEE6993B}"/>
    <cellStyle name="Currency 3 2 2 3 6 3" xfId="10926" xr:uid="{66FD7E49-3445-4F09-9A2B-7A790A5E6FA0}"/>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74C45814-EDC7-4ED6-B15D-B64C7A0760CA}"/>
    <cellStyle name="Currency 3 2 2 3 8 3" xfId="11243" xr:uid="{B15BF317-C4CD-499E-80B2-771A58E649A1}"/>
    <cellStyle name="Currency 3 2 2 3 9" xfId="4636" xr:uid="{00000000-0005-0000-0000-0000EA0A0000}"/>
    <cellStyle name="Currency 3 2 2 3 9 2" xfId="13078" xr:uid="{C581DAA6-8199-4FD1-A569-5E5329743A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C1348623-13A9-4EE2-8666-C820ADFEB785}"/>
    <cellStyle name="Currency 3 2 2 4 2 3" xfId="11416" xr:uid="{593009F3-B0C2-41D9-AB57-19638051C946}"/>
    <cellStyle name="Currency 3 2 2 4 3" xfId="5047" xr:uid="{00000000-0005-0000-0000-0000EE0A0000}"/>
    <cellStyle name="Currency 3 2 2 4 3 2" xfId="13489" xr:uid="{C635A6DF-B4C3-4380-B72E-3F5000D9B7FF}"/>
    <cellStyle name="Currency 3 2 2 4 4" xfId="9271" xr:uid="{593711F5-F82F-483E-99A1-355A0345D8FE}"/>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C0C17AC9-3524-428F-A431-0DC2399B8DE6}"/>
    <cellStyle name="Currency 3 2 2 5 2 3" xfId="11829" xr:uid="{DC21C35A-3B6A-4F3A-B67F-2964628804BB}"/>
    <cellStyle name="Currency 3 2 2 5 3" xfId="5460" xr:uid="{00000000-0005-0000-0000-0000F20A0000}"/>
    <cellStyle name="Currency 3 2 2 5 3 2" xfId="13902" xr:uid="{B12D3C89-2FE3-40C5-ACBD-9FC81DAD6EAD}"/>
    <cellStyle name="Currency 3 2 2 5 4" xfId="9684" xr:uid="{E4EF7391-5FB0-4F69-B617-4159487F660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7431D770-C444-410C-9F85-6E7CA0DC534F}"/>
    <cellStyle name="Currency 3 2 2 6 2 3" xfId="12242" xr:uid="{F286BE2D-8503-4245-9BAC-9664D88EC96F}"/>
    <cellStyle name="Currency 3 2 2 6 3" xfId="5873" xr:uid="{00000000-0005-0000-0000-0000F60A0000}"/>
    <cellStyle name="Currency 3 2 2 6 3 2" xfId="14315" xr:uid="{109BEC6C-5603-431D-BCB5-9BA35ECC91F5}"/>
    <cellStyle name="Currency 3 2 2 6 4" xfId="10097" xr:uid="{2B98AC5D-4C5F-426F-8F6C-3A37060CFE87}"/>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43CA3D97-52D8-45C3-9E3E-0135EB322B7C}"/>
    <cellStyle name="Currency 3 2 2 7 2 3" xfId="12655" xr:uid="{307B6125-5606-444C-A24F-847A66CFAB5E}"/>
    <cellStyle name="Currency 3 2 2 7 3" xfId="6286" xr:uid="{00000000-0005-0000-0000-0000FA0A0000}"/>
    <cellStyle name="Currency 3 2 2 7 3 2" xfId="14728" xr:uid="{3C60913D-0C40-4916-B171-D48833C0BA4F}"/>
    <cellStyle name="Currency 3 2 2 7 4" xfId="10510" xr:uid="{6FDA98F6-837A-4FAD-B41A-46B6FE77EB2F}"/>
    <cellStyle name="Currency 3 2 2 8" xfId="2414" xr:uid="{00000000-0005-0000-0000-0000FB0A0000}"/>
    <cellStyle name="Currency 3 2 2 8 2" xfId="6699" xr:uid="{00000000-0005-0000-0000-0000FC0A0000}"/>
    <cellStyle name="Currency 3 2 2 8 2 2" xfId="15141" xr:uid="{D9C7080F-6B78-4DB1-8BA8-CBB1DB95FFD1}"/>
    <cellStyle name="Currency 3 2 2 8 3" xfId="10923" xr:uid="{5C476EB6-4C9F-4ADD-8F21-A852E2735354}"/>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F25D8872-4FA7-4201-A95D-EA94DC8FF465}"/>
    <cellStyle name="Currency 3 2 3 11" xfId="8861" xr:uid="{E85A83B6-8882-4DD7-ADF0-0E6F33658CF4}"/>
    <cellStyle name="Currency 3 2 3 2" xfId="183" xr:uid="{00000000-0005-0000-0000-0000000B0000}"/>
    <cellStyle name="Currency 3 2 3 2 10" xfId="8862" xr:uid="{A04BE61E-0F67-466E-9671-A25491C21227}"/>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44A4BA65-D9C2-4AA3-8A35-609BF6AEA274}"/>
    <cellStyle name="Currency 3 2 3 2 2 2 3" xfId="11421" xr:uid="{058A547A-55FB-4D58-A3CE-E1B3BA6EAB8B}"/>
    <cellStyle name="Currency 3 2 3 2 2 3" xfId="5052" xr:uid="{00000000-0005-0000-0000-0000040B0000}"/>
    <cellStyle name="Currency 3 2 3 2 2 3 2" xfId="13494" xr:uid="{A34DC7F1-1962-470B-B36D-65A10B32AA03}"/>
    <cellStyle name="Currency 3 2 3 2 2 4" xfId="9276" xr:uid="{34E05583-50AC-4AE4-8328-73DCACF51D6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59429816-7D7C-4040-960A-36E019C3D113}"/>
    <cellStyle name="Currency 3 2 3 2 3 2 3" xfId="11834" xr:uid="{2DD8AB9A-A322-4B4E-8E19-E43F4CCE35FD}"/>
    <cellStyle name="Currency 3 2 3 2 3 3" xfId="5465" xr:uid="{00000000-0005-0000-0000-0000080B0000}"/>
    <cellStyle name="Currency 3 2 3 2 3 3 2" xfId="13907" xr:uid="{12BB0784-9408-4D9E-8604-9994F6BF5963}"/>
    <cellStyle name="Currency 3 2 3 2 3 4" xfId="9689" xr:uid="{2918936F-FA7E-4388-AAA9-FDD52C2CF48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CEEA4073-54E7-44BA-84AB-15D9E3B92881}"/>
    <cellStyle name="Currency 3 2 3 2 4 2 3" xfId="12247" xr:uid="{3C3AFD10-4545-49E3-B91C-959EBD75017D}"/>
    <cellStyle name="Currency 3 2 3 2 4 3" xfId="5878" xr:uid="{00000000-0005-0000-0000-00000C0B0000}"/>
    <cellStyle name="Currency 3 2 3 2 4 3 2" xfId="14320" xr:uid="{5C0D8148-4250-4835-A678-F1BE5727C5BA}"/>
    <cellStyle name="Currency 3 2 3 2 4 4" xfId="10102" xr:uid="{1CB4AA88-78CC-4F8B-BAE3-2C64D2CD157C}"/>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951AD6CA-3364-46E3-90AA-ACAAAB4204FD}"/>
    <cellStyle name="Currency 3 2 3 2 5 2 3" xfId="12660" xr:uid="{2F93AD60-80C6-4F04-8D0A-B19E5C0EC4A9}"/>
    <cellStyle name="Currency 3 2 3 2 5 3" xfId="6291" xr:uid="{00000000-0005-0000-0000-0000100B0000}"/>
    <cellStyle name="Currency 3 2 3 2 5 3 2" xfId="14733" xr:uid="{60CE2122-9B23-48B1-836D-237CD4335EAB}"/>
    <cellStyle name="Currency 3 2 3 2 5 4" xfId="10515" xr:uid="{E2AC8A38-A47C-48C4-877E-B05D407C681B}"/>
    <cellStyle name="Currency 3 2 3 2 6" xfId="2419" xr:uid="{00000000-0005-0000-0000-0000110B0000}"/>
    <cellStyle name="Currency 3 2 3 2 6 2" xfId="6704" xr:uid="{00000000-0005-0000-0000-0000120B0000}"/>
    <cellStyle name="Currency 3 2 3 2 6 2 2" xfId="15146" xr:uid="{7BE613D0-3FF0-4C02-9A84-199BDDCEB68D}"/>
    <cellStyle name="Currency 3 2 3 2 6 3" xfId="10928" xr:uid="{21E127D9-C3C2-4F23-B751-E72C6481EA42}"/>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4813F2BC-E69A-4D65-B7A9-EAE8FD246E29}"/>
    <cellStyle name="Currency 3 2 3 2 8 3" xfId="11245" xr:uid="{2811AAAF-54F7-4D46-84D2-AA5625AE088D}"/>
    <cellStyle name="Currency 3 2 3 2 9" xfId="4638" xr:uid="{00000000-0005-0000-0000-0000160B0000}"/>
    <cellStyle name="Currency 3 2 3 2 9 2" xfId="13080" xr:uid="{DBD055D1-74A5-4FD8-B67A-D57CCD1FC36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1414210-910C-413D-8E05-93726515F68C}"/>
    <cellStyle name="Currency 3 2 3 3 2 3" xfId="11420" xr:uid="{BA22FE96-C4D5-4866-A114-11FA17899412}"/>
    <cellStyle name="Currency 3 2 3 3 3" xfId="5051" xr:uid="{00000000-0005-0000-0000-00001A0B0000}"/>
    <cellStyle name="Currency 3 2 3 3 3 2" xfId="13493" xr:uid="{C48F2B59-C258-4D05-8453-E9A6907A6059}"/>
    <cellStyle name="Currency 3 2 3 3 4" xfId="9275" xr:uid="{E8968FC6-D5AD-4C2E-99E9-943105B6EAF5}"/>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F821796A-F865-492C-89FF-9CB6FAC0C8FA}"/>
    <cellStyle name="Currency 3 2 3 4 2 3" xfId="11833" xr:uid="{5C23619B-64EC-4D4C-8D2F-B4968CC990DF}"/>
    <cellStyle name="Currency 3 2 3 4 3" xfId="5464" xr:uid="{00000000-0005-0000-0000-00001E0B0000}"/>
    <cellStyle name="Currency 3 2 3 4 3 2" xfId="13906" xr:uid="{1E729401-96A4-4961-AF65-40A55DFC3F64}"/>
    <cellStyle name="Currency 3 2 3 4 4" xfId="9688" xr:uid="{DB4C3372-70AE-4928-B3C7-7CFD3560D23E}"/>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62FAA9E5-B395-4BA0-9719-73104578338E}"/>
    <cellStyle name="Currency 3 2 3 5 2 3" xfId="12246" xr:uid="{1F816FC1-6C58-4CB6-AE28-997E33D35937}"/>
    <cellStyle name="Currency 3 2 3 5 3" xfId="5877" xr:uid="{00000000-0005-0000-0000-0000220B0000}"/>
    <cellStyle name="Currency 3 2 3 5 3 2" xfId="14319" xr:uid="{6C896B91-4E92-4473-A933-8DD44C523152}"/>
    <cellStyle name="Currency 3 2 3 5 4" xfId="10101" xr:uid="{9EB31AE0-F7D9-4E8A-8537-1212D8B43326}"/>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B4719B48-7016-4B86-BD60-6A6781F3B9BD}"/>
    <cellStyle name="Currency 3 2 3 6 2 3" xfId="12659" xr:uid="{100508A6-4A1F-4E2F-A5DF-77B2822958C4}"/>
    <cellStyle name="Currency 3 2 3 6 3" xfId="6290" xr:uid="{00000000-0005-0000-0000-0000260B0000}"/>
    <cellStyle name="Currency 3 2 3 6 3 2" xfId="14732" xr:uid="{CA669D97-74A3-42B8-BEA9-6BD19157FAA9}"/>
    <cellStyle name="Currency 3 2 3 6 4" xfId="10514" xr:uid="{1C7D2F23-3050-437B-98A0-ECFDD1AC2E25}"/>
    <cellStyle name="Currency 3 2 3 7" xfId="2418" xr:uid="{00000000-0005-0000-0000-0000270B0000}"/>
    <cellStyle name="Currency 3 2 3 7 2" xfId="6703" xr:uid="{00000000-0005-0000-0000-0000280B0000}"/>
    <cellStyle name="Currency 3 2 3 7 2 2" xfId="15145" xr:uid="{E7965E45-1715-45D1-B1E9-941C1D6AAA73}"/>
    <cellStyle name="Currency 3 2 3 7 3" xfId="10927" xr:uid="{1FA48C02-589F-44E1-878E-D5E24B42CA81}"/>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5CFD0595-F891-4E35-88B4-5C033B27F6A4}"/>
    <cellStyle name="Currency 3 2 3 9 3" xfId="11244" xr:uid="{9C65778A-D2B0-4D75-BAC6-167946298D42}"/>
    <cellStyle name="Currency 3 2 4" xfId="184" xr:uid="{00000000-0005-0000-0000-00002C0B0000}"/>
    <cellStyle name="Currency 3 2 4 10" xfId="8863" xr:uid="{1D19DCB3-27FA-46B1-A268-10F86EAD86CD}"/>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3A34BB3D-3FF3-4480-BB15-9B92B008B5A4}"/>
    <cellStyle name="Currency 3 2 4 2 2 3" xfId="11422" xr:uid="{74F59A40-4BF8-4BD4-9A64-2C669696F16E}"/>
    <cellStyle name="Currency 3 2 4 2 3" xfId="5053" xr:uid="{00000000-0005-0000-0000-0000300B0000}"/>
    <cellStyle name="Currency 3 2 4 2 3 2" xfId="13495" xr:uid="{55EC7383-71D1-48C8-8A42-A9E8A205EF44}"/>
    <cellStyle name="Currency 3 2 4 2 4" xfId="9277" xr:uid="{692BCFA6-C189-40C7-AC7A-D17E936BB475}"/>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40EFFFD5-428D-4A2F-82DD-D5438B54A27D}"/>
    <cellStyle name="Currency 3 2 4 3 2 3" xfId="11835" xr:uid="{F000B593-8DA6-4A0C-A3D6-9A311EF29C8E}"/>
    <cellStyle name="Currency 3 2 4 3 3" xfId="5466" xr:uid="{00000000-0005-0000-0000-0000340B0000}"/>
    <cellStyle name="Currency 3 2 4 3 3 2" xfId="13908" xr:uid="{8F45A72B-44A2-4E98-BDF5-B6260FB73EDD}"/>
    <cellStyle name="Currency 3 2 4 3 4" xfId="9690" xr:uid="{3158F386-2E2C-4639-B1CC-8A8659133F7F}"/>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88989996-C461-411D-91B6-FEE457AD735D}"/>
    <cellStyle name="Currency 3 2 4 4 2 3" xfId="12248" xr:uid="{379E6345-F277-45C0-B85B-48CC746AA0D1}"/>
    <cellStyle name="Currency 3 2 4 4 3" xfId="5879" xr:uid="{00000000-0005-0000-0000-0000380B0000}"/>
    <cellStyle name="Currency 3 2 4 4 3 2" xfId="14321" xr:uid="{B92BFD1D-47FB-4140-B8F1-F82CB924780F}"/>
    <cellStyle name="Currency 3 2 4 4 4" xfId="10103" xr:uid="{0E36DC38-9AF5-4664-B324-61C29335D0F2}"/>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7D99CFD4-32C2-43B1-94D0-0ABB35300F43}"/>
    <cellStyle name="Currency 3 2 4 5 2 3" xfId="12661" xr:uid="{455BE5DB-E757-4704-A985-5FAA1C15EAFC}"/>
    <cellStyle name="Currency 3 2 4 5 3" xfId="6292" xr:uid="{00000000-0005-0000-0000-00003C0B0000}"/>
    <cellStyle name="Currency 3 2 4 5 3 2" xfId="14734" xr:uid="{0AFA5D7D-F7CA-4ACB-A874-8C116ED94719}"/>
    <cellStyle name="Currency 3 2 4 5 4" xfId="10516" xr:uid="{07294C51-6E59-477F-9F01-894BFAA5BA29}"/>
    <cellStyle name="Currency 3 2 4 6" xfId="2420" xr:uid="{00000000-0005-0000-0000-00003D0B0000}"/>
    <cellStyle name="Currency 3 2 4 6 2" xfId="6705" xr:uid="{00000000-0005-0000-0000-00003E0B0000}"/>
    <cellStyle name="Currency 3 2 4 6 2 2" xfId="15147" xr:uid="{1E012542-3CD5-4750-A31B-7BCD23675743}"/>
    <cellStyle name="Currency 3 2 4 6 3" xfId="10929" xr:uid="{0F069BC2-1312-4179-A14A-C2D4DCB48EF9}"/>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E4CE17FB-77A2-4C98-B1E4-8279CD648EC2}"/>
    <cellStyle name="Currency 3 2 4 8 3" xfId="11246" xr:uid="{DAD51D0E-8D52-48DD-B644-DD96526EF312}"/>
    <cellStyle name="Currency 3 2 4 9" xfId="4639" xr:uid="{00000000-0005-0000-0000-0000420B0000}"/>
    <cellStyle name="Currency 3 2 4 9 2" xfId="13081" xr:uid="{728DA696-9550-4577-8A1B-8EF969BF7ACF}"/>
    <cellStyle name="Currency 3 2 5" xfId="185" xr:uid="{00000000-0005-0000-0000-0000430B0000}"/>
    <cellStyle name="Currency 3 2 5 10" xfId="8864" xr:uid="{FC6F4C6E-AC98-42EA-AA78-ED30C7A36857}"/>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21433226-2F15-418B-8947-25C4384009E9}"/>
    <cellStyle name="Currency 3 2 5 2 2 3" xfId="11423" xr:uid="{54817877-557B-47C0-8C5E-5C86F6EE980D}"/>
    <cellStyle name="Currency 3 2 5 2 3" xfId="5054" xr:uid="{00000000-0005-0000-0000-0000470B0000}"/>
    <cellStyle name="Currency 3 2 5 2 3 2" xfId="13496" xr:uid="{4E07576E-35F8-460F-A3B4-2DE9C77A8B6E}"/>
    <cellStyle name="Currency 3 2 5 2 4" xfId="9278" xr:uid="{DA258C19-97B1-467A-8A4A-883287A9F3C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74396178-5167-4408-BB38-9A79B91FC6ED}"/>
    <cellStyle name="Currency 3 2 5 3 2 3" xfId="11836" xr:uid="{0B24E7AD-32A1-41E4-A3E5-F4BB04FA89B3}"/>
    <cellStyle name="Currency 3 2 5 3 3" xfId="5467" xr:uid="{00000000-0005-0000-0000-00004B0B0000}"/>
    <cellStyle name="Currency 3 2 5 3 3 2" xfId="13909" xr:uid="{F6BF8BC1-49AA-4A89-89D2-E33786CDAF33}"/>
    <cellStyle name="Currency 3 2 5 3 4" xfId="9691" xr:uid="{9FFC7ED9-079B-43A5-A1E3-503328D23661}"/>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DF176C91-67DB-46B9-AAE2-68868D62D5B0}"/>
    <cellStyle name="Currency 3 2 5 4 2 3" xfId="12249" xr:uid="{0D46548B-A637-429A-A1F4-5FEA132F3F91}"/>
    <cellStyle name="Currency 3 2 5 4 3" xfId="5880" xr:uid="{00000000-0005-0000-0000-00004F0B0000}"/>
    <cellStyle name="Currency 3 2 5 4 3 2" xfId="14322" xr:uid="{DD2B67D2-DB2C-4843-BC1D-72AA5F760933}"/>
    <cellStyle name="Currency 3 2 5 4 4" xfId="10104" xr:uid="{AF50259A-2339-460F-B63E-1CEBCB2B73D1}"/>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435CC42C-8A93-4908-B759-00066C44E946}"/>
    <cellStyle name="Currency 3 2 5 5 2 3" xfId="12662" xr:uid="{3CD647EC-50A1-4F71-ABCE-B063CCD66D24}"/>
    <cellStyle name="Currency 3 2 5 5 3" xfId="6293" xr:uid="{00000000-0005-0000-0000-0000530B0000}"/>
    <cellStyle name="Currency 3 2 5 5 3 2" xfId="14735" xr:uid="{0D4FC68C-238F-46A6-A13B-62B01B89AF89}"/>
    <cellStyle name="Currency 3 2 5 5 4" xfId="10517" xr:uid="{4F505ABD-4D7E-4014-9547-D6DFDD2FAF9D}"/>
    <cellStyle name="Currency 3 2 5 6" xfId="2421" xr:uid="{00000000-0005-0000-0000-0000540B0000}"/>
    <cellStyle name="Currency 3 2 5 6 2" xfId="6706" xr:uid="{00000000-0005-0000-0000-0000550B0000}"/>
    <cellStyle name="Currency 3 2 5 6 2 2" xfId="15148" xr:uid="{22928A0E-7762-491C-A1D7-CFCDEE737FB0}"/>
    <cellStyle name="Currency 3 2 5 6 3" xfId="10930" xr:uid="{C1EDD59D-3D1B-49BA-B641-8D9A17A2CE06}"/>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A045FE73-5EC1-4402-A3A2-41E00526399E}"/>
    <cellStyle name="Currency 3 2 5 8 3" xfId="11247" xr:uid="{82243970-63F8-43CF-902C-EABB047201BA}"/>
    <cellStyle name="Currency 3 2 5 9" xfId="4640" xr:uid="{00000000-0005-0000-0000-0000590B0000}"/>
    <cellStyle name="Currency 3 2 5 9 2" xfId="13082" xr:uid="{24A34751-4DA1-4CC1-9E51-6543A82286F5}"/>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393B8C4D-F7AC-4D07-B016-3CFF157FBD79}"/>
    <cellStyle name="Currency 5 2 2 2 10 3" xfId="11248" xr:uid="{EC2AF1A4-3B4D-4350-A500-B7D1B72F4014}"/>
    <cellStyle name="Currency 5 2 2 2 11" xfId="4641" xr:uid="{00000000-0005-0000-0000-00006C0B0000}"/>
    <cellStyle name="Currency 5 2 2 2 11 2" xfId="13083" xr:uid="{9E8B2ACE-9F1B-4EC9-BE28-C69A6B394E8F}"/>
    <cellStyle name="Currency 5 2 2 2 12" xfId="8865" xr:uid="{B213401F-A92D-4D1C-BB50-C91BFE3F9919}"/>
    <cellStyle name="Currency 5 2 2 2 2" xfId="197" xr:uid="{00000000-0005-0000-0000-00006D0B0000}"/>
    <cellStyle name="Currency 5 2 2 2 2 10" xfId="4642" xr:uid="{00000000-0005-0000-0000-00006E0B0000}"/>
    <cellStyle name="Currency 5 2 2 2 2 10 2" xfId="13084" xr:uid="{5889FDB2-D2A4-4173-A995-98B15F753476}"/>
    <cellStyle name="Currency 5 2 2 2 2 11" xfId="8866" xr:uid="{88D46D09-8787-4FE7-A466-25F617E539C3}"/>
    <cellStyle name="Currency 5 2 2 2 2 2" xfId="198" xr:uid="{00000000-0005-0000-0000-00006F0B0000}"/>
    <cellStyle name="Currency 5 2 2 2 2 2 10" xfId="8867" xr:uid="{702B202E-C03B-4D60-AB78-317A206EC5CC}"/>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80D63035-E04F-4B9F-AE8C-23BD3470AD2A}"/>
    <cellStyle name="Currency 5 2 2 2 2 2 2 2 3" xfId="11426" xr:uid="{F4D993AF-B09E-468B-AED2-D92AD24991DB}"/>
    <cellStyle name="Currency 5 2 2 2 2 2 2 3" xfId="5057" xr:uid="{00000000-0005-0000-0000-0000730B0000}"/>
    <cellStyle name="Currency 5 2 2 2 2 2 2 3 2" xfId="13499" xr:uid="{DF08416D-1896-41EF-A30F-1BA763334DF4}"/>
    <cellStyle name="Currency 5 2 2 2 2 2 2 4" xfId="9281" xr:uid="{B790DD36-D430-4C33-B603-0F23EF4DEB55}"/>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D60A73C3-0D7F-432A-9F6A-3310E7FE05DC}"/>
    <cellStyle name="Currency 5 2 2 2 2 2 3 2 3" xfId="11839" xr:uid="{15BB92B4-21F8-4A70-A1EC-2BD199A761CA}"/>
    <cellStyle name="Currency 5 2 2 2 2 2 3 3" xfId="5470" xr:uid="{00000000-0005-0000-0000-0000770B0000}"/>
    <cellStyle name="Currency 5 2 2 2 2 2 3 3 2" xfId="13912" xr:uid="{EA0891A3-AB27-4FAD-B8B3-12CC277C419B}"/>
    <cellStyle name="Currency 5 2 2 2 2 2 3 4" xfId="9694" xr:uid="{0F4EF2ED-DAEB-46B1-B53C-219FF9F74275}"/>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B3E53AD7-1063-4B4B-B76A-A07F05384E2C}"/>
    <cellStyle name="Currency 5 2 2 2 2 2 4 2 3" xfId="12252" xr:uid="{6E523A6E-CCF9-4975-BE8D-F50143A02765}"/>
    <cellStyle name="Currency 5 2 2 2 2 2 4 3" xfId="5883" xr:uid="{00000000-0005-0000-0000-00007B0B0000}"/>
    <cellStyle name="Currency 5 2 2 2 2 2 4 3 2" xfId="14325" xr:uid="{FAE92ED2-BBAF-4F18-8289-0DA46FDE4FE8}"/>
    <cellStyle name="Currency 5 2 2 2 2 2 4 4" xfId="10107" xr:uid="{92FF6957-0C99-4068-8893-7604F185C1A9}"/>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6033178F-D9FF-400E-A444-DD31D4E97C4B}"/>
    <cellStyle name="Currency 5 2 2 2 2 2 5 2 3" xfId="12665" xr:uid="{29EA10A2-55D0-42AD-AFFF-C4E2EDEAF828}"/>
    <cellStyle name="Currency 5 2 2 2 2 2 5 3" xfId="6296" xr:uid="{00000000-0005-0000-0000-00007F0B0000}"/>
    <cellStyle name="Currency 5 2 2 2 2 2 5 3 2" xfId="14738" xr:uid="{1234B627-13D5-4D8E-A2AA-42068B60F474}"/>
    <cellStyle name="Currency 5 2 2 2 2 2 5 4" xfId="10520" xr:uid="{7B352F30-DE41-4775-90C7-7C312F6EA9E0}"/>
    <cellStyle name="Currency 5 2 2 2 2 2 6" xfId="2424" xr:uid="{00000000-0005-0000-0000-0000800B0000}"/>
    <cellStyle name="Currency 5 2 2 2 2 2 6 2" xfId="6709" xr:uid="{00000000-0005-0000-0000-0000810B0000}"/>
    <cellStyle name="Currency 5 2 2 2 2 2 6 2 2" xfId="15151" xr:uid="{C225922D-4985-44DE-83BA-50D3677864D8}"/>
    <cellStyle name="Currency 5 2 2 2 2 2 6 3" xfId="10933" xr:uid="{6A31FF82-FAAD-4355-91B6-FF639627710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B8552502-739F-4A76-9304-5E3774B2DBAE}"/>
    <cellStyle name="Currency 5 2 2 2 2 2 8 3" xfId="11250" xr:uid="{222647E3-F534-4ADE-AA21-89F3B7BD9E6C}"/>
    <cellStyle name="Currency 5 2 2 2 2 2 9" xfId="4643" xr:uid="{00000000-0005-0000-0000-0000850B0000}"/>
    <cellStyle name="Currency 5 2 2 2 2 2 9 2" xfId="13085" xr:uid="{DD0EB330-B58B-4E7A-81E9-B499B9102AD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0AA5B78-ED11-4066-8104-05B7371CE5D4}"/>
    <cellStyle name="Currency 5 2 2 2 2 3 2 3" xfId="11425" xr:uid="{4684C494-870A-444C-9D33-CFE7939D8CA5}"/>
    <cellStyle name="Currency 5 2 2 2 2 3 3" xfId="5056" xr:uid="{00000000-0005-0000-0000-0000890B0000}"/>
    <cellStyle name="Currency 5 2 2 2 2 3 3 2" xfId="13498" xr:uid="{70611AE7-7772-4C64-AAF7-FB8BD6C54FD5}"/>
    <cellStyle name="Currency 5 2 2 2 2 3 4" xfId="9280" xr:uid="{66D486BF-78B1-4B97-A582-A8BF12D843C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CF8E7309-0C2A-4ADA-A5A0-D211FCC5D0D2}"/>
    <cellStyle name="Currency 5 2 2 2 2 4 2 3" xfId="11838" xr:uid="{BBE8B371-292D-4BC9-BDE0-795D7D1E9C38}"/>
    <cellStyle name="Currency 5 2 2 2 2 4 3" xfId="5469" xr:uid="{00000000-0005-0000-0000-00008D0B0000}"/>
    <cellStyle name="Currency 5 2 2 2 2 4 3 2" xfId="13911" xr:uid="{67BE6374-5297-4052-97D3-D28E2B3B689B}"/>
    <cellStyle name="Currency 5 2 2 2 2 4 4" xfId="9693" xr:uid="{90AA5775-08F2-48CD-A16D-34780A8D4069}"/>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C7825D5E-AF76-4481-88DB-3E5E38C0CDE9}"/>
    <cellStyle name="Currency 5 2 2 2 2 5 2 3" xfId="12251" xr:uid="{47A42B74-3089-4CE2-87AC-5F4EF8D8E656}"/>
    <cellStyle name="Currency 5 2 2 2 2 5 3" xfId="5882" xr:uid="{00000000-0005-0000-0000-0000910B0000}"/>
    <cellStyle name="Currency 5 2 2 2 2 5 3 2" xfId="14324" xr:uid="{DADA5FAB-01BB-4F0E-8649-917C6F3C1ADC}"/>
    <cellStyle name="Currency 5 2 2 2 2 5 4" xfId="10106" xr:uid="{225E6F57-4A8B-4BCF-B06E-5A5166FCC5A4}"/>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1150B22D-EC11-44F7-8D62-741296A89B39}"/>
    <cellStyle name="Currency 5 2 2 2 2 6 2 3" xfId="12664" xr:uid="{50C80DF8-FFFE-4198-B227-264F1143B82A}"/>
    <cellStyle name="Currency 5 2 2 2 2 6 3" xfId="6295" xr:uid="{00000000-0005-0000-0000-0000950B0000}"/>
    <cellStyle name="Currency 5 2 2 2 2 6 3 2" xfId="14737" xr:uid="{A58DC9BD-88F2-4EBC-9810-4827D1784957}"/>
    <cellStyle name="Currency 5 2 2 2 2 6 4" xfId="10519" xr:uid="{F757467B-543C-4A17-A9EF-A44E4AE304D9}"/>
    <cellStyle name="Currency 5 2 2 2 2 7" xfId="2423" xr:uid="{00000000-0005-0000-0000-0000960B0000}"/>
    <cellStyle name="Currency 5 2 2 2 2 7 2" xfId="6708" xr:uid="{00000000-0005-0000-0000-0000970B0000}"/>
    <cellStyle name="Currency 5 2 2 2 2 7 2 2" xfId="15150" xr:uid="{E825C541-F57A-4984-827C-E95E434D0E28}"/>
    <cellStyle name="Currency 5 2 2 2 2 7 3" xfId="10932" xr:uid="{588F5F02-2A87-495C-9ED9-4433979EBC97}"/>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495402FA-57CE-4C19-A332-E28229106ABA}"/>
    <cellStyle name="Currency 5 2 2 2 2 9 3" xfId="11249" xr:uid="{B3F5C1A7-A2A5-4D2E-9706-83B154641B80}"/>
    <cellStyle name="Currency 5 2 2 2 3" xfId="199" xr:uid="{00000000-0005-0000-0000-00009B0B0000}"/>
    <cellStyle name="Currency 5 2 2 2 3 10" xfId="8868" xr:uid="{A6A8F0E8-09C8-4553-8287-3DE7671F82F4}"/>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391B71C3-ACFB-446A-A1B6-0DDC038B16F7}"/>
    <cellStyle name="Currency 5 2 2 2 3 2 2 3" xfId="11427" xr:uid="{630218D5-B53B-4B90-B3C2-FF4FB97CAF4C}"/>
    <cellStyle name="Currency 5 2 2 2 3 2 3" xfId="5058" xr:uid="{00000000-0005-0000-0000-00009F0B0000}"/>
    <cellStyle name="Currency 5 2 2 2 3 2 3 2" xfId="13500" xr:uid="{E75A128B-14C8-4FFC-9D4C-31E2C28D259D}"/>
    <cellStyle name="Currency 5 2 2 2 3 2 4" xfId="9282" xr:uid="{A91CF4C3-98C9-4628-8E96-6B1EACE65FE6}"/>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A19471C0-81B7-4F8F-82D0-56BEA63EEBA1}"/>
    <cellStyle name="Currency 5 2 2 2 3 3 2 3" xfId="11840" xr:uid="{1067F781-FCA6-4380-862B-518093856887}"/>
    <cellStyle name="Currency 5 2 2 2 3 3 3" xfId="5471" xr:uid="{00000000-0005-0000-0000-0000A30B0000}"/>
    <cellStyle name="Currency 5 2 2 2 3 3 3 2" xfId="13913" xr:uid="{EDCD2CAA-D5E5-45BC-AF75-10BD7578BA2D}"/>
    <cellStyle name="Currency 5 2 2 2 3 3 4" xfId="9695" xr:uid="{DFF88A32-0323-455D-91DD-C55C24AAD167}"/>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9E1B0CC0-9AD4-48A8-B920-C833AC34B294}"/>
    <cellStyle name="Currency 5 2 2 2 3 4 2 3" xfId="12253" xr:uid="{14E3C6FC-7CD0-4C22-942B-6CE32AF35F16}"/>
    <cellStyle name="Currency 5 2 2 2 3 4 3" xfId="5884" xr:uid="{00000000-0005-0000-0000-0000A70B0000}"/>
    <cellStyle name="Currency 5 2 2 2 3 4 3 2" xfId="14326" xr:uid="{53ECAC79-B8DF-421F-A840-AEF2428CC341}"/>
    <cellStyle name="Currency 5 2 2 2 3 4 4" xfId="10108" xr:uid="{DBE02537-4AAF-48A4-9A6E-30BE806506E7}"/>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B2262F7-94FD-4C6F-A901-F64188FC2B12}"/>
    <cellStyle name="Currency 5 2 2 2 3 5 2 3" xfId="12666" xr:uid="{33D18EAC-E8B6-4034-A40F-B20985161777}"/>
    <cellStyle name="Currency 5 2 2 2 3 5 3" xfId="6297" xr:uid="{00000000-0005-0000-0000-0000AB0B0000}"/>
    <cellStyle name="Currency 5 2 2 2 3 5 3 2" xfId="14739" xr:uid="{EC4807E9-12D9-48C2-9A7F-BA22B748231E}"/>
    <cellStyle name="Currency 5 2 2 2 3 5 4" xfId="10521" xr:uid="{9A73A6A3-1F02-4D25-A3E9-76912C5C38F3}"/>
    <cellStyle name="Currency 5 2 2 2 3 6" xfId="2425" xr:uid="{00000000-0005-0000-0000-0000AC0B0000}"/>
    <cellStyle name="Currency 5 2 2 2 3 6 2" xfId="6710" xr:uid="{00000000-0005-0000-0000-0000AD0B0000}"/>
    <cellStyle name="Currency 5 2 2 2 3 6 2 2" xfId="15152" xr:uid="{DBDEB58D-9BA6-49D0-9590-4CD1B1FCEC05}"/>
    <cellStyle name="Currency 5 2 2 2 3 6 3" xfId="10934" xr:uid="{BF104503-B0A2-4564-BA88-E23927914AB4}"/>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6BB57788-4121-4C8A-A758-FE2AAEB1E61F}"/>
    <cellStyle name="Currency 5 2 2 2 3 8 3" xfId="11251" xr:uid="{B600CB4D-0148-4B3F-A34C-64E383EEB419}"/>
    <cellStyle name="Currency 5 2 2 2 3 9" xfId="4644" xr:uid="{00000000-0005-0000-0000-0000B10B0000}"/>
    <cellStyle name="Currency 5 2 2 2 3 9 2" xfId="13086" xr:uid="{3423D8C2-24D2-4ED2-B428-237714499EA4}"/>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1AE89A7D-CB5B-4FBD-B348-356785DFEC62}"/>
    <cellStyle name="Currency 5 2 2 2 4 2 3" xfId="11424" xr:uid="{48197CDF-5F07-468E-ABAD-4B5F75399EE2}"/>
    <cellStyle name="Currency 5 2 2 2 4 3" xfId="5055" xr:uid="{00000000-0005-0000-0000-0000B50B0000}"/>
    <cellStyle name="Currency 5 2 2 2 4 3 2" xfId="13497" xr:uid="{0D47BA3E-7BAF-4E8A-8EBF-FA13CB0E457A}"/>
    <cellStyle name="Currency 5 2 2 2 4 4" xfId="9279" xr:uid="{C6A18F2C-A7CB-441D-AB85-B353C03FE56C}"/>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5F87AE9F-344B-4F58-BE3F-DBEA7E81956B}"/>
    <cellStyle name="Currency 5 2 2 2 5 2 3" xfId="11837" xr:uid="{38515955-1C7E-4B22-959D-1E8EF17A0C0D}"/>
    <cellStyle name="Currency 5 2 2 2 5 3" xfId="5468" xr:uid="{00000000-0005-0000-0000-0000B90B0000}"/>
    <cellStyle name="Currency 5 2 2 2 5 3 2" xfId="13910" xr:uid="{E95E99F3-0EE7-4623-9391-9DAE180703B3}"/>
    <cellStyle name="Currency 5 2 2 2 5 4" xfId="9692" xr:uid="{CCBF51D2-4B67-4819-8166-B7AFB21D4FE5}"/>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FE92F1EB-81EC-484C-97DF-1CFD78D02DBA}"/>
    <cellStyle name="Currency 5 2 2 2 6 2 3" xfId="12250" xr:uid="{EA72741F-3170-404C-ADB6-E29184349BC7}"/>
    <cellStyle name="Currency 5 2 2 2 6 3" xfId="5881" xr:uid="{00000000-0005-0000-0000-0000BD0B0000}"/>
    <cellStyle name="Currency 5 2 2 2 6 3 2" xfId="14323" xr:uid="{65210595-33C6-44B9-ACA5-A51F149DD47C}"/>
    <cellStyle name="Currency 5 2 2 2 6 4" xfId="10105" xr:uid="{5EFF6AE3-9355-4EAA-89C8-9D308FF6BBBF}"/>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1F24D78F-867F-40C0-9A36-028F68E84C8D}"/>
    <cellStyle name="Currency 5 2 2 2 7 2 3" xfId="12663" xr:uid="{9D2B5164-9351-45A1-AC0A-801DF234A8A3}"/>
    <cellStyle name="Currency 5 2 2 2 7 3" xfId="6294" xr:uid="{00000000-0005-0000-0000-0000C10B0000}"/>
    <cellStyle name="Currency 5 2 2 2 7 3 2" xfId="14736" xr:uid="{9F20A9BF-5F18-4D8A-BAB3-EB9A1B5F9919}"/>
    <cellStyle name="Currency 5 2 2 2 7 4" xfId="10518" xr:uid="{23110C68-7439-4EC7-8240-DDB697776213}"/>
    <cellStyle name="Currency 5 2 2 2 8" xfId="2422" xr:uid="{00000000-0005-0000-0000-0000C20B0000}"/>
    <cellStyle name="Currency 5 2 2 2 8 2" xfId="6707" xr:uid="{00000000-0005-0000-0000-0000C30B0000}"/>
    <cellStyle name="Currency 5 2 2 2 8 2 2" xfId="15149" xr:uid="{5F0AD300-7335-4F06-9CFB-A943C3B7839F}"/>
    <cellStyle name="Currency 5 2 2 2 8 3" xfId="10931" xr:uid="{D35D9B10-C429-4530-96CD-C2C8D61E8A42}"/>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219EB77B-AE59-4FAF-9483-37C12B5D9CA3}"/>
    <cellStyle name="Currency 5 2 2 3 11" xfId="8869" xr:uid="{71D43C2B-AB5F-4948-8466-3B4D3AFABB55}"/>
    <cellStyle name="Currency 5 2 2 3 2" xfId="201" xr:uid="{00000000-0005-0000-0000-0000C70B0000}"/>
    <cellStyle name="Currency 5 2 2 3 2 10" xfId="8870" xr:uid="{59F495DC-BFDD-4578-9388-E2EF5B2A52AC}"/>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4E09544D-99EC-43B5-BB9E-07A334B40F65}"/>
    <cellStyle name="Currency 5 2 2 3 2 2 2 3" xfId="11429" xr:uid="{7F9D3695-FD73-4D24-B352-F455BD7C0017}"/>
    <cellStyle name="Currency 5 2 2 3 2 2 3" xfId="5060" xr:uid="{00000000-0005-0000-0000-0000CB0B0000}"/>
    <cellStyle name="Currency 5 2 2 3 2 2 3 2" xfId="13502" xr:uid="{8EECC26F-A197-4B41-A741-32C2D6B44102}"/>
    <cellStyle name="Currency 5 2 2 3 2 2 4" xfId="9284" xr:uid="{CB1B3A33-FDFA-4E16-9AAA-0E8F1F9744E9}"/>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32D0DD37-275E-4E3F-96D9-C63F432DA87C}"/>
    <cellStyle name="Currency 5 2 2 3 2 3 2 3" xfId="11842" xr:uid="{F55EF0AA-94EB-4744-9969-9A7F2F6C2FA9}"/>
    <cellStyle name="Currency 5 2 2 3 2 3 3" xfId="5473" xr:uid="{00000000-0005-0000-0000-0000CF0B0000}"/>
    <cellStyle name="Currency 5 2 2 3 2 3 3 2" xfId="13915" xr:uid="{B9E5C803-33C3-44DF-8FD1-0FD2D5FB831E}"/>
    <cellStyle name="Currency 5 2 2 3 2 3 4" xfId="9697" xr:uid="{B572F986-427C-4F0F-A24E-168DC9520AFE}"/>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06A42287-C9DA-4F2F-AED8-6EC040284324}"/>
    <cellStyle name="Currency 5 2 2 3 2 4 2 3" xfId="12255" xr:uid="{9E686B8E-A740-4218-84D7-58F64182B1FB}"/>
    <cellStyle name="Currency 5 2 2 3 2 4 3" xfId="5886" xr:uid="{00000000-0005-0000-0000-0000D30B0000}"/>
    <cellStyle name="Currency 5 2 2 3 2 4 3 2" xfId="14328" xr:uid="{16CF82FF-DBD2-4874-A2C2-0B0F8651ACCD}"/>
    <cellStyle name="Currency 5 2 2 3 2 4 4" xfId="10110" xr:uid="{EDFEEDB9-BA9D-45C1-80B5-5DB7B4356455}"/>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5ED2E093-0BDA-48AE-85E8-25FB58588937}"/>
    <cellStyle name="Currency 5 2 2 3 2 5 2 3" xfId="12668" xr:uid="{A9B295B2-00F1-4FD6-8C04-712A29571FDD}"/>
    <cellStyle name="Currency 5 2 2 3 2 5 3" xfId="6299" xr:uid="{00000000-0005-0000-0000-0000D70B0000}"/>
    <cellStyle name="Currency 5 2 2 3 2 5 3 2" xfId="14741" xr:uid="{BE118BB4-9B2C-4CD2-B0D2-71F75F19D0C0}"/>
    <cellStyle name="Currency 5 2 2 3 2 5 4" xfId="10523" xr:uid="{BA6A1B1E-3C5E-4901-975E-7898E6235437}"/>
    <cellStyle name="Currency 5 2 2 3 2 6" xfId="2427" xr:uid="{00000000-0005-0000-0000-0000D80B0000}"/>
    <cellStyle name="Currency 5 2 2 3 2 6 2" xfId="6712" xr:uid="{00000000-0005-0000-0000-0000D90B0000}"/>
    <cellStyle name="Currency 5 2 2 3 2 6 2 2" xfId="15154" xr:uid="{2659B1EC-030B-42A8-8167-4CB1D7BEC8C5}"/>
    <cellStyle name="Currency 5 2 2 3 2 6 3" xfId="10936" xr:uid="{E688DF89-23B5-4E96-942C-FDAC7EB90533}"/>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03946FFC-AC57-48A8-93C0-6972F339B4A8}"/>
    <cellStyle name="Currency 5 2 2 3 2 8 3" xfId="11253" xr:uid="{74268FBA-C50F-4C68-98B0-AAB9834B3D7F}"/>
    <cellStyle name="Currency 5 2 2 3 2 9" xfId="4646" xr:uid="{00000000-0005-0000-0000-0000DD0B0000}"/>
    <cellStyle name="Currency 5 2 2 3 2 9 2" xfId="13088" xr:uid="{B2A840D8-7724-43B2-9996-41B526471A59}"/>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0279A3E0-9C33-4FA9-9796-58001E79D947}"/>
    <cellStyle name="Currency 5 2 2 3 3 2 3" xfId="11428" xr:uid="{AEF05246-29BC-4104-80B8-DCE3F1619E98}"/>
    <cellStyle name="Currency 5 2 2 3 3 3" xfId="5059" xr:uid="{00000000-0005-0000-0000-0000E10B0000}"/>
    <cellStyle name="Currency 5 2 2 3 3 3 2" xfId="13501" xr:uid="{46446B47-62C7-4EC3-B48B-6B9767613B5D}"/>
    <cellStyle name="Currency 5 2 2 3 3 4" xfId="9283" xr:uid="{58D39BBD-93FF-465E-B4D5-744061E25377}"/>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E4CC95AD-8702-482F-973A-F70313888B62}"/>
    <cellStyle name="Currency 5 2 2 3 4 2 3" xfId="11841" xr:uid="{61425A0A-D363-4D40-AC72-563267173441}"/>
    <cellStyle name="Currency 5 2 2 3 4 3" xfId="5472" xr:uid="{00000000-0005-0000-0000-0000E50B0000}"/>
    <cellStyle name="Currency 5 2 2 3 4 3 2" xfId="13914" xr:uid="{79DD1A09-7532-4D77-B9F0-687A70FD8604}"/>
    <cellStyle name="Currency 5 2 2 3 4 4" xfId="9696" xr:uid="{A966D3D1-7C26-45DC-AAF9-A1698CA50C04}"/>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0CB28DF2-4CB1-4089-8D5D-DB12DF391FCF}"/>
    <cellStyle name="Currency 5 2 2 3 5 2 3" xfId="12254" xr:uid="{AEB73796-717D-4549-8117-FADADA3CF1DB}"/>
    <cellStyle name="Currency 5 2 2 3 5 3" xfId="5885" xr:uid="{00000000-0005-0000-0000-0000E90B0000}"/>
    <cellStyle name="Currency 5 2 2 3 5 3 2" xfId="14327" xr:uid="{1A36CF3F-2DBA-4F42-8F36-28B6F332C344}"/>
    <cellStyle name="Currency 5 2 2 3 5 4" xfId="10109" xr:uid="{42485DD4-330E-4337-B54A-358C6FAD3A7E}"/>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56BA3A90-B1C3-4E79-9AA0-2B03AAD44704}"/>
    <cellStyle name="Currency 5 2 2 3 6 2 3" xfId="12667" xr:uid="{7AB3853D-FB98-4C8A-AD15-50DF20616BBF}"/>
    <cellStyle name="Currency 5 2 2 3 6 3" xfId="6298" xr:uid="{00000000-0005-0000-0000-0000ED0B0000}"/>
    <cellStyle name="Currency 5 2 2 3 6 3 2" xfId="14740" xr:uid="{8D124596-2FEA-414C-BFEE-A569BFF7C9B3}"/>
    <cellStyle name="Currency 5 2 2 3 6 4" xfId="10522" xr:uid="{910BB868-7219-4E58-8C3A-49B1B85DCB0E}"/>
    <cellStyle name="Currency 5 2 2 3 7" xfId="2426" xr:uid="{00000000-0005-0000-0000-0000EE0B0000}"/>
    <cellStyle name="Currency 5 2 2 3 7 2" xfId="6711" xr:uid="{00000000-0005-0000-0000-0000EF0B0000}"/>
    <cellStyle name="Currency 5 2 2 3 7 2 2" xfId="15153" xr:uid="{D099D57C-EA0E-43BC-9B78-17172D1BAE75}"/>
    <cellStyle name="Currency 5 2 2 3 7 3" xfId="10935" xr:uid="{72FFF3AD-C10E-4129-A20E-ED2A93D5CC1D}"/>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630765CE-0423-4AED-9768-87C397109D9A}"/>
    <cellStyle name="Currency 5 2 2 3 9 3" xfId="11252" xr:uid="{BB35FDD1-A556-49D6-8F42-8058642C93B5}"/>
    <cellStyle name="Currency 5 2 2 4" xfId="202" xr:uid="{00000000-0005-0000-0000-0000F30B0000}"/>
    <cellStyle name="Currency 5 2 2 4 10" xfId="8871" xr:uid="{E9063406-9181-473A-8F7F-E57FB109387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76A76CF9-BD2C-4BD1-893E-6ED943817648}"/>
    <cellStyle name="Currency 5 2 2 4 2 2 3" xfId="11430" xr:uid="{056FCACD-12E1-4385-8584-8EB9BB015E96}"/>
    <cellStyle name="Currency 5 2 2 4 2 3" xfId="5061" xr:uid="{00000000-0005-0000-0000-0000F70B0000}"/>
    <cellStyle name="Currency 5 2 2 4 2 3 2" xfId="13503" xr:uid="{6CF17CEB-B698-41F7-9821-7F55A0C1693B}"/>
    <cellStyle name="Currency 5 2 2 4 2 4" xfId="9285" xr:uid="{E1C3BC69-AE82-42CC-83D0-CFE1A424802F}"/>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15610500-8D31-43C0-8583-B27B569EB900}"/>
    <cellStyle name="Currency 5 2 2 4 3 2 3" xfId="11843" xr:uid="{56585615-C436-4A1B-9A96-2310D48014CA}"/>
    <cellStyle name="Currency 5 2 2 4 3 3" xfId="5474" xr:uid="{00000000-0005-0000-0000-0000FB0B0000}"/>
    <cellStyle name="Currency 5 2 2 4 3 3 2" xfId="13916" xr:uid="{4E8F3A53-E6DB-47AE-8B9E-051461BF9952}"/>
    <cellStyle name="Currency 5 2 2 4 3 4" xfId="9698" xr:uid="{2FE1847F-F92D-4166-B348-95EF8E1CAC8F}"/>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273E1EF3-C07E-474D-B99A-69ED8D22F297}"/>
    <cellStyle name="Currency 5 2 2 4 4 2 3" xfId="12256" xr:uid="{16074883-6911-45CF-B8AE-148C0FB3E0A2}"/>
    <cellStyle name="Currency 5 2 2 4 4 3" xfId="5887" xr:uid="{00000000-0005-0000-0000-0000FF0B0000}"/>
    <cellStyle name="Currency 5 2 2 4 4 3 2" xfId="14329" xr:uid="{36789555-3ABE-4366-9493-3AA097E48B05}"/>
    <cellStyle name="Currency 5 2 2 4 4 4" xfId="10111" xr:uid="{A0651965-5768-44CE-84D8-E161FE8A4EDF}"/>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FDA7C73E-A40E-42B2-8983-304FC76EA667}"/>
    <cellStyle name="Currency 5 2 2 4 5 2 3" xfId="12669" xr:uid="{81607356-BD35-4D10-AE14-CF21B85FF52D}"/>
    <cellStyle name="Currency 5 2 2 4 5 3" xfId="6300" xr:uid="{00000000-0005-0000-0000-0000030C0000}"/>
    <cellStyle name="Currency 5 2 2 4 5 3 2" xfId="14742" xr:uid="{E3C17A23-6E42-4E8D-A07A-525660545CB3}"/>
    <cellStyle name="Currency 5 2 2 4 5 4" xfId="10524" xr:uid="{402902ED-BFC0-4F7D-87B4-D0F35BF5AD57}"/>
    <cellStyle name="Currency 5 2 2 4 6" xfId="2428" xr:uid="{00000000-0005-0000-0000-0000040C0000}"/>
    <cellStyle name="Currency 5 2 2 4 6 2" xfId="6713" xr:uid="{00000000-0005-0000-0000-0000050C0000}"/>
    <cellStyle name="Currency 5 2 2 4 6 2 2" xfId="15155" xr:uid="{E4068DBE-8EB7-465B-97A2-4EF1A4C2E140}"/>
    <cellStyle name="Currency 5 2 2 4 6 3" xfId="10937" xr:uid="{108E9910-69BC-4877-B304-D4C14D37EDF6}"/>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05686E48-5360-4454-B8D6-94F3C399B101}"/>
    <cellStyle name="Currency 5 2 2 4 8 3" xfId="11254" xr:uid="{A57670CC-35E1-4CDB-98F3-2FDBECFA0742}"/>
    <cellStyle name="Currency 5 2 2 4 9" xfId="4647" xr:uid="{00000000-0005-0000-0000-0000090C0000}"/>
    <cellStyle name="Currency 5 2 2 4 9 2" xfId="13089" xr:uid="{A2C738B5-C039-40F7-9AC2-632D4953A762}"/>
    <cellStyle name="Currency 5 2 2 5" xfId="203" xr:uid="{00000000-0005-0000-0000-00000A0C0000}"/>
    <cellStyle name="Currency 5 2 2 5 10" xfId="8872" xr:uid="{1C434154-D349-4F22-810D-18A4F7B2288C}"/>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808E2A41-B4CA-453B-B960-886253B6292B}"/>
    <cellStyle name="Currency 5 2 2 5 2 2 3" xfId="11431" xr:uid="{6BD6E308-C0F5-4078-AAC7-1A33807AF6FB}"/>
    <cellStyle name="Currency 5 2 2 5 2 3" xfId="5062" xr:uid="{00000000-0005-0000-0000-00000E0C0000}"/>
    <cellStyle name="Currency 5 2 2 5 2 3 2" xfId="13504" xr:uid="{CF92231E-BCDF-468C-A2BB-1BD896EF4E8C}"/>
    <cellStyle name="Currency 5 2 2 5 2 4" xfId="9286" xr:uid="{36AA8DE4-F0ED-4A91-A444-382628BD51C8}"/>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88E867A7-4856-43F8-879D-D9D1C0038865}"/>
    <cellStyle name="Currency 5 2 2 5 3 2 3" xfId="11844" xr:uid="{1223C5C7-5AA9-44C5-8D16-5D711337759B}"/>
    <cellStyle name="Currency 5 2 2 5 3 3" xfId="5475" xr:uid="{00000000-0005-0000-0000-0000120C0000}"/>
    <cellStyle name="Currency 5 2 2 5 3 3 2" xfId="13917" xr:uid="{FAB18DCF-C4E6-4DF3-BD87-54215B528C30}"/>
    <cellStyle name="Currency 5 2 2 5 3 4" xfId="9699" xr:uid="{0573153F-2A10-4694-932E-3E0A82DF4FA6}"/>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CC3AB784-E2FA-41DA-8C69-99A85298D84C}"/>
    <cellStyle name="Currency 5 2 2 5 4 2 3" xfId="12257" xr:uid="{D35FA2B7-7D3A-46C1-A05B-46DC02B97039}"/>
    <cellStyle name="Currency 5 2 2 5 4 3" xfId="5888" xr:uid="{00000000-0005-0000-0000-0000160C0000}"/>
    <cellStyle name="Currency 5 2 2 5 4 3 2" xfId="14330" xr:uid="{7A189F9C-D95A-435C-977E-F43EAF3CD807}"/>
    <cellStyle name="Currency 5 2 2 5 4 4" xfId="10112" xr:uid="{04CF4D15-B8F7-4288-902A-6728060C3CF3}"/>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37F92390-C1D1-40AA-84E5-E261168F6835}"/>
    <cellStyle name="Currency 5 2 2 5 5 2 3" xfId="12670" xr:uid="{80CD2106-9CC7-4DE1-A1D1-E982476CA75C}"/>
    <cellStyle name="Currency 5 2 2 5 5 3" xfId="6301" xr:uid="{00000000-0005-0000-0000-00001A0C0000}"/>
    <cellStyle name="Currency 5 2 2 5 5 3 2" xfId="14743" xr:uid="{547DD65B-4966-48FA-A5D2-A08058C570CC}"/>
    <cellStyle name="Currency 5 2 2 5 5 4" xfId="10525" xr:uid="{932E98B5-97B7-42CD-A27F-2E70611F0F92}"/>
    <cellStyle name="Currency 5 2 2 5 6" xfId="2429" xr:uid="{00000000-0005-0000-0000-00001B0C0000}"/>
    <cellStyle name="Currency 5 2 2 5 6 2" xfId="6714" xr:uid="{00000000-0005-0000-0000-00001C0C0000}"/>
    <cellStyle name="Currency 5 2 2 5 6 2 2" xfId="15156" xr:uid="{B4740A5A-4B62-46BB-88B5-3C5CC0642654}"/>
    <cellStyle name="Currency 5 2 2 5 6 3" xfId="10938" xr:uid="{6394DE82-2F78-4C4E-8FBF-AF6490D79D5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323D17D8-E233-46E9-9998-CC8A15D4A94E}"/>
    <cellStyle name="Currency 5 2 2 5 8 3" xfId="11255" xr:uid="{098DFDF7-FD52-4F33-99FC-2A522E17A104}"/>
    <cellStyle name="Currency 5 2 2 5 9" xfId="4648" xr:uid="{00000000-0005-0000-0000-0000200C0000}"/>
    <cellStyle name="Currency 5 2 2 5 9 2" xfId="13090" xr:uid="{E055D145-D089-4333-B6A5-279CC1A66A04}"/>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49CA285D-F685-48C3-A510-AEDD874F325B}"/>
    <cellStyle name="Currency 5 2 4 11" xfId="8873" xr:uid="{8934DF45-876B-424E-859D-217613BA7A19}"/>
    <cellStyle name="Currency 5 2 4 2" xfId="206" xr:uid="{00000000-0005-0000-0000-0000250C0000}"/>
    <cellStyle name="Currency 5 2 4 2 10" xfId="8874" xr:uid="{504FB734-BD73-4572-ABB3-DE2E7906FC43}"/>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27942C9A-D8E0-4287-B5DF-1D11469B8F3A}"/>
    <cellStyle name="Currency 5 2 4 2 2 2 3" xfId="11433" xr:uid="{970E295D-F48E-4382-9BFC-55B2700F41AC}"/>
    <cellStyle name="Currency 5 2 4 2 2 3" xfId="5064" xr:uid="{00000000-0005-0000-0000-0000290C0000}"/>
    <cellStyle name="Currency 5 2 4 2 2 3 2" xfId="13506" xr:uid="{732970B7-AD07-4C1E-A079-2D0A42938D1F}"/>
    <cellStyle name="Currency 5 2 4 2 2 4" xfId="9288" xr:uid="{5AF13868-D140-4A2F-9114-7D064FAEAF0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F44971AF-2E6F-4DBA-92A0-824B82EC05A9}"/>
    <cellStyle name="Currency 5 2 4 2 3 2 3" xfId="11846" xr:uid="{30D98DCD-691F-4F17-B0F1-4502FFDAA5DD}"/>
    <cellStyle name="Currency 5 2 4 2 3 3" xfId="5477" xr:uid="{00000000-0005-0000-0000-00002D0C0000}"/>
    <cellStyle name="Currency 5 2 4 2 3 3 2" xfId="13919" xr:uid="{C030457A-1A72-42F7-A007-9C490EE3EF20}"/>
    <cellStyle name="Currency 5 2 4 2 3 4" xfId="9701" xr:uid="{9D2626BA-A488-4085-A508-3F2C827D5FAA}"/>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36F51835-33C7-4AFD-9106-6E48D112A91A}"/>
    <cellStyle name="Currency 5 2 4 2 4 2 3" xfId="12259" xr:uid="{127C3FF4-4E8A-4922-9124-87DBAAA5028C}"/>
    <cellStyle name="Currency 5 2 4 2 4 3" xfId="5890" xr:uid="{00000000-0005-0000-0000-0000310C0000}"/>
    <cellStyle name="Currency 5 2 4 2 4 3 2" xfId="14332" xr:uid="{94763E13-374F-45B4-A55C-116A165CA3A8}"/>
    <cellStyle name="Currency 5 2 4 2 4 4" xfId="10114" xr:uid="{F3FEFFE4-91EF-4998-A84C-5DD5D146D374}"/>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AE046CB8-0BD7-4F4C-B500-C194C2126410}"/>
    <cellStyle name="Currency 5 2 4 2 5 2 3" xfId="12672" xr:uid="{C47E6F4C-9E64-4DD9-B143-1A92C0A980D6}"/>
    <cellStyle name="Currency 5 2 4 2 5 3" xfId="6303" xr:uid="{00000000-0005-0000-0000-0000350C0000}"/>
    <cellStyle name="Currency 5 2 4 2 5 3 2" xfId="14745" xr:uid="{2AFCB17A-C5D4-46D2-856E-FE2918D8EF72}"/>
    <cellStyle name="Currency 5 2 4 2 5 4" xfId="10527" xr:uid="{4143B5B7-15DB-44FF-9C05-38492DC37646}"/>
    <cellStyle name="Currency 5 2 4 2 6" xfId="2431" xr:uid="{00000000-0005-0000-0000-0000360C0000}"/>
    <cellStyle name="Currency 5 2 4 2 6 2" xfId="6716" xr:uid="{00000000-0005-0000-0000-0000370C0000}"/>
    <cellStyle name="Currency 5 2 4 2 6 2 2" xfId="15158" xr:uid="{CBA05E8C-F6B3-4ECE-80F4-FC6D93A9122C}"/>
    <cellStyle name="Currency 5 2 4 2 6 3" xfId="10940" xr:uid="{983589ED-EF41-446F-8025-CFB0B2C3AD25}"/>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3B42DC58-07BB-4CD0-8C11-768C6C8D7330}"/>
    <cellStyle name="Currency 5 2 4 2 8 3" xfId="11257" xr:uid="{4F62C55C-0FAE-43CF-A06A-15C6F9EC1611}"/>
    <cellStyle name="Currency 5 2 4 2 9" xfId="4650" xr:uid="{00000000-0005-0000-0000-00003B0C0000}"/>
    <cellStyle name="Currency 5 2 4 2 9 2" xfId="13092" xr:uid="{0278A24A-313D-4156-9B2F-1CD880AF5FA3}"/>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F5FFB87-5F2E-488F-9AA0-3EBE6A9FF011}"/>
    <cellStyle name="Currency 5 2 4 3 2 3" xfId="11432" xr:uid="{D4CF569E-B449-40EB-AAEB-5DFFD7D2C9E3}"/>
    <cellStyle name="Currency 5 2 4 3 3" xfId="5063" xr:uid="{00000000-0005-0000-0000-00003F0C0000}"/>
    <cellStyle name="Currency 5 2 4 3 3 2" xfId="13505" xr:uid="{C4B835A0-3739-4BC2-BB3F-4B8A9D387B25}"/>
    <cellStyle name="Currency 5 2 4 3 4" xfId="9287" xr:uid="{9493F86D-543C-4A34-B60D-9FA5BF76102D}"/>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60B865FD-1731-4BAE-9C06-0D089081C572}"/>
    <cellStyle name="Currency 5 2 4 4 2 3" xfId="11845" xr:uid="{EBE827D8-736C-4152-B3D1-F3A7C2A684F0}"/>
    <cellStyle name="Currency 5 2 4 4 3" xfId="5476" xr:uid="{00000000-0005-0000-0000-0000430C0000}"/>
    <cellStyle name="Currency 5 2 4 4 3 2" xfId="13918" xr:uid="{12093AAD-2209-43BB-8E0A-5A425527CCA0}"/>
    <cellStyle name="Currency 5 2 4 4 4" xfId="9700" xr:uid="{5645A829-B56A-4D78-B60F-2E697F4DF6D6}"/>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054E0E95-F46A-4D32-95EF-0BCD57897625}"/>
    <cellStyle name="Currency 5 2 4 5 2 3" xfId="12258" xr:uid="{2C705C28-C3F5-4B7F-8A67-2932553D0659}"/>
    <cellStyle name="Currency 5 2 4 5 3" xfId="5889" xr:uid="{00000000-0005-0000-0000-0000470C0000}"/>
    <cellStyle name="Currency 5 2 4 5 3 2" xfId="14331" xr:uid="{27573519-27FF-4773-87FD-0077CB3AEE8A}"/>
    <cellStyle name="Currency 5 2 4 5 4" xfId="10113" xr:uid="{E235631A-DD0F-4396-95B8-DCC40038DD95}"/>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646FE4E6-6FF5-402B-9EEE-5A08AE71CEE7}"/>
    <cellStyle name="Currency 5 2 4 6 2 3" xfId="12671" xr:uid="{F55F1A22-AE3E-470A-8BD8-DBF64228B2C9}"/>
    <cellStyle name="Currency 5 2 4 6 3" xfId="6302" xr:uid="{00000000-0005-0000-0000-00004B0C0000}"/>
    <cellStyle name="Currency 5 2 4 6 3 2" xfId="14744" xr:uid="{D01BF125-2EC3-476C-9C9B-26B1912E3F32}"/>
    <cellStyle name="Currency 5 2 4 6 4" xfId="10526" xr:uid="{1A514EC7-44F0-4D56-ABE3-0812E4F451A5}"/>
    <cellStyle name="Currency 5 2 4 7" xfId="2430" xr:uid="{00000000-0005-0000-0000-00004C0C0000}"/>
    <cellStyle name="Currency 5 2 4 7 2" xfId="6715" xr:uid="{00000000-0005-0000-0000-00004D0C0000}"/>
    <cellStyle name="Currency 5 2 4 7 2 2" xfId="15157" xr:uid="{5CD3B7D4-C799-4C03-A58C-665C955DCC9B}"/>
    <cellStyle name="Currency 5 2 4 7 3" xfId="10939" xr:uid="{5CD94A70-4D61-4FC1-BD58-9A867E698567}"/>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9BA2644E-C86D-4BF0-8ECD-5D217CB198DB}"/>
    <cellStyle name="Currency 5 2 4 9 3" xfId="11256" xr:uid="{79114F5A-7D67-41A7-96E4-7F5A3D41C8B0}"/>
    <cellStyle name="Currency 5 2 5" xfId="207" xr:uid="{00000000-0005-0000-0000-0000510C0000}"/>
    <cellStyle name="Currency 5 2 5 10" xfId="8875" xr:uid="{934EB061-E622-4452-8BF0-3C0BD84BBDC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6A85EC5F-E5A6-4B77-B6C6-57FF79EE34D5}"/>
    <cellStyle name="Currency 5 2 5 2 2 3" xfId="11434" xr:uid="{AC421488-4F0E-4017-A703-958ACC428A33}"/>
    <cellStyle name="Currency 5 2 5 2 3" xfId="5065" xr:uid="{00000000-0005-0000-0000-0000550C0000}"/>
    <cellStyle name="Currency 5 2 5 2 3 2" xfId="13507" xr:uid="{5C94ED51-6641-4EF5-82F4-EC5A44035D4A}"/>
    <cellStyle name="Currency 5 2 5 2 4" xfId="9289" xr:uid="{78D77A49-14CC-4DA0-8916-D8452B69547B}"/>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0A23010B-C075-4316-B3C6-8DF2695A72B1}"/>
    <cellStyle name="Currency 5 2 5 3 2 3" xfId="11847" xr:uid="{D137503C-3B13-46C4-91A3-2877E4A777F6}"/>
    <cellStyle name="Currency 5 2 5 3 3" xfId="5478" xr:uid="{00000000-0005-0000-0000-0000590C0000}"/>
    <cellStyle name="Currency 5 2 5 3 3 2" xfId="13920" xr:uid="{6E3ED69D-C9E4-4AB8-9F0A-E955E6F2B3D9}"/>
    <cellStyle name="Currency 5 2 5 3 4" xfId="9702" xr:uid="{782EF5AE-40C7-411B-BE93-65B120137D6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09E25D5B-FC1D-42C3-B1E2-B6417EB92990}"/>
    <cellStyle name="Currency 5 2 5 4 2 3" xfId="12260" xr:uid="{A0A9AFA2-7A14-45E9-B1CE-44885B0CAA99}"/>
    <cellStyle name="Currency 5 2 5 4 3" xfId="5891" xr:uid="{00000000-0005-0000-0000-00005D0C0000}"/>
    <cellStyle name="Currency 5 2 5 4 3 2" xfId="14333" xr:uid="{5FADA30B-2977-4273-8753-AD5C065B99A1}"/>
    <cellStyle name="Currency 5 2 5 4 4" xfId="10115" xr:uid="{998ACF48-6721-4AA4-A28C-C76ADBFE1994}"/>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4E4170AB-30EF-4917-9FDD-0BEA8C1BC595}"/>
    <cellStyle name="Currency 5 2 5 5 2 3" xfId="12673" xr:uid="{374A34B0-D64B-43BA-B8F7-FA7BDFF05834}"/>
    <cellStyle name="Currency 5 2 5 5 3" xfId="6304" xr:uid="{00000000-0005-0000-0000-0000610C0000}"/>
    <cellStyle name="Currency 5 2 5 5 3 2" xfId="14746" xr:uid="{A5474D33-2475-4EF9-8A22-BA1E8256CE68}"/>
    <cellStyle name="Currency 5 2 5 5 4" xfId="10528" xr:uid="{13BB9D8B-CD92-4621-9D90-FD6BC24642F2}"/>
    <cellStyle name="Currency 5 2 5 6" xfId="2432" xr:uid="{00000000-0005-0000-0000-0000620C0000}"/>
    <cellStyle name="Currency 5 2 5 6 2" xfId="6717" xr:uid="{00000000-0005-0000-0000-0000630C0000}"/>
    <cellStyle name="Currency 5 2 5 6 2 2" xfId="15159" xr:uid="{74FA53C3-525C-4A3C-A36A-7AD5977065AF}"/>
    <cellStyle name="Currency 5 2 5 6 3" xfId="10941" xr:uid="{06F34378-A508-42F8-8261-7C012F889C1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6FE13A1F-97AF-4AC3-95D2-207B081BB1BB}"/>
    <cellStyle name="Currency 5 2 5 8 3" xfId="11258" xr:uid="{FAD34526-8723-49CD-B447-5CF46A997961}"/>
    <cellStyle name="Currency 5 2 5 9" xfId="4651" xr:uid="{00000000-0005-0000-0000-0000670C0000}"/>
    <cellStyle name="Currency 5 2 5 9 2" xfId="13093" xr:uid="{3EB355FA-1E2E-41F6-B33E-D211F8064783}"/>
    <cellStyle name="Currency 5 2 6" xfId="208" xr:uid="{00000000-0005-0000-0000-0000680C0000}"/>
    <cellStyle name="Currency 5 2 6 10" xfId="8876" xr:uid="{7C1F9AC2-53EC-4FB5-B0FE-70BB34804FC1}"/>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160D9ED7-9085-402D-8441-346844136522}"/>
    <cellStyle name="Currency 5 2 6 2 2 3" xfId="11435" xr:uid="{68BBD8D0-7B14-4040-AC97-D279321E712B}"/>
    <cellStyle name="Currency 5 2 6 2 3" xfId="5066" xr:uid="{00000000-0005-0000-0000-00006C0C0000}"/>
    <cellStyle name="Currency 5 2 6 2 3 2" xfId="13508" xr:uid="{5B59828A-38D2-4511-ACCF-2890BB50A47B}"/>
    <cellStyle name="Currency 5 2 6 2 4" xfId="9290" xr:uid="{1E884909-94B2-4198-BBCC-88A38E359177}"/>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7FB81DE0-CCDB-48F1-8C6A-DE88CA43E26B}"/>
    <cellStyle name="Currency 5 2 6 3 2 3" xfId="11848" xr:uid="{0FCA4B41-DD87-47E0-8376-072DB3984E1C}"/>
    <cellStyle name="Currency 5 2 6 3 3" xfId="5479" xr:uid="{00000000-0005-0000-0000-0000700C0000}"/>
    <cellStyle name="Currency 5 2 6 3 3 2" xfId="13921" xr:uid="{79E9D957-DD0B-4AEE-980C-722C3C06BE5B}"/>
    <cellStyle name="Currency 5 2 6 3 4" xfId="9703" xr:uid="{B0A02155-13FC-47A4-A712-DCEE6B741667}"/>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9B2BE8FF-3A39-47E8-AB79-C1DC0BDE4AE2}"/>
    <cellStyle name="Currency 5 2 6 4 2 3" xfId="12261" xr:uid="{E4F2C083-66E2-4714-B21C-6B32BC964878}"/>
    <cellStyle name="Currency 5 2 6 4 3" xfId="5892" xr:uid="{00000000-0005-0000-0000-0000740C0000}"/>
    <cellStyle name="Currency 5 2 6 4 3 2" xfId="14334" xr:uid="{BDC5B8F3-2D9A-4B80-A531-38920709FA04}"/>
    <cellStyle name="Currency 5 2 6 4 4" xfId="10116" xr:uid="{E8CDF29E-F9D2-451A-9E76-E47F9EA3B482}"/>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D88B089B-977B-4B81-A648-B3E3FCE9430D}"/>
    <cellStyle name="Currency 5 2 6 5 2 3" xfId="12674" xr:uid="{FEF99D71-D888-4F92-A1E4-3A75C08EA392}"/>
    <cellStyle name="Currency 5 2 6 5 3" xfId="6305" xr:uid="{00000000-0005-0000-0000-0000780C0000}"/>
    <cellStyle name="Currency 5 2 6 5 3 2" xfId="14747" xr:uid="{01012486-7D88-4151-9E23-757BB5DC8E10}"/>
    <cellStyle name="Currency 5 2 6 5 4" xfId="10529" xr:uid="{4721B7B6-5278-4510-9A6E-592B5A1CBF5D}"/>
    <cellStyle name="Currency 5 2 6 6" xfId="2433" xr:uid="{00000000-0005-0000-0000-0000790C0000}"/>
    <cellStyle name="Currency 5 2 6 6 2" xfId="6718" xr:uid="{00000000-0005-0000-0000-00007A0C0000}"/>
    <cellStyle name="Currency 5 2 6 6 2 2" xfId="15160" xr:uid="{E738D0D6-661D-4B4F-99F5-1FBCFF2EE371}"/>
    <cellStyle name="Currency 5 2 6 6 3" xfId="10942" xr:uid="{7732754B-2A3A-458F-8149-0F6AE1D3CED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BC5B80F5-B20B-4CD8-B5D0-D4924B797DCE}"/>
    <cellStyle name="Currency 5 2 6 8 3" xfId="11259" xr:uid="{EA7AA37C-CC22-4412-A20F-F0779D5D996C}"/>
    <cellStyle name="Currency 5 2 6 9" xfId="4652" xr:uid="{00000000-0005-0000-0000-00007E0C0000}"/>
    <cellStyle name="Currency 5 2 6 9 2" xfId="13094" xr:uid="{49CA95FC-AD20-4CF2-A127-CAF3B1C17FB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B665C7D5-1261-4153-8D3B-1F3F6617A5D2}"/>
    <cellStyle name="Currency 5 3 2 10 3" xfId="11260" xr:uid="{7737F828-F06B-458A-B6A6-B3308679B91E}"/>
    <cellStyle name="Currency 5 3 2 11" xfId="4653" xr:uid="{00000000-0005-0000-0000-0000840C0000}"/>
    <cellStyle name="Currency 5 3 2 11 2" xfId="13095" xr:uid="{2C907CBC-2201-47F7-B161-8AAB16BB2491}"/>
    <cellStyle name="Currency 5 3 2 12" xfId="8877" xr:uid="{56E6907C-DC17-4E5E-BF14-E2E85D5BA335}"/>
    <cellStyle name="Currency 5 3 2 2" xfId="211" xr:uid="{00000000-0005-0000-0000-0000850C0000}"/>
    <cellStyle name="Currency 5 3 2 2 10" xfId="4654" xr:uid="{00000000-0005-0000-0000-0000860C0000}"/>
    <cellStyle name="Currency 5 3 2 2 10 2" xfId="13096" xr:uid="{58AA6E74-8725-432F-BA8A-D14B7C837266}"/>
    <cellStyle name="Currency 5 3 2 2 11" xfId="8878" xr:uid="{D9A5F868-3BA7-4868-A17C-8A613A6A1920}"/>
    <cellStyle name="Currency 5 3 2 2 2" xfId="212" xr:uid="{00000000-0005-0000-0000-0000870C0000}"/>
    <cellStyle name="Currency 5 3 2 2 2 10" xfId="8879" xr:uid="{C5D5C587-C993-4DF3-861B-616B7932F7D5}"/>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E70212B-BC94-41DF-B1A4-22FA4A6DA7B8}"/>
    <cellStyle name="Currency 5 3 2 2 2 2 2 3" xfId="11438" xr:uid="{F68E14D8-4158-459A-A6E3-C7C38835588D}"/>
    <cellStyle name="Currency 5 3 2 2 2 2 3" xfId="5069" xr:uid="{00000000-0005-0000-0000-00008B0C0000}"/>
    <cellStyle name="Currency 5 3 2 2 2 2 3 2" xfId="13511" xr:uid="{8BB63102-B675-4A3C-9949-5D3BA37FFAD4}"/>
    <cellStyle name="Currency 5 3 2 2 2 2 4" xfId="9293" xr:uid="{A0F048A3-9025-4A06-8E50-96B48A9D4F1A}"/>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0892DAD1-8645-44A2-AC5F-B00ECF372AE2}"/>
    <cellStyle name="Currency 5 3 2 2 2 3 2 3" xfId="11851" xr:uid="{286D7A48-3FB5-4A43-B6BE-F8D6749AB71A}"/>
    <cellStyle name="Currency 5 3 2 2 2 3 3" xfId="5482" xr:uid="{00000000-0005-0000-0000-00008F0C0000}"/>
    <cellStyle name="Currency 5 3 2 2 2 3 3 2" xfId="13924" xr:uid="{20E63B47-5592-4D89-9E5E-AF96BDFB2CAF}"/>
    <cellStyle name="Currency 5 3 2 2 2 3 4" xfId="9706" xr:uid="{3C3183C7-43ED-4A57-95AE-15AA905394BB}"/>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AF9F90D4-65CE-4733-90BC-C2AB3EB42C6E}"/>
    <cellStyle name="Currency 5 3 2 2 2 4 2 3" xfId="12264" xr:uid="{624AC1BA-DD3A-473E-BD8E-99E1C23E1DBF}"/>
    <cellStyle name="Currency 5 3 2 2 2 4 3" xfId="5895" xr:uid="{00000000-0005-0000-0000-0000930C0000}"/>
    <cellStyle name="Currency 5 3 2 2 2 4 3 2" xfId="14337" xr:uid="{D7E21F35-3958-4B7B-98EB-AE31EB1F5683}"/>
    <cellStyle name="Currency 5 3 2 2 2 4 4" xfId="10119" xr:uid="{7A95CFCE-9B92-4F26-BBF7-EDAC9638D366}"/>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7315820C-78B8-45D2-B79D-31ABFADA45E9}"/>
    <cellStyle name="Currency 5 3 2 2 2 5 2 3" xfId="12677" xr:uid="{C4D6FA19-2B2F-40BC-A862-9FD3B80C2883}"/>
    <cellStyle name="Currency 5 3 2 2 2 5 3" xfId="6308" xr:uid="{00000000-0005-0000-0000-0000970C0000}"/>
    <cellStyle name="Currency 5 3 2 2 2 5 3 2" xfId="14750" xr:uid="{12DD6073-7CA9-4D9F-8511-4F56BFFC578F}"/>
    <cellStyle name="Currency 5 3 2 2 2 5 4" xfId="10532" xr:uid="{98119DE6-0DE7-4929-B2EA-2EB3C840216E}"/>
    <cellStyle name="Currency 5 3 2 2 2 6" xfId="2436" xr:uid="{00000000-0005-0000-0000-0000980C0000}"/>
    <cellStyle name="Currency 5 3 2 2 2 6 2" xfId="6721" xr:uid="{00000000-0005-0000-0000-0000990C0000}"/>
    <cellStyle name="Currency 5 3 2 2 2 6 2 2" xfId="15163" xr:uid="{87716628-D365-499A-A2D4-47B629E028DE}"/>
    <cellStyle name="Currency 5 3 2 2 2 6 3" xfId="10945" xr:uid="{A3CC3E9B-09B7-448A-91FF-664397A6E621}"/>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152A121D-C1C0-4864-AED2-F0ED0A4ED2B5}"/>
    <cellStyle name="Currency 5 3 2 2 2 8 3" xfId="11262" xr:uid="{D83B09F9-ECC6-4CC7-B6BC-E738A7BD9DF5}"/>
    <cellStyle name="Currency 5 3 2 2 2 9" xfId="4655" xr:uid="{00000000-0005-0000-0000-00009D0C0000}"/>
    <cellStyle name="Currency 5 3 2 2 2 9 2" xfId="13097" xr:uid="{A09B3746-15B5-445A-A16E-8EDB79A8A5CA}"/>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02105CDF-3830-49F1-B966-BEAD69D5412A}"/>
    <cellStyle name="Currency 5 3 2 2 3 2 3" xfId="11437" xr:uid="{6085D3EA-36B8-4A2C-97EB-187D9BB94A9D}"/>
    <cellStyle name="Currency 5 3 2 2 3 3" xfId="5068" xr:uid="{00000000-0005-0000-0000-0000A10C0000}"/>
    <cellStyle name="Currency 5 3 2 2 3 3 2" xfId="13510" xr:uid="{BE7BBE5B-7309-4DD4-8219-7C0FA8C9C9EC}"/>
    <cellStyle name="Currency 5 3 2 2 3 4" xfId="9292" xr:uid="{EB48C12D-354B-4F01-A47E-2E157553285D}"/>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14A68C4C-C73A-47F3-9D71-CBEB2E094CA9}"/>
    <cellStyle name="Currency 5 3 2 2 4 2 3" xfId="11850" xr:uid="{5E279C66-6EBF-4156-A54D-F4C1C6440889}"/>
    <cellStyle name="Currency 5 3 2 2 4 3" xfId="5481" xr:uid="{00000000-0005-0000-0000-0000A50C0000}"/>
    <cellStyle name="Currency 5 3 2 2 4 3 2" xfId="13923" xr:uid="{04FAA230-2155-4C32-B4D7-F6D2260A7D59}"/>
    <cellStyle name="Currency 5 3 2 2 4 4" xfId="9705" xr:uid="{96A4E4BB-6FF8-4108-8144-2B9E3078F76C}"/>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5D9EB22F-55D0-4453-A9FD-CEA0CC05C29A}"/>
    <cellStyle name="Currency 5 3 2 2 5 2 3" xfId="12263" xr:uid="{59089722-69EB-47CB-B8BA-5FDEB3396DC1}"/>
    <cellStyle name="Currency 5 3 2 2 5 3" xfId="5894" xr:uid="{00000000-0005-0000-0000-0000A90C0000}"/>
    <cellStyle name="Currency 5 3 2 2 5 3 2" xfId="14336" xr:uid="{0905A10A-F763-456C-8E78-EEFFA409FCEF}"/>
    <cellStyle name="Currency 5 3 2 2 5 4" xfId="10118" xr:uid="{3BA7C45E-79DA-4FA7-9C56-E057D167852D}"/>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A9379DEE-4B45-4959-896C-52CD687A74A5}"/>
    <cellStyle name="Currency 5 3 2 2 6 2 3" xfId="12676" xr:uid="{FA59C416-FECB-480B-AECE-D47134F8F737}"/>
    <cellStyle name="Currency 5 3 2 2 6 3" xfId="6307" xr:uid="{00000000-0005-0000-0000-0000AD0C0000}"/>
    <cellStyle name="Currency 5 3 2 2 6 3 2" xfId="14749" xr:uid="{67F15F78-0C76-4FE3-A849-08B56B5EA47A}"/>
    <cellStyle name="Currency 5 3 2 2 6 4" xfId="10531" xr:uid="{FD80F186-E0B0-48C2-9C67-2D32701324CA}"/>
    <cellStyle name="Currency 5 3 2 2 7" xfId="2435" xr:uid="{00000000-0005-0000-0000-0000AE0C0000}"/>
    <cellStyle name="Currency 5 3 2 2 7 2" xfId="6720" xr:uid="{00000000-0005-0000-0000-0000AF0C0000}"/>
    <cellStyle name="Currency 5 3 2 2 7 2 2" xfId="15162" xr:uid="{6D817E30-77D8-41D8-B402-7B5399325CBA}"/>
    <cellStyle name="Currency 5 3 2 2 7 3" xfId="10944" xr:uid="{246D6BDD-B202-4EEA-95CD-09A5E594626B}"/>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55075FE4-376F-40C3-8BEA-5CDF31C8117C}"/>
    <cellStyle name="Currency 5 3 2 2 9 3" xfId="11261" xr:uid="{8823D7D5-224A-46BD-AA52-6526703C8C6B}"/>
    <cellStyle name="Currency 5 3 2 3" xfId="213" xr:uid="{00000000-0005-0000-0000-0000B30C0000}"/>
    <cellStyle name="Currency 5 3 2 3 10" xfId="8880" xr:uid="{327549B4-FDBF-4D9B-A0C9-133C0D71A92C}"/>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335D2CD8-A6BC-4E4A-8676-25F2CB7D6595}"/>
    <cellStyle name="Currency 5 3 2 3 2 2 3" xfId="11439" xr:uid="{10DA1995-9900-4EFC-B4B4-370FF1DF53FD}"/>
    <cellStyle name="Currency 5 3 2 3 2 3" xfId="5070" xr:uid="{00000000-0005-0000-0000-0000B70C0000}"/>
    <cellStyle name="Currency 5 3 2 3 2 3 2" xfId="13512" xr:uid="{E2D2F737-D65A-470D-BCDC-D32ED95DF31C}"/>
    <cellStyle name="Currency 5 3 2 3 2 4" xfId="9294" xr:uid="{86BBA51F-19BA-4960-AFFF-F5ACB69A46FE}"/>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04A0BF22-6F2E-4649-BCAA-2642EEDC1398}"/>
    <cellStyle name="Currency 5 3 2 3 3 2 3" xfId="11852" xr:uid="{977DE747-C69F-478C-AA40-69EC313C0684}"/>
    <cellStyle name="Currency 5 3 2 3 3 3" xfId="5483" xr:uid="{00000000-0005-0000-0000-0000BB0C0000}"/>
    <cellStyle name="Currency 5 3 2 3 3 3 2" xfId="13925" xr:uid="{031D29D7-B809-4032-B312-E312D0832C6E}"/>
    <cellStyle name="Currency 5 3 2 3 3 4" xfId="9707" xr:uid="{58D017B5-492F-43A5-BD6A-FC915341F544}"/>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6104AE21-A1F2-46A0-9417-2723E1E9E86D}"/>
    <cellStyle name="Currency 5 3 2 3 4 2 3" xfId="12265" xr:uid="{AE98BAA9-00DC-4717-B479-C90C33D01042}"/>
    <cellStyle name="Currency 5 3 2 3 4 3" xfId="5896" xr:uid="{00000000-0005-0000-0000-0000BF0C0000}"/>
    <cellStyle name="Currency 5 3 2 3 4 3 2" xfId="14338" xr:uid="{63F886CB-BD74-44B3-8322-9555D0009BEA}"/>
    <cellStyle name="Currency 5 3 2 3 4 4" xfId="10120" xr:uid="{EF8B9FFD-DE31-4FD2-87B3-13483D2CD383}"/>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97190E47-89B9-4FF6-A997-71DCA81779F9}"/>
    <cellStyle name="Currency 5 3 2 3 5 2 3" xfId="12678" xr:uid="{C9727233-916A-4081-B1FE-7C2DEA20D753}"/>
    <cellStyle name="Currency 5 3 2 3 5 3" xfId="6309" xr:uid="{00000000-0005-0000-0000-0000C30C0000}"/>
    <cellStyle name="Currency 5 3 2 3 5 3 2" xfId="14751" xr:uid="{BF40B7CB-16C4-4D60-830F-0BCE69D873AD}"/>
    <cellStyle name="Currency 5 3 2 3 5 4" xfId="10533" xr:uid="{BD92220B-5901-45CA-AE3E-2B2DA14F69FC}"/>
    <cellStyle name="Currency 5 3 2 3 6" xfId="2437" xr:uid="{00000000-0005-0000-0000-0000C40C0000}"/>
    <cellStyle name="Currency 5 3 2 3 6 2" xfId="6722" xr:uid="{00000000-0005-0000-0000-0000C50C0000}"/>
    <cellStyle name="Currency 5 3 2 3 6 2 2" xfId="15164" xr:uid="{4A68E3B1-2A62-4DDA-9103-26DEBFE0B601}"/>
    <cellStyle name="Currency 5 3 2 3 6 3" xfId="10946" xr:uid="{7393F536-1761-40D1-8285-C0419FC9BB65}"/>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EA279A2D-6FFB-4529-AF2A-14671221A430}"/>
    <cellStyle name="Currency 5 3 2 3 8 3" xfId="11263" xr:uid="{20BD2B9A-AE9F-4866-90F1-BC26678AD87A}"/>
    <cellStyle name="Currency 5 3 2 3 9" xfId="4656" xr:uid="{00000000-0005-0000-0000-0000C90C0000}"/>
    <cellStyle name="Currency 5 3 2 3 9 2" xfId="13098" xr:uid="{1E74F7B1-CD1A-493A-AD90-AF77651F420E}"/>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6CA88AF7-1EB0-4517-908C-1023C1FAEDE9}"/>
    <cellStyle name="Currency 5 3 2 4 2 3" xfId="11436" xr:uid="{9AD902ED-17B6-4EB5-A258-70988C50E39F}"/>
    <cellStyle name="Currency 5 3 2 4 3" xfId="5067" xr:uid="{00000000-0005-0000-0000-0000CD0C0000}"/>
    <cellStyle name="Currency 5 3 2 4 3 2" xfId="13509" xr:uid="{3E5B41B2-DF37-46E0-828B-5A505C9CC51A}"/>
    <cellStyle name="Currency 5 3 2 4 4" xfId="9291" xr:uid="{1D360F50-C06D-4EF2-BF71-F18D46F8198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EB494D22-C14D-4BBA-897D-0D3DC00EE705}"/>
    <cellStyle name="Currency 5 3 2 5 2 3" xfId="11849" xr:uid="{322BF29E-C6F3-4B0E-9BD4-E2F3437F6319}"/>
    <cellStyle name="Currency 5 3 2 5 3" xfId="5480" xr:uid="{00000000-0005-0000-0000-0000D10C0000}"/>
    <cellStyle name="Currency 5 3 2 5 3 2" xfId="13922" xr:uid="{01B8331D-ED8E-42BD-A34F-9C79D62403C7}"/>
    <cellStyle name="Currency 5 3 2 5 4" xfId="9704" xr:uid="{1BE0E212-B4A5-48CB-AE84-E2B7AF181145}"/>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A83AE114-5D2F-46CF-8252-2AF0E3467EE0}"/>
    <cellStyle name="Currency 5 3 2 6 2 3" xfId="12262" xr:uid="{063ADBC9-1624-4D18-B76D-AEFA3FCDFFD3}"/>
    <cellStyle name="Currency 5 3 2 6 3" xfId="5893" xr:uid="{00000000-0005-0000-0000-0000D50C0000}"/>
    <cellStyle name="Currency 5 3 2 6 3 2" xfId="14335" xr:uid="{0B32118E-D0F8-414E-8B31-C2680A0F5664}"/>
    <cellStyle name="Currency 5 3 2 6 4" xfId="10117" xr:uid="{033C28FB-2B0C-443C-A499-E2EC74077F54}"/>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FEAF0F03-76CE-4190-ACAE-2FA3847561E1}"/>
    <cellStyle name="Currency 5 3 2 7 2 3" xfId="12675" xr:uid="{F748BE83-9FF4-4B73-BE86-12CF99D7C655}"/>
    <cellStyle name="Currency 5 3 2 7 3" xfId="6306" xr:uid="{00000000-0005-0000-0000-0000D90C0000}"/>
    <cellStyle name="Currency 5 3 2 7 3 2" xfId="14748" xr:uid="{C9EA718A-9348-471F-AA5D-767570FE2257}"/>
    <cellStyle name="Currency 5 3 2 7 4" xfId="10530" xr:uid="{56EB49FD-DB02-4355-BFE9-980E777FFDC0}"/>
    <cellStyle name="Currency 5 3 2 8" xfId="2434" xr:uid="{00000000-0005-0000-0000-0000DA0C0000}"/>
    <cellStyle name="Currency 5 3 2 8 2" xfId="6719" xr:uid="{00000000-0005-0000-0000-0000DB0C0000}"/>
    <cellStyle name="Currency 5 3 2 8 2 2" xfId="15161" xr:uid="{3DC67914-1A72-41E7-B963-2D99176FBBC0}"/>
    <cellStyle name="Currency 5 3 2 8 3" xfId="10943" xr:uid="{4E51149F-3524-48E3-A9ED-9AE922B56AF0}"/>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F4C22232-A9FB-4589-BFD5-3151B20992EF}"/>
    <cellStyle name="Currency 5 3 3 11" xfId="8881" xr:uid="{57FA7FA6-E7CA-4F45-90C3-168CC5DA9540}"/>
    <cellStyle name="Currency 5 3 3 2" xfId="215" xr:uid="{00000000-0005-0000-0000-0000DF0C0000}"/>
    <cellStyle name="Currency 5 3 3 2 10" xfId="8882" xr:uid="{0425621C-4A84-4843-B484-C69A65C0F7E4}"/>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48FA234E-F22A-409D-A797-3721079BAC8B}"/>
    <cellStyle name="Currency 5 3 3 2 2 2 3" xfId="11441" xr:uid="{B7078BCC-CBCB-4CEA-A9A3-0F53735E31D3}"/>
    <cellStyle name="Currency 5 3 3 2 2 3" xfId="5072" xr:uid="{00000000-0005-0000-0000-0000E30C0000}"/>
    <cellStyle name="Currency 5 3 3 2 2 3 2" xfId="13514" xr:uid="{E1EABD78-0BEB-461A-B7F0-2A3DA85F2C65}"/>
    <cellStyle name="Currency 5 3 3 2 2 4" xfId="9296" xr:uid="{24931086-0B58-4AD0-8E31-77D939956E6A}"/>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291C28E0-8852-45E6-BA3B-DE2D1E6F08A5}"/>
    <cellStyle name="Currency 5 3 3 2 3 2 3" xfId="11854" xr:uid="{8B665D38-4741-4165-9192-84FD15396777}"/>
    <cellStyle name="Currency 5 3 3 2 3 3" xfId="5485" xr:uid="{00000000-0005-0000-0000-0000E70C0000}"/>
    <cellStyle name="Currency 5 3 3 2 3 3 2" xfId="13927" xr:uid="{5E9A1646-D489-41EC-860E-2C52D7E9FF82}"/>
    <cellStyle name="Currency 5 3 3 2 3 4" xfId="9709" xr:uid="{1FB51527-B293-4CDA-80CF-91A00FDF60C4}"/>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399CB395-C438-4257-A036-5DF31B23B4A8}"/>
    <cellStyle name="Currency 5 3 3 2 4 2 3" xfId="12267" xr:uid="{438B31EB-6071-47F8-97D6-6913B9ED9BAD}"/>
    <cellStyle name="Currency 5 3 3 2 4 3" xfId="5898" xr:uid="{00000000-0005-0000-0000-0000EB0C0000}"/>
    <cellStyle name="Currency 5 3 3 2 4 3 2" xfId="14340" xr:uid="{6373BD4E-B2A1-40F9-A073-6ECB0BFA42C9}"/>
    <cellStyle name="Currency 5 3 3 2 4 4" xfId="10122" xr:uid="{E76482C9-6AD6-4DB3-9BC2-B347571F0BED}"/>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E19A4FA5-C061-4E60-B700-B32C5C4A5BBA}"/>
    <cellStyle name="Currency 5 3 3 2 5 2 3" xfId="12680" xr:uid="{62061197-585C-4B8E-A64A-5392D724F6A4}"/>
    <cellStyle name="Currency 5 3 3 2 5 3" xfId="6311" xr:uid="{00000000-0005-0000-0000-0000EF0C0000}"/>
    <cellStyle name="Currency 5 3 3 2 5 3 2" xfId="14753" xr:uid="{261F7E4C-873F-47CC-96F6-597FB39E1252}"/>
    <cellStyle name="Currency 5 3 3 2 5 4" xfId="10535" xr:uid="{0B204AD7-9876-43DB-AEF0-F7D481287FBF}"/>
    <cellStyle name="Currency 5 3 3 2 6" xfId="2439" xr:uid="{00000000-0005-0000-0000-0000F00C0000}"/>
    <cellStyle name="Currency 5 3 3 2 6 2" xfId="6724" xr:uid="{00000000-0005-0000-0000-0000F10C0000}"/>
    <cellStyle name="Currency 5 3 3 2 6 2 2" xfId="15166" xr:uid="{60970C21-9C4F-4604-86EF-CD0061A5087D}"/>
    <cellStyle name="Currency 5 3 3 2 6 3" xfId="10948" xr:uid="{734C29DF-1A22-4ADC-9FBD-AA0E393820F2}"/>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34EEF10C-4537-484C-8BFA-C012E73203A3}"/>
    <cellStyle name="Currency 5 3 3 2 8 3" xfId="11265" xr:uid="{046F74A6-2A9A-40A5-A814-1AF24DBF848B}"/>
    <cellStyle name="Currency 5 3 3 2 9" xfId="4658" xr:uid="{00000000-0005-0000-0000-0000F50C0000}"/>
    <cellStyle name="Currency 5 3 3 2 9 2" xfId="13100" xr:uid="{6FE9EC1D-6562-4EF7-ADBC-C452FDAAB8E7}"/>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707DDF3F-A800-4F1A-8F2F-0E290B487846}"/>
    <cellStyle name="Currency 5 3 3 3 2 3" xfId="11440" xr:uid="{69335C5C-A94B-4860-9023-BADBA92D22B2}"/>
    <cellStyle name="Currency 5 3 3 3 3" xfId="5071" xr:uid="{00000000-0005-0000-0000-0000F90C0000}"/>
    <cellStyle name="Currency 5 3 3 3 3 2" xfId="13513" xr:uid="{0BDCA25F-28C9-429F-A1B5-6A68FBCD1C98}"/>
    <cellStyle name="Currency 5 3 3 3 4" xfId="9295" xr:uid="{D8F67503-5B59-42A5-A358-8E2D7C8AF6A2}"/>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34B4E739-4D32-4C61-B85E-00C25B68D480}"/>
    <cellStyle name="Currency 5 3 3 4 2 3" xfId="11853" xr:uid="{8BD91F06-BBED-4614-82A8-A2568EF3B241}"/>
    <cellStyle name="Currency 5 3 3 4 3" xfId="5484" xr:uid="{00000000-0005-0000-0000-0000FD0C0000}"/>
    <cellStyle name="Currency 5 3 3 4 3 2" xfId="13926" xr:uid="{6DCA589D-1C46-4374-9794-6C3C1670C181}"/>
    <cellStyle name="Currency 5 3 3 4 4" xfId="9708" xr:uid="{4BBE66E7-3E59-49F1-823C-481EFF3D6015}"/>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6367A4C8-8566-4B1A-8D7D-CD9794E72C2A}"/>
    <cellStyle name="Currency 5 3 3 5 2 3" xfId="12266" xr:uid="{7DFE2399-EC4F-4169-93E4-FE56AEEB0F33}"/>
    <cellStyle name="Currency 5 3 3 5 3" xfId="5897" xr:uid="{00000000-0005-0000-0000-0000010D0000}"/>
    <cellStyle name="Currency 5 3 3 5 3 2" xfId="14339" xr:uid="{FEFFD50F-DA5E-4A46-AF3C-F36D068B4042}"/>
    <cellStyle name="Currency 5 3 3 5 4" xfId="10121" xr:uid="{40B992AC-48FF-498E-B184-72D416B5804C}"/>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2206D868-18EA-489F-B3AE-3E9BA8933529}"/>
    <cellStyle name="Currency 5 3 3 6 2 3" xfId="12679" xr:uid="{3AD351CA-DBD2-4F00-B8F2-2B5FAEF28B29}"/>
    <cellStyle name="Currency 5 3 3 6 3" xfId="6310" xr:uid="{00000000-0005-0000-0000-0000050D0000}"/>
    <cellStyle name="Currency 5 3 3 6 3 2" xfId="14752" xr:uid="{957D5842-8ADA-4EC4-9C12-C946A764061A}"/>
    <cellStyle name="Currency 5 3 3 6 4" xfId="10534" xr:uid="{B3C63659-6C58-4C6F-B2E6-84B456194A2A}"/>
    <cellStyle name="Currency 5 3 3 7" xfId="2438" xr:uid="{00000000-0005-0000-0000-0000060D0000}"/>
    <cellStyle name="Currency 5 3 3 7 2" xfId="6723" xr:uid="{00000000-0005-0000-0000-0000070D0000}"/>
    <cellStyle name="Currency 5 3 3 7 2 2" xfId="15165" xr:uid="{9E27AF17-2B77-47CD-8175-D3064B6D178D}"/>
    <cellStyle name="Currency 5 3 3 7 3" xfId="10947" xr:uid="{D831477A-FB97-4CDE-AD14-FC722EDE341B}"/>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79FDB530-7F0C-40A6-8494-E54FEEEAF72D}"/>
    <cellStyle name="Currency 5 3 3 9 3" xfId="11264" xr:uid="{D313CB1D-711A-4ED9-8297-B1475EA88229}"/>
    <cellStyle name="Currency 5 3 4" xfId="216" xr:uid="{00000000-0005-0000-0000-00000B0D0000}"/>
    <cellStyle name="Currency 5 3 4 10" xfId="8883" xr:uid="{631BC864-5890-4977-B0AF-6F399F7EB336}"/>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7447C396-FE78-4881-A002-CCC9D7D55ADF}"/>
    <cellStyle name="Currency 5 3 4 2 2 3" xfId="11442" xr:uid="{2D40262B-CAB2-4555-B70B-B5DAE42B43F5}"/>
    <cellStyle name="Currency 5 3 4 2 3" xfId="5073" xr:uid="{00000000-0005-0000-0000-00000F0D0000}"/>
    <cellStyle name="Currency 5 3 4 2 3 2" xfId="13515" xr:uid="{40F48DA5-C087-45B2-B037-00D7A734F0BC}"/>
    <cellStyle name="Currency 5 3 4 2 4" xfId="9297" xr:uid="{654E8BA1-1325-47D1-A109-D79B8C53275E}"/>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9578285-6B20-43AF-8819-630658F55BD0}"/>
    <cellStyle name="Currency 5 3 4 3 2 3" xfId="11855" xr:uid="{31CC660B-205D-48A5-8250-5D101F6F37EE}"/>
    <cellStyle name="Currency 5 3 4 3 3" xfId="5486" xr:uid="{00000000-0005-0000-0000-0000130D0000}"/>
    <cellStyle name="Currency 5 3 4 3 3 2" xfId="13928" xr:uid="{2584BBB0-8BBE-413D-BD4F-8A268C7BBA75}"/>
    <cellStyle name="Currency 5 3 4 3 4" xfId="9710" xr:uid="{293783D7-BD2D-4018-813D-EE89142E5772}"/>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B8992501-FDB3-41FD-86CE-4D6FD35B5A37}"/>
    <cellStyle name="Currency 5 3 4 4 2 3" xfId="12268" xr:uid="{0786C938-FDEB-4852-99BB-8F6B4D3BC8D7}"/>
    <cellStyle name="Currency 5 3 4 4 3" xfId="5899" xr:uid="{00000000-0005-0000-0000-0000170D0000}"/>
    <cellStyle name="Currency 5 3 4 4 3 2" xfId="14341" xr:uid="{659F8F1B-1B75-4351-B1C6-9AEA79BA235F}"/>
    <cellStyle name="Currency 5 3 4 4 4" xfId="10123" xr:uid="{FA2ED61D-DB84-4781-A47E-6108B8937E1F}"/>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FC74FAE7-173C-49DC-9438-1B58221D5C7A}"/>
    <cellStyle name="Currency 5 3 4 5 2 3" xfId="12681" xr:uid="{F287E86C-7780-4E86-BF3C-27A5B6E28786}"/>
    <cellStyle name="Currency 5 3 4 5 3" xfId="6312" xr:uid="{00000000-0005-0000-0000-00001B0D0000}"/>
    <cellStyle name="Currency 5 3 4 5 3 2" xfId="14754" xr:uid="{7FA7FE8E-0AD0-4EA7-9087-840035885C66}"/>
    <cellStyle name="Currency 5 3 4 5 4" xfId="10536" xr:uid="{6D1F2CC8-90E8-4B5B-A951-5E944353CE5D}"/>
    <cellStyle name="Currency 5 3 4 6" xfId="2440" xr:uid="{00000000-0005-0000-0000-00001C0D0000}"/>
    <cellStyle name="Currency 5 3 4 6 2" xfId="6725" xr:uid="{00000000-0005-0000-0000-00001D0D0000}"/>
    <cellStyle name="Currency 5 3 4 6 2 2" xfId="15167" xr:uid="{80FF3B89-D301-4B04-A9EA-5C22A8395F3F}"/>
    <cellStyle name="Currency 5 3 4 6 3" xfId="10949" xr:uid="{D11E64D0-7AB0-4B19-B21C-A881CAC4E6D6}"/>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A6388F70-0280-4C1F-954E-1AB90659140B}"/>
    <cellStyle name="Currency 5 3 4 8 3" xfId="11266" xr:uid="{17FCB7F6-1D55-4CD2-BA85-A74560C4B41E}"/>
    <cellStyle name="Currency 5 3 4 9" xfId="4659" xr:uid="{00000000-0005-0000-0000-0000210D0000}"/>
    <cellStyle name="Currency 5 3 4 9 2" xfId="13101" xr:uid="{8281E9FA-0750-4CF7-805F-B2E788A4E24E}"/>
    <cellStyle name="Currency 5 3 5" xfId="217" xr:uid="{00000000-0005-0000-0000-0000220D0000}"/>
    <cellStyle name="Currency 5 3 5 10" xfId="8884" xr:uid="{C967D9A7-F7FA-4D04-815C-66E297B00C87}"/>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92233A10-FB85-49A8-9167-B42E814B8B34}"/>
    <cellStyle name="Currency 5 3 5 2 2 3" xfId="11443" xr:uid="{FF5444D8-B7CC-4E08-A5D7-687BF9FE8E86}"/>
    <cellStyle name="Currency 5 3 5 2 3" xfId="5074" xr:uid="{00000000-0005-0000-0000-0000260D0000}"/>
    <cellStyle name="Currency 5 3 5 2 3 2" xfId="13516" xr:uid="{D94504E1-FF32-43C2-850D-76DA57135EB4}"/>
    <cellStyle name="Currency 5 3 5 2 4" xfId="9298" xr:uid="{AFD5F185-9382-4AAE-AD5E-98BD8BA7BA1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26D7CE2E-1477-47AC-A7BF-310AAAA140F7}"/>
    <cellStyle name="Currency 5 3 5 3 2 3" xfId="11856" xr:uid="{D5919B32-B480-43AD-A082-402DB609C26C}"/>
    <cellStyle name="Currency 5 3 5 3 3" xfId="5487" xr:uid="{00000000-0005-0000-0000-00002A0D0000}"/>
    <cellStyle name="Currency 5 3 5 3 3 2" xfId="13929" xr:uid="{68F2C6B1-B92F-4CE0-885A-E6409276B249}"/>
    <cellStyle name="Currency 5 3 5 3 4" xfId="9711" xr:uid="{F471F669-BA77-4EAA-9822-F13A9A68CB7A}"/>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476E7BF7-3D4F-41B8-87E5-7E8A7823CA2F}"/>
    <cellStyle name="Currency 5 3 5 4 2 3" xfId="12269" xr:uid="{14BD63B8-3F96-4E29-81D0-EB67B204F480}"/>
    <cellStyle name="Currency 5 3 5 4 3" xfId="5900" xr:uid="{00000000-0005-0000-0000-00002E0D0000}"/>
    <cellStyle name="Currency 5 3 5 4 3 2" xfId="14342" xr:uid="{6383BCA2-D2BC-43BB-8E29-E3C91B12726A}"/>
    <cellStyle name="Currency 5 3 5 4 4" xfId="10124" xr:uid="{B006C72A-D4CC-477C-B1FD-5548D289C1B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3DF0067A-09C5-4C1B-9E17-9A93F74C1521}"/>
    <cellStyle name="Currency 5 3 5 5 2 3" xfId="12682" xr:uid="{488F6805-1462-49C0-A9E5-F94BCD0C098A}"/>
    <cellStyle name="Currency 5 3 5 5 3" xfId="6313" xr:uid="{00000000-0005-0000-0000-0000320D0000}"/>
    <cellStyle name="Currency 5 3 5 5 3 2" xfId="14755" xr:uid="{2B37512A-BCA0-496D-8E94-04176DC86CF5}"/>
    <cellStyle name="Currency 5 3 5 5 4" xfId="10537" xr:uid="{A9E3C05B-A879-4919-A6E8-8B14AEEB140E}"/>
    <cellStyle name="Currency 5 3 5 6" xfId="2441" xr:uid="{00000000-0005-0000-0000-0000330D0000}"/>
    <cellStyle name="Currency 5 3 5 6 2" xfId="6726" xr:uid="{00000000-0005-0000-0000-0000340D0000}"/>
    <cellStyle name="Currency 5 3 5 6 2 2" xfId="15168" xr:uid="{324E83AB-8039-440B-86DE-B25859F9AFE5}"/>
    <cellStyle name="Currency 5 3 5 6 3" xfId="10950" xr:uid="{8D633DB2-B373-49B8-A0F9-03220C99894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F30C636F-B825-4230-A330-58B297E510EB}"/>
    <cellStyle name="Currency 5 3 5 8 3" xfId="11267" xr:uid="{AA36C3DE-66D4-4558-A403-4498FA1294BE}"/>
    <cellStyle name="Currency 5 3 5 9" xfId="4660" xr:uid="{00000000-0005-0000-0000-0000380D0000}"/>
    <cellStyle name="Currency 5 3 5 9 2" xfId="13102" xr:uid="{FC4085B6-1F57-4746-A5B0-315A7CDBE0D3}"/>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39C09BFC-3746-4522-A02F-0A1FECDFABE8}"/>
    <cellStyle name="Currency 5 5 11" xfId="8885" xr:uid="{E8C3367E-65AC-4171-8E8E-EF2DDFC16AA3}"/>
    <cellStyle name="Currency 5 5 2" xfId="220" xr:uid="{00000000-0005-0000-0000-00003D0D0000}"/>
    <cellStyle name="Currency 5 5 2 10" xfId="8886" xr:uid="{AE480D36-C295-4693-8D2A-88070689BA9E}"/>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1FC631C9-6AD0-4F87-AE0B-DA33B104CA07}"/>
    <cellStyle name="Currency 5 5 2 2 2 3" xfId="11445" xr:uid="{EFBD2F87-F9AA-422C-9E9D-A8D785E6BB68}"/>
    <cellStyle name="Currency 5 5 2 2 3" xfId="5076" xr:uid="{00000000-0005-0000-0000-0000410D0000}"/>
    <cellStyle name="Currency 5 5 2 2 3 2" xfId="13518" xr:uid="{76DD3590-F4A8-4EBC-804D-E73ECECD1526}"/>
    <cellStyle name="Currency 5 5 2 2 4" xfId="9300" xr:uid="{D7C56C28-2F7A-495D-8153-2C8E41FC78AB}"/>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A9179623-80DD-4DE3-A8DF-C4BC33939F0D}"/>
    <cellStyle name="Currency 5 5 2 3 2 3" xfId="11858" xr:uid="{74854FE8-7A2B-49E1-90B3-3592B6495CA6}"/>
    <cellStyle name="Currency 5 5 2 3 3" xfId="5489" xr:uid="{00000000-0005-0000-0000-0000450D0000}"/>
    <cellStyle name="Currency 5 5 2 3 3 2" xfId="13931" xr:uid="{1B79CFC9-958A-4E65-91DE-04FF782B075E}"/>
    <cellStyle name="Currency 5 5 2 3 4" xfId="9713" xr:uid="{7785CDFB-6C65-402B-8594-47C7F17A3871}"/>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60F9ED5D-95A3-4BA3-B347-7FDBA6D4B32E}"/>
    <cellStyle name="Currency 5 5 2 4 2 3" xfId="12271" xr:uid="{5207EFE4-2AA8-4F1E-B448-3112DE79AA52}"/>
    <cellStyle name="Currency 5 5 2 4 3" xfId="5902" xr:uid="{00000000-0005-0000-0000-0000490D0000}"/>
    <cellStyle name="Currency 5 5 2 4 3 2" xfId="14344" xr:uid="{CD395EDC-DB0C-40DC-9F3C-545F39796E7B}"/>
    <cellStyle name="Currency 5 5 2 4 4" xfId="10126" xr:uid="{227F976E-0B22-4882-BD8B-F6E971D1D882}"/>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3462DF78-0F75-49BA-9345-C9BCED8660A6}"/>
    <cellStyle name="Currency 5 5 2 5 2 3" xfId="12684" xr:uid="{6E888AE8-43FE-4B00-91C4-B015CADF2A7B}"/>
    <cellStyle name="Currency 5 5 2 5 3" xfId="6315" xr:uid="{00000000-0005-0000-0000-00004D0D0000}"/>
    <cellStyle name="Currency 5 5 2 5 3 2" xfId="14757" xr:uid="{07F41318-24D8-4F32-826A-7429DC48C7C4}"/>
    <cellStyle name="Currency 5 5 2 5 4" xfId="10539" xr:uid="{99A85E07-CF33-40B2-9387-8C3853821F44}"/>
    <cellStyle name="Currency 5 5 2 6" xfId="2443" xr:uid="{00000000-0005-0000-0000-00004E0D0000}"/>
    <cellStyle name="Currency 5 5 2 6 2" xfId="6728" xr:uid="{00000000-0005-0000-0000-00004F0D0000}"/>
    <cellStyle name="Currency 5 5 2 6 2 2" xfId="15170" xr:uid="{58810C9C-5433-427F-9F46-16F10B877F5E}"/>
    <cellStyle name="Currency 5 5 2 6 3" xfId="10952" xr:uid="{79229DEC-28C4-4AC6-9318-60DDE67CEA8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8754A384-5478-4F6E-BF36-648F465F4605}"/>
    <cellStyle name="Currency 5 5 2 8 3" xfId="11269" xr:uid="{FCE325E6-6CB9-4463-B634-562FF3274EAA}"/>
    <cellStyle name="Currency 5 5 2 9" xfId="4662" xr:uid="{00000000-0005-0000-0000-0000530D0000}"/>
    <cellStyle name="Currency 5 5 2 9 2" xfId="13104" xr:uid="{18F96852-40F8-4217-B226-14715E45041C}"/>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F272B4CC-B4EE-4636-A1B6-59AA0A822422}"/>
    <cellStyle name="Currency 5 5 3 2 3" xfId="11444" xr:uid="{6196B407-7E6C-471F-91FE-EB6CE7A70727}"/>
    <cellStyle name="Currency 5 5 3 3" xfId="5075" xr:uid="{00000000-0005-0000-0000-0000570D0000}"/>
    <cellStyle name="Currency 5 5 3 3 2" xfId="13517" xr:uid="{C79EEAD6-23AE-4E42-88DD-8819ADB24487}"/>
    <cellStyle name="Currency 5 5 3 4" xfId="9299" xr:uid="{ECC8D162-20C5-4B15-8BA6-AC1C0961FA77}"/>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9F5CF2E0-0ABF-4412-A8EA-DEF90001654C}"/>
    <cellStyle name="Currency 5 5 4 2 3" xfId="11857" xr:uid="{803770F9-FDC5-4FC9-805E-CD232FD36AEC}"/>
    <cellStyle name="Currency 5 5 4 3" xfId="5488" xr:uid="{00000000-0005-0000-0000-00005B0D0000}"/>
    <cellStyle name="Currency 5 5 4 3 2" xfId="13930" xr:uid="{63E9BD87-11A7-460D-8072-D69D070C34DD}"/>
    <cellStyle name="Currency 5 5 4 4" xfId="9712" xr:uid="{CF0D0929-AD79-41EA-B0F7-52363325DC87}"/>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4F324EF8-DF31-48BA-B0B6-5D0BE7C565C8}"/>
    <cellStyle name="Currency 5 5 5 2 3" xfId="12270" xr:uid="{1B905BA6-540C-4C35-A9BE-23C8BAC9A859}"/>
    <cellStyle name="Currency 5 5 5 3" xfId="5901" xr:uid="{00000000-0005-0000-0000-00005F0D0000}"/>
    <cellStyle name="Currency 5 5 5 3 2" xfId="14343" xr:uid="{04030DA2-D15A-4841-8BF5-93FABB5D882B}"/>
    <cellStyle name="Currency 5 5 5 4" xfId="10125" xr:uid="{77AA9C1C-D178-4731-A295-6A73F9DFA3DC}"/>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14F17137-990D-4222-B5B6-175AFAD0B768}"/>
    <cellStyle name="Currency 5 5 6 2 3" xfId="12683" xr:uid="{00CE2BD5-B330-4BAC-99DF-302054608C21}"/>
    <cellStyle name="Currency 5 5 6 3" xfId="6314" xr:uid="{00000000-0005-0000-0000-0000630D0000}"/>
    <cellStyle name="Currency 5 5 6 3 2" xfId="14756" xr:uid="{3EDC9631-FB9B-4830-B916-2C6CFE5E0D1F}"/>
    <cellStyle name="Currency 5 5 6 4" xfId="10538" xr:uid="{9F3ED7D9-7A4F-49FA-8534-A1EA9D23BBA3}"/>
    <cellStyle name="Currency 5 5 7" xfId="2442" xr:uid="{00000000-0005-0000-0000-0000640D0000}"/>
    <cellStyle name="Currency 5 5 7 2" xfId="6727" xr:uid="{00000000-0005-0000-0000-0000650D0000}"/>
    <cellStyle name="Currency 5 5 7 2 2" xfId="15169" xr:uid="{DFEFF8A8-26B2-48AC-B0C8-3C1F07D83E5C}"/>
    <cellStyle name="Currency 5 5 7 3" xfId="10951" xr:uid="{2FDE8A46-8F64-4C71-97FF-3C19F5687BE0}"/>
    <cellStyle name="Currency 5 5 8" xfId="2739" xr:uid="{00000000-0005-0000-0000-0000660D0000}"/>
    <cellStyle name="Currency 5 5 9" xfId="2820" xr:uid="{00000000-0005-0000-0000-0000670D0000}"/>
    <cellStyle name="Currency 5 5 9 2" xfId="7044" xr:uid="{00000000-0005-0000-0000-0000680D0000}"/>
    <cellStyle name="Currency 5 5 9 2 2" xfId="15486" xr:uid="{6AE28A51-3073-46C6-AF2B-C118B66D5070}"/>
    <cellStyle name="Currency 5 5 9 3" xfId="11268" xr:uid="{892DBF28-34FF-412E-A15B-48330973A559}"/>
    <cellStyle name="Currency 5 6" xfId="221" xr:uid="{00000000-0005-0000-0000-0000690D0000}"/>
    <cellStyle name="Currency 5 6 10" xfId="8887" xr:uid="{DE661BAC-86B1-43E0-BB53-47125F2A691E}"/>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49C56FF3-7729-49B6-893F-3DB01CDD385D}"/>
    <cellStyle name="Currency 5 6 2 2 3" xfId="11446" xr:uid="{69F8713C-C667-468E-B589-981980839C86}"/>
    <cellStyle name="Currency 5 6 2 3" xfId="5077" xr:uid="{00000000-0005-0000-0000-00006D0D0000}"/>
    <cellStyle name="Currency 5 6 2 3 2" xfId="13519" xr:uid="{E124444E-A623-433A-A20E-B3988AF946D5}"/>
    <cellStyle name="Currency 5 6 2 4" xfId="9301" xr:uid="{2D1FA777-EB69-48DF-85CA-AF445393E27C}"/>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7C0EF395-B5B1-434E-8044-4BB39E154272}"/>
    <cellStyle name="Currency 5 6 3 2 3" xfId="11859" xr:uid="{7EB16EAD-AE23-494C-92A3-D86419E2B543}"/>
    <cellStyle name="Currency 5 6 3 3" xfId="5490" xr:uid="{00000000-0005-0000-0000-0000710D0000}"/>
    <cellStyle name="Currency 5 6 3 3 2" xfId="13932" xr:uid="{73DB65E6-D202-451B-92FF-B893C206EA9A}"/>
    <cellStyle name="Currency 5 6 3 4" xfId="9714" xr:uid="{241E2216-06D8-4ADB-9734-B56A505C882D}"/>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BDAF76F0-DC23-44AD-8F2F-4E45AD3FF209}"/>
    <cellStyle name="Currency 5 6 4 2 3" xfId="12272" xr:uid="{D21FADC4-17F9-4F98-BFAD-D7D48A800307}"/>
    <cellStyle name="Currency 5 6 4 3" xfId="5903" xr:uid="{00000000-0005-0000-0000-0000750D0000}"/>
    <cellStyle name="Currency 5 6 4 3 2" xfId="14345" xr:uid="{41867713-B6B1-4472-98AC-D4FF5F8DC756}"/>
    <cellStyle name="Currency 5 6 4 4" xfId="10127" xr:uid="{D29977B4-86B5-4C82-B062-CE1D51808D50}"/>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C4D300AB-21BF-465F-8531-A9136F6BDC5A}"/>
    <cellStyle name="Currency 5 6 5 2 3" xfId="12685" xr:uid="{72E0960D-2CBB-4660-B942-2E951D22D6DE}"/>
    <cellStyle name="Currency 5 6 5 3" xfId="6316" xr:uid="{00000000-0005-0000-0000-0000790D0000}"/>
    <cellStyle name="Currency 5 6 5 3 2" xfId="14758" xr:uid="{9D06367F-A817-4330-A61B-B2687C935695}"/>
    <cellStyle name="Currency 5 6 5 4" xfId="10540" xr:uid="{16F80156-B995-42E6-9E76-50C4C56C9C28}"/>
    <cellStyle name="Currency 5 6 6" xfId="2444" xr:uid="{00000000-0005-0000-0000-00007A0D0000}"/>
    <cellStyle name="Currency 5 6 6 2" xfId="6729" xr:uid="{00000000-0005-0000-0000-00007B0D0000}"/>
    <cellStyle name="Currency 5 6 6 2 2" xfId="15171" xr:uid="{BFA8E302-24A1-461D-B73B-5A8BBE27F219}"/>
    <cellStyle name="Currency 5 6 6 3" xfId="10953" xr:uid="{8091410B-C507-4001-8D6A-5D97B925375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0EE35C2E-14B4-418B-9570-61C38F957FE2}"/>
    <cellStyle name="Currency 5 6 8 3" xfId="11270" xr:uid="{A4AD11C0-68E0-4C41-A5EE-989BE77F8B1B}"/>
    <cellStyle name="Currency 5 6 9" xfId="4663" xr:uid="{00000000-0005-0000-0000-00007F0D0000}"/>
    <cellStyle name="Currency 5 6 9 2" xfId="13105" xr:uid="{5E62E727-5279-4811-9F7A-628497A79744}"/>
    <cellStyle name="Currency 5 7" xfId="222" xr:uid="{00000000-0005-0000-0000-0000800D0000}"/>
    <cellStyle name="Currency 5 7 10" xfId="8888" xr:uid="{3D2DEDD0-260A-4CAF-8D58-0A96067CF499}"/>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27B8C069-1A09-4E87-AC9A-4001F541DBCA}"/>
    <cellStyle name="Currency 5 7 2 2 3" xfId="11447" xr:uid="{A7CDAC90-82D0-403B-850C-F314F3BA4E4D}"/>
    <cellStyle name="Currency 5 7 2 3" xfId="5078" xr:uid="{00000000-0005-0000-0000-0000840D0000}"/>
    <cellStyle name="Currency 5 7 2 3 2" xfId="13520" xr:uid="{C9422ED9-0DCB-4D9C-8EC2-233D611C5E4C}"/>
    <cellStyle name="Currency 5 7 2 4" xfId="9302" xr:uid="{3DEC1CA9-8A55-4ACF-A942-14AB19566B32}"/>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8F46E110-AA7E-4F3B-9396-1F15582DE515}"/>
    <cellStyle name="Currency 5 7 3 2 3" xfId="11860" xr:uid="{5704AED4-9EB1-4555-BAE7-33D37C45B0B9}"/>
    <cellStyle name="Currency 5 7 3 3" xfId="5491" xr:uid="{00000000-0005-0000-0000-0000880D0000}"/>
    <cellStyle name="Currency 5 7 3 3 2" xfId="13933" xr:uid="{B0EC800E-BB09-446F-A193-ABEC4F8E2B0E}"/>
    <cellStyle name="Currency 5 7 3 4" xfId="9715" xr:uid="{78274463-9B32-483A-850F-A37928C9AF2A}"/>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2DCEA561-931C-40DB-A23A-99EF9ADBD688}"/>
    <cellStyle name="Currency 5 7 4 2 3" xfId="12273" xr:uid="{2C9AF38E-570E-4B3B-9C45-BC3EECD196D7}"/>
    <cellStyle name="Currency 5 7 4 3" xfId="5904" xr:uid="{00000000-0005-0000-0000-00008C0D0000}"/>
    <cellStyle name="Currency 5 7 4 3 2" xfId="14346" xr:uid="{BC21080F-D98E-4758-B305-59E16CE44E96}"/>
    <cellStyle name="Currency 5 7 4 4" xfId="10128" xr:uid="{7471B5F0-36E1-4DBE-974E-472C4728BA64}"/>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EB92CDAA-FCB4-4DC7-BB61-A0EF4E3DBB76}"/>
    <cellStyle name="Currency 5 7 5 2 3" xfId="12686" xr:uid="{2DE75A7A-44C3-4114-9BE5-C4E187757BDA}"/>
    <cellStyle name="Currency 5 7 5 3" xfId="6317" xr:uid="{00000000-0005-0000-0000-0000900D0000}"/>
    <cellStyle name="Currency 5 7 5 3 2" xfId="14759" xr:uid="{6050A049-946E-4A94-BB3E-37FC797D69E6}"/>
    <cellStyle name="Currency 5 7 5 4" xfId="10541" xr:uid="{D211EE05-6EA5-4C1D-854F-F961DF0CF5EC}"/>
    <cellStyle name="Currency 5 7 6" xfId="2445" xr:uid="{00000000-0005-0000-0000-0000910D0000}"/>
    <cellStyle name="Currency 5 7 6 2" xfId="6730" xr:uid="{00000000-0005-0000-0000-0000920D0000}"/>
    <cellStyle name="Currency 5 7 6 2 2" xfId="15172" xr:uid="{463990EF-31AB-4F42-B717-091A010D411C}"/>
    <cellStyle name="Currency 5 7 6 3" xfId="10954" xr:uid="{C95204E0-F9D2-48F5-B1AC-FD767D41900E}"/>
    <cellStyle name="Currency 5 7 7" xfId="2742" xr:uid="{00000000-0005-0000-0000-0000930D0000}"/>
    <cellStyle name="Currency 5 7 8" xfId="2823" xr:uid="{00000000-0005-0000-0000-0000940D0000}"/>
    <cellStyle name="Currency 5 7 8 2" xfId="7047" xr:uid="{00000000-0005-0000-0000-0000950D0000}"/>
    <cellStyle name="Currency 5 7 8 2 2" xfId="15489" xr:uid="{05205B88-FF9E-44A2-B3A6-E7AEBF514F9C}"/>
    <cellStyle name="Currency 5 7 8 3" xfId="11271" xr:uid="{01BABD4E-42E4-4630-8C42-53BD90E0918A}"/>
    <cellStyle name="Currency 5 7 9" xfId="4664" xr:uid="{00000000-0005-0000-0000-0000960D0000}"/>
    <cellStyle name="Currency 5 7 9 2" xfId="13106" xr:uid="{1571FE50-1E2E-41C4-90EB-81FE2CB7DC1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6473904A-70CD-4A1B-B796-063A70EC6629}"/>
    <cellStyle name="Normal 12 10 3" xfId="10955" xr:uid="{88D14457-C18F-44A2-931A-CFDC4BE25C08}"/>
    <cellStyle name="Normal 12 11" xfId="4665" xr:uid="{00000000-0005-0000-0000-0000CC0D0000}"/>
    <cellStyle name="Normal 12 11 2" xfId="13107" xr:uid="{D046BF8F-A0BA-46F7-A230-769C8DAC8E09}"/>
    <cellStyle name="Normal 12 12" xfId="8889" xr:uid="{18F7538E-437B-4ED4-9C8F-2AA754945F69}"/>
    <cellStyle name="Normal 12 2" xfId="260" xr:uid="{00000000-0005-0000-0000-0000CD0D0000}"/>
    <cellStyle name="Normal 12 2 10" xfId="8890" xr:uid="{1D478C93-D73D-4440-ABAA-F70E0D0C4FB4}"/>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3F1E13BB-628F-46C5-BC03-AC0779D66678}"/>
    <cellStyle name="Normal 12 2 2 2 2 2 3" xfId="11451" xr:uid="{48A760BF-2BA1-40DD-B8F9-259789DFA2C3}"/>
    <cellStyle name="Normal 12 2 2 2 2 3" xfId="5082" xr:uid="{00000000-0005-0000-0000-0000D30D0000}"/>
    <cellStyle name="Normal 12 2 2 2 2 3 2" xfId="13524" xr:uid="{8061AAD9-4F23-49E8-9200-E0C2972CE85C}"/>
    <cellStyle name="Normal 12 2 2 2 2 4" xfId="9306" xr:uid="{6A0D5316-794C-4FA7-B88C-1635AD90C355}"/>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67033B91-A1B6-4CD4-8A41-2F702FE6293E}"/>
    <cellStyle name="Normal 12 2 2 2 3 2 3" xfId="11864" xr:uid="{6F228ED9-25AB-4CA6-991C-30C9E48A9EA9}"/>
    <cellStyle name="Normal 12 2 2 2 3 3" xfId="5495" xr:uid="{00000000-0005-0000-0000-0000D70D0000}"/>
    <cellStyle name="Normal 12 2 2 2 3 3 2" xfId="13937" xr:uid="{18B1BF56-1784-4084-84B7-73ECD52FB616}"/>
    <cellStyle name="Normal 12 2 2 2 3 4" xfId="9719" xr:uid="{8155EC01-E5E2-41DA-8FE1-0CD9979A1B2E}"/>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426E9CCB-9578-45E3-9C8A-74095C363511}"/>
    <cellStyle name="Normal 12 2 2 2 4 2 3" xfId="12277" xr:uid="{1AC7DC23-BC9F-455B-ADB8-52D373194C45}"/>
    <cellStyle name="Normal 12 2 2 2 4 3" xfId="5908" xr:uid="{00000000-0005-0000-0000-0000DB0D0000}"/>
    <cellStyle name="Normal 12 2 2 2 4 3 2" xfId="14350" xr:uid="{7E75780F-27F6-4129-B9E5-B99B7BDA82FF}"/>
    <cellStyle name="Normal 12 2 2 2 4 4" xfId="10132" xr:uid="{2C38B263-227C-48E9-AE57-20589FE43A1D}"/>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35CE3A6E-F325-472B-A4D0-B7C9B0B97160}"/>
    <cellStyle name="Normal 12 2 2 2 5 2 3" xfId="12690" xr:uid="{20C0A80C-113A-479A-ACEF-4AD3457E1CE4}"/>
    <cellStyle name="Normal 12 2 2 2 5 3" xfId="6321" xr:uid="{00000000-0005-0000-0000-0000DF0D0000}"/>
    <cellStyle name="Normal 12 2 2 2 5 3 2" xfId="14763" xr:uid="{13954102-47DC-4E72-85F2-88B97AC9E36E}"/>
    <cellStyle name="Normal 12 2 2 2 5 4" xfId="10545" xr:uid="{7C9C1B3F-42A2-4052-AF0C-EBFE5373CA83}"/>
    <cellStyle name="Normal 12 2 2 2 6" xfId="2450" xr:uid="{00000000-0005-0000-0000-0000E00D0000}"/>
    <cellStyle name="Normal 12 2 2 2 6 2" xfId="6734" xr:uid="{00000000-0005-0000-0000-0000E10D0000}"/>
    <cellStyle name="Normal 12 2 2 2 6 2 2" xfId="15176" xr:uid="{6AD6E142-FA4E-49FD-B4B4-973DF5B0E3F3}"/>
    <cellStyle name="Normal 12 2 2 2 6 3" xfId="10958" xr:uid="{7CEA14D6-C519-47B1-9A1A-8FC22F24421A}"/>
    <cellStyle name="Normal 12 2 2 2 7" xfId="4668" xr:uid="{00000000-0005-0000-0000-0000E20D0000}"/>
    <cellStyle name="Normal 12 2 2 2 7 2" xfId="13110" xr:uid="{41F0DD48-2FDD-4115-9DA0-C75E5B9623F3}"/>
    <cellStyle name="Normal 12 2 2 2 8" xfId="8892" xr:uid="{CDE76238-05D4-45A1-9F73-CF9AF14562C7}"/>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8B6F3D80-06D4-4720-8FF1-7757872CABE4}"/>
    <cellStyle name="Normal 12 2 2 3 2 3" xfId="11450" xr:uid="{823EF310-5812-4A55-B91F-A1825171F551}"/>
    <cellStyle name="Normal 12 2 2 3 3" xfId="5081" xr:uid="{00000000-0005-0000-0000-0000E60D0000}"/>
    <cellStyle name="Normal 12 2 2 3 3 2" xfId="13523" xr:uid="{B8A1BE2B-AB78-4010-96FA-FF59C1B85060}"/>
    <cellStyle name="Normal 12 2 2 3 4" xfId="9305" xr:uid="{C3128605-FF64-4214-8FC5-7E97CF3B8666}"/>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0399ACD5-A529-46F8-9535-41EF59786BBC}"/>
    <cellStyle name="Normal 12 2 2 4 2 3" xfId="11863" xr:uid="{4931BA66-9577-4706-ADA5-E5C787E3AEA1}"/>
    <cellStyle name="Normal 12 2 2 4 3" xfId="5494" xr:uid="{00000000-0005-0000-0000-0000EA0D0000}"/>
    <cellStyle name="Normal 12 2 2 4 3 2" xfId="13936" xr:uid="{58A46E31-1030-41BD-ABE1-EDEF9A11FA5D}"/>
    <cellStyle name="Normal 12 2 2 4 4" xfId="9718" xr:uid="{235FA474-17A4-4994-95A4-3C8C20F697FE}"/>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1B65736B-D20A-4C4E-9A5F-FD2E9FD3971D}"/>
    <cellStyle name="Normal 12 2 2 5 2 3" xfId="12276" xr:uid="{84E5B861-131C-4EDC-B812-1C189CECD5E3}"/>
    <cellStyle name="Normal 12 2 2 5 3" xfId="5907" xr:uid="{00000000-0005-0000-0000-0000EE0D0000}"/>
    <cellStyle name="Normal 12 2 2 5 3 2" xfId="14349" xr:uid="{BEE5840C-5801-4796-A419-C511AF1D28C9}"/>
    <cellStyle name="Normal 12 2 2 5 4" xfId="10131" xr:uid="{1D9765F0-B3C6-44DC-A54E-CEFF44E59395}"/>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1591AD90-B551-467D-AF6D-0382C3F00D22}"/>
    <cellStyle name="Normal 12 2 2 6 2 3" xfId="12689" xr:uid="{88DEFB20-B8FE-4188-8610-3AD46AF3A0E4}"/>
    <cellStyle name="Normal 12 2 2 6 3" xfId="6320" xr:uid="{00000000-0005-0000-0000-0000F20D0000}"/>
    <cellStyle name="Normal 12 2 2 6 3 2" xfId="14762" xr:uid="{D04D4CFA-7888-4CC1-B5BC-E93CFB71802C}"/>
    <cellStyle name="Normal 12 2 2 6 4" xfId="10544" xr:uid="{40B968F3-7129-4741-8BED-DCC4CF654A34}"/>
    <cellStyle name="Normal 12 2 2 7" xfId="2449" xr:uid="{00000000-0005-0000-0000-0000F30D0000}"/>
    <cellStyle name="Normal 12 2 2 7 2" xfId="6733" xr:uid="{00000000-0005-0000-0000-0000F40D0000}"/>
    <cellStyle name="Normal 12 2 2 7 2 2" xfId="15175" xr:uid="{0A8EE769-219D-4103-8D96-B640A64D50D8}"/>
    <cellStyle name="Normal 12 2 2 7 3" xfId="10957" xr:uid="{8634BA5C-1591-42B7-B2E5-5C7676AC5C81}"/>
    <cellStyle name="Normal 12 2 2 8" xfId="4667" xr:uid="{00000000-0005-0000-0000-0000F50D0000}"/>
    <cellStyle name="Normal 12 2 2 8 2" xfId="13109" xr:uid="{0138EA67-3A0F-4869-9202-03DDF8137313}"/>
    <cellStyle name="Normal 12 2 2 9" xfId="8891" xr:uid="{7E589EC7-4DFF-4B11-A5B4-79C558073E9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9FFA8F8A-9C77-408A-9637-726F4F6CF38F}"/>
    <cellStyle name="Normal 12 2 3 2 2 3" xfId="11452" xr:uid="{BE016D6A-0692-4171-BE69-4F4345D582DC}"/>
    <cellStyle name="Normal 12 2 3 2 3" xfId="5083" xr:uid="{00000000-0005-0000-0000-0000FA0D0000}"/>
    <cellStyle name="Normal 12 2 3 2 3 2" xfId="13525" xr:uid="{046E244A-1CCF-4E3C-8C89-B2FB5ED465AD}"/>
    <cellStyle name="Normal 12 2 3 2 4" xfId="9307" xr:uid="{2D9114B7-082F-4C0C-9572-496015C1E022}"/>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86544005-94A3-44A2-B6CE-14713F162494}"/>
    <cellStyle name="Normal 12 2 3 3 2 3" xfId="11865" xr:uid="{48773C2E-5F75-4DD7-A315-9AAD6FEB0312}"/>
    <cellStyle name="Normal 12 2 3 3 3" xfId="5496" xr:uid="{00000000-0005-0000-0000-0000FE0D0000}"/>
    <cellStyle name="Normal 12 2 3 3 3 2" xfId="13938" xr:uid="{81080049-3CDD-4F59-A767-5B4BC6D0E214}"/>
    <cellStyle name="Normal 12 2 3 3 4" xfId="9720" xr:uid="{50B45682-0715-4897-B220-1A3F8D9079D9}"/>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FA58F785-D197-46FC-8BBF-5D8D1A3F03A9}"/>
    <cellStyle name="Normal 12 2 3 4 2 3" xfId="12278" xr:uid="{42112314-7AC8-49AE-B3C6-886A363BCD54}"/>
    <cellStyle name="Normal 12 2 3 4 3" xfId="5909" xr:uid="{00000000-0005-0000-0000-0000020E0000}"/>
    <cellStyle name="Normal 12 2 3 4 3 2" xfId="14351" xr:uid="{E6FAB961-C0B4-4B87-897E-BE16ABDF806F}"/>
    <cellStyle name="Normal 12 2 3 4 4" xfId="10133" xr:uid="{32CFD05E-F169-4856-9CDF-D7C0C8BED23F}"/>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AC065D76-8C00-4DEE-A174-F0044E105F29}"/>
    <cellStyle name="Normal 12 2 3 5 2 3" xfId="12691" xr:uid="{B966087D-25A1-4DB8-8783-62CE1177EC22}"/>
    <cellStyle name="Normal 12 2 3 5 3" xfId="6322" xr:uid="{00000000-0005-0000-0000-0000060E0000}"/>
    <cellStyle name="Normal 12 2 3 5 3 2" xfId="14764" xr:uid="{AA10DA07-0D64-4C16-B834-1B072689C635}"/>
    <cellStyle name="Normal 12 2 3 5 4" xfId="10546" xr:uid="{114B4570-F57E-452B-A40B-C9E78F76D04E}"/>
    <cellStyle name="Normal 12 2 3 6" xfId="2451" xr:uid="{00000000-0005-0000-0000-0000070E0000}"/>
    <cellStyle name="Normal 12 2 3 6 2" xfId="6735" xr:uid="{00000000-0005-0000-0000-0000080E0000}"/>
    <cellStyle name="Normal 12 2 3 6 2 2" xfId="15177" xr:uid="{2D60F7F4-64FC-4D76-A313-1E6F720F8D47}"/>
    <cellStyle name="Normal 12 2 3 6 3" xfId="10959" xr:uid="{34FEA454-3C23-4A8C-8E52-1B297694EC0E}"/>
    <cellStyle name="Normal 12 2 3 7" xfId="4669" xr:uid="{00000000-0005-0000-0000-0000090E0000}"/>
    <cellStyle name="Normal 12 2 3 7 2" xfId="13111" xr:uid="{B441B57D-C2EA-4B3D-AF95-76995313AFD1}"/>
    <cellStyle name="Normal 12 2 3 8" xfId="8893" xr:uid="{BECED05D-9A44-4E9F-BE97-EB982C6E3503}"/>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EB3D5CF1-55FB-4CB9-A4CE-FEE28B908A39}"/>
    <cellStyle name="Normal 12 2 4 2 3" xfId="11449" xr:uid="{C645BDAD-CB07-4953-99CF-F23A936E158C}"/>
    <cellStyle name="Normal 12 2 4 3" xfId="5080" xr:uid="{00000000-0005-0000-0000-00000D0E0000}"/>
    <cellStyle name="Normal 12 2 4 3 2" xfId="13522" xr:uid="{D077D8B4-1DD2-4B55-9E5B-D6590A3C1698}"/>
    <cellStyle name="Normal 12 2 4 4" xfId="9304" xr:uid="{D1794072-C758-4278-976A-8139896AB9D1}"/>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5E9C94AA-001A-49CA-8ABF-E6DA53B72CF8}"/>
    <cellStyle name="Normal 12 2 5 2 3" xfId="11862" xr:uid="{E77067EE-E0E1-4342-A437-2E76F4B38482}"/>
    <cellStyle name="Normal 12 2 5 3" xfId="5493" xr:uid="{00000000-0005-0000-0000-0000110E0000}"/>
    <cellStyle name="Normal 12 2 5 3 2" xfId="13935" xr:uid="{22B3D27A-8472-4372-B94B-DB3C50ED528B}"/>
    <cellStyle name="Normal 12 2 5 4" xfId="9717" xr:uid="{E1D90485-C94E-4AD8-A215-61051A67D12D}"/>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1D756728-0907-432E-B64D-E860D4967449}"/>
    <cellStyle name="Normal 12 2 6 2 3" xfId="12275" xr:uid="{23BA8AC1-9729-45F0-85E2-ECB39EC156D2}"/>
    <cellStyle name="Normal 12 2 6 3" xfId="5906" xr:uid="{00000000-0005-0000-0000-0000150E0000}"/>
    <cellStyle name="Normal 12 2 6 3 2" xfId="14348" xr:uid="{CD2BC4A3-CEA4-4E6C-B978-C5DB7E6495A2}"/>
    <cellStyle name="Normal 12 2 6 4" xfId="10130" xr:uid="{34119490-AE7F-4678-9281-4111DA63B2C8}"/>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67CD0171-963B-4E43-843C-1FEE0CDC5B22}"/>
    <cellStyle name="Normal 12 2 7 2 3" xfId="12688" xr:uid="{6D92E077-D880-436E-9885-1BFBFB2620F4}"/>
    <cellStyle name="Normal 12 2 7 3" xfId="6319" xr:uid="{00000000-0005-0000-0000-0000190E0000}"/>
    <cellStyle name="Normal 12 2 7 3 2" xfId="14761" xr:uid="{2B9A7B99-649F-4B6C-9BA0-46A273D70C67}"/>
    <cellStyle name="Normal 12 2 7 4" xfId="10543" xr:uid="{07B288C7-451C-4959-B129-97CA299902D1}"/>
    <cellStyle name="Normal 12 2 8" xfId="2448" xr:uid="{00000000-0005-0000-0000-00001A0E0000}"/>
    <cellStyle name="Normal 12 2 8 2" xfId="6732" xr:uid="{00000000-0005-0000-0000-00001B0E0000}"/>
    <cellStyle name="Normal 12 2 8 2 2" xfId="15174" xr:uid="{280754E7-AAE4-4BD5-967C-22C2D4DD9095}"/>
    <cellStyle name="Normal 12 2 8 3" xfId="10956" xr:uid="{ABAFDA0D-0E62-4722-AC5D-42967A50BB94}"/>
    <cellStyle name="Normal 12 2 9" xfId="4666" xr:uid="{00000000-0005-0000-0000-00001C0E0000}"/>
    <cellStyle name="Normal 12 2 9 2" xfId="13108" xr:uid="{A8AF5D10-84DE-46EB-9B25-196169435F1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DAAB66BE-25FD-451D-B457-6D8DC0731068}"/>
    <cellStyle name="Normal 12 3 2 2 2 3" xfId="11454" xr:uid="{26A20686-CFE5-4B15-8BD2-982EC142931F}"/>
    <cellStyle name="Normal 12 3 2 2 3" xfId="5085" xr:uid="{00000000-0005-0000-0000-0000220E0000}"/>
    <cellStyle name="Normal 12 3 2 2 3 2" xfId="13527" xr:uid="{924F38CB-1FB2-4D56-A408-8FD27158C315}"/>
    <cellStyle name="Normal 12 3 2 2 4" xfId="9309" xr:uid="{BF63CF90-2381-484F-BC2C-4F92FD4C9CE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FD89C270-7183-4663-8E05-9B3BA2E14FBE}"/>
    <cellStyle name="Normal 12 3 2 3 2 3" xfId="11867" xr:uid="{88CDB14D-0651-47E7-8485-946BEF167CCB}"/>
    <cellStyle name="Normal 12 3 2 3 3" xfId="5498" xr:uid="{00000000-0005-0000-0000-0000260E0000}"/>
    <cellStyle name="Normal 12 3 2 3 3 2" xfId="13940" xr:uid="{56D06A8B-8320-46BC-A808-B8A2B36C5407}"/>
    <cellStyle name="Normal 12 3 2 3 4" xfId="9722" xr:uid="{DB3F72AF-6A8E-4453-B0EC-6CB36A3F5477}"/>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8BF73336-D921-48B8-A436-8E85F666504E}"/>
    <cellStyle name="Normal 12 3 2 4 2 3" xfId="12280" xr:uid="{8D18C91B-952F-4447-9A99-BF5660B8B37E}"/>
    <cellStyle name="Normal 12 3 2 4 3" xfId="5911" xr:uid="{00000000-0005-0000-0000-00002A0E0000}"/>
    <cellStyle name="Normal 12 3 2 4 3 2" xfId="14353" xr:uid="{BE1B8001-FEEC-477B-9D48-684B7816D60C}"/>
    <cellStyle name="Normal 12 3 2 4 4" xfId="10135" xr:uid="{324F9735-0683-44D6-8DC5-03E1DE7F90B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B5B7475B-AD38-466B-95BD-2CDE4EBF95E8}"/>
    <cellStyle name="Normal 12 3 2 5 2 3" xfId="12693" xr:uid="{47CAAAEA-BCA2-4E7B-BD8D-35705A5257CD}"/>
    <cellStyle name="Normal 12 3 2 5 3" xfId="6324" xr:uid="{00000000-0005-0000-0000-00002E0E0000}"/>
    <cellStyle name="Normal 12 3 2 5 3 2" xfId="14766" xr:uid="{329E6642-8943-4361-BD1A-ED240F87986C}"/>
    <cellStyle name="Normal 12 3 2 5 4" xfId="10548" xr:uid="{2B8FA058-1852-465E-B0FB-AEA7712A7362}"/>
    <cellStyle name="Normal 12 3 2 6" xfId="2453" xr:uid="{00000000-0005-0000-0000-00002F0E0000}"/>
    <cellStyle name="Normal 12 3 2 6 2" xfId="6737" xr:uid="{00000000-0005-0000-0000-0000300E0000}"/>
    <cellStyle name="Normal 12 3 2 6 2 2" xfId="15179" xr:uid="{0051CC0B-3EF9-4E0A-BB35-53F98EAF0408}"/>
    <cellStyle name="Normal 12 3 2 6 3" xfId="10961" xr:uid="{FF4670E5-73A6-4DB2-A2BA-719F102F6800}"/>
    <cellStyle name="Normal 12 3 2 7" xfId="4671" xr:uid="{00000000-0005-0000-0000-0000310E0000}"/>
    <cellStyle name="Normal 12 3 2 7 2" xfId="13113" xr:uid="{9F1174C6-9EDF-43C2-807C-65033BBE7823}"/>
    <cellStyle name="Normal 12 3 2 8" xfId="8895" xr:uid="{B097E4DA-A577-4E09-B77B-0D7A392240F6}"/>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24953853-CDD4-4111-AB73-F48CAEE0FC6B}"/>
    <cellStyle name="Normal 12 3 3 2 3" xfId="11453" xr:uid="{61E1A585-2B12-441D-9BCA-7386BA6375F2}"/>
    <cellStyle name="Normal 12 3 3 3" xfId="5084" xr:uid="{00000000-0005-0000-0000-0000350E0000}"/>
    <cellStyle name="Normal 12 3 3 3 2" xfId="13526" xr:uid="{3DE27520-5670-47F0-8BAE-E6A717BB3E3B}"/>
    <cellStyle name="Normal 12 3 3 4" xfId="9308" xr:uid="{E4204452-9198-4D6A-B88F-6E8AA27752CA}"/>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2812F54C-D145-445D-AFB6-759431ED13C4}"/>
    <cellStyle name="Normal 12 3 4 2 3" xfId="11866" xr:uid="{419013DA-C5E1-46D2-A135-477A02482E4B}"/>
    <cellStyle name="Normal 12 3 4 3" xfId="5497" xr:uid="{00000000-0005-0000-0000-0000390E0000}"/>
    <cellStyle name="Normal 12 3 4 3 2" xfId="13939" xr:uid="{09EB2312-E306-431B-A18A-EE12B8C851AF}"/>
    <cellStyle name="Normal 12 3 4 4" xfId="9721" xr:uid="{CF78B558-B6E2-4377-BB6C-468A7E16C278}"/>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0A6795B3-1CE8-4590-844B-93F7E3BF44F8}"/>
    <cellStyle name="Normal 12 3 5 2 3" xfId="12279" xr:uid="{06FA8C69-6042-47A0-973A-E4FBEEF409EB}"/>
    <cellStyle name="Normal 12 3 5 3" xfId="5910" xr:uid="{00000000-0005-0000-0000-00003D0E0000}"/>
    <cellStyle name="Normal 12 3 5 3 2" xfId="14352" xr:uid="{9D8A6495-1253-4541-9C30-4D6F26CA9F8E}"/>
    <cellStyle name="Normal 12 3 5 4" xfId="10134" xr:uid="{C701448D-AF05-4339-A631-A4DCFD7BE4CB}"/>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53E1EEED-40BE-4563-9AB0-C5906B56A10E}"/>
    <cellStyle name="Normal 12 3 6 2 3" xfId="12692" xr:uid="{01C2C68E-C511-4C57-9BEA-23BB9CD3AB06}"/>
    <cellStyle name="Normal 12 3 6 3" xfId="6323" xr:uid="{00000000-0005-0000-0000-0000410E0000}"/>
    <cellStyle name="Normal 12 3 6 3 2" xfId="14765" xr:uid="{93E3919C-00CD-4F34-9276-BA9EBC7BE87A}"/>
    <cellStyle name="Normal 12 3 6 4" xfId="10547" xr:uid="{198AED66-EDAE-4C05-B962-8D007C2B02FF}"/>
    <cellStyle name="Normal 12 3 7" xfId="2452" xr:uid="{00000000-0005-0000-0000-0000420E0000}"/>
    <cellStyle name="Normal 12 3 7 2" xfId="6736" xr:uid="{00000000-0005-0000-0000-0000430E0000}"/>
    <cellStyle name="Normal 12 3 7 2 2" xfId="15178" xr:uid="{69DA3B44-BCD2-4F92-B690-C2A6CC0FAA9A}"/>
    <cellStyle name="Normal 12 3 7 3" xfId="10960" xr:uid="{F8443EFF-8F86-49FF-B641-FF627092509D}"/>
    <cellStyle name="Normal 12 3 8" xfId="4670" xr:uid="{00000000-0005-0000-0000-0000440E0000}"/>
    <cellStyle name="Normal 12 3 8 2" xfId="13112" xr:uid="{8CD8B8B1-8A31-4C60-A227-88DE26639BC1}"/>
    <cellStyle name="Normal 12 3 9" xfId="8894" xr:uid="{C830AD86-0847-4721-AD61-B5825C6B81C7}"/>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092D06C0-83D0-48E8-B03C-3123680B4D2A}"/>
    <cellStyle name="Normal 12 4 2 2 3" xfId="11455" xr:uid="{FF3E9178-C1F9-4A9D-A663-D20AAD460AFA}"/>
    <cellStyle name="Normal 12 4 2 3" xfId="5086" xr:uid="{00000000-0005-0000-0000-0000490E0000}"/>
    <cellStyle name="Normal 12 4 2 3 2" xfId="13528" xr:uid="{507341E8-86BE-496E-9349-7122A8BE50A0}"/>
    <cellStyle name="Normal 12 4 2 4" xfId="9310" xr:uid="{6393A33D-739C-4B3A-8CE3-897A869F0226}"/>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F85C83F2-502C-4807-8E67-A551E8B8435A}"/>
    <cellStyle name="Normal 12 4 3 2 3" xfId="11868" xr:uid="{6927A34F-E441-4DA3-8590-2ED07EAC40DD}"/>
    <cellStyle name="Normal 12 4 3 3" xfId="5499" xr:uid="{00000000-0005-0000-0000-00004D0E0000}"/>
    <cellStyle name="Normal 12 4 3 3 2" xfId="13941" xr:uid="{8981D818-4067-47B1-B697-0028BB86DC59}"/>
    <cellStyle name="Normal 12 4 3 4" xfId="9723" xr:uid="{B47F04FD-28D6-4F4C-AD95-E0A2322BE8D8}"/>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5165533E-7537-47F6-BF9A-6F28E77FB770}"/>
    <cellStyle name="Normal 12 4 4 2 3" xfId="12281" xr:uid="{11E8C2F3-FFE9-4CE0-B9C9-D654F146A175}"/>
    <cellStyle name="Normal 12 4 4 3" xfId="5912" xr:uid="{00000000-0005-0000-0000-0000510E0000}"/>
    <cellStyle name="Normal 12 4 4 3 2" xfId="14354" xr:uid="{11653DF7-A99F-44CE-A8DB-D40571F394C0}"/>
    <cellStyle name="Normal 12 4 4 4" xfId="10136" xr:uid="{009EA9B8-E1DA-4B76-9156-04DDE61DEE5C}"/>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35EEA512-1E4B-4353-81BA-A790FC725D59}"/>
    <cellStyle name="Normal 12 4 5 2 3" xfId="12694" xr:uid="{5DB464DD-6992-4E10-B877-BDAA32B0C9AF}"/>
    <cellStyle name="Normal 12 4 5 3" xfId="6325" xr:uid="{00000000-0005-0000-0000-0000550E0000}"/>
    <cellStyle name="Normal 12 4 5 3 2" xfId="14767" xr:uid="{F52CEAB1-6428-46F3-B02C-F3AFA2DB3689}"/>
    <cellStyle name="Normal 12 4 5 4" xfId="10549" xr:uid="{F06C9F5B-8B2D-45B4-9539-8FE0D8A7C6CF}"/>
    <cellStyle name="Normal 12 4 6" xfId="2454" xr:uid="{00000000-0005-0000-0000-0000560E0000}"/>
    <cellStyle name="Normal 12 4 6 2" xfId="6738" xr:uid="{00000000-0005-0000-0000-0000570E0000}"/>
    <cellStyle name="Normal 12 4 6 2 2" xfId="15180" xr:uid="{448C335C-BEEB-4464-9CED-F7ADD61E985B}"/>
    <cellStyle name="Normal 12 4 6 3" xfId="10962" xr:uid="{C2B3D746-CA9C-4A27-B64D-D668FC59A2CB}"/>
    <cellStyle name="Normal 12 4 7" xfId="4672" xr:uid="{00000000-0005-0000-0000-0000580E0000}"/>
    <cellStyle name="Normal 12 4 7 2" xfId="13114" xr:uid="{74082BAA-E63D-4836-8928-2A176D9B073B}"/>
    <cellStyle name="Normal 12 4 8" xfId="8896" xr:uid="{FAEFCC29-FE4D-462A-B452-FBB838C18006}"/>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E3F912AF-67AD-468F-92F8-E8225AC7D560}"/>
    <cellStyle name="Normal 12 6 2 3" xfId="11448" xr:uid="{8604643A-B4C2-48C2-9ACE-EEC7C8AF53B2}"/>
    <cellStyle name="Normal 12 6 3" xfId="5079" xr:uid="{00000000-0005-0000-0000-00005D0E0000}"/>
    <cellStyle name="Normal 12 6 3 2" xfId="13521" xr:uid="{04C11E19-41C0-497F-BCA6-D4714F22E9A5}"/>
    <cellStyle name="Normal 12 6 4" xfId="9303" xr:uid="{0238D829-21C5-4E72-A2A6-8694AC401645}"/>
    <cellStyle name="Normal 12 7" xfId="1183" xr:uid="{00000000-0005-0000-0000-00005E0E0000}"/>
    <cellStyle name="Normal 12 7 2" xfId="3414" xr:uid="{00000000-0005-0000-0000-00005F0E0000}"/>
    <cellStyle name="Normal 12 7 2 2" xfId="7637" xr:uid="{00000000-0005-0000-0000-0000600E0000}"/>
    <cellStyle name="Normal 12 7 2 2 2" xfId="16079" xr:uid="{04DEC071-C77B-45FA-B2E5-6B09F061B407}"/>
    <cellStyle name="Normal 12 7 2 3" xfId="11861" xr:uid="{5843C6ED-E81D-4EC4-B211-E758889FB470}"/>
    <cellStyle name="Normal 12 7 3" xfId="5492" xr:uid="{00000000-0005-0000-0000-0000610E0000}"/>
    <cellStyle name="Normal 12 7 3 2" xfId="13934" xr:uid="{DF70B507-B434-42D9-9633-E6EAF8B66F29}"/>
    <cellStyle name="Normal 12 7 4" xfId="9716" xr:uid="{B98F509B-E211-4E15-BD0A-0248E6CE6ABF}"/>
    <cellStyle name="Normal 12 8" xfId="1597" xr:uid="{00000000-0005-0000-0000-0000620E0000}"/>
    <cellStyle name="Normal 12 8 2" xfId="3827" xr:uid="{00000000-0005-0000-0000-0000630E0000}"/>
    <cellStyle name="Normal 12 8 2 2" xfId="8050" xr:uid="{00000000-0005-0000-0000-0000640E0000}"/>
    <cellStyle name="Normal 12 8 2 2 2" xfId="16492" xr:uid="{7E3AE248-46CE-4D5F-9373-D20EF414ADFB}"/>
    <cellStyle name="Normal 12 8 2 3" xfId="12274" xr:uid="{CD6B35DF-A4F8-4652-AE73-7DD910A9273B}"/>
    <cellStyle name="Normal 12 8 3" xfId="5905" xr:uid="{00000000-0005-0000-0000-0000650E0000}"/>
    <cellStyle name="Normal 12 8 3 2" xfId="14347" xr:uid="{12C17EA5-EC85-4FC4-A353-4F4E3CE0465C}"/>
    <cellStyle name="Normal 12 8 4" xfId="10129" xr:uid="{ADC0B62A-41E6-4935-BC35-8982D5371B67}"/>
    <cellStyle name="Normal 12 9" xfId="2011" xr:uid="{00000000-0005-0000-0000-0000660E0000}"/>
    <cellStyle name="Normal 12 9 2" xfId="4240" xr:uid="{00000000-0005-0000-0000-0000670E0000}"/>
    <cellStyle name="Normal 12 9 2 2" xfId="8463" xr:uid="{00000000-0005-0000-0000-0000680E0000}"/>
    <cellStyle name="Normal 12 9 2 2 2" xfId="16905" xr:uid="{E2FCFD8C-4789-49CE-BB19-AABBE53F9CFF}"/>
    <cellStyle name="Normal 12 9 2 3" xfId="12687" xr:uid="{6CDF5CA7-EB27-47BA-873B-B8D2B32960F0}"/>
    <cellStyle name="Normal 12 9 3" xfId="6318" xr:uid="{00000000-0005-0000-0000-0000690E0000}"/>
    <cellStyle name="Normal 12 9 3 2" xfId="14760" xr:uid="{70F0963B-910C-4F56-9245-1DEAAABDFE92}"/>
    <cellStyle name="Normal 12 9 4" xfId="10542" xr:uid="{5578ADDD-BF3F-4B62-B522-F3F4469C575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B27076B3-D90A-4CBE-94A4-7DE71DACCA04}"/>
    <cellStyle name="Normal 14 2 2 3" xfId="11456" xr:uid="{7F5CB6AB-C485-49D7-9AEA-C23708A62F67}"/>
    <cellStyle name="Normal 14 2 3" xfId="5087" xr:uid="{00000000-0005-0000-0000-0000700E0000}"/>
    <cellStyle name="Normal 14 2 3 2" xfId="13529" xr:uid="{54AD7761-9ACD-4A55-94DC-A7E0B8D1DE51}"/>
    <cellStyle name="Normal 14 2 4" xfId="9311" xr:uid="{F126618D-3056-4C59-97AF-04ED6A2A3881}"/>
    <cellStyle name="Normal 14 3" xfId="1191" xr:uid="{00000000-0005-0000-0000-0000710E0000}"/>
    <cellStyle name="Normal 14 3 2" xfId="3422" xr:uid="{00000000-0005-0000-0000-0000720E0000}"/>
    <cellStyle name="Normal 14 3 2 2" xfId="7645" xr:uid="{00000000-0005-0000-0000-0000730E0000}"/>
    <cellStyle name="Normal 14 3 2 2 2" xfId="16087" xr:uid="{6F712C94-5E9E-4351-AAA5-82E58F122121}"/>
    <cellStyle name="Normal 14 3 2 3" xfId="11869" xr:uid="{4518B85D-7AC7-4CC3-9684-56A6580E08EC}"/>
    <cellStyle name="Normal 14 3 3" xfId="5500" xr:uid="{00000000-0005-0000-0000-0000740E0000}"/>
    <cellStyle name="Normal 14 3 3 2" xfId="13942" xr:uid="{E5A789B5-782F-42C7-BB51-D25EA681145D}"/>
    <cellStyle name="Normal 14 3 4" xfId="9724" xr:uid="{DFCF7A6B-30BA-453C-9DC3-5FD374A6CCA6}"/>
    <cellStyle name="Normal 14 4" xfId="1605" xr:uid="{00000000-0005-0000-0000-0000750E0000}"/>
    <cellStyle name="Normal 14 4 2" xfId="3835" xr:uid="{00000000-0005-0000-0000-0000760E0000}"/>
    <cellStyle name="Normal 14 4 2 2" xfId="8058" xr:uid="{00000000-0005-0000-0000-0000770E0000}"/>
    <cellStyle name="Normal 14 4 2 2 2" xfId="16500" xr:uid="{313DD69D-B20F-491E-8AB0-71C197C77AFB}"/>
    <cellStyle name="Normal 14 4 2 3" xfId="12282" xr:uid="{9D024DC4-C1EE-49CA-A07D-CD78C2B817E1}"/>
    <cellStyle name="Normal 14 4 3" xfId="5913" xr:uid="{00000000-0005-0000-0000-0000780E0000}"/>
    <cellStyle name="Normal 14 4 3 2" xfId="14355" xr:uid="{43DCB5C0-C0D5-475B-8261-75981B3FEF22}"/>
    <cellStyle name="Normal 14 4 4" xfId="10137" xr:uid="{48EB98EB-ED01-4F57-BCA4-5745C347C9D4}"/>
    <cellStyle name="Normal 14 5" xfId="2019" xr:uid="{00000000-0005-0000-0000-0000790E0000}"/>
    <cellStyle name="Normal 14 5 2" xfId="4248" xr:uid="{00000000-0005-0000-0000-00007A0E0000}"/>
    <cellStyle name="Normal 14 5 2 2" xfId="8471" xr:uid="{00000000-0005-0000-0000-00007B0E0000}"/>
    <cellStyle name="Normal 14 5 2 2 2" xfId="16913" xr:uid="{E93087AB-C263-493A-BCC5-EBA3C24C2858}"/>
    <cellStyle name="Normal 14 5 2 3" xfId="12695" xr:uid="{72F5D4CE-FD95-4C09-B7E1-7D7FABD6764E}"/>
    <cellStyle name="Normal 14 5 3" xfId="6326" xr:uid="{00000000-0005-0000-0000-00007C0E0000}"/>
    <cellStyle name="Normal 14 5 3 2" xfId="14768" xr:uid="{C57CCFAF-4A66-47F8-85A3-775E51ACFA1A}"/>
    <cellStyle name="Normal 14 5 4" xfId="10550" xr:uid="{CCE05C17-7B2A-490B-BB67-33F08B5E6D19}"/>
    <cellStyle name="Normal 14 6" xfId="2455" xr:uid="{00000000-0005-0000-0000-00007D0E0000}"/>
    <cellStyle name="Normal 14 6 2" xfId="6739" xr:uid="{00000000-0005-0000-0000-00007E0E0000}"/>
    <cellStyle name="Normal 14 6 2 2" xfId="15181" xr:uid="{128AE8E3-0501-47CA-ABCC-1F6594D17D72}"/>
    <cellStyle name="Normal 14 6 3" xfId="10963" xr:uid="{B2207A80-2907-479F-B18B-4EFF3DA999C2}"/>
    <cellStyle name="Normal 14 7" xfId="4673" xr:uid="{00000000-0005-0000-0000-00007F0E0000}"/>
    <cellStyle name="Normal 14 7 2" xfId="13115" xr:uid="{3364B83B-74B7-4AF8-B6DD-3DC9316FF69C}"/>
    <cellStyle name="Normal 14 8" xfId="8897" xr:uid="{0D0AEBDA-E1A2-4440-A557-4445140A93A0}"/>
    <cellStyle name="Normal 15" xfId="4496" xr:uid="{00000000-0005-0000-0000-0000800E0000}"/>
    <cellStyle name="Normal 15 2" xfId="12941" xr:uid="{47977DC1-7E8E-4459-A599-4FFD1ADDACD5}"/>
    <cellStyle name="Normal 16" xfId="4500" xr:uid="{00000000-0005-0000-0000-0000810E0000}"/>
    <cellStyle name="Normal 16 2" xfId="8716" xr:uid="{00000000-0005-0000-0000-0000820E0000}"/>
    <cellStyle name="Normal 16 2 2" xfId="17158" xr:uid="{127A7B6D-C584-4D69-95F6-B24E987B67E5}"/>
    <cellStyle name="Normal 16 3" xfId="8719" xr:uid="{3DE1BEEB-61FA-4094-B10F-9E0444F68763}"/>
    <cellStyle name="Normal 16 3 2" xfId="8723" xr:uid="{FE0BC069-4698-40B2-814D-8E09719245E9}"/>
    <cellStyle name="Normal 16 3 2 2" xfId="8726" xr:uid="{D3E9609F-293A-4CFC-B194-1FF2F92D621D}"/>
    <cellStyle name="Normal 16 3 2 3" xfId="17164" xr:uid="{16D0EFC3-C96C-46BB-8E94-15CA35312F2F}"/>
    <cellStyle name="Normal 16 3 3" xfId="17161" xr:uid="{3CBD7CC0-98CF-4D2D-A058-0D565E4D2A8B}"/>
    <cellStyle name="Normal 16 4" xfId="12944" xr:uid="{662CC95B-CEFC-41B1-804B-45CC56AA51B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8A83E7FB-19E6-45E6-B7FB-7173576C9D33}"/>
    <cellStyle name="Normal 2 4 2 10 2 3" xfId="12696" xr:uid="{8CB1BC56-8CD9-457B-B4A7-B5AD3D6E7E28}"/>
    <cellStyle name="Normal 2 4 2 10 3" xfId="6327" xr:uid="{00000000-0005-0000-0000-0000910E0000}"/>
    <cellStyle name="Normal 2 4 2 10 3 2" xfId="14769" xr:uid="{0526D504-649B-43E0-8E89-0D8C1E13E01F}"/>
    <cellStyle name="Normal 2 4 2 10 4" xfId="10551" xr:uid="{15B28D9B-8AE8-41D2-A39E-2C7B02EC14AA}"/>
    <cellStyle name="Normal 2 4 2 11" xfId="2456" xr:uid="{00000000-0005-0000-0000-0000920E0000}"/>
    <cellStyle name="Normal 2 4 2 11 2" xfId="6740" xr:uid="{00000000-0005-0000-0000-0000930E0000}"/>
    <cellStyle name="Normal 2 4 2 11 2 2" xfId="15182" xr:uid="{5EF90E87-8F29-4E6E-80CF-B7DEE61F554F}"/>
    <cellStyle name="Normal 2 4 2 11 3" xfId="10964" xr:uid="{3C4E8B4B-02B1-4272-82F7-CDEB6DC7C9B2}"/>
    <cellStyle name="Normal 2 4 2 12" xfId="4674" xr:uid="{00000000-0005-0000-0000-0000940E0000}"/>
    <cellStyle name="Normal 2 4 2 12 2" xfId="13116" xr:uid="{8252101A-6DD8-46E4-A0DB-5BCD77CF98F7}"/>
    <cellStyle name="Normal 2 4 2 13" xfId="8898" xr:uid="{9406AFE2-EECD-4016-8ABC-808DA0EB68B6}"/>
    <cellStyle name="Normal 2 4 2 2" xfId="280" xr:uid="{00000000-0005-0000-0000-0000950E0000}"/>
    <cellStyle name="Normal 2 4 2 3" xfId="281" xr:uid="{00000000-0005-0000-0000-0000960E0000}"/>
    <cellStyle name="Normal 2 4 2 3 10" xfId="4675" xr:uid="{00000000-0005-0000-0000-0000970E0000}"/>
    <cellStyle name="Normal 2 4 2 3 10 2" xfId="13117" xr:uid="{344666AD-D77E-481D-8766-015BF34FC2A8}"/>
    <cellStyle name="Normal 2 4 2 3 11" xfId="8899" xr:uid="{655FC4F7-3750-4335-A6E1-D14EBACDE1C2}"/>
    <cellStyle name="Normal 2 4 2 3 2" xfId="282" xr:uid="{00000000-0005-0000-0000-0000980E0000}"/>
    <cellStyle name="Normal 2 4 2 3 2 10" xfId="8900" xr:uid="{CDDE22A5-339F-4751-9FE8-1B6196293F25}"/>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8132B50B-B8CE-4464-B3ED-A1DAB0BE4D48}"/>
    <cellStyle name="Normal 2 4 2 3 2 2 2 2 2 3" xfId="11461" xr:uid="{171E804D-DE22-48A5-9323-7AF110237188}"/>
    <cellStyle name="Normal 2 4 2 3 2 2 2 2 3" xfId="5092" xr:uid="{00000000-0005-0000-0000-00009E0E0000}"/>
    <cellStyle name="Normal 2 4 2 3 2 2 2 2 3 2" xfId="13534" xr:uid="{2C0A0D4A-281E-446A-B46A-601D3CE3ACBA}"/>
    <cellStyle name="Normal 2 4 2 3 2 2 2 2 4" xfId="9316" xr:uid="{B8C01F2D-9AA4-40EF-A601-F028CC63D6F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136C79BA-5D58-4751-8098-6E745E5B7443}"/>
    <cellStyle name="Normal 2 4 2 3 2 2 2 3 2 3" xfId="11874" xr:uid="{E8E87722-30D7-4AFA-98DF-96A5FCBF5298}"/>
    <cellStyle name="Normal 2 4 2 3 2 2 2 3 3" xfId="5505" xr:uid="{00000000-0005-0000-0000-0000A20E0000}"/>
    <cellStyle name="Normal 2 4 2 3 2 2 2 3 3 2" xfId="13947" xr:uid="{9820A3E5-6BA1-4B6B-9FDF-A614254B665B}"/>
    <cellStyle name="Normal 2 4 2 3 2 2 2 3 4" xfId="9729" xr:uid="{A862F3BB-EBF6-4807-8768-C2A82EC30119}"/>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739DEDC6-F5CD-4D7E-B0D8-53BD8BFEB7A7}"/>
    <cellStyle name="Normal 2 4 2 3 2 2 2 4 2 3" xfId="12287" xr:uid="{E9D27285-5C60-41CF-B09B-DFA25114F88E}"/>
    <cellStyle name="Normal 2 4 2 3 2 2 2 4 3" xfId="5918" xr:uid="{00000000-0005-0000-0000-0000A60E0000}"/>
    <cellStyle name="Normal 2 4 2 3 2 2 2 4 3 2" xfId="14360" xr:uid="{C735172F-7FA6-42B0-89E3-806D75B43676}"/>
    <cellStyle name="Normal 2 4 2 3 2 2 2 4 4" xfId="10142" xr:uid="{A0C98AD2-5050-4F3C-A84B-210D803FE12B}"/>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27160F15-2998-4CD5-9B5A-0EA56BBBEE44}"/>
    <cellStyle name="Normal 2 4 2 3 2 2 2 5 2 3" xfId="12700" xr:uid="{E396C742-4C66-46D9-90C0-FD3670C5FE35}"/>
    <cellStyle name="Normal 2 4 2 3 2 2 2 5 3" xfId="6331" xr:uid="{00000000-0005-0000-0000-0000AA0E0000}"/>
    <cellStyle name="Normal 2 4 2 3 2 2 2 5 3 2" xfId="14773" xr:uid="{FDDC3017-54AF-4B60-B7D3-D7B1C7C0512B}"/>
    <cellStyle name="Normal 2 4 2 3 2 2 2 5 4" xfId="10555" xr:uid="{4D0E5C6A-796A-42CA-946C-6DCFED0690E3}"/>
    <cellStyle name="Normal 2 4 2 3 2 2 2 6" xfId="2460" xr:uid="{00000000-0005-0000-0000-0000AB0E0000}"/>
    <cellStyle name="Normal 2 4 2 3 2 2 2 6 2" xfId="6744" xr:uid="{00000000-0005-0000-0000-0000AC0E0000}"/>
    <cellStyle name="Normal 2 4 2 3 2 2 2 6 2 2" xfId="15186" xr:uid="{8F3BF362-A007-42D7-ABFA-D1CDD026EC04}"/>
    <cellStyle name="Normal 2 4 2 3 2 2 2 6 3" xfId="10968" xr:uid="{658055F9-88A0-498C-9EE1-470C0859D737}"/>
    <cellStyle name="Normal 2 4 2 3 2 2 2 7" xfId="4678" xr:uid="{00000000-0005-0000-0000-0000AD0E0000}"/>
    <cellStyle name="Normal 2 4 2 3 2 2 2 7 2" xfId="13120" xr:uid="{BE36266C-A5F3-4EB6-92AB-3C9551848825}"/>
    <cellStyle name="Normal 2 4 2 3 2 2 2 8" xfId="8902" xr:uid="{D795D39F-0184-4113-8840-3DD140951A7C}"/>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9D25AF4F-7E2E-45CE-9573-D4F71A321462}"/>
    <cellStyle name="Normal 2 4 2 3 2 2 3 2 3" xfId="11460" xr:uid="{F8A9BEFF-5360-4EE8-9E79-AAC920089EF9}"/>
    <cellStyle name="Normal 2 4 2 3 2 2 3 3" xfId="5091" xr:uid="{00000000-0005-0000-0000-0000B10E0000}"/>
    <cellStyle name="Normal 2 4 2 3 2 2 3 3 2" xfId="13533" xr:uid="{912F618D-F05F-414E-AC86-4200DE6C60EC}"/>
    <cellStyle name="Normal 2 4 2 3 2 2 3 4" xfId="9315" xr:uid="{807B43F3-FE21-401E-84C2-3F312C4BE13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CD059AE0-14AB-47FB-BDCC-F94C32581E49}"/>
    <cellStyle name="Normal 2 4 2 3 2 2 4 2 3" xfId="11873" xr:uid="{B4E5F90E-7B6F-40F4-8AFF-6358E3AA67A9}"/>
    <cellStyle name="Normal 2 4 2 3 2 2 4 3" xfId="5504" xr:uid="{00000000-0005-0000-0000-0000B50E0000}"/>
    <cellStyle name="Normal 2 4 2 3 2 2 4 3 2" xfId="13946" xr:uid="{55042182-F974-4438-9A26-5DF4D60C4CF0}"/>
    <cellStyle name="Normal 2 4 2 3 2 2 4 4" xfId="9728" xr:uid="{53ACAEC6-DA5C-4B46-A8AD-1237C61272E4}"/>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7D5BA938-2DD8-4D7F-8162-918BC086CCB3}"/>
    <cellStyle name="Normal 2 4 2 3 2 2 5 2 3" xfId="12286" xr:uid="{3315575E-29F6-457C-B906-C5F58E0B8145}"/>
    <cellStyle name="Normal 2 4 2 3 2 2 5 3" xfId="5917" xr:uid="{00000000-0005-0000-0000-0000B90E0000}"/>
    <cellStyle name="Normal 2 4 2 3 2 2 5 3 2" xfId="14359" xr:uid="{5DF0D676-B5E7-4637-BD40-8E305A963ACB}"/>
    <cellStyle name="Normal 2 4 2 3 2 2 5 4" xfId="10141" xr:uid="{10DC94B6-ABB1-4873-8342-41904B1379D5}"/>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671DE2A5-0EB1-41B3-AF1B-76BAEA2AA01A}"/>
    <cellStyle name="Normal 2 4 2 3 2 2 6 2 3" xfId="12699" xr:uid="{EBCD048E-35D4-4BB6-A94C-8CD945EFB022}"/>
    <cellStyle name="Normal 2 4 2 3 2 2 6 3" xfId="6330" xr:uid="{00000000-0005-0000-0000-0000BD0E0000}"/>
    <cellStyle name="Normal 2 4 2 3 2 2 6 3 2" xfId="14772" xr:uid="{E1729D45-422E-482B-8596-EAC15B1B8F46}"/>
    <cellStyle name="Normal 2 4 2 3 2 2 6 4" xfId="10554" xr:uid="{EF6B5FF3-ACF2-4033-8BD4-253DB8CF5B4F}"/>
    <cellStyle name="Normal 2 4 2 3 2 2 7" xfId="2459" xr:uid="{00000000-0005-0000-0000-0000BE0E0000}"/>
    <cellStyle name="Normal 2 4 2 3 2 2 7 2" xfId="6743" xr:uid="{00000000-0005-0000-0000-0000BF0E0000}"/>
    <cellStyle name="Normal 2 4 2 3 2 2 7 2 2" xfId="15185" xr:uid="{6B056151-FCF3-4BA5-B9AF-1D444D1F0EFD}"/>
    <cellStyle name="Normal 2 4 2 3 2 2 7 3" xfId="10967" xr:uid="{2803001C-67A5-4B2F-8963-5D143805C633}"/>
    <cellStyle name="Normal 2 4 2 3 2 2 8" xfId="4677" xr:uid="{00000000-0005-0000-0000-0000C00E0000}"/>
    <cellStyle name="Normal 2 4 2 3 2 2 8 2" xfId="13119" xr:uid="{BD685CB0-04EB-4EDF-9FC2-8ABAE1856E63}"/>
    <cellStyle name="Normal 2 4 2 3 2 2 9" xfId="8901" xr:uid="{8D451D67-287F-435C-BEDB-BEDB4EFA6F32}"/>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1A8E1ECB-EB89-42A1-BDF2-1001C8720270}"/>
    <cellStyle name="Normal 2 4 2 3 2 3 2 2 3" xfId="11462" xr:uid="{DE94E7CE-5709-46CA-A958-1D75A6D89A00}"/>
    <cellStyle name="Normal 2 4 2 3 2 3 2 3" xfId="5093" xr:uid="{00000000-0005-0000-0000-0000C50E0000}"/>
    <cellStyle name="Normal 2 4 2 3 2 3 2 3 2" xfId="13535" xr:uid="{81FA3F3A-9783-47D2-A5C1-86D300B0FDA6}"/>
    <cellStyle name="Normal 2 4 2 3 2 3 2 4" xfId="9317" xr:uid="{D841D0DA-7DBF-465C-AE71-0C183A1A1F03}"/>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484A5404-3773-4C4E-AEBB-02AF2524B534}"/>
    <cellStyle name="Normal 2 4 2 3 2 3 3 2 3" xfId="11875" xr:uid="{82B10701-FD48-497E-B3A1-3A63E6FE9632}"/>
    <cellStyle name="Normal 2 4 2 3 2 3 3 3" xfId="5506" xr:uid="{00000000-0005-0000-0000-0000C90E0000}"/>
    <cellStyle name="Normal 2 4 2 3 2 3 3 3 2" xfId="13948" xr:uid="{FC982252-5279-48A6-81B7-900EB163A8BC}"/>
    <cellStyle name="Normal 2 4 2 3 2 3 3 4" xfId="9730" xr:uid="{9E8EB49D-8CA4-4F79-9FAA-23406F647DB7}"/>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C624D2F7-25E0-4B50-9558-7BAE887B8F42}"/>
    <cellStyle name="Normal 2 4 2 3 2 3 4 2 3" xfId="12288" xr:uid="{A95F3B60-AE96-4B21-B528-BE24F378F65A}"/>
    <cellStyle name="Normal 2 4 2 3 2 3 4 3" xfId="5919" xr:uid="{00000000-0005-0000-0000-0000CD0E0000}"/>
    <cellStyle name="Normal 2 4 2 3 2 3 4 3 2" xfId="14361" xr:uid="{4352EA3F-47F9-4E0D-AAF6-0455EF94CD4D}"/>
    <cellStyle name="Normal 2 4 2 3 2 3 4 4" xfId="10143" xr:uid="{DB4E305B-9E5B-4B6C-9820-E8DFAF71C4C6}"/>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4F0EC089-CB65-4B4A-BAE8-6FDEE30FA9F0}"/>
    <cellStyle name="Normal 2 4 2 3 2 3 5 2 3" xfId="12701" xr:uid="{6FC4CCE7-650D-4DE5-AEA8-F6D296EDAE44}"/>
    <cellStyle name="Normal 2 4 2 3 2 3 5 3" xfId="6332" xr:uid="{00000000-0005-0000-0000-0000D10E0000}"/>
    <cellStyle name="Normal 2 4 2 3 2 3 5 3 2" xfId="14774" xr:uid="{47FC9691-626D-48EE-8403-67CC2A5D8F9D}"/>
    <cellStyle name="Normal 2 4 2 3 2 3 5 4" xfId="10556" xr:uid="{C9856983-C2F4-45EC-998F-DE218764E94B}"/>
    <cellStyle name="Normal 2 4 2 3 2 3 6" xfId="2461" xr:uid="{00000000-0005-0000-0000-0000D20E0000}"/>
    <cellStyle name="Normal 2 4 2 3 2 3 6 2" xfId="6745" xr:uid="{00000000-0005-0000-0000-0000D30E0000}"/>
    <cellStyle name="Normal 2 4 2 3 2 3 6 2 2" xfId="15187" xr:uid="{84E5656B-A81E-4A45-B7BC-05B150DD0492}"/>
    <cellStyle name="Normal 2 4 2 3 2 3 6 3" xfId="10969" xr:uid="{055A639C-4C0E-489D-99CD-69D9AEA2EB62}"/>
    <cellStyle name="Normal 2 4 2 3 2 3 7" xfId="4679" xr:uid="{00000000-0005-0000-0000-0000D40E0000}"/>
    <cellStyle name="Normal 2 4 2 3 2 3 7 2" xfId="13121" xr:uid="{DE84BB73-474A-439C-9DC4-C520C923EAA8}"/>
    <cellStyle name="Normal 2 4 2 3 2 3 8" xfId="8903" xr:uid="{14178E10-4805-40D3-83E1-4C50A16BBB89}"/>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007F6F7B-A0C8-4360-B1CF-D6976D1AC49B}"/>
    <cellStyle name="Normal 2 4 2 3 2 4 2 3" xfId="11459" xr:uid="{6891D84C-FCBC-4D59-B6EC-3DA863CA3304}"/>
    <cellStyle name="Normal 2 4 2 3 2 4 3" xfId="5090" xr:uid="{00000000-0005-0000-0000-0000D80E0000}"/>
    <cellStyle name="Normal 2 4 2 3 2 4 3 2" xfId="13532" xr:uid="{3E6B31E9-6FE7-4EA6-B863-046FA999B7E7}"/>
    <cellStyle name="Normal 2 4 2 3 2 4 4" xfId="9314" xr:uid="{862B6759-CD2E-4D52-B1D8-B3E58F4D6831}"/>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6B877CCF-AD8C-4CEF-9BFD-3D53C90E84E2}"/>
    <cellStyle name="Normal 2 4 2 3 2 5 2 3" xfId="11872" xr:uid="{6F63E3B6-2333-4744-81CE-041A4BE9DFE8}"/>
    <cellStyle name="Normal 2 4 2 3 2 5 3" xfId="5503" xr:uid="{00000000-0005-0000-0000-0000DC0E0000}"/>
    <cellStyle name="Normal 2 4 2 3 2 5 3 2" xfId="13945" xr:uid="{9979D1C5-D83D-4B40-807C-EF543E8CC08D}"/>
    <cellStyle name="Normal 2 4 2 3 2 5 4" xfId="9727" xr:uid="{D9E5CD89-7AD1-4D38-AFFB-F1957303996B}"/>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C69A141B-385A-41DF-A89B-187A94C6C14E}"/>
    <cellStyle name="Normal 2 4 2 3 2 6 2 3" xfId="12285" xr:uid="{1DB3390E-5990-4A13-ACB2-4ACAEF583E7C}"/>
    <cellStyle name="Normal 2 4 2 3 2 6 3" xfId="5916" xr:uid="{00000000-0005-0000-0000-0000E00E0000}"/>
    <cellStyle name="Normal 2 4 2 3 2 6 3 2" xfId="14358" xr:uid="{5BB04DC3-8FBF-4B75-8A88-D15D47354C51}"/>
    <cellStyle name="Normal 2 4 2 3 2 6 4" xfId="10140" xr:uid="{E4323C2C-6FF1-45AC-8EE8-753EF0927B5A}"/>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347012F0-5A0C-4C67-B2F1-242E77EABCAF}"/>
    <cellStyle name="Normal 2 4 2 3 2 7 2 3" xfId="12698" xr:uid="{1705546D-F37F-487A-AD46-C10EAB79184E}"/>
    <cellStyle name="Normal 2 4 2 3 2 7 3" xfId="6329" xr:uid="{00000000-0005-0000-0000-0000E40E0000}"/>
    <cellStyle name="Normal 2 4 2 3 2 7 3 2" xfId="14771" xr:uid="{93F7ECFE-1AB5-47A0-98FD-BA0952069B8C}"/>
    <cellStyle name="Normal 2 4 2 3 2 7 4" xfId="10553" xr:uid="{B6F4B887-F25A-4C43-BED4-989D376B011D}"/>
    <cellStyle name="Normal 2 4 2 3 2 8" xfId="2458" xr:uid="{00000000-0005-0000-0000-0000E50E0000}"/>
    <cellStyle name="Normal 2 4 2 3 2 8 2" xfId="6742" xr:uid="{00000000-0005-0000-0000-0000E60E0000}"/>
    <cellStyle name="Normal 2 4 2 3 2 8 2 2" xfId="15184" xr:uid="{BB9E5E67-32AD-4C90-A175-0A7FE9AAF1EA}"/>
    <cellStyle name="Normal 2 4 2 3 2 8 3" xfId="10966" xr:uid="{B0373D12-1E88-41DF-9FDA-01F7049B408F}"/>
    <cellStyle name="Normal 2 4 2 3 2 9" xfId="4676" xr:uid="{00000000-0005-0000-0000-0000E70E0000}"/>
    <cellStyle name="Normal 2 4 2 3 2 9 2" xfId="13118" xr:uid="{53D976F1-8AEF-450B-96C3-FC958AB4B36E}"/>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4DB117D6-5CD7-4041-A948-F0B741CB8DB8}"/>
    <cellStyle name="Normal 2 4 2 3 3 2 2 2 3" xfId="11464" xr:uid="{AC721542-3765-4213-BA55-A8AACAA58661}"/>
    <cellStyle name="Normal 2 4 2 3 3 2 2 3" xfId="5095" xr:uid="{00000000-0005-0000-0000-0000ED0E0000}"/>
    <cellStyle name="Normal 2 4 2 3 3 2 2 3 2" xfId="13537" xr:uid="{52189CAF-6C38-468B-AB81-66569E303505}"/>
    <cellStyle name="Normal 2 4 2 3 3 2 2 4" xfId="9319" xr:uid="{63F91884-FE81-4DC2-83BF-FE68E365B03D}"/>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C53AA4A0-C3F4-4F17-B935-03581F68436A}"/>
    <cellStyle name="Normal 2 4 2 3 3 2 3 2 3" xfId="11877" xr:uid="{D7BF94FF-16CD-493A-84D5-02125ACE430F}"/>
    <cellStyle name="Normal 2 4 2 3 3 2 3 3" xfId="5508" xr:uid="{00000000-0005-0000-0000-0000F10E0000}"/>
    <cellStyle name="Normal 2 4 2 3 3 2 3 3 2" xfId="13950" xr:uid="{8EFE5B76-E853-49E5-A5D0-48164CAD7F16}"/>
    <cellStyle name="Normal 2 4 2 3 3 2 3 4" xfId="9732" xr:uid="{C69A208F-A5FE-48C5-B17B-311D705D706B}"/>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8B5AED56-64F3-4E72-87F6-DECD35361848}"/>
    <cellStyle name="Normal 2 4 2 3 3 2 4 2 3" xfId="12290" xr:uid="{2508A220-80C0-45C4-A466-44C87D435FC4}"/>
    <cellStyle name="Normal 2 4 2 3 3 2 4 3" xfId="5921" xr:uid="{00000000-0005-0000-0000-0000F50E0000}"/>
    <cellStyle name="Normal 2 4 2 3 3 2 4 3 2" xfId="14363" xr:uid="{6ABB74F4-75A8-48CE-A774-AA0E1884E438}"/>
    <cellStyle name="Normal 2 4 2 3 3 2 4 4" xfId="10145" xr:uid="{7DB39684-5B86-47BD-A49B-6DA81D1928A8}"/>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51C92579-003B-417C-9282-90521456150D}"/>
    <cellStyle name="Normal 2 4 2 3 3 2 5 2 3" xfId="12703" xr:uid="{5EDF2930-5268-4F99-BC63-93B007D762DC}"/>
    <cellStyle name="Normal 2 4 2 3 3 2 5 3" xfId="6334" xr:uid="{00000000-0005-0000-0000-0000F90E0000}"/>
    <cellStyle name="Normal 2 4 2 3 3 2 5 3 2" xfId="14776" xr:uid="{6DE6A362-1B82-4914-8CFA-22539A9A64D6}"/>
    <cellStyle name="Normal 2 4 2 3 3 2 5 4" xfId="10558" xr:uid="{AC80F953-AD5B-4E81-9166-D99B3361D2B6}"/>
    <cellStyle name="Normal 2 4 2 3 3 2 6" xfId="2463" xr:uid="{00000000-0005-0000-0000-0000FA0E0000}"/>
    <cellStyle name="Normal 2 4 2 3 3 2 6 2" xfId="6747" xr:uid="{00000000-0005-0000-0000-0000FB0E0000}"/>
    <cellStyle name="Normal 2 4 2 3 3 2 6 2 2" xfId="15189" xr:uid="{21F584E0-569C-4B60-B1D2-0C4332B7ABD3}"/>
    <cellStyle name="Normal 2 4 2 3 3 2 6 3" xfId="10971" xr:uid="{6325A9DA-D515-4B53-9FD7-CD16A76BF3C5}"/>
    <cellStyle name="Normal 2 4 2 3 3 2 7" xfId="4681" xr:uid="{00000000-0005-0000-0000-0000FC0E0000}"/>
    <cellStyle name="Normal 2 4 2 3 3 2 7 2" xfId="13123" xr:uid="{BA3EB842-8417-49ED-9FFD-A62BFD701466}"/>
    <cellStyle name="Normal 2 4 2 3 3 2 8" xfId="8905" xr:uid="{1F5C3091-F1A6-4502-B3F6-ABF4E36C5B7C}"/>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406B8CD2-F9C0-4B8E-9AF6-6EA3EF15EEF1}"/>
    <cellStyle name="Normal 2 4 2 3 3 3 2 3" xfId="11463" xr:uid="{3172A68F-301B-44DD-A58A-B2C4885E6C62}"/>
    <cellStyle name="Normal 2 4 2 3 3 3 3" xfId="5094" xr:uid="{00000000-0005-0000-0000-0000000F0000}"/>
    <cellStyle name="Normal 2 4 2 3 3 3 3 2" xfId="13536" xr:uid="{8335DE60-0826-45A7-81D5-A94B9E104E0D}"/>
    <cellStyle name="Normal 2 4 2 3 3 3 4" xfId="9318" xr:uid="{B9679A83-7B7F-46BA-8AA3-66988C18D327}"/>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7FD1C67E-4FFB-4EC1-86CE-2A829D395494}"/>
    <cellStyle name="Normal 2 4 2 3 3 4 2 3" xfId="11876" xr:uid="{46EFC020-C228-414B-B2A6-52545B0620D5}"/>
    <cellStyle name="Normal 2 4 2 3 3 4 3" xfId="5507" xr:uid="{00000000-0005-0000-0000-0000040F0000}"/>
    <cellStyle name="Normal 2 4 2 3 3 4 3 2" xfId="13949" xr:uid="{7DEA6580-3211-406B-A258-F9FB94EBDB71}"/>
    <cellStyle name="Normal 2 4 2 3 3 4 4" xfId="9731" xr:uid="{5807A973-B326-4279-82E9-EEAF46A6F92F}"/>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2B44DB8B-649A-49CC-A3BE-0E6915A70F86}"/>
    <cellStyle name="Normal 2 4 2 3 3 5 2 3" xfId="12289" xr:uid="{8484FD10-8121-45E2-8C56-FFFAE75DB252}"/>
    <cellStyle name="Normal 2 4 2 3 3 5 3" xfId="5920" xr:uid="{00000000-0005-0000-0000-0000080F0000}"/>
    <cellStyle name="Normal 2 4 2 3 3 5 3 2" xfId="14362" xr:uid="{6032C2F4-57C1-4158-A52F-9D2EFC950605}"/>
    <cellStyle name="Normal 2 4 2 3 3 5 4" xfId="10144" xr:uid="{8AE5B5FF-3D95-4735-9784-2089AA004D2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30E846BE-768D-4CA7-BB2D-E003EECFE2BA}"/>
    <cellStyle name="Normal 2 4 2 3 3 6 2 3" xfId="12702" xr:uid="{306BAE46-109C-44C4-BCE6-079CBF49C4DD}"/>
    <cellStyle name="Normal 2 4 2 3 3 6 3" xfId="6333" xr:uid="{00000000-0005-0000-0000-00000C0F0000}"/>
    <cellStyle name="Normal 2 4 2 3 3 6 3 2" xfId="14775" xr:uid="{9486CB38-6B82-43BD-9119-A3EBF2AF7BE5}"/>
    <cellStyle name="Normal 2 4 2 3 3 6 4" xfId="10557" xr:uid="{CB63519F-75B0-432C-9EF8-53D680BD8C5F}"/>
    <cellStyle name="Normal 2 4 2 3 3 7" xfId="2462" xr:uid="{00000000-0005-0000-0000-00000D0F0000}"/>
    <cellStyle name="Normal 2 4 2 3 3 7 2" xfId="6746" xr:uid="{00000000-0005-0000-0000-00000E0F0000}"/>
    <cellStyle name="Normal 2 4 2 3 3 7 2 2" xfId="15188" xr:uid="{B49703B6-C265-4A2F-A309-BB0715FFB878}"/>
    <cellStyle name="Normal 2 4 2 3 3 7 3" xfId="10970" xr:uid="{376B5BD5-9090-45BE-9402-C461904C7751}"/>
    <cellStyle name="Normal 2 4 2 3 3 8" xfId="4680" xr:uid="{00000000-0005-0000-0000-00000F0F0000}"/>
    <cellStyle name="Normal 2 4 2 3 3 8 2" xfId="13122" xr:uid="{4C78CC28-855D-45C1-A18D-B926D47B34D2}"/>
    <cellStyle name="Normal 2 4 2 3 3 9" xfId="8904" xr:uid="{6CBDB43F-D607-4792-8666-3ABC66FAAC29}"/>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263B02D3-6A0F-4E81-B091-15C5F9ACA8B1}"/>
    <cellStyle name="Normal 2 4 2 3 4 2 2 3" xfId="11465" xr:uid="{4FD93459-0B0C-4E75-9656-DC31E26110FC}"/>
    <cellStyle name="Normal 2 4 2 3 4 2 3" xfId="5096" xr:uid="{00000000-0005-0000-0000-0000140F0000}"/>
    <cellStyle name="Normal 2 4 2 3 4 2 3 2" xfId="13538" xr:uid="{0EA8C703-98A1-46B5-BC3D-DCCAB20028EC}"/>
    <cellStyle name="Normal 2 4 2 3 4 2 4" xfId="9320" xr:uid="{06ABC87C-17DE-4F01-BE8F-43DEBBCD5AB2}"/>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A5C40372-02EC-4C9E-8A62-09051CD25BC2}"/>
    <cellStyle name="Normal 2 4 2 3 4 3 2 3" xfId="11878" xr:uid="{59097D04-79CE-45AE-9278-C1176DDA1878}"/>
    <cellStyle name="Normal 2 4 2 3 4 3 3" xfId="5509" xr:uid="{00000000-0005-0000-0000-0000180F0000}"/>
    <cellStyle name="Normal 2 4 2 3 4 3 3 2" xfId="13951" xr:uid="{7674398C-1A32-437C-8138-7406A058C6C9}"/>
    <cellStyle name="Normal 2 4 2 3 4 3 4" xfId="9733" xr:uid="{D465534A-AE1F-4CDC-8B42-06764B4B5129}"/>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14D4FB6D-B0E6-40DC-B075-075819EDBCC9}"/>
    <cellStyle name="Normal 2 4 2 3 4 4 2 3" xfId="12291" xr:uid="{68991BEC-2908-4876-ACF2-11EFD65AAF17}"/>
    <cellStyle name="Normal 2 4 2 3 4 4 3" xfId="5922" xr:uid="{00000000-0005-0000-0000-00001C0F0000}"/>
    <cellStyle name="Normal 2 4 2 3 4 4 3 2" xfId="14364" xr:uid="{E90717A5-FA90-4A03-BDC1-46B6F4860C4F}"/>
    <cellStyle name="Normal 2 4 2 3 4 4 4" xfId="10146" xr:uid="{53A71791-31C5-49E7-BDE3-8523B8C7332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39FBBB0A-4FA9-4609-B190-DB82871694FB}"/>
    <cellStyle name="Normal 2 4 2 3 4 5 2 3" xfId="12704" xr:uid="{FBD1F01F-ECD9-4D7C-B8DB-709B418BE2CC}"/>
    <cellStyle name="Normal 2 4 2 3 4 5 3" xfId="6335" xr:uid="{00000000-0005-0000-0000-0000200F0000}"/>
    <cellStyle name="Normal 2 4 2 3 4 5 3 2" xfId="14777" xr:uid="{F01D5DBB-6D69-4D3B-BAFF-4A6B5BCC1B29}"/>
    <cellStyle name="Normal 2 4 2 3 4 5 4" xfId="10559" xr:uid="{876ABF50-370F-4AA4-9B13-7CD363DA24CD}"/>
    <cellStyle name="Normal 2 4 2 3 4 6" xfId="2464" xr:uid="{00000000-0005-0000-0000-0000210F0000}"/>
    <cellStyle name="Normal 2 4 2 3 4 6 2" xfId="6748" xr:uid="{00000000-0005-0000-0000-0000220F0000}"/>
    <cellStyle name="Normal 2 4 2 3 4 6 2 2" xfId="15190" xr:uid="{AF116DC4-333E-4344-9E16-EDDA7C19F7E4}"/>
    <cellStyle name="Normal 2 4 2 3 4 6 3" xfId="10972" xr:uid="{702778E3-90E3-475F-8924-F895C568E02F}"/>
    <cellStyle name="Normal 2 4 2 3 4 7" xfId="4682" xr:uid="{00000000-0005-0000-0000-0000230F0000}"/>
    <cellStyle name="Normal 2 4 2 3 4 7 2" xfId="13124" xr:uid="{BD9550F0-2D2B-4616-B5B3-187BD03CD0E9}"/>
    <cellStyle name="Normal 2 4 2 3 4 8" xfId="8906" xr:uid="{6248B511-4AA0-43B1-8DD1-551E0248DED9}"/>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76970FFE-EC6F-4AE4-A7AD-DCF270945038}"/>
    <cellStyle name="Normal 2 4 2 3 5 2 3" xfId="11458" xr:uid="{0F3E59FA-91DB-4744-9619-BC441FA6ECAD}"/>
    <cellStyle name="Normal 2 4 2 3 5 3" xfId="5089" xr:uid="{00000000-0005-0000-0000-0000270F0000}"/>
    <cellStyle name="Normal 2 4 2 3 5 3 2" xfId="13531" xr:uid="{DF2E80CB-0014-4340-A511-17E8FE489C83}"/>
    <cellStyle name="Normal 2 4 2 3 5 4" xfId="9313" xr:uid="{D0D91583-D9DD-4F79-978D-DDE8065A1217}"/>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78967062-F22B-4B9A-A29F-CE1F7ECA6D71}"/>
    <cellStyle name="Normal 2 4 2 3 6 2 3" xfId="11871" xr:uid="{FB5EFD4C-1141-40FA-9C02-99C6F3577BB5}"/>
    <cellStyle name="Normal 2 4 2 3 6 3" xfId="5502" xr:uid="{00000000-0005-0000-0000-00002B0F0000}"/>
    <cellStyle name="Normal 2 4 2 3 6 3 2" xfId="13944" xr:uid="{DAB367BC-B23D-454F-819B-53F98FFEE86E}"/>
    <cellStyle name="Normal 2 4 2 3 6 4" xfId="9726" xr:uid="{3CB5D1B5-6A56-4D4F-AAA2-44A3C8346BA2}"/>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A3083E95-1E9F-4F82-9D2F-642D7BA448F2}"/>
    <cellStyle name="Normal 2 4 2 3 7 2 3" xfId="12284" xr:uid="{98B26663-70F2-4D3F-B12B-27618D7AD9CA}"/>
    <cellStyle name="Normal 2 4 2 3 7 3" xfId="5915" xr:uid="{00000000-0005-0000-0000-00002F0F0000}"/>
    <cellStyle name="Normal 2 4 2 3 7 3 2" xfId="14357" xr:uid="{5BDD3E9D-413A-4EDD-9251-03B2B5AF5003}"/>
    <cellStyle name="Normal 2 4 2 3 7 4" xfId="10139" xr:uid="{1C1F8F00-F7D2-4556-942B-1715EFE09C52}"/>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E61BF592-1765-4860-9868-B4BF47EC626A}"/>
    <cellStyle name="Normal 2 4 2 3 8 2 3" xfId="12697" xr:uid="{8A82CB9A-7820-4587-925D-B2A466A673DE}"/>
    <cellStyle name="Normal 2 4 2 3 8 3" xfId="6328" xr:uid="{00000000-0005-0000-0000-0000330F0000}"/>
    <cellStyle name="Normal 2 4 2 3 8 3 2" xfId="14770" xr:uid="{7E174660-FE0C-487A-A6BE-2502B6B26C79}"/>
    <cellStyle name="Normal 2 4 2 3 8 4" xfId="10552" xr:uid="{6F2B935B-E7ED-4DA6-8CA4-7F3E54E38C99}"/>
    <cellStyle name="Normal 2 4 2 3 9" xfId="2457" xr:uid="{00000000-0005-0000-0000-0000340F0000}"/>
    <cellStyle name="Normal 2 4 2 3 9 2" xfId="6741" xr:uid="{00000000-0005-0000-0000-0000350F0000}"/>
    <cellStyle name="Normal 2 4 2 3 9 2 2" xfId="15183" xr:uid="{FA93B918-88F5-44F0-AD8F-63D0D84848E0}"/>
    <cellStyle name="Normal 2 4 2 3 9 3" xfId="10965" xr:uid="{738FCB54-8B74-4399-A45C-B350A14FE18B}"/>
    <cellStyle name="Normal 2 4 2 4" xfId="289" xr:uid="{00000000-0005-0000-0000-0000360F0000}"/>
    <cellStyle name="Normal 2 4 2 4 10" xfId="8907" xr:uid="{161E372F-35BA-483E-A86B-0BC5FA950C7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7F1B4B1C-1347-4C0B-B435-C73B9BB46457}"/>
    <cellStyle name="Normal 2 4 2 4 2 2 2 2 3" xfId="11468" xr:uid="{9E0D8EF2-126B-404E-A8B3-3BBCFF2A1D56}"/>
    <cellStyle name="Normal 2 4 2 4 2 2 2 3" xfId="5099" xr:uid="{00000000-0005-0000-0000-00003C0F0000}"/>
    <cellStyle name="Normal 2 4 2 4 2 2 2 3 2" xfId="13541" xr:uid="{91BC29C1-7FE9-4CDD-AE04-9EC760CCB888}"/>
    <cellStyle name="Normal 2 4 2 4 2 2 2 4" xfId="9323" xr:uid="{F5738A0A-1D1D-447A-9FDC-922B5F190F52}"/>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3F29F435-8E1D-4D95-97F5-3D15BD3382F9}"/>
    <cellStyle name="Normal 2 4 2 4 2 2 3 2 3" xfId="11881" xr:uid="{32AE9846-05C8-4CB5-91EC-44460BF89845}"/>
    <cellStyle name="Normal 2 4 2 4 2 2 3 3" xfId="5512" xr:uid="{00000000-0005-0000-0000-0000400F0000}"/>
    <cellStyle name="Normal 2 4 2 4 2 2 3 3 2" xfId="13954" xr:uid="{D69FF2E1-FE72-48BB-804C-23473167E973}"/>
    <cellStyle name="Normal 2 4 2 4 2 2 3 4" xfId="9736" xr:uid="{1648D0CC-64C3-4313-81F3-3595BF0CE6B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73764409-FE06-42F2-BFA7-DAA0607000A8}"/>
    <cellStyle name="Normal 2 4 2 4 2 2 4 2 3" xfId="12294" xr:uid="{C3CFC21C-F13F-4F76-86B9-62A1F3F54A43}"/>
    <cellStyle name="Normal 2 4 2 4 2 2 4 3" xfId="5925" xr:uid="{00000000-0005-0000-0000-0000440F0000}"/>
    <cellStyle name="Normal 2 4 2 4 2 2 4 3 2" xfId="14367" xr:uid="{23D29323-E1F1-4FC3-94AE-77FD3D71EE80}"/>
    <cellStyle name="Normal 2 4 2 4 2 2 4 4" xfId="10149" xr:uid="{8A6DBD34-7D98-4F7C-9D62-4636D78C854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B8DEEEFE-1933-47E9-9090-865D8C331351}"/>
    <cellStyle name="Normal 2 4 2 4 2 2 5 2 3" xfId="12707" xr:uid="{F218DF4F-831C-4C3E-AFB1-7E8C471DA6E8}"/>
    <cellStyle name="Normal 2 4 2 4 2 2 5 3" xfId="6338" xr:uid="{00000000-0005-0000-0000-0000480F0000}"/>
    <cellStyle name="Normal 2 4 2 4 2 2 5 3 2" xfId="14780" xr:uid="{1AE27131-A62E-4615-8BD7-889AD1D3A502}"/>
    <cellStyle name="Normal 2 4 2 4 2 2 5 4" xfId="10562" xr:uid="{F33CA78E-3A21-4148-A041-AE1A275843C1}"/>
    <cellStyle name="Normal 2 4 2 4 2 2 6" xfId="2467" xr:uid="{00000000-0005-0000-0000-0000490F0000}"/>
    <cellStyle name="Normal 2 4 2 4 2 2 6 2" xfId="6751" xr:uid="{00000000-0005-0000-0000-00004A0F0000}"/>
    <cellStyle name="Normal 2 4 2 4 2 2 6 2 2" xfId="15193" xr:uid="{2FF7BC62-6BEE-45F7-91DB-D5AD424F2BDD}"/>
    <cellStyle name="Normal 2 4 2 4 2 2 6 3" xfId="10975" xr:uid="{A37266FD-C79F-4B2D-9ABE-CB94C3855492}"/>
    <cellStyle name="Normal 2 4 2 4 2 2 7" xfId="4685" xr:uid="{00000000-0005-0000-0000-00004B0F0000}"/>
    <cellStyle name="Normal 2 4 2 4 2 2 7 2" xfId="13127" xr:uid="{49356B12-5E94-4BE0-BC26-5B342B71457E}"/>
    <cellStyle name="Normal 2 4 2 4 2 2 8" xfId="8909" xr:uid="{463FDE76-72CA-43A9-AEAD-6BE05B1C3033}"/>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75EA7034-1C97-455A-BF64-F3D56D9B0BA9}"/>
    <cellStyle name="Normal 2 4 2 4 2 3 2 3" xfId="11467" xr:uid="{FE2DFB24-7582-40E5-9552-BCE751C0BACD}"/>
    <cellStyle name="Normal 2 4 2 4 2 3 3" xfId="5098" xr:uid="{00000000-0005-0000-0000-00004F0F0000}"/>
    <cellStyle name="Normal 2 4 2 4 2 3 3 2" xfId="13540" xr:uid="{3E15C8D8-CE19-48EA-BE61-3D78CA0B8F28}"/>
    <cellStyle name="Normal 2 4 2 4 2 3 4" xfId="9322" xr:uid="{BEB6F13A-29B9-40D0-BD75-4B1C1D09F224}"/>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F8A662E2-F0DC-43F8-8ECB-C759AB1F959D}"/>
    <cellStyle name="Normal 2 4 2 4 2 4 2 3" xfId="11880" xr:uid="{D2ACA4A2-641C-45DE-9180-F4D6B6E8B25F}"/>
    <cellStyle name="Normal 2 4 2 4 2 4 3" xfId="5511" xr:uid="{00000000-0005-0000-0000-0000530F0000}"/>
    <cellStyle name="Normal 2 4 2 4 2 4 3 2" xfId="13953" xr:uid="{6519988B-FB61-442F-82E8-6857E2AD95AE}"/>
    <cellStyle name="Normal 2 4 2 4 2 4 4" xfId="9735" xr:uid="{CBBE0564-824A-4403-B8B8-93F4BF7D497B}"/>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ECD06EFE-A35A-403F-8AE2-1B29176B0AEF}"/>
    <cellStyle name="Normal 2 4 2 4 2 5 2 3" xfId="12293" xr:uid="{83A2A1F4-24CD-48A3-AE76-4E1957598919}"/>
    <cellStyle name="Normal 2 4 2 4 2 5 3" xfId="5924" xr:uid="{00000000-0005-0000-0000-0000570F0000}"/>
    <cellStyle name="Normal 2 4 2 4 2 5 3 2" xfId="14366" xr:uid="{618FFA48-D979-4C21-B96D-D0A13D0AE762}"/>
    <cellStyle name="Normal 2 4 2 4 2 5 4" xfId="10148" xr:uid="{E29BA82D-B1C3-4A66-81EA-FBCAE222C9E7}"/>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86B8CDC3-E2E2-422A-98C0-6C3279CC9118}"/>
    <cellStyle name="Normal 2 4 2 4 2 6 2 3" xfId="12706" xr:uid="{0384DA10-F800-4468-A8D6-721E39B88EA9}"/>
    <cellStyle name="Normal 2 4 2 4 2 6 3" xfId="6337" xr:uid="{00000000-0005-0000-0000-00005B0F0000}"/>
    <cellStyle name="Normal 2 4 2 4 2 6 3 2" xfId="14779" xr:uid="{BAA96805-B0AE-4F0B-843C-EBC2B9F79F1A}"/>
    <cellStyle name="Normal 2 4 2 4 2 6 4" xfId="10561" xr:uid="{08C0E258-E265-4A21-AE62-1760C18E98BE}"/>
    <cellStyle name="Normal 2 4 2 4 2 7" xfId="2466" xr:uid="{00000000-0005-0000-0000-00005C0F0000}"/>
    <cellStyle name="Normal 2 4 2 4 2 7 2" xfId="6750" xr:uid="{00000000-0005-0000-0000-00005D0F0000}"/>
    <cellStyle name="Normal 2 4 2 4 2 7 2 2" xfId="15192" xr:uid="{2D18F621-9BD2-4083-A036-EF3C1CBDA0B1}"/>
    <cellStyle name="Normal 2 4 2 4 2 7 3" xfId="10974" xr:uid="{7BFA9A4E-BBCA-48F7-A1CD-C033D44D30B9}"/>
    <cellStyle name="Normal 2 4 2 4 2 8" xfId="4684" xr:uid="{00000000-0005-0000-0000-00005E0F0000}"/>
    <cellStyle name="Normal 2 4 2 4 2 8 2" xfId="13126" xr:uid="{7F2D8E1C-9C8B-40BA-9AF0-7F3CB6EAF732}"/>
    <cellStyle name="Normal 2 4 2 4 2 9" xfId="8908" xr:uid="{8DD9C3A9-0668-4B9F-B7C0-4293024551F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FAD3BAA0-5E01-43E3-86F2-43533F91295E}"/>
    <cellStyle name="Normal 2 4 2 4 3 2 2 3" xfId="11469" xr:uid="{66BA4097-BACA-4591-BA93-3E07DB43E741}"/>
    <cellStyle name="Normal 2 4 2 4 3 2 3" xfId="5100" xr:uid="{00000000-0005-0000-0000-0000630F0000}"/>
    <cellStyle name="Normal 2 4 2 4 3 2 3 2" xfId="13542" xr:uid="{0FB932A2-E281-41D7-B43A-965500941CFB}"/>
    <cellStyle name="Normal 2 4 2 4 3 2 4" xfId="9324" xr:uid="{45D76DC8-F9FA-4788-A719-B18E11BF34AE}"/>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FEC638B6-8988-43D7-B5E7-A9D0B289B04F}"/>
    <cellStyle name="Normal 2 4 2 4 3 3 2 3" xfId="11882" xr:uid="{41664522-8AF6-4F0B-AF24-B2D2C5441C5A}"/>
    <cellStyle name="Normal 2 4 2 4 3 3 3" xfId="5513" xr:uid="{00000000-0005-0000-0000-0000670F0000}"/>
    <cellStyle name="Normal 2 4 2 4 3 3 3 2" xfId="13955" xr:uid="{D4D591F2-2BD3-48EB-A697-443AF6CC7265}"/>
    <cellStyle name="Normal 2 4 2 4 3 3 4" xfId="9737" xr:uid="{F7BB70EE-8CD4-4BF3-A59B-E659B8B9A134}"/>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D6E82EF-1267-4D2D-BA04-C17DA435B653}"/>
    <cellStyle name="Normal 2 4 2 4 3 4 2 3" xfId="12295" xr:uid="{721BDA46-C8C7-4967-9C9C-EAE522379196}"/>
    <cellStyle name="Normal 2 4 2 4 3 4 3" xfId="5926" xr:uid="{00000000-0005-0000-0000-00006B0F0000}"/>
    <cellStyle name="Normal 2 4 2 4 3 4 3 2" xfId="14368" xr:uid="{CCF30D42-43BA-4517-98B2-4AA5D8287D54}"/>
    <cellStyle name="Normal 2 4 2 4 3 4 4" xfId="10150" xr:uid="{08EF2813-D4A6-4DF7-BDF8-FEECFDF407EB}"/>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0CE58EE8-DADB-4BCD-B554-657AF5967D88}"/>
    <cellStyle name="Normal 2 4 2 4 3 5 2 3" xfId="12708" xr:uid="{30C97BC4-7D69-43A2-860F-142C86EF3068}"/>
    <cellStyle name="Normal 2 4 2 4 3 5 3" xfId="6339" xr:uid="{00000000-0005-0000-0000-00006F0F0000}"/>
    <cellStyle name="Normal 2 4 2 4 3 5 3 2" xfId="14781" xr:uid="{2F2E9789-B886-45DA-9C24-4653A378E9BA}"/>
    <cellStyle name="Normal 2 4 2 4 3 5 4" xfId="10563" xr:uid="{B1C5A1C3-9E28-4CFD-AEC1-F561AE2B61A4}"/>
    <cellStyle name="Normal 2 4 2 4 3 6" xfId="2468" xr:uid="{00000000-0005-0000-0000-0000700F0000}"/>
    <cellStyle name="Normal 2 4 2 4 3 6 2" xfId="6752" xr:uid="{00000000-0005-0000-0000-0000710F0000}"/>
    <cellStyle name="Normal 2 4 2 4 3 6 2 2" xfId="15194" xr:uid="{9DF9B0DE-0CD3-47EC-A4DB-CA262969DEFE}"/>
    <cellStyle name="Normal 2 4 2 4 3 6 3" xfId="10976" xr:uid="{368FCE3A-E26F-476C-AB63-0FC33C0564DC}"/>
    <cellStyle name="Normal 2 4 2 4 3 7" xfId="4686" xr:uid="{00000000-0005-0000-0000-0000720F0000}"/>
    <cellStyle name="Normal 2 4 2 4 3 7 2" xfId="13128" xr:uid="{85225823-AA08-4F1A-AC5F-11A1B176C44D}"/>
    <cellStyle name="Normal 2 4 2 4 3 8" xfId="8910" xr:uid="{72143AC5-EB8E-45F7-88B9-AFCE1A9D5D76}"/>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3BA85409-9238-45D3-A646-D0B928C7E127}"/>
    <cellStyle name="Normal 2 4 2 4 4 2 3" xfId="11466" xr:uid="{F3856DD4-D43B-4CC3-AE95-C875448B9A76}"/>
    <cellStyle name="Normal 2 4 2 4 4 3" xfId="5097" xr:uid="{00000000-0005-0000-0000-0000760F0000}"/>
    <cellStyle name="Normal 2 4 2 4 4 3 2" xfId="13539" xr:uid="{2E97DC8E-F2B1-44A3-A502-053906BDCCF0}"/>
    <cellStyle name="Normal 2 4 2 4 4 4" xfId="9321" xr:uid="{1141829A-E405-46AD-8962-F696F2321DE5}"/>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A8497662-383F-44C6-B57E-97508CC1979F}"/>
    <cellStyle name="Normal 2 4 2 4 5 2 3" xfId="11879" xr:uid="{7674BC4B-17B6-44E3-86CC-09442BA0D3C0}"/>
    <cellStyle name="Normal 2 4 2 4 5 3" xfId="5510" xr:uid="{00000000-0005-0000-0000-00007A0F0000}"/>
    <cellStyle name="Normal 2 4 2 4 5 3 2" xfId="13952" xr:uid="{E31FFB78-1380-4F13-B62B-2692C52023BD}"/>
    <cellStyle name="Normal 2 4 2 4 5 4" xfId="9734" xr:uid="{6A5A4CEB-8923-4A30-92DD-36C85BAA6E1E}"/>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0152EAED-77B8-4A1D-B715-D3EFD6665C41}"/>
    <cellStyle name="Normal 2 4 2 4 6 2 3" xfId="12292" xr:uid="{C187DB40-128C-47AC-81D5-BE3F042D83BD}"/>
    <cellStyle name="Normal 2 4 2 4 6 3" xfId="5923" xr:uid="{00000000-0005-0000-0000-00007E0F0000}"/>
    <cellStyle name="Normal 2 4 2 4 6 3 2" xfId="14365" xr:uid="{8F1639D7-668F-48A8-836C-ECA892D044C2}"/>
    <cellStyle name="Normal 2 4 2 4 6 4" xfId="10147" xr:uid="{911FD9A7-A2ED-40F5-87F2-9D46CE5F5BA5}"/>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1417BC3E-9730-4C8D-A163-4C64AF4AA381}"/>
    <cellStyle name="Normal 2 4 2 4 7 2 3" xfId="12705" xr:uid="{BBF29E86-56AA-4159-9F9E-35DFEF8677A8}"/>
    <cellStyle name="Normal 2 4 2 4 7 3" xfId="6336" xr:uid="{00000000-0005-0000-0000-0000820F0000}"/>
    <cellStyle name="Normal 2 4 2 4 7 3 2" xfId="14778" xr:uid="{AB9717D7-5D40-49A8-9B0E-E0DE8AACD611}"/>
    <cellStyle name="Normal 2 4 2 4 7 4" xfId="10560" xr:uid="{ADDB2E6A-2085-4ABD-B528-37DD26E04724}"/>
    <cellStyle name="Normal 2 4 2 4 8" xfId="2465" xr:uid="{00000000-0005-0000-0000-0000830F0000}"/>
    <cellStyle name="Normal 2 4 2 4 8 2" xfId="6749" xr:uid="{00000000-0005-0000-0000-0000840F0000}"/>
    <cellStyle name="Normal 2 4 2 4 8 2 2" xfId="15191" xr:uid="{6C035E3C-39AD-48AD-96E1-31E0CDC2613B}"/>
    <cellStyle name="Normal 2 4 2 4 8 3" xfId="10973" xr:uid="{3DF41CDF-1413-4F06-9B08-FEA36B416CBE}"/>
    <cellStyle name="Normal 2 4 2 4 9" xfId="4683" xr:uid="{00000000-0005-0000-0000-0000850F0000}"/>
    <cellStyle name="Normal 2 4 2 4 9 2" xfId="13125" xr:uid="{7B59070A-77FF-41F8-842D-F9A78FF59032}"/>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4531CD61-38E3-4E68-8E36-1F5928AB03C5}"/>
    <cellStyle name="Normal 2 4 2 5 2 2 2 3" xfId="11471" xr:uid="{F1C5351B-4F01-4941-8EB0-E25128DA553B}"/>
    <cellStyle name="Normal 2 4 2 5 2 2 3" xfId="5102" xr:uid="{00000000-0005-0000-0000-00008B0F0000}"/>
    <cellStyle name="Normal 2 4 2 5 2 2 3 2" xfId="13544" xr:uid="{475A780E-FEEA-4B28-A468-97C793F67B2E}"/>
    <cellStyle name="Normal 2 4 2 5 2 2 4" xfId="9326" xr:uid="{709FD1B1-8611-4B6A-BE09-53755FFDB902}"/>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2FEA625D-732B-4EDE-84D2-FACC1C3CE818}"/>
    <cellStyle name="Normal 2 4 2 5 2 3 2 3" xfId="11884" xr:uid="{A02A8C53-2017-49BD-91A2-87801E0089F1}"/>
    <cellStyle name="Normal 2 4 2 5 2 3 3" xfId="5515" xr:uid="{00000000-0005-0000-0000-00008F0F0000}"/>
    <cellStyle name="Normal 2 4 2 5 2 3 3 2" xfId="13957" xr:uid="{53E714D1-922C-474F-899C-C3461E61CC1D}"/>
    <cellStyle name="Normal 2 4 2 5 2 3 4" xfId="9739" xr:uid="{767E611C-0BAF-4134-9E5D-5EAA0260E279}"/>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5F4BF079-DD5A-4972-818C-E56710F08346}"/>
    <cellStyle name="Normal 2 4 2 5 2 4 2 3" xfId="12297" xr:uid="{08122508-D6FF-432E-A00B-43C2CADFFBAC}"/>
    <cellStyle name="Normal 2 4 2 5 2 4 3" xfId="5928" xr:uid="{00000000-0005-0000-0000-0000930F0000}"/>
    <cellStyle name="Normal 2 4 2 5 2 4 3 2" xfId="14370" xr:uid="{A2729379-3FD1-46FD-8DB6-9E713976428E}"/>
    <cellStyle name="Normal 2 4 2 5 2 4 4" xfId="10152" xr:uid="{E9E828FE-072A-4188-8ACC-475B706F99EB}"/>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B09363E8-5093-4177-AA7E-7C0D4AB507D3}"/>
    <cellStyle name="Normal 2 4 2 5 2 5 2 3" xfId="12710" xr:uid="{13615C26-E683-4E16-B4F1-246E92899362}"/>
    <cellStyle name="Normal 2 4 2 5 2 5 3" xfId="6341" xr:uid="{00000000-0005-0000-0000-0000970F0000}"/>
    <cellStyle name="Normal 2 4 2 5 2 5 3 2" xfId="14783" xr:uid="{A8D1B1E3-F31F-4D4A-8B2D-3261D0916935}"/>
    <cellStyle name="Normal 2 4 2 5 2 5 4" xfId="10565" xr:uid="{7EF3651F-A9F7-464D-98FA-E025F687C17F}"/>
    <cellStyle name="Normal 2 4 2 5 2 6" xfId="2470" xr:uid="{00000000-0005-0000-0000-0000980F0000}"/>
    <cellStyle name="Normal 2 4 2 5 2 6 2" xfId="6754" xr:uid="{00000000-0005-0000-0000-0000990F0000}"/>
    <cellStyle name="Normal 2 4 2 5 2 6 2 2" xfId="15196" xr:uid="{0DD25B9A-F573-4D88-86B5-32369D527A57}"/>
    <cellStyle name="Normal 2 4 2 5 2 6 3" xfId="10978" xr:uid="{12BA8587-D975-43F1-A92A-05972EC13A9A}"/>
    <cellStyle name="Normal 2 4 2 5 2 7" xfId="4688" xr:uid="{00000000-0005-0000-0000-00009A0F0000}"/>
    <cellStyle name="Normal 2 4 2 5 2 7 2" xfId="13130" xr:uid="{3772D8C6-ADA2-49A3-84C1-DDF17BDB111A}"/>
    <cellStyle name="Normal 2 4 2 5 2 8" xfId="8912" xr:uid="{C0CF1FAD-21BB-4699-ABC2-2DA1E6D386E4}"/>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084EB805-03FA-4E65-8840-EDAB597770DB}"/>
    <cellStyle name="Normal 2 4 2 5 3 2 3" xfId="11470" xr:uid="{08E6BDB1-05BD-438B-88CE-D7D757A8A39F}"/>
    <cellStyle name="Normal 2 4 2 5 3 3" xfId="5101" xr:uid="{00000000-0005-0000-0000-00009E0F0000}"/>
    <cellStyle name="Normal 2 4 2 5 3 3 2" xfId="13543" xr:uid="{CDCA0B98-910E-499C-A5CD-2DD4B0ABD185}"/>
    <cellStyle name="Normal 2 4 2 5 3 4" xfId="9325" xr:uid="{3033DE8C-D84E-4E67-9047-3C6DE5044742}"/>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D3FFB08E-6203-45C0-8A4E-9773A34A88DE}"/>
    <cellStyle name="Normal 2 4 2 5 4 2 3" xfId="11883" xr:uid="{FBE6FB28-7249-4599-BA4C-E74C9B5EDC80}"/>
    <cellStyle name="Normal 2 4 2 5 4 3" xfId="5514" xr:uid="{00000000-0005-0000-0000-0000A20F0000}"/>
    <cellStyle name="Normal 2 4 2 5 4 3 2" xfId="13956" xr:uid="{AADD7584-A033-4159-B89C-A75A436E837C}"/>
    <cellStyle name="Normal 2 4 2 5 4 4" xfId="9738" xr:uid="{0E57EB0B-5779-4BF1-86B5-5A13AD880931}"/>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C3DD6F87-3D72-4D77-9251-159B842D71D5}"/>
    <cellStyle name="Normal 2 4 2 5 5 2 3" xfId="12296" xr:uid="{09727F09-6F80-4B98-8B49-A16A21B01A1D}"/>
    <cellStyle name="Normal 2 4 2 5 5 3" xfId="5927" xr:uid="{00000000-0005-0000-0000-0000A60F0000}"/>
    <cellStyle name="Normal 2 4 2 5 5 3 2" xfId="14369" xr:uid="{69E2EE60-8DB8-4B0E-BA2A-63A9B80A4C0C}"/>
    <cellStyle name="Normal 2 4 2 5 5 4" xfId="10151" xr:uid="{CD6EB6AD-581D-49E1-9CD3-75B949D96D4E}"/>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6879F8E3-3A4F-4514-B69C-C912CF40CF4A}"/>
    <cellStyle name="Normal 2 4 2 5 6 2 3" xfId="12709" xr:uid="{1914F222-EC91-408F-9B07-1F9E8AEFD489}"/>
    <cellStyle name="Normal 2 4 2 5 6 3" xfId="6340" xr:uid="{00000000-0005-0000-0000-0000AA0F0000}"/>
    <cellStyle name="Normal 2 4 2 5 6 3 2" xfId="14782" xr:uid="{00B737D2-D423-41AB-B8EC-A411567C9E63}"/>
    <cellStyle name="Normal 2 4 2 5 6 4" xfId="10564" xr:uid="{D908D27C-7429-4C2B-8831-862D253F92F7}"/>
    <cellStyle name="Normal 2 4 2 5 7" xfId="2469" xr:uid="{00000000-0005-0000-0000-0000AB0F0000}"/>
    <cellStyle name="Normal 2 4 2 5 7 2" xfId="6753" xr:uid="{00000000-0005-0000-0000-0000AC0F0000}"/>
    <cellStyle name="Normal 2 4 2 5 7 2 2" xfId="15195" xr:uid="{1FA97679-C43F-468C-AB8F-701A7F32A38D}"/>
    <cellStyle name="Normal 2 4 2 5 7 3" xfId="10977" xr:uid="{CE35A8FE-5B2B-424C-856C-E5404F39985C}"/>
    <cellStyle name="Normal 2 4 2 5 8" xfId="4687" xr:uid="{00000000-0005-0000-0000-0000AD0F0000}"/>
    <cellStyle name="Normal 2 4 2 5 8 2" xfId="13129" xr:uid="{FA750EC4-D062-4A6B-9ADD-AEFD291DFFDE}"/>
    <cellStyle name="Normal 2 4 2 5 9" xfId="8911" xr:uid="{3034077E-9940-4004-9DA2-B274A14A915E}"/>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35B659A2-0C44-40D7-82E6-13A6ECC9E890}"/>
    <cellStyle name="Normal 2 4 2 6 2 2 3" xfId="11472" xr:uid="{F68BFDBD-A8F8-44F7-A035-90075EF0F191}"/>
    <cellStyle name="Normal 2 4 2 6 2 3" xfId="5103" xr:uid="{00000000-0005-0000-0000-0000B20F0000}"/>
    <cellStyle name="Normal 2 4 2 6 2 3 2" xfId="13545" xr:uid="{DFAA8E90-0D09-4F23-A056-718B4DAF8265}"/>
    <cellStyle name="Normal 2 4 2 6 2 4" xfId="9327" xr:uid="{DBEB4AF4-488E-46B9-9C01-63C472CBD2E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DD1A2C18-BFBB-4158-B0B7-0D0AFA5099BF}"/>
    <cellStyle name="Normal 2 4 2 6 3 2 3" xfId="11885" xr:uid="{B941DAD4-190F-4C63-A813-1B4B0096C968}"/>
    <cellStyle name="Normal 2 4 2 6 3 3" xfId="5516" xr:uid="{00000000-0005-0000-0000-0000B60F0000}"/>
    <cellStyle name="Normal 2 4 2 6 3 3 2" xfId="13958" xr:uid="{B3D822E5-F34F-4365-8DDA-E24CAEB11523}"/>
    <cellStyle name="Normal 2 4 2 6 3 4" xfId="9740" xr:uid="{16B840C9-0BB9-4FB2-AEAB-55A80242343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18A986C3-101F-4678-9285-91A5E4F1EA2A}"/>
    <cellStyle name="Normal 2 4 2 6 4 2 3" xfId="12298" xr:uid="{3F53ABFF-8DB7-4BC3-9930-6A1DF8585BAA}"/>
    <cellStyle name="Normal 2 4 2 6 4 3" xfId="5929" xr:uid="{00000000-0005-0000-0000-0000BA0F0000}"/>
    <cellStyle name="Normal 2 4 2 6 4 3 2" xfId="14371" xr:uid="{872A5C3A-2957-4684-A531-3221AC1E16E3}"/>
    <cellStyle name="Normal 2 4 2 6 4 4" xfId="10153" xr:uid="{2383D425-6049-4414-B6EA-89C73657DE4F}"/>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71BC2EFD-74D9-44D4-8206-E52E3CC9EA10}"/>
    <cellStyle name="Normal 2 4 2 6 5 2 3" xfId="12711" xr:uid="{E5568F6B-C882-4C38-A839-0D90E001B483}"/>
    <cellStyle name="Normal 2 4 2 6 5 3" xfId="6342" xr:uid="{00000000-0005-0000-0000-0000BE0F0000}"/>
    <cellStyle name="Normal 2 4 2 6 5 3 2" xfId="14784" xr:uid="{4700BF83-14E1-4D66-8784-49C2F1C90937}"/>
    <cellStyle name="Normal 2 4 2 6 5 4" xfId="10566" xr:uid="{23A9AC47-5A1D-4BF4-9093-3DB8257D4598}"/>
    <cellStyle name="Normal 2 4 2 6 6" xfId="2471" xr:uid="{00000000-0005-0000-0000-0000BF0F0000}"/>
    <cellStyle name="Normal 2 4 2 6 6 2" xfId="6755" xr:uid="{00000000-0005-0000-0000-0000C00F0000}"/>
    <cellStyle name="Normal 2 4 2 6 6 2 2" xfId="15197" xr:uid="{19BD0CEA-2752-4B2E-9161-AAE7F568D999}"/>
    <cellStyle name="Normal 2 4 2 6 6 3" xfId="10979" xr:uid="{7CF552B3-0B10-46F2-AD1E-CE4BE2040FC1}"/>
    <cellStyle name="Normal 2 4 2 6 7" xfId="4689" xr:uid="{00000000-0005-0000-0000-0000C10F0000}"/>
    <cellStyle name="Normal 2 4 2 6 7 2" xfId="13131" xr:uid="{5E445B0B-FDAB-48E1-B24A-1754DFE65E46}"/>
    <cellStyle name="Normal 2 4 2 6 8" xfId="8913" xr:uid="{3CD96512-4AAA-4787-B0F6-2D65CB778042}"/>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3DFFD74-FDBB-498B-8441-CE859C457599}"/>
    <cellStyle name="Normal 2 4 2 7 2 3" xfId="11457" xr:uid="{48387411-1587-4E39-930A-709B8CC7E991}"/>
    <cellStyle name="Normal 2 4 2 7 3" xfId="5088" xr:uid="{00000000-0005-0000-0000-0000C50F0000}"/>
    <cellStyle name="Normal 2 4 2 7 3 2" xfId="13530" xr:uid="{19582089-42B0-4E91-A239-8CFF0F555F6B}"/>
    <cellStyle name="Normal 2 4 2 7 4" xfId="9312" xr:uid="{C0647AB5-C1F9-47FB-9D5D-B85DE50B066F}"/>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93AC69B3-43E4-4173-B7BF-5B3D7F9BFC50}"/>
    <cellStyle name="Normal 2 4 2 8 2 3" xfId="11870" xr:uid="{83D1C5A5-0B65-48BF-BB6F-B9D34DD9B1AF}"/>
    <cellStyle name="Normal 2 4 2 8 3" xfId="5501" xr:uid="{00000000-0005-0000-0000-0000C90F0000}"/>
    <cellStyle name="Normal 2 4 2 8 3 2" xfId="13943" xr:uid="{B7A63998-2974-417E-ADBF-CA12F7432B1D}"/>
    <cellStyle name="Normal 2 4 2 8 4" xfId="9725" xr:uid="{99736972-B290-428E-8EE8-B2FC34A45BC0}"/>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068CF457-5078-425A-B711-C8B5EB48DEB5}"/>
    <cellStyle name="Normal 2 4 2 9 2 3" xfId="12283" xr:uid="{2B1B3D85-6271-45C7-9596-DE1ABD223DBB}"/>
    <cellStyle name="Normal 2 4 2 9 3" xfId="5914" xr:uid="{00000000-0005-0000-0000-0000CD0F0000}"/>
    <cellStyle name="Normal 2 4 2 9 3 2" xfId="14356" xr:uid="{67520494-5214-46A7-B3FA-0F4CE29B9B78}"/>
    <cellStyle name="Normal 2 4 2 9 4" xfId="10138" xr:uid="{27EF4AA8-777B-414B-8077-B0DA3C0305E1}"/>
    <cellStyle name="Normal 2 4 3" xfId="296" xr:uid="{00000000-0005-0000-0000-0000CE0F0000}"/>
    <cellStyle name="Normal 2 4 3 10" xfId="8914" xr:uid="{0A67391A-7F6E-4DA3-8D64-9B86371522F6}"/>
    <cellStyle name="Normal 2 4 3 2" xfId="297" xr:uid="{00000000-0005-0000-0000-0000CF0F0000}"/>
    <cellStyle name="Normal 2 4 3 3" xfId="298" xr:uid="{00000000-0005-0000-0000-0000D00F0000}"/>
    <cellStyle name="Normal 2 4 3 3 10" xfId="8915" xr:uid="{C014F10E-212D-421A-8FA9-468FED1201AE}"/>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B1B97FF1-B52E-4C0F-AB81-BB5214469D46}"/>
    <cellStyle name="Normal 2 4 3 3 2 2 2 2 3" xfId="11476" xr:uid="{1B252B9B-36AF-4BB8-B70A-EE20D329F322}"/>
    <cellStyle name="Normal 2 4 3 3 2 2 2 3" xfId="5107" xr:uid="{00000000-0005-0000-0000-0000D60F0000}"/>
    <cellStyle name="Normal 2 4 3 3 2 2 2 3 2" xfId="13549" xr:uid="{6A159658-8472-4AAC-BFD3-89CA120CF130}"/>
    <cellStyle name="Normal 2 4 3 3 2 2 2 4" xfId="9331" xr:uid="{1A17200A-3FDC-4860-AE31-562AFDAED2B6}"/>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89E5FE99-E383-487E-A376-1622D33DE39A}"/>
    <cellStyle name="Normal 2 4 3 3 2 2 3 2 3" xfId="11889" xr:uid="{69EC0598-D5C0-4FE6-82C8-913C244E3628}"/>
    <cellStyle name="Normal 2 4 3 3 2 2 3 3" xfId="5520" xr:uid="{00000000-0005-0000-0000-0000DA0F0000}"/>
    <cellStyle name="Normal 2 4 3 3 2 2 3 3 2" xfId="13962" xr:uid="{BFE9E9D1-F205-4C89-89D1-574B43947C57}"/>
    <cellStyle name="Normal 2 4 3 3 2 2 3 4" xfId="9744" xr:uid="{BC19EBFC-423E-462C-A2C7-F22743E91A4B}"/>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DCA286F7-975E-4C65-8C86-82FB9B261EC9}"/>
    <cellStyle name="Normal 2 4 3 3 2 2 4 2 3" xfId="12302" xr:uid="{5ABEE45D-F400-48D3-96CA-AD7480476F9A}"/>
    <cellStyle name="Normal 2 4 3 3 2 2 4 3" xfId="5933" xr:uid="{00000000-0005-0000-0000-0000DE0F0000}"/>
    <cellStyle name="Normal 2 4 3 3 2 2 4 3 2" xfId="14375" xr:uid="{9DBFE2AC-1615-48A7-B585-2ECC488F2AFF}"/>
    <cellStyle name="Normal 2 4 3 3 2 2 4 4" xfId="10157" xr:uid="{0D375597-295B-4336-96D4-5B77ACB23962}"/>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F0274D1A-AC74-4D58-8DD6-D8F0698F8EAD}"/>
    <cellStyle name="Normal 2 4 3 3 2 2 5 2 3" xfId="12715" xr:uid="{D4A2FEB4-7FD4-4966-8155-2569A2BD7E21}"/>
    <cellStyle name="Normal 2 4 3 3 2 2 5 3" xfId="6346" xr:uid="{00000000-0005-0000-0000-0000E20F0000}"/>
    <cellStyle name="Normal 2 4 3 3 2 2 5 3 2" xfId="14788" xr:uid="{A456FF50-BE6A-491F-B200-5CBD2FBF254F}"/>
    <cellStyle name="Normal 2 4 3 3 2 2 5 4" xfId="10570" xr:uid="{B745D3F6-DDF8-47C9-9F65-1F61E5C7D6E1}"/>
    <cellStyle name="Normal 2 4 3 3 2 2 6" xfId="2475" xr:uid="{00000000-0005-0000-0000-0000E30F0000}"/>
    <cellStyle name="Normal 2 4 3 3 2 2 6 2" xfId="6759" xr:uid="{00000000-0005-0000-0000-0000E40F0000}"/>
    <cellStyle name="Normal 2 4 3 3 2 2 6 2 2" xfId="15201" xr:uid="{19C50B4A-364B-4543-B550-93DB40EC03C1}"/>
    <cellStyle name="Normal 2 4 3 3 2 2 6 3" xfId="10983" xr:uid="{396FC803-58E5-40AB-AD29-5776D2ED5B38}"/>
    <cellStyle name="Normal 2 4 3 3 2 2 7" xfId="4693" xr:uid="{00000000-0005-0000-0000-0000E50F0000}"/>
    <cellStyle name="Normal 2 4 3 3 2 2 7 2" xfId="13135" xr:uid="{72BCA7EC-0E1C-4D73-BD78-22D166EACC5A}"/>
    <cellStyle name="Normal 2 4 3 3 2 2 8" xfId="8917" xr:uid="{8B7E0EAB-E01A-45C6-B980-4B902EB510BD}"/>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7676CF0D-1FE8-4CF9-9430-807D89F05662}"/>
    <cellStyle name="Normal 2 4 3 3 2 3 2 3" xfId="11475" xr:uid="{73867492-8C05-474E-95F0-37ECE9AA80FD}"/>
    <cellStyle name="Normal 2 4 3 3 2 3 3" xfId="5106" xr:uid="{00000000-0005-0000-0000-0000E90F0000}"/>
    <cellStyle name="Normal 2 4 3 3 2 3 3 2" xfId="13548" xr:uid="{8E9C0B7D-193E-4535-83ED-1ADD4B4B1044}"/>
    <cellStyle name="Normal 2 4 3 3 2 3 4" xfId="9330" xr:uid="{B75A944F-9EBE-48CE-9BDB-596B2E736A13}"/>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3D07B70-0C3E-4673-B494-AB84AFC7CAC0}"/>
    <cellStyle name="Normal 2 4 3 3 2 4 2 3" xfId="11888" xr:uid="{192D8688-C6EB-45AF-8BC6-79ACA07209AE}"/>
    <cellStyle name="Normal 2 4 3 3 2 4 3" xfId="5519" xr:uid="{00000000-0005-0000-0000-0000ED0F0000}"/>
    <cellStyle name="Normal 2 4 3 3 2 4 3 2" xfId="13961" xr:uid="{3E9742CC-3F02-43F2-8FD3-81F7E1D49D80}"/>
    <cellStyle name="Normal 2 4 3 3 2 4 4" xfId="9743" xr:uid="{6A0B1161-BD5B-4BBA-8399-D010EAB8AD74}"/>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61663155-92A0-4376-B120-091E6400A1E4}"/>
    <cellStyle name="Normal 2 4 3 3 2 5 2 3" xfId="12301" xr:uid="{D21044D5-A596-418D-B57D-3628471A691B}"/>
    <cellStyle name="Normal 2 4 3 3 2 5 3" xfId="5932" xr:uid="{00000000-0005-0000-0000-0000F10F0000}"/>
    <cellStyle name="Normal 2 4 3 3 2 5 3 2" xfId="14374" xr:uid="{23C87B4D-1A70-4D6D-BAF6-CC4F8027ED21}"/>
    <cellStyle name="Normal 2 4 3 3 2 5 4" xfId="10156" xr:uid="{CBCFCF1C-4FE4-4358-AC27-5420D61A1FB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B4D84661-12A5-40A1-9FAA-46289EEF3541}"/>
    <cellStyle name="Normal 2 4 3 3 2 6 2 3" xfId="12714" xr:uid="{1B3ECE4F-7DB2-421A-A167-A8554F5D099B}"/>
    <cellStyle name="Normal 2 4 3 3 2 6 3" xfId="6345" xr:uid="{00000000-0005-0000-0000-0000F50F0000}"/>
    <cellStyle name="Normal 2 4 3 3 2 6 3 2" xfId="14787" xr:uid="{CC19B79E-5929-4106-99F2-217E21D982B0}"/>
    <cellStyle name="Normal 2 4 3 3 2 6 4" xfId="10569" xr:uid="{5AE798AA-1815-41D2-991D-4633C63628D2}"/>
    <cellStyle name="Normal 2 4 3 3 2 7" xfId="2474" xr:uid="{00000000-0005-0000-0000-0000F60F0000}"/>
    <cellStyle name="Normal 2 4 3 3 2 7 2" xfId="6758" xr:uid="{00000000-0005-0000-0000-0000F70F0000}"/>
    <cellStyle name="Normal 2 4 3 3 2 7 2 2" xfId="15200" xr:uid="{9EC19BFD-460B-4DB9-BFED-EFDB198F6EB8}"/>
    <cellStyle name="Normal 2 4 3 3 2 7 3" xfId="10982" xr:uid="{68776391-A4E6-413A-A2E0-09E002C01031}"/>
    <cellStyle name="Normal 2 4 3 3 2 8" xfId="4692" xr:uid="{00000000-0005-0000-0000-0000F80F0000}"/>
    <cellStyle name="Normal 2 4 3 3 2 8 2" xfId="13134" xr:uid="{B7738C70-B04A-43B9-B023-FAF984C29CEE}"/>
    <cellStyle name="Normal 2 4 3 3 2 9" xfId="8916" xr:uid="{E3C54052-8AEE-4313-9C82-D487D30EAC6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2E994C53-809A-41BD-885B-910283F77AFE}"/>
    <cellStyle name="Normal 2 4 3 3 3 2 2 3" xfId="11477" xr:uid="{C19AD855-77D4-47F4-99B9-D8870F0EEDAC}"/>
    <cellStyle name="Normal 2 4 3 3 3 2 3" xfId="5108" xr:uid="{00000000-0005-0000-0000-0000FD0F0000}"/>
    <cellStyle name="Normal 2 4 3 3 3 2 3 2" xfId="13550" xr:uid="{5ACA6E5B-EAEB-4625-8FF5-132BE9FC7295}"/>
    <cellStyle name="Normal 2 4 3 3 3 2 4" xfId="9332" xr:uid="{1C55607B-8A3E-477F-B2AA-5135BCDC0528}"/>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33723CFB-F0C4-483B-8856-98493B29D58E}"/>
    <cellStyle name="Normal 2 4 3 3 3 3 2 3" xfId="11890" xr:uid="{4D0F531B-B7D9-4255-9469-4906695A7B57}"/>
    <cellStyle name="Normal 2 4 3 3 3 3 3" xfId="5521" xr:uid="{00000000-0005-0000-0000-000001100000}"/>
    <cellStyle name="Normal 2 4 3 3 3 3 3 2" xfId="13963" xr:uid="{EB9D9F44-9BB8-4233-BD16-FEB4FCFCF83C}"/>
    <cellStyle name="Normal 2 4 3 3 3 3 4" xfId="9745" xr:uid="{D8820CD7-BE39-415B-81B7-33BEEECBFCE4}"/>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BD61B6A7-198B-47B1-B58D-CE45F8E01886}"/>
    <cellStyle name="Normal 2 4 3 3 3 4 2 3" xfId="12303" xr:uid="{F6FEF4BF-1AE3-4E79-A97A-8E5517A2B7AE}"/>
    <cellStyle name="Normal 2 4 3 3 3 4 3" xfId="5934" xr:uid="{00000000-0005-0000-0000-000005100000}"/>
    <cellStyle name="Normal 2 4 3 3 3 4 3 2" xfId="14376" xr:uid="{A0E1648F-BF67-4FD5-B790-7C04F5EF33F3}"/>
    <cellStyle name="Normal 2 4 3 3 3 4 4" xfId="10158" xr:uid="{79140666-4FE5-4F49-844C-0627ABA05D3D}"/>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27EB68DA-6803-4B13-A6DE-960305856F04}"/>
    <cellStyle name="Normal 2 4 3 3 3 5 2 3" xfId="12716" xr:uid="{EFA5DCE1-8D49-4FCF-BC18-B3FB97A25214}"/>
    <cellStyle name="Normal 2 4 3 3 3 5 3" xfId="6347" xr:uid="{00000000-0005-0000-0000-000009100000}"/>
    <cellStyle name="Normal 2 4 3 3 3 5 3 2" xfId="14789" xr:uid="{6DF462F9-2C88-4913-AD71-2A5E1F26A2ED}"/>
    <cellStyle name="Normal 2 4 3 3 3 5 4" xfId="10571" xr:uid="{2308A3DC-A820-48FA-B4BE-20C62ECF25D3}"/>
    <cellStyle name="Normal 2 4 3 3 3 6" xfId="2476" xr:uid="{00000000-0005-0000-0000-00000A100000}"/>
    <cellStyle name="Normal 2 4 3 3 3 6 2" xfId="6760" xr:uid="{00000000-0005-0000-0000-00000B100000}"/>
    <cellStyle name="Normal 2 4 3 3 3 6 2 2" xfId="15202" xr:uid="{F4EB4957-91DD-4D4E-A21E-79281FF89EE4}"/>
    <cellStyle name="Normal 2 4 3 3 3 6 3" xfId="10984" xr:uid="{299F5CF1-CC91-41AF-9C61-3CBE33D3EF78}"/>
    <cellStyle name="Normal 2 4 3 3 3 7" xfId="4694" xr:uid="{00000000-0005-0000-0000-00000C100000}"/>
    <cellStyle name="Normal 2 4 3 3 3 7 2" xfId="13136" xr:uid="{E278DA09-FA04-4299-8253-C7CDF4B4BD85}"/>
    <cellStyle name="Normal 2 4 3 3 3 8" xfId="8918" xr:uid="{C9161474-C200-4AFC-A5D7-8BE9B9BF1EB4}"/>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540F90D7-3F84-4977-871B-5E73BD57639E}"/>
    <cellStyle name="Normal 2 4 3 3 4 2 3" xfId="11474" xr:uid="{36E0BA78-23B5-4763-8C3C-C241F6AB783B}"/>
    <cellStyle name="Normal 2 4 3 3 4 3" xfId="5105" xr:uid="{00000000-0005-0000-0000-000010100000}"/>
    <cellStyle name="Normal 2 4 3 3 4 3 2" xfId="13547" xr:uid="{27E64780-1CA1-49B8-BCA3-0252A86AA39D}"/>
    <cellStyle name="Normal 2 4 3 3 4 4" xfId="9329" xr:uid="{6CCE6D37-B0E0-4062-85A6-B82D6F377217}"/>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5F3FDCAC-0DF9-45A0-B71A-E1EA1E8EA94F}"/>
    <cellStyle name="Normal 2 4 3 3 5 2 3" xfId="11887" xr:uid="{8BEFFC38-7BB8-4A8E-BD9D-561EE7D7F656}"/>
    <cellStyle name="Normal 2 4 3 3 5 3" xfId="5518" xr:uid="{00000000-0005-0000-0000-000014100000}"/>
    <cellStyle name="Normal 2 4 3 3 5 3 2" xfId="13960" xr:uid="{F2270E47-999B-49D9-8EC3-B4BAF44D3ED2}"/>
    <cellStyle name="Normal 2 4 3 3 5 4" xfId="9742" xr:uid="{1E27528F-B7BA-44A4-BC12-B7687CACBA62}"/>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083751D8-EB94-416F-A4D7-83137EDD55C2}"/>
    <cellStyle name="Normal 2 4 3 3 6 2 3" xfId="12300" xr:uid="{834F8FD3-A514-4A20-8EE6-9F424345EF59}"/>
    <cellStyle name="Normal 2 4 3 3 6 3" xfId="5931" xr:uid="{00000000-0005-0000-0000-000018100000}"/>
    <cellStyle name="Normal 2 4 3 3 6 3 2" xfId="14373" xr:uid="{DE962524-D499-4DF1-AAC3-94771EBC3805}"/>
    <cellStyle name="Normal 2 4 3 3 6 4" xfId="10155" xr:uid="{E5DD301E-1280-4AAE-BAE2-C53B527558A2}"/>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9C1BAB6B-467D-4142-9DEB-931D087D337A}"/>
    <cellStyle name="Normal 2 4 3 3 7 2 3" xfId="12713" xr:uid="{AE4C1559-002B-4BEF-B5E8-E60A5323431E}"/>
    <cellStyle name="Normal 2 4 3 3 7 3" xfId="6344" xr:uid="{00000000-0005-0000-0000-00001C100000}"/>
    <cellStyle name="Normal 2 4 3 3 7 3 2" xfId="14786" xr:uid="{B45AFCA5-60DD-4968-949E-DD15025BE383}"/>
    <cellStyle name="Normal 2 4 3 3 7 4" xfId="10568" xr:uid="{ABD5E370-1CB4-45DE-8970-EE40CBEAB7E6}"/>
    <cellStyle name="Normal 2 4 3 3 8" xfId="2473" xr:uid="{00000000-0005-0000-0000-00001D100000}"/>
    <cellStyle name="Normal 2 4 3 3 8 2" xfId="6757" xr:uid="{00000000-0005-0000-0000-00001E100000}"/>
    <cellStyle name="Normal 2 4 3 3 8 2 2" xfId="15199" xr:uid="{88230B5E-5B9D-4E9F-A7FE-6D99AF832575}"/>
    <cellStyle name="Normal 2 4 3 3 8 3" xfId="10981" xr:uid="{F8FF40D6-DCAE-4911-A690-4EDF4C55BA85}"/>
    <cellStyle name="Normal 2 4 3 3 9" xfId="4691" xr:uid="{00000000-0005-0000-0000-00001F100000}"/>
    <cellStyle name="Normal 2 4 3 3 9 2" xfId="13133" xr:uid="{711AA723-C404-4915-BF89-C335372EB9C6}"/>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5575A19B-47AA-439A-BB17-DA162DE577D1}"/>
    <cellStyle name="Normal 2 4 3 4 2 3" xfId="11473" xr:uid="{5CBFD4C8-F31C-4CFC-BC60-25E5C4665C9D}"/>
    <cellStyle name="Normal 2 4 3 4 3" xfId="5104" xr:uid="{00000000-0005-0000-0000-000023100000}"/>
    <cellStyle name="Normal 2 4 3 4 3 2" xfId="13546" xr:uid="{7281AF0A-1789-4E67-8056-5DBEAFAAA3C9}"/>
    <cellStyle name="Normal 2 4 3 4 4" xfId="9328" xr:uid="{5DD2AEC0-01D3-46EB-AFF8-13F955FD4A6F}"/>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8973FB9B-5773-4FCE-B092-25E18CCEF0EB}"/>
    <cellStyle name="Normal 2 4 3 5 2 3" xfId="11886" xr:uid="{305BC7F3-A1EE-42CE-A637-DAB5BF58A2D1}"/>
    <cellStyle name="Normal 2 4 3 5 3" xfId="5517" xr:uid="{00000000-0005-0000-0000-000027100000}"/>
    <cellStyle name="Normal 2 4 3 5 3 2" xfId="13959" xr:uid="{3B9728E6-BCF1-4F2E-82D8-188E35DA1D4B}"/>
    <cellStyle name="Normal 2 4 3 5 4" xfId="9741" xr:uid="{4C2522DB-6E44-4772-9387-1C92F0BEA31F}"/>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157FE608-32C2-4F0B-8249-D3F099192EE4}"/>
    <cellStyle name="Normal 2 4 3 6 2 3" xfId="12299" xr:uid="{4DC49BD1-2753-4106-A022-AFE043AFD8A3}"/>
    <cellStyle name="Normal 2 4 3 6 3" xfId="5930" xr:uid="{00000000-0005-0000-0000-00002B100000}"/>
    <cellStyle name="Normal 2 4 3 6 3 2" xfId="14372" xr:uid="{D99B7096-103D-41C3-9222-3E06721413CF}"/>
    <cellStyle name="Normal 2 4 3 6 4" xfId="10154" xr:uid="{310298B4-5B0A-43C5-A7CF-BB8FA9E30586}"/>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E149DF48-6DD9-46BF-96B1-F64A5C19F1AD}"/>
    <cellStyle name="Normal 2 4 3 7 2 3" xfId="12712" xr:uid="{5251DEBA-2509-4A90-99E6-633D2F3C7775}"/>
    <cellStyle name="Normal 2 4 3 7 3" xfId="6343" xr:uid="{00000000-0005-0000-0000-00002F100000}"/>
    <cellStyle name="Normal 2 4 3 7 3 2" xfId="14785" xr:uid="{4AE99E85-E6BC-4E22-AEE4-483CEAA55363}"/>
    <cellStyle name="Normal 2 4 3 7 4" xfId="10567" xr:uid="{291A0C95-A820-4E43-823E-6E50724EFFE2}"/>
    <cellStyle name="Normal 2 4 3 8" xfId="2472" xr:uid="{00000000-0005-0000-0000-000030100000}"/>
    <cellStyle name="Normal 2 4 3 8 2" xfId="6756" xr:uid="{00000000-0005-0000-0000-000031100000}"/>
    <cellStyle name="Normal 2 4 3 8 2 2" xfId="15198" xr:uid="{356E7E96-241E-4FE9-8826-0507EC3A9DD1}"/>
    <cellStyle name="Normal 2 4 3 8 3" xfId="10980" xr:uid="{EB091561-90B5-43D5-BCDE-7352CA8CD50C}"/>
    <cellStyle name="Normal 2 4 3 9" xfId="4690" xr:uid="{00000000-0005-0000-0000-000032100000}"/>
    <cellStyle name="Normal 2 4 3 9 2" xfId="13132" xr:uid="{028A9DA4-5B30-4102-894B-D847F61807A0}"/>
    <cellStyle name="Normal 2 4 4" xfId="302" xr:uid="{00000000-0005-0000-0000-000033100000}"/>
    <cellStyle name="Normal 2 4 5" xfId="303" xr:uid="{00000000-0005-0000-0000-000034100000}"/>
    <cellStyle name="Normal 2 4 5 10" xfId="4695" xr:uid="{00000000-0005-0000-0000-000035100000}"/>
    <cellStyle name="Normal 2 4 5 10 2" xfId="13137" xr:uid="{62A526FB-8603-4D2B-A7D6-83CB18221473}"/>
    <cellStyle name="Normal 2 4 5 11" xfId="8919" xr:uid="{3938C803-2878-4B9A-BCF9-D9A2C47E3EA4}"/>
    <cellStyle name="Normal 2 4 5 2" xfId="304" xr:uid="{00000000-0005-0000-0000-000036100000}"/>
    <cellStyle name="Normal 2 4 5 2 10" xfId="8920" xr:uid="{CF642FA2-97DC-4B66-93A5-BD5B155EE89C}"/>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0282DA19-BDC6-4C92-8F1A-068930CD9406}"/>
    <cellStyle name="Normal 2 4 5 2 2 2 2 2 3" xfId="11481" xr:uid="{8B96EA46-28BA-4218-9427-416E850DD52A}"/>
    <cellStyle name="Normal 2 4 5 2 2 2 2 3" xfId="5112" xr:uid="{00000000-0005-0000-0000-00003C100000}"/>
    <cellStyle name="Normal 2 4 5 2 2 2 2 3 2" xfId="13554" xr:uid="{CB901E56-A308-41CF-A85E-5D31958DD385}"/>
    <cellStyle name="Normal 2 4 5 2 2 2 2 4" xfId="9336" xr:uid="{C5377191-E593-4536-B5A6-DB84B2421C31}"/>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C6B38E53-BC2A-4337-B2D6-A2DB0DCAD7C4}"/>
    <cellStyle name="Normal 2 4 5 2 2 2 3 2 3" xfId="11894" xr:uid="{473C2106-6F32-4086-AF86-5EB27DBF7F70}"/>
    <cellStyle name="Normal 2 4 5 2 2 2 3 3" xfId="5525" xr:uid="{00000000-0005-0000-0000-000040100000}"/>
    <cellStyle name="Normal 2 4 5 2 2 2 3 3 2" xfId="13967" xr:uid="{D2E81A74-0F98-489D-A6F8-9E35C4555239}"/>
    <cellStyle name="Normal 2 4 5 2 2 2 3 4" xfId="9749" xr:uid="{140CFABB-7878-414C-9536-288E17DA91D4}"/>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65449C99-F606-4DE8-BF63-199CB9DFD7D3}"/>
    <cellStyle name="Normal 2 4 5 2 2 2 4 2 3" xfId="12307" xr:uid="{D518424A-714A-4D2F-A490-9DD3EC3AF7FA}"/>
    <cellStyle name="Normal 2 4 5 2 2 2 4 3" xfId="5938" xr:uid="{00000000-0005-0000-0000-000044100000}"/>
    <cellStyle name="Normal 2 4 5 2 2 2 4 3 2" xfId="14380" xr:uid="{5074B8C8-D26B-4DEF-9929-548B0B97ADA4}"/>
    <cellStyle name="Normal 2 4 5 2 2 2 4 4" xfId="10162" xr:uid="{210E9C53-DD03-48F8-8453-29CD65892ED2}"/>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203F2327-2967-419B-9CF3-F7B98F00A9EB}"/>
    <cellStyle name="Normal 2 4 5 2 2 2 5 2 3" xfId="12720" xr:uid="{4F1952F4-8B25-460B-9845-4B113A0239B8}"/>
    <cellStyle name="Normal 2 4 5 2 2 2 5 3" xfId="6351" xr:uid="{00000000-0005-0000-0000-000048100000}"/>
    <cellStyle name="Normal 2 4 5 2 2 2 5 3 2" xfId="14793" xr:uid="{45B46820-1312-4691-81A7-F3B3D5C0DC51}"/>
    <cellStyle name="Normal 2 4 5 2 2 2 5 4" xfId="10575" xr:uid="{CC408CC2-4EA2-4B2B-898C-BFC08A97FC0E}"/>
    <cellStyle name="Normal 2 4 5 2 2 2 6" xfId="2480" xr:uid="{00000000-0005-0000-0000-000049100000}"/>
    <cellStyle name="Normal 2 4 5 2 2 2 6 2" xfId="6764" xr:uid="{00000000-0005-0000-0000-00004A100000}"/>
    <cellStyle name="Normal 2 4 5 2 2 2 6 2 2" xfId="15206" xr:uid="{FF8A469F-7E1F-4E5F-882A-EAE21D8FF5EB}"/>
    <cellStyle name="Normal 2 4 5 2 2 2 6 3" xfId="10988" xr:uid="{ED86A082-0E68-4037-9DFE-CC0014909AFB}"/>
    <cellStyle name="Normal 2 4 5 2 2 2 7" xfId="4698" xr:uid="{00000000-0005-0000-0000-00004B100000}"/>
    <cellStyle name="Normal 2 4 5 2 2 2 7 2" xfId="13140" xr:uid="{4217D510-C971-415D-9B12-CF412C7F0A6C}"/>
    <cellStyle name="Normal 2 4 5 2 2 2 8" xfId="8922" xr:uid="{469FD8D2-2241-45BD-8BB9-8AF51F602BB5}"/>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B1A3A391-6872-40E5-BF47-DA6D242B7842}"/>
    <cellStyle name="Normal 2 4 5 2 2 3 2 3" xfId="11480" xr:uid="{B931AF8C-32CE-4551-8247-2AC7C842DD7A}"/>
    <cellStyle name="Normal 2 4 5 2 2 3 3" xfId="5111" xr:uid="{00000000-0005-0000-0000-00004F100000}"/>
    <cellStyle name="Normal 2 4 5 2 2 3 3 2" xfId="13553" xr:uid="{F0F60B5A-F94D-4043-ACA5-94AD44C5B5EE}"/>
    <cellStyle name="Normal 2 4 5 2 2 3 4" xfId="9335" xr:uid="{D7C608ED-FAC1-4291-A5BA-E835A8092C2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214C6B9D-45AC-4666-B1EC-212D76A4CB37}"/>
    <cellStyle name="Normal 2 4 5 2 2 4 2 3" xfId="11893" xr:uid="{8C31CC58-85E4-4253-9E34-B00B7C5239D8}"/>
    <cellStyle name="Normal 2 4 5 2 2 4 3" xfId="5524" xr:uid="{00000000-0005-0000-0000-000053100000}"/>
    <cellStyle name="Normal 2 4 5 2 2 4 3 2" xfId="13966" xr:uid="{2F2F6ABE-88DD-4ED3-AF05-7959626C247C}"/>
    <cellStyle name="Normal 2 4 5 2 2 4 4" xfId="9748" xr:uid="{1EB0ABAD-D03B-4EED-AF05-ABB8507876C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94DCF965-FB12-4345-B2A0-799CE7ECF7C5}"/>
    <cellStyle name="Normal 2 4 5 2 2 5 2 3" xfId="12306" xr:uid="{79FB6476-EFBF-4252-8539-784002A4D571}"/>
    <cellStyle name="Normal 2 4 5 2 2 5 3" xfId="5937" xr:uid="{00000000-0005-0000-0000-000057100000}"/>
    <cellStyle name="Normal 2 4 5 2 2 5 3 2" xfId="14379" xr:uid="{33DD5128-6103-4547-B080-B27470787E33}"/>
    <cellStyle name="Normal 2 4 5 2 2 5 4" xfId="10161" xr:uid="{03C43838-9850-4063-8B6B-C23FBC0E64A4}"/>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6189CC17-7A6D-4B22-AA84-E98A4B905653}"/>
    <cellStyle name="Normal 2 4 5 2 2 6 2 3" xfId="12719" xr:uid="{FBEB17F0-4ECF-4900-81A8-BAC1A5FE8012}"/>
    <cellStyle name="Normal 2 4 5 2 2 6 3" xfId="6350" xr:uid="{00000000-0005-0000-0000-00005B100000}"/>
    <cellStyle name="Normal 2 4 5 2 2 6 3 2" xfId="14792" xr:uid="{BC40AE21-D950-429A-8FDF-ED8305927D26}"/>
    <cellStyle name="Normal 2 4 5 2 2 6 4" xfId="10574" xr:uid="{9893E906-3FA8-4865-BF7F-4A257BB80BB8}"/>
    <cellStyle name="Normal 2 4 5 2 2 7" xfId="2479" xr:uid="{00000000-0005-0000-0000-00005C100000}"/>
    <cellStyle name="Normal 2 4 5 2 2 7 2" xfId="6763" xr:uid="{00000000-0005-0000-0000-00005D100000}"/>
    <cellStyle name="Normal 2 4 5 2 2 7 2 2" xfId="15205" xr:uid="{EAB0AFF7-7A9E-49D9-98F8-FEFCBA98D5C1}"/>
    <cellStyle name="Normal 2 4 5 2 2 7 3" xfId="10987" xr:uid="{2FCECEBE-9DE3-4CF6-9142-F1EEAA23FB10}"/>
    <cellStyle name="Normal 2 4 5 2 2 8" xfId="4697" xr:uid="{00000000-0005-0000-0000-00005E100000}"/>
    <cellStyle name="Normal 2 4 5 2 2 8 2" xfId="13139" xr:uid="{68CDAC70-959D-4EDB-9E25-D35DE4456126}"/>
    <cellStyle name="Normal 2 4 5 2 2 9" xfId="8921" xr:uid="{3C658FE3-58B7-45D4-ADCB-4D28FB89B9BB}"/>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B177FDBF-00C6-42A8-9A2E-8976B41FFDFF}"/>
    <cellStyle name="Normal 2 4 5 2 3 2 2 3" xfId="11482" xr:uid="{75C8B949-5417-41EA-8DC5-63A7F9070CCA}"/>
    <cellStyle name="Normal 2 4 5 2 3 2 3" xfId="5113" xr:uid="{00000000-0005-0000-0000-000063100000}"/>
    <cellStyle name="Normal 2 4 5 2 3 2 3 2" xfId="13555" xr:uid="{195B1C11-134C-48B5-ADDE-15C8A89CD936}"/>
    <cellStyle name="Normal 2 4 5 2 3 2 4" xfId="9337" xr:uid="{D5212520-516A-41F6-85B2-0C5B527E783C}"/>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B52348CF-DD5A-49C6-A6AA-1D05565FF3F3}"/>
    <cellStyle name="Normal 2 4 5 2 3 3 2 3" xfId="11895" xr:uid="{CE8D2EC4-8A6A-4B2C-95DC-9C6D58AABF1D}"/>
    <cellStyle name="Normal 2 4 5 2 3 3 3" xfId="5526" xr:uid="{00000000-0005-0000-0000-000067100000}"/>
    <cellStyle name="Normal 2 4 5 2 3 3 3 2" xfId="13968" xr:uid="{FA4993E8-1671-42B5-B742-C98F7D7A8128}"/>
    <cellStyle name="Normal 2 4 5 2 3 3 4" xfId="9750" xr:uid="{23BDCD6D-6E63-4CF4-A438-CBE5F668445A}"/>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969E11BE-CDE9-4835-8BAD-C1B99D3A8BB6}"/>
    <cellStyle name="Normal 2 4 5 2 3 4 2 3" xfId="12308" xr:uid="{84839CFD-475E-4100-B6A3-92221B972E21}"/>
    <cellStyle name="Normal 2 4 5 2 3 4 3" xfId="5939" xr:uid="{00000000-0005-0000-0000-00006B100000}"/>
    <cellStyle name="Normal 2 4 5 2 3 4 3 2" xfId="14381" xr:uid="{030F7E3D-EF3D-4524-AF38-80F8DA425342}"/>
    <cellStyle name="Normal 2 4 5 2 3 4 4" xfId="10163" xr:uid="{A0071140-CD79-4994-8929-A1559EB1B3AC}"/>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A923BEFE-06D7-42E8-8843-D84F7105A659}"/>
    <cellStyle name="Normal 2 4 5 2 3 5 2 3" xfId="12721" xr:uid="{950341EE-26EC-46E8-BF47-51ABDEC792EA}"/>
    <cellStyle name="Normal 2 4 5 2 3 5 3" xfId="6352" xr:uid="{00000000-0005-0000-0000-00006F100000}"/>
    <cellStyle name="Normal 2 4 5 2 3 5 3 2" xfId="14794" xr:uid="{9CCA07AF-835B-4B18-A932-58F9F3540375}"/>
    <cellStyle name="Normal 2 4 5 2 3 5 4" xfId="10576" xr:uid="{84D8AAD4-B345-4453-9F5D-C009314A0360}"/>
    <cellStyle name="Normal 2 4 5 2 3 6" xfId="2481" xr:uid="{00000000-0005-0000-0000-000070100000}"/>
    <cellStyle name="Normal 2 4 5 2 3 6 2" xfId="6765" xr:uid="{00000000-0005-0000-0000-000071100000}"/>
    <cellStyle name="Normal 2 4 5 2 3 6 2 2" xfId="15207" xr:uid="{AD57B6E1-1C7A-4C8A-B96B-71C6DADB3A28}"/>
    <cellStyle name="Normal 2 4 5 2 3 6 3" xfId="10989" xr:uid="{3F4E0A7D-492A-4C88-BC17-D201FE01E12A}"/>
    <cellStyle name="Normal 2 4 5 2 3 7" xfId="4699" xr:uid="{00000000-0005-0000-0000-000072100000}"/>
    <cellStyle name="Normal 2 4 5 2 3 7 2" xfId="13141" xr:uid="{5DA159E0-A8CC-4703-AA4A-1297A98E68C4}"/>
    <cellStyle name="Normal 2 4 5 2 3 8" xfId="8923" xr:uid="{12A9AC18-CFD3-4ECE-A963-F403F86AE8C9}"/>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D4BA4FAA-3D9C-47C6-8E76-D44BD6933508}"/>
    <cellStyle name="Normal 2 4 5 2 4 2 3" xfId="11479" xr:uid="{9875CEAE-78DA-46CC-ABB4-8DC449C96DA6}"/>
    <cellStyle name="Normal 2 4 5 2 4 3" xfId="5110" xr:uid="{00000000-0005-0000-0000-000076100000}"/>
    <cellStyle name="Normal 2 4 5 2 4 3 2" xfId="13552" xr:uid="{9AB37A04-2338-4217-8AC5-60D3702AFA1A}"/>
    <cellStyle name="Normal 2 4 5 2 4 4" xfId="9334" xr:uid="{F1AF5924-AF0A-406C-8F1E-A568B2294DBA}"/>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7BB03487-4603-4ED2-8A5C-322302E5DBDB}"/>
    <cellStyle name="Normal 2 4 5 2 5 2 3" xfId="11892" xr:uid="{D44E5D53-794C-410D-BCCA-95C15DD16BFF}"/>
    <cellStyle name="Normal 2 4 5 2 5 3" xfId="5523" xr:uid="{00000000-0005-0000-0000-00007A100000}"/>
    <cellStyle name="Normal 2 4 5 2 5 3 2" xfId="13965" xr:uid="{9AED78BA-803B-4FAD-BCBF-77B5279DABF0}"/>
    <cellStyle name="Normal 2 4 5 2 5 4" xfId="9747" xr:uid="{D41C8879-90C8-4747-8B7D-9F58E2E24797}"/>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E033A189-545B-4852-A7C9-7CE3FF7B6A65}"/>
    <cellStyle name="Normal 2 4 5 2 6 2 3" xfId="12305" xr:uid="{DDB01CFE-F8D4-41B3-AEFD-6373964DE5C5}"/>
    <cellStyle name="Normal 2 4 5 2 6 3" xfId="5936" xr:uid="{00000000-0005-0000-0000-00007E100000}"/>
    <cellStyle name="Normal 2 4 5 2 6 3 2" xfId="14378" xr:uid="{49F50D68-0F54-4AEF-B62B-ED1CF5A2A1AF}"/>
    <cellStyle name="Normal 2 4 5 2 6 4" xfId="10160" xr:uid="{2AD4002F-C9D8-4C9C-931B-80058583A165}"/>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3BAE06A3-EE15-4CFB-9DDC-582E3A73CE87}"/>
    <cellStyle name="Normal 2 4 5 2 7 2 3" xfId="12718" xr:uid="{55055463-A355-4D6D-8F19-3A153F4214D5}"/>
    <cellStyle name="Normal 2 4 5 2 7 3" xfId="6349" xr:uid="{00000000-0005-0000-0000-000082100000}"/>
    <cellStyle name="Normal 2 4 5 2 7 3 2" xfId="14791" xr:uid="{8EBA830F-5710-4118-8F23-A3345BEDF00C}"/>
    <cellStyle name="Normal 2 4 5 2 7 4" xfId="10573" xr:uid="{509F20F1-64B8-4154-BD0B-9439B2F2D225}"/>
    <cellStyle name="Normal 2 4 5 2 8" xfId="2478" xr:uid="{00000000-0005-0000-0000-000083100000}"/>
    <cellStyle name="Normal 2 4 5 2 8 2" xfId="6762" xr:uid="{00000000-0005-0000-0000-000084100000}"/>
    <cellStyle name="Normal 2 4 5 2 8 2 2" xfId="15204" xr:uid="{C461FA63-FFBB-4BC8-AAB9-F4694AD4F145}"/>
    <cellStyle name="Normal 2 4 5 2 8 3" xfId="10986" xr:uid="{F7C38F60-2F0F-421F-A30C-DBDC47E26252}"/>
    <cellStyle name="Normal 2 4 5 2 9" xfId="4696" xr:uid="{00000000-0005-0000-0000-000085100000}"/>
    <cellStyle name="Normal 2 4 5 2 9 2" xfId="13138" xr:uid="{FE171137-276F-4463-B996-431378E86DAF}"/>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302885E3-733C-43C8-AF23-08FB9266C878}"/>
    <cellStyle name="Normal 2 4 5 3 2 2 2 3" xfId="11484" xr:uid="{93FD3493-2068-4431-B094-F32191747736}"/>
    <cellStyle name="Normal 2 4 5 3 2 2 3" xfId="5115" xr:uid="{00000000-0005-0000-0000-00008B100000}"/>
    <cellStyle name="Normal 2 4 5 3 2 2 3 2" xfId="13557" xr:uid="{B5868095-A96C-4316-A1A3-31601011C2C7}"/>
    <cellStyle name="Normal 2 4 5 3 2 2 4" xfId="9339" xr:uid="{DE522372-8FC2-4BD1-8877-A3E5E48DFB6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1C4E37C7-921A-4AFF-978B-828990F1F6E3}"/>
    <cellStyle name="Normal 2 4 5 3 2 3 2 3" xfId="11897" xr:uid="{A82FAA8D-5C70-4850-B7FA-E4219C78EC73}"/>
    <cellStyle name="Normal 2 4 5 3 2 3 3" xfId="5528" xr:uid="{00000000-0005-0000-0000-00008F100000}"/>
    <cellStyle name="Normal 2 4 5 3 2 3 3 2" xfId="13970" xr:uid="{28BEF49C-36AF-4E0C-A0BB-AB8396E9313A}"/>
    <cellStyle name="Normal 2 4 5 3 2 3 4" xfId="9752" xr:uid="{E76D5E9E-871C-4F2B-9D88-6799F137FC4A}"/>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68F81510-C6F2-486D-B2FD-2EF530B529A9}"/>
    <cellStyle name="Normal 2 4 5 3 2 4 2 3" xfId="12310" xr:uid="{C355E036-EC07-48E6-9645-DC7D9E188A6C}"/>
    <cellStyle name="Normal 2 4 5 3 2 4 3" xfId="5941" xr:uid="{00000000-0005-0000-0000-000093100000}"/>
    <cellStyle name="Normal 2 4 5 3 2 4 3 2" xfId="14383" xr:uid="{99801E7B-7DEB-4FAC-A576-323CC07DAE99}"/>
    <cellStyle name="Normal 2 4 5 3 2 4 4" xfId="10165" xr:uid="{6DB4D6AB-975F-4457-8770-9C4AE5DBEB57}"/>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A2698DE5-2C40-4BDF-96FF-4AC176C94D5B}"/>
    <cellStyle name="Normal 2 4 5 3 2 5 2 3" xfId="12723" xr:uid="{96E141EF-2F0D-4C18-8745-4DC605C2B483}"/>
    <cellStyle name="Normal 2 4 5 3 2 5 3" xfId="6354" xr:uid="{00000000-0005-0000-0000-000097100000}"/>
    <cellStyle name="Normal 2 4 5 3 2 5 3 2" xfId="14796" xr:uid="{227506FA-ED5F-44F8-A01D-E13CAE462022}"/>
    <cellStyle name="Normal 2 4 5 3 2 5 4" xfId="10578" xr:uid="{608DFC7B-90F3-48A1-A1B1-C142C9CFA873}"/>
    <cellStyle name="Normal 2 4 5 3 2 6" xfId="2483" xr:uid="{00000000-0005-0000-0000-000098100000}"/>
    <cellStyle name="Normal 2 4 5 3 2 6 2" xfId="6767" xr:uid="{00000000-0005-0000-0000-000099100000}"/>
    <cellStyle name="Normal 2 4 5 3 2 6 2 2" xfId="15209" xr:uid="{0BBAB179-B07C-4CDB-B4D7-B97C0DAFD605}"/>
    <cellStyle name="Normal 2 4 5 3 2 6 3" xfId="10991" xr:uid="{2DAB75DE-3549-410A-8D57-CF5DBCDD6DD5}"/>
    <cellStyle name="Normal 2 4 5 3 2 7" xfId="4701" xr:uid="{00000000-0005-0000-0000-00009A100000}"/>
    <cellStyle name="Normal 2 4 5 3 2 7 2" xfId="13143" xr:uid="{77AF179C-8D75-4612-BC33-B6A79CC4733B}"/>
    <cellStyle name="Normal 2 4 5 3 2 8" xfId="8925" xr:uid="{AC1C94EC-D584-4CBF-B2D7-26F172A54A91}"/>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8A205108-AE68-4281-9891-015CBB88BBD5}"/>
    <cellStyle name="Normal 2 4 5 3 3 2 3" xfId="11483" xr:uid="{DA5D385D-AE4C-47C7-896C-4EC701DCC420}"/>
    <cellStyle name="Normal 2 4 5 3 3 3" xfId="5114" xr:uid="{00000000-0005-0000-0000-00009E100000}"/>
    <cellStyle name="Normal 2 4 5 3 3 3 2" xfId="13556" xr:uid="{E3BAFD5F-7C5F-426A-8C73-5D01DF1774BC}"/>
    <cellStyle name="Normal 2 4 5 3 3 4" xfId="9338" xr:uid="{FA2EA4D0-8AC0-492A-968D-04DC9BB2E008}"/>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EE9F2975-A5AA-44E4-B5FB-B12860056EE4}"/>
    <cellStyle name="Normal 2 4 5 3 4 2 3" xfId="11896" xr:uid="{8379FCCD-C31D-452E-A3E2-47976B25F97E}"/>
    <cellStyle name="Normal 2 4 5 3 4 3" xfId="5527" xr:uid="{00000000-0005-0000-0000-0000A2100000}"/>
    <cellStyle name="Normal 2 4 5 3 4 3 2" xfId="13969" xr:uid="{58F7E0D8-35BF-47D6-A7D0-0A768CA31A74}"/>
    <cellStyle name="Normal 2 4 5 3 4 4" xfId="9751" xr:uid="{50049DD3-FD76-4373-910C-D09559B0B2A5}"/>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E227CC8D-F56D-4E09-AFAB-12B93C1FD319}"/>
    <cellStyle name="Normal 2 4 5 3 5 2 3" xfId="12309" xr:uid="{41B8D0C9-5B62-435C-B35B-B3A7D8629471}"/>
    <cellStyle name="Normal 2 4 5 3 5 3" xfId="5940" xr:uid="{00000000-0005-0000-0000-0000A6100000}"/>
    <cellStyle name="Normal 2 4 5 3 5 3 2" xfId="14382" xr:uid="{0586961D-6A3E-463F-AF40-1583DD6CE2B0}"/>
    <cellStyle name="Normal 2 4 5 3 5 4" xfId="10164" xr:uid="{B0E8BA99-B6A3-42DF-9DA8-FAFC37B11FB8}"/>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AD157E83-0E98-4209-B1DF-0DE247B8AD89}"/>
    <cellStyle name="Normal 2 4 5 3 6 2 3" xfId="12722" xr:uid="{ED25D1C3-1064-4B83-B97D-33415B939143}"/>
    <cellStyle name="Normal 2 4 5 3 6 3" xfId="6353" xr:uid="{00000000-0005-0000-0000-0000AA100000}"/>
    <cellStyle name="Normal 2 4 5 3 6 3 2" xfId="14795" xr:uid="{2245E515-082F-4FE3-978D-D62EFE761380}"/>
    <cellStyle name="Normal 2 4 5 3 6 4" xfId="10577" xr:uid="{BD78E053-7705-4C7B-88D0-2195D76774F2}"/>
    <cellStyle name="Normal 2 4 5 3 7" xfId="2482" xr:uid="{00000000-0005-0000-0000-0000AB100000}"/>
    <cellStyle name="Normal 2 4 5 3 7 2" xfId="6766" xr:uid="{00000000-0005-0000-0000-0000AC100000}"/>
    <cellStyle name="Normal 2 4 5 3 7 2 2" xfId="15208" xr:uid="{39734972-1B09-4DD2-AFBB-12FD34F24AB3}"/>
    <cellStyle name="Normal 2 4 5 3 7 3" xfId="10990" xr:uid="{2AFE610A-9471-46CF-ADCC-5766D39891FE}"/>
    <cellStyle name="Normal 2 4 5 3 8" xfId="4700" xr:uid="{00000000-0005-0000-0000-0000AD100000}"/>
    <cellStyle name="Normal 2 4 5 3 8 2" xfId="13142" xr:uid="{35EB14DD-A12C-49B6-973F-1806C49767FD}"/>
    <cellStyle name="Normal 2 4 5 3 9" xfId="8924" xr:uid="{F80C55F6-24D5-4F72-8FA1-D24F611D0CC7}"/>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A17B3818-CF40-4D0C-BFD6-ECC790FCCBF1}"/>
    <cellStyle name="Normal 2 4 5 4 2 2 3" xfId="11485" xr:uid="{487CAC9F-61FA-4310-9571-24F0502A17E4}"/>
    <cellStyle name="Normal 2 4 5 4 2 3" xfId="5116" xr:uid="{00000000-0005-0000-0000-0000B2100000}"/>
    <cellStyle name="Normal 2 4 5 4 2 3 2" xfId="13558" xr:uid="{E2C1A8B8-4F86-4B4A-90D2-3E027D4A248A}"/>
    <cellStyle name="Normal 2 4 5 4 2 4" xfId="9340" xr:uid="{5F4DE131-364C-48D3-B0D1-EF34D3C28E32}"/>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FC45DF1D-2592-46F2-8AC0-E18C456D319F}"/>
    <cellStyle name="Normal 2 4 5 4 3 2 3" xfId="11898" xr:uid="{2C9A6304-9656-41DC-81DD-D8F3F6A08CDD}"/>
    <cellStyle name="Normal 2 4 5 4 3 3" xfId="5529" xr:uid="{00000000-0005-0000-0000-0000B6100000}"/>
    <cellStyle name="Normal 2 4 5 4 3 3 2" xfId="13971" xr:uid="{23E114A3-D866-4DC8-AF6D-5918F39405D3}"/>
    <cellStyle name="Normal 2 4 5 4 3 4" xfId="9753" xr:uid="{7D5C2269-124D-480D-A125-1EE961F55BBC}"/>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31CBC100-AA2E-4A8C-B724-6D963EF4127C}"/>
    <cellStyle name="Normal 2 4 5 4 4 2 3" xfId="12311" xr:uid="{E4F1FD2F-D6F7-4B5A-808A-6903DD4DD079}"/>
    <cellStyle name="Normal 2 4 5 4 4 3" xfId="5942" xr:uid="{00000000-0005-0000-0000-0000BA100000}"/>
    <cellStyle name="Normal 2 4 5 4 4 3 2" xfId="14384" xr:uid="{141A5900-AD3E-4D4F-B29A-5396DE990700}"/>
    <cellStyle name="Normal 2 4 5 4 4 4" xfId="10166" xr:uid="{D1CC78B4-23A5-4793-9144-848BB3B31953}"/>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11C77327-4A5D-4C1C-B971-B1138B744C33}"/>
    <cellStyle name="Normal 2 4 5 4 5 2 3" xfId="12724" xr:uid="{B3230065-D423-4E55-AE80-377BFEB17301}"/>
    <cellStyle name="Normal 2 4 5 4 5 3" xfId="6355" xr:uid="{00000000-0005-0000-0000-0000BE100000}"/>
    <cellStyle name="Normal 2 4 5 4 5 3 2" xfId="14797" xr:uid="{60547776-4C62-49E9-9BA2-8E860F527C59}"/>
    <cellStyle name="Normal 2 4 5 4 5 4" xfId="10579" xr:uid="{83712410-D44A-4F79-8E0B-EDDF6FECF146}"/>
    <cellStyle name="Normal 2 4 5 4 6" xfId="2484" xr:uid="{00000000-0005-0000-0000-0000BF100000}"/>
    <cellStyle name="Normal 2 4 5 4 6 2" xfId="6768" xr:uid="{00000000-0005-0000-0000-0000C0100000}"/>
    <cellStyle name="Normal 2 4 5 4 6 2 2" xfId="15210" xr:uid="{5B5660A5-0FF4-41C7-9342-03AF4F78FE7E}"/>
    <cellStyle name="Normal 2 4 5 4 6 3" xfId="10992" xr:uid="{4DFBD068-154F-4AFF-A5E5-4C5C1F1B9CB7}"/>
    <cellStyle name="Normal 2 4 5 4 7" xfId="4702" xr:uid="{00000000-0005-0000-0000-0000C1100000}"/>
    <cellStyle name="Normal 2 4 5 4 7 2" xfId="13144" xr:uid="{E6452F13-A750-4B2B-88AD-82A7707F8741}"/>
    <cellStyle name="Normal 2 4 5 4 8" xfId="8926" xr:uid="{0E477C55-1DCD-4D12-B467-173D21AD35B8}"/>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39EAB203-31D0-402D-AEF6-607B30AA184D}"/>
    <cellStyle name="Normal 2 4 5 5 2 3" xfId="11478" xr:uid="{43933A75-8E58-4D49-91A7-39C38511296C}"/>
    <cellStyle name="Normal 2 4 5 5 3" xfId="5109" xr:uid="{00000000-0005-0000-0000-0000C5100000}"/>
    <cellStyle name="Normal 2 4 5 5 3 2" xfId="13551" xr:uid="{D0E8960E-BFDF-4B8A-860E-7B2C26B42AC8}"/>
    <cellStyle name="Normal 2 4 5 5 4" xfId="9333" xr:uid="{0539E406-AC21-42EC-ADE0-9B5CA34599F6}"/>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8D3EFEA4-D8D9-4C56-823E-C8D3E4267B2F}"/>
    <cellStyle name="Normal 2 4 5 6 2 3" xfId="11891" xr:uid="{F353AB14-1863-4104-9D7D-E665C3CE3799}"/>
    <cellStyle name="Normal 2 4 5 6 3" xfId="5522" xr:uid="{00000000-0005-0000-0000-0000C9100000}"/>
    <cellStyle name="Normal 2 4 5 6 3 2" xfId="13964" xr:uid="{A60CD87A-C8D0-4BDE-A383-064CDA0CC192}"/>
    <cellStyle name="Normal 2 4 5 6 4" xfId="9746" xr:uid="{800BDC4B-56E0-4BFD-8230-A2334E4DBC40}"/>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EBA1D781-0DC1-4E3C-8DEE-53556F9BB7C0}"/>
    <cellStyle name="Normal 2 4 5 7 2 3" xfId="12304" xr:uid="{8F986492-1257-4D48-A4FD-0B43234F4769}"/>
    <cellStyle name="Normal 2 4 5 7 3" xfId="5935" xr:uid="{00000000-0005-0000-0000-0000CD100000}"/>
    <cellStyle name="Normal 2 4 5 7 3 2" xfId="14377" xr:uid="{C06D536D-E66C-407C-B56B-D479F70CAEDA}"/>
    <cellStyle name="Normal 2 4 5 7 4" xfId="10159" xr:uid="{EB3EF8AD-8A9C-4892-B6A7-2FD2F23D3F93}"/>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681DF979-49BE-44EF-876A-B93DF999B202}"/>
    <cellStyle name="Normal 2 4 5 8 2 3" xfId="12717" xr:uid="{A23549F1-BA7D-489A-A0CC-0A37E39B5BEC}"/>
    <cellStyle name="Normal 2 4 5 8 3" xfId="6348" xr:uid="{00000000-0005-0000-0000-0000D1100000}"/>
    <cellStyle name="Normal 2 4 5 8 3 2" xfId="14790" xr:uid="{B086B9FD-08B0-4272-A604-A959F820EEE2}"/>
    <cellStyle name="Normal 2 4 5 8 4" xfId="10572" xr:uid="{6D14F3A0-FD50-4BE7-9492-C50DE3A2B311}"/>
    <cellStyle name="Normal 2 4 5 9" xfId="2477" xr:uid="{00000000-0005-0000-0000-0000D2100000}"/>
    <cellStyle name="Normal 2 4 5 9 2" xfId="6761" xr:uid="{00000000-0005-0000-0000-0000D3100000}"/>
    <cellStyle name="Normal 2 4 5 9 2 2" xfId="15203" xr:uid="{79045B13-5930-4FE3-93ED-41D698FE0423}"/>
    <cellStyle name="Normal 2 4 5 9 3" xfId="10985" xr:uid="{FC344D8D-C410-4B41-97E4-5D3D65F2DE8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82CDE975-8F60-406C-8BBE-F7B84D5114B7}"/>
    <cellStyle name="Normal 2 4 7 2 2 2 3" xfId="11487" xr:uid="{2EE0A2CA-296E-42DB-8C4A-771FFF07E7F4}"/>
    <cellStyle name="Normal 2 4 7 2 2 3" xfId="5118" xr:uid="{00000000-0005-0000-0000-0000DA100000}"/>
    <cellStyle name="Normal 2 4 7 2 2 3 2" xfId="13560" xr:uid="{B1AAE507-610D-4535-AFEC-1166D1231562}"/>
    <cellStyle name="Normal 2 4 7 2 2 4" xfId="9342" xr:uid="{05E89EC2-8F94-45E9-98FF-62D88F4BE562}"/>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3CAD70CB-C75F-44DE-9534-16F4113EAEDF}"/>
    <cellStyle name="Normal 2 4 7 2 3 2 3" xfId="11900" xr:uid="{8FA2CD41-B0A9-4220-903A-7039E2E4C568}"/>
    <cellStyle name="Normal 2 4 7 2 3 3" xfId="5531" xr:uid="{00000000-0005-0000-0000-0000DE100000}"/>
    <cellStyle name="Normal 2 4 7 2 3 3 2" xfId="13973" xr:uid="{C96EFE6B-7019-428F-992D-6504BE8BFBCA}"/>
    <cellStyle name="Normal 2 4 7 2 3 4" xfId="9755" xr:uid="{1CF98469-2DC5-4B7E-8BCC-7BC4DD5B37B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5228B037-CD57-45D9-82CD-A4D44301A23F}"/>
    <cellStyle name="Normal 2 4 7 2 4 2 3" xfId="12313" xr:uid="{CBC7F385-1BBC-4375-BE85-1D292F6EE1F6}"/>
    <cellStyle name="Normal 2 4 7 2 4 3" xfId="5944" xr:uid="{00000000-0005-0000-0000-0000E2100000}"/>
    <cellStyle name="Normal 2 4 7 2 4 3 2" xfId="14386" xr:uid="{6944AD69-E86A-4C7F-AAC2-D97BD9396D62}"/>
    <cellStyle name="Normal 2 4 7 2 4 4" xfId="10168" xr:uid="{5241ADA6-A687-4A0B-ADBE-F1AC2455CFEB}"/>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3BDB4F14-BBFA-46A5-98F5-6FDC94DFD590}"/>
    <cellStyle name="Normal 2 4 7 2 5 2 3" xfId="12726" xr:uid="{39D9E2A9-2F10-4E44-BA63-B20EFB2F088F}"/>
    <cellStyle name="Normal 2 4 7 2 5 3" xfId="6357" xr:uid="{00000000-0005-0000-0000-0000E6100000}"/>
    <cellStyle name="Normal 2 4 7 2 5 3 2" xfId="14799" xr:uid="{6510375D-3E9B-457C-88F9-CB2991EA7B73}"/>
    <cellStyle name="Normal 2 4 7 2 5 4" xfId="10581" xr:uid="{95FEDBFC-2D4D-444B-BDC5-E99FAF5295EB}"/>
    <cellStyle name="Normal 2 4 7 2 6" xfId="2486" xr:uid="{00000000-0005-0000-0000-0000E7100000}"/>
    <cellStyle name="Normal 2 4 7 2 6 2" xfId="6770" xr:uid="{00000000-0005-0000-0000-0000E8100000}"/>
    <cellStyle name="Normal 2 4 7 2 6 2 2" xfId="15212" xr:uid="{C0874A68-7714-4CFB-8B5F-0A09DD7F884A}"/>
    <cellStyle name="Normal 2 4 7 2 6 3" xfId="10994" xr:uid="{93DA4D49-F73A-43A7-88B4-51076A7FADDE}"/>
    <cellStyle name="Normal 2 4 7 2 7" xfId="4704" xr:uid="{00000000-0005-0000-0000-0000E9100000}"/>
    <cellStyle name="Normal 2 4 7 2 7 2" xfId="13146" xr:uid="{E8704A64-42C5-498B-8FF5-13FECFEA7E20}"/>
    <cellStyle name="Normal 2 4 7 2 8" xfId="8928" xr:uid="{5F4F63B8-46B2-4ED8-8602-52B823BFF457}"/>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DAAA0303-025E-4876-93BB-ACCE5C108A80}"/>
    <cellStyle name="Normal 2 4 7 3 2 3" xfId="11486" xr:uid="{CB0A51A9-9646-436E-9927-0F39BCD1F44B}"/>
    <cellStyle name="Normal 2 4 7 3 3" xfId="5117" xr:uid="{00000000-0005-0000-0000-0000ED100000}"/>
    <cellStyle name="Normal 2 4 7 3 3 2" xfId="13559" xr:uid="{5E0C8114-AA2F-4B35-B623-E1A76A2A1495}"/>
    <cellStyle name="Normal 2 4 7 3 4" xfId="9341" xr:uid="{7FA50D9C-01CB-44CB-8707-8BE04F6B18E1}"/>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B15DC98C-7530-4321-AED9-82F018C72778}"/>
    <cellStyle name="Normal 2 4 7 4 2 3" xfId="11899" xr:uid="{E80511B2-1379-4BFC-9479-1C56D6D04130}"/>
    <cellStyle name="Normal 2 4 7 4 3" xfId="5530" xr:uid="{00000000-0005-0000-0000-0000F1100000}"/>
    <cellStyle name="Normal 2 4 7 4 3 2" xfId="13972" xr:uid="{46066525-702D-4893-BC55-A5730CA6001D}"/>
    <cellStyle name="Normal 2 4 7 4 4" xfId="9754" xr:uid="{B3CB4EDE-FCE3-4637-BE78-072F27BA769F}"/>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1A1F6787-039C-4693-ADF6-C41A7F758A4A}"/>
    <cellStyle name="Normal 2 4 7 5 2 3" xfId="12312" xr:uid="{F632C064-CA9E-43FA-BA00-A743CD7996E0}"/>
    <cellStyle name="Normal 2 4 7 5 3" xfId="5943" xr:uid="{00000000-0005-0000-0000-0000F5100000}"/>
    <cellStyle name="Normal 2 4 7 5 3 2" xfId="14385" xr:uid="{7CB556BD-0A89-4634-8A5A-084BC5A529C0}"/>
    <cellStyle name="Normal 2 4 7 5 4" xfId="10167" xr:uid="{8CF601A2-50C1-4016-AE8D-5EF87644B6C1}"/>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BFF5C72-5496-4B77-BDEF-FD475977E844}"/>
    <cellStyle name="Normal 2 4 7 6 2 3" xfId="12725" xr:uid="{522648B3-4741-48AA-867A-A8726D752B65}"/>
    <cellStyle name="Normal 2 4 7 6 3" xfId="6356" xr:uid="{00000000-0005-0000-0000-0000F9100000}"/>
    <cellStyle name="Normal 2 4 7 6 3 2" xfId="14798" xr:uid="{8C6B1960-5BBC-4CEF-8CBD-8D61B6C4FFE6}"/>
    <cellStyle name="Normal 2 4 7 6 4" xfId="10580" xr:uid="{5D455C28-17B0-43ED-8408-EF0E9A669EBA}"/>
    <cellStyle name="Normal 2 4 7 7" xfId="2485" xr:uid="{00000000-0005-0000-0000-0000FA100000}"/>
    <cellStyle name="Normal 2 4 7 7 2" xfId="6769" xr:uid="{00000000-0005-0000-0000-0000FB100000}"/>
    <cellStyle name="Normal 2 4 7 7 2 2" xfId="15211" xr:uid="{BD742685-1756-4673-AF6B-E8A847C81137}"/>
    <cellStyle name="Normal 2 4 7 7 3" xfId="10993" xr:uid="{B7864E3A-8DF7-4EA7-8742-CF85703FD2F4}"/>
    <cellStyle name="Normal 2 4 7 8" xfId="4703" xr:uid="{00000000-0005-0000-0000-0000FC100000}"/>
    <cellStyle name="Normal 2 4 7 8 2" xfId="13145" xr:uid="{EBBC7F8C-0B31-4634-8180-D40782C662E6}"/>
    <cellStyle name="Normal 2 4 7 9" xfId="8927" xr:uid="{68639478-E6CD-4D06-B741-578CF1B552C7}"/>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7E0193C1-20DB-4FB4-BB8B-470D9E657977}"/>
    <cellStyle name="Normal 2 4 8 2 2 3" xfId="11488" xr:uid="{7BCF93DD-4D1F-4C2D-8C0D-7E433EC17E4D}"/>
    <cellStyle name="Normal 2 4 8 2 3" xfId="5119" xr:uid="{00000000-0005-0000-0000-000001110000}"/>
    <cellStyle name="Normal 2 4 8 2 3 2" xfId="13561" xr:uid="{CDB6D410-D327-4584-B6C0-258C63D03AB2}"/>
    <cellStyle name="Normal 2 4 8 2 4" xfId="9343" xr:uid="{9215F2A0-E373-435E-8068-8BDD87E977D3}"/>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8A293CAF-FF5F-4563-A90B-D2B199B05270}"/>
    <cellStyle name="Normal 2 4 8 3 2 3" xfId="11901" xr:uid="{BBE735E3-4388-453C-B69E-6D3E1997C225}"/>
    <cellStyle name="Normal 2 4 8 3 3" xfId="5532" xr:uid="{00000000-0005-0000-0000-000005110000}"/>
    <cellStyle name="Normal 2 4 8 3 3 2" xfId="13974" xr:uid="{408FF66B-6FDA-4128-92E1-99806AB62FC0}"/>
    <cellStyle name="Normal 2 4 8 3 4" xfId="9756" xr:uid="{4ED2D3E3-2121-4E1C-AF89-F8BFDFC13AA0}"/>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F3EA464D-72DB-4021-9B1C-F923A75BD8EA}"/>
    <cellStyle name="Normal 2 4 8 4 2 3" xfId="12314" xr:uid="{4D78BDB8-7A6C-4F16-861D-52DCC894142B}"/>
    <cellStyle name="Normal 2 4 8 4 3" xfId="5945" xr:uid="{00000000-0005-0000-0000-000009110000}"/>
    <cellStyle name="Normal 2 4 8 4 3 2" xfId="14387" xr:uid="{36A30F4C-E4CF-4E7C-BABF-88C34EBE1724}"/>
    <cellStyle name="Normal 2 4 8 4 4" xfId="10169" xr:uid="{463870C5-6A17-4C9C-B3DD-59632F6CEC50}"/>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FA3B8D88-2859-40E3-9232-A4CAD4F8D15B}"/>
    <cellStyle name="Normal 2 4 8 5 2 3" xfId="12727" xr:uid="{AA3D8A44-F6D4-49AF-A023-769DC1C83598}"/>
    <cellStyle name="Normal 2 4 8 5 3" xfId="6358" xr:uid="{00000000-0005-0000-0000-00000D110000}"/>
    <cellStyle name="Normal 2 4 8 5 3 2" xfId="14800" xr:uid="{442FD362-4DC5-46C6-9194-68EE1D605385}"/>
    <cellStyle name="Normal 2 4 8 5 4" xfId="10582" xr:uid="{E4E05B57-FEDA-4204-B6C8-A49E0BDCFA68}"/>
    <cellStyle name="Normal 2 4 8 6" xfId="2487" xr:uid="{00000000-0005-0000-0000-00000E110000}"/>
    <cellStyle name="Normal 2 4 8 6 2" xfId="6771" xr:uid="{00000000-0005-0000-0000-00000F110000}"/>
    <cellStyle name="Normal 2 4 8 6 2 2" xfId="15213" xr:uid="{E25970B5-BDC9-4C1F-8558-4B0DCE95952E}"/>
    <cellStyle name="Normal 2 4 8 6 3" xfId="10995" xr:uid="{60F6D5CE-2B1C-4406-B80D-9CEFD017324A}"/>
    <cellStyle name="Normal 2 4 8 7" xfId="4705" xr:uid="{00000000-0005-0000-0000-000010110000}"/>
    <cellStyle name="Normal 2 4 8 7 2" xfId="13147" xr:uid="{CF1AB0DA-4858-4189-B3A9-9C34C364B8F9}"/>
    <cellStyle name="Normal 2 4 8 8" xfId="8929" xr:uid="{A0270606-2A21-43B6-AACD-1A5DC7B71C04}"/>
    <cellStyle name="Normal 2 5" xfId="315" xr:uid="{00000000-0005-0000-0000-000011110000}"/>
    <cellStyle name="Normal 2 5 10" xfId="4706" xr:uid="{00000000-0005-0000-0000-000012110000}"/>
    <cellStyle name="Normal 2 5 10 2" xfId="13148" xr:uid="{A887EED9-BD49-4E6F-A368-34E17F00BB92}"/>
    <cellStyle name="Normal 2 5 11" xfId="8930" xr:uid="{6386F5A0-CAE8-4C31-96E4-6D63015E4DA9}"/>
    <cellStyle name="Normal 2 5 2" xfId="316" xr:uid="{00000000-0005-0000-0000-000013110000}"/>
    <cellStyle name="Normal 2 5 3" xfId="317" xr:uid="{00000000-0005-0000-0000-000014110000}"/>
    <cellStyle name="Normal 2 5 4" xfId="318" xr:uid="{00000000-0005-0000-0000-000015110000}"/>
    <cellStyle name="Normal 2 5 4 10" xfId="8931" xr:uid="{369CFF6C-07D2-434F-B552-FD31ABEA4983}"/>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3AB1ADE5-E18E-4ECF-886F-122270F6CA17}"/>
    <cellStyle name="Normal 2 5 4 2 2 2 2 3" xfId="11492" xr:uid="{A5C07571-E61A-4C22-96EF-D6058B19BDEB}"/>
    <cellStyle name="Normal 2 5 4 2 2 2 3" xfId="5123" xr:uid="{00000000-0005-0000-0000-00001B110000}"/>
    <cellStyle name="Normal 2 5 4 2 2 2 3 2" xfId="13565" xr:uid="{39AF8E17-CB53-4289-B7D2-8CB67020C50E}"/>
    <cellStyle name="Normal 2 5 4 2 2 2 4" xfId="9347" xr:uid="{802E37C0-6A77-47DE-B565-E75835AB38A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A8C891C7-2A79-4408-9B6D-B6C1139A7A8F}"/>
    <cellStyle name="Normal 2 5 4 2 2 3 2 3" xfId="11905" xr:uid="{C37EEC1A-1037-4AF2-A05F-F82B221F9CD6}"/>
    <cellStyle name="Normal 2 5 4 2 2 3 3" xfId="5536" xr:uid="{00000000-0005-0000-0000-00001F110000}"/>
    <cellStyle name="Normal 2 5 4 2 2 3 3 2" xfId="13978" xr:uid="{E09376A7-6015-4156-9A2C-13DE4DFD00A6}"/>
    <cellStyle name="Normal 2 5 4 2 2 3 4" xfId="9760" xr:uid="{E483EE02-2B8C-406C-B8E7-DFAF94DAB911}"/>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E7802BA4-6719-42FA-B813-7748BE211D3B}"/>
    <cellStyle name="Normal 2 5 4 2 2 4 2 3" xfId="12318" xr:uid="{7E70AC31-4DA3-4EFF-9361-E751B9515F29}"/>
    <cellStyle name="Normal 2 5 4 2 2 4 3" xfId="5949" xr:uid="{00000000-0005-0000-0000-000023110000}"/>
    <cellStyle name="Normal 2 5 4 2 2 4 3 2" xfId="14391" xr:uid="{FD2886D9-A0EE-4ABF-8BED-7FD645F71A19}"/>
    <cellStyle name="Normal 2 5 4 2 2 4 4" xfId="10173" xr:uid="{EE3EE148-3718-46C7-AC0A-945A2669CF04}"/>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EEA4B608-B3CB-4D3F-AE5B-745B35A4D4C1}"/>
    <cellStyle name="Normal 2 5 4 2 2 5 2 3" xfId="12731" xr:uid="{157450DB-F653-41EE-BFB9-44FDB127AD99}"/>
    <cellStyle name="Normal 2 5 4 2 2 5 3" xfId="6362" xr:uid="{00000000-0005-0000-0000-000027110000}"/>
    <cellStyle name="Normal 2 5 4 2 2 5 3 2" xfId="14804" xr:uid="{DDE17FC9-2A4E-485E-B67A-8B5BB26A0197}"/>
    <cellStyle name="Normal 2 5 4 2 2 5 4" xfId="10586" xr:uid="{8E426713-DADE-4C93-B9B4-CCC2675C2AC6}"/>
    <cellStyle name="Normal 2 5 4 2 2 6" xfId="2491" xr:uid="{00000000-0005-0000-0000-000028110000}"/>
    <cellStyle name="Normal 2 5 4 2 2 6 2" xfId="6775" xr:uid="{00000000-0005-0000-0000-000029110000}"/>
    <cellStyle name="Normal 2 5 4 2 2 6 2 2" xfId="15217" xr:uid="{5ACD8EE9-9D1D-4740-BED4-A7DE14E622DE}"/>
    <cellStyle name="Normal 2 5 4 2 2 6 3" xfId="10999" xr:uid="{6B8EEA2E-A041-49CB-89ED-1A3D0DBF069A}"/>
    <cellStyle name="Normal 2 5 4 2 2 7" xfId="4709" xr:uid="{00000000-0005-0000-0000-00002A110000}"/>
    <cellStyle name="Normal 2 5 4 2 2 7 2" xfId="13151" xr:uid="{3B4747F9-C189-4FEE-9EE1-4F82366E78E2}"/>
    <cellStyle name="Normal 2 5 4 2 2 8" xfId="8933" xr:uid="{05487538-3142-4F3A-B1C3-4567BB07DDE3}"/>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1460675A-7F7D-47B2-BA36-735438F9B994}"/>
    <cellStyle name="Normal 2 5 4 2 3 2 3" xfId="11491" xr:uid="{4380D8AA-7E00-454D-AACA-95F24344A90A}"/>
    <cellStyle name="Normal 2 5 4 2 3 3" xfId="5122" xr:uid="{00000000-0005-0000-0000-00002E110000}"/>
    <cellStyle name="Normal 2 5 4 2 3 3 2" xfId="13564" xr:uid="{8CBDB6FA-33C1-473D-BDC3-AF401F51182F}"/>
    <cellStyle name="Normal 2 5 4 2 3 4" xfId="9346" xr:uid="{93022667-E588-4983-8C67-8523588DDE42}"/>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DB3520BA-1037-4BF0-B25F-37C1570240A9}"/>
    <cellStyle name="Normal 2 5 4 2 4 2 3" xfId="11904" xr:uid="{EC7E91EB-DF69-47A3-B073-8399F4D7530C}"/>
    <cellStyle name="Normal 2 5 4 2 4 3" xfId="5535" xr:uid="{00000000-0005-0000-0000-000032110000}"/>
    <cellStyle name="Normal 2 5 4 2 4 3 2" xfId="13977" xr:uid="{9DB5A8E5-706C-4BE7-BC60-7EAC53830D4B}"/>
    <cellStyle name="Normal 2 5 4 2 4 4" xfId="9759" xr:uid="{0EBD55FA-4007-4237-9B77-5E155E97330B}"/>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6C4846B7-A14D-4687-AD74-93652482FB1B}"/>
    <cellStyle name="Normal 2 5 4 2 5 2 3" xfId="12317" xr:uid="{14AA0B7F-96D8-46C8-8717-7A8BB756EBD8}"/>
    <cellStyle name="Normal 2 5 4 2 5 3" xfId="5948" xr:uid="{00000000-0005-0000-0000-000036110000}"/>
    <cellStyle name="Normal 2 5 4 2 5 3 2" xfId="14390" xr:uid="{53E4B882-F3BE-4A00-9D5D-4E07A865020D}"/>
    <cellStyle name="Normal 2 5 4 2 5 4" xfId="10172" xr:uid="{DF8CCEE3-F55A-47DA-A8DC-B56EE3296C1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2EECBA58-2E3D-4E9B-BEC1-2E6CAC81B570}"/>
    <cellStyle name="Normal 2 5 4 2 6 2 3" xfId="12730" xr:uid="{F13F3065-AE50-4C0E-8C2B-7AF3567FC428}"/>
    <cellStyle name="Normal 2 5 4 2 6 3" xfId="6361" xr:uid="{00000000-0005-0000-0000-00003A110000}"/>
    <cellStyle name="Normal 2 5 4 2 6 3 2" xfId="14803" xr:uid="{DD166694-8D84-4586-8DF6-796EC2805AAB}"/>
    <cellStyle name="Normal 2 5 4 2 6 4" xfId="10585" xr:uid="{9F5A6825-D1A2-432F-AB75-744307C1026D}"/>
    <cellStyle name="Normal 2 5 4 2 7" xfId="2490" xr:uid="{00000000-0005-0000-0000-00003B110000}"/>
    <cellStyle name="Normal 2 5 4 2 7 2" xfId="6774" xr:uid="{00000000-0005-0000-0000-00003C110000}"/>
    <cellStyle name="Normal 2 5 4 2 7 2 2" xfId="15216" xr:uid="{A49B645B-209E-4191-9A89-A982A468B435}"/>
    <cellStyle name="Normal 2 5 4 2 7 3" xfId="10998" xr:uid="{3A8B54E1-1256-4F42-8063-3A501285BC4C}"/>
    <cellStyle name="Normal 2 5 4 2 8" xfId="4708" xr:uid="{00000000-0005-0000-0000-00003D110000}"/>
    <cellStyle name="Normal 2 5 4 2 8 2" xfId="13150" xr:uid="{DE43E416-A28D-4D80-B831-090E04944696}"/>
    <cellStyle name="Normal 2 5 4 2 9" xfId="8932" xr:uid="{C84DE526-BD91-447E-BE91-8CB3F4943F1A}"/>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1C226E84-6F2D-4F67-8AD4-D800520E8099}"/>
    <cellStyle name="Normal 2 5 4 3 2 2 3" xfId="11493" xr:uid="{56B0B20E-7D33-4CE3-85BB-5A0ABA7759B6}"/>
    <cellStyle name="Normal 2 5 4 3 2 3" xfId="5124" xr:uid="{00000000-0005-0000-0000-000042110000}"/>
    <cellStyle name="Normal 2 5 4 3 2 3 2" xfId="13566" xr:uid="{9FE2E3C3-C11B-4ACA-A0A8-D325CC2ED590}"/>
    <cellStyle name="Normal 2 5 4 3 2 4" xfId="9348" xr:uid="{C8DE27AC-AEC0-4142-8FA1-EBF1607ED129}"/>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DCB29736-F63A-4AE7-BB31-E83B95AA8920}"/>
    <cellStyle name="Normal 2 5 4 3 3 2 3" xfId="11906" xr:uid="{58D38BBE-785B-4AC1-A124-54D530C9052D}"/>
    <cellStyle name="Normal 2 5 4 3 3 3" xfId="5537" xr:uid="{00000000-0005-0000-0000-000046110000}"/>
    <cellStyle name="Normal 2 5 4 3 3 3 2" xfId="13979" xr:uid="{BC9F72C0-2125-4A0F-A163-002C9E83C97E}"/>
    <cellStyle name="Normal 2 5 4 3 3 4" xfId="9761" xr:uid="{6AD40217-9774-4FEB-9B57-83B9EB3F4C23}"/>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5696D458-D9AF-45B3-A73E-29BE17D9BBD7}"/>
    <cellStyle name="Normal 2 5 4 3 4 2 3" xfId="12319" xr:uid="{0A929BDE-333A-4485-B90B-179D0D98729E}"/>
    <cellStyle name="Normal 2 5 4 3 4 3" xfId="5950" xr:uid="{00000000-0005-0000-0000-00004A110000}"/>
    <cellStyle name="Normal 2 5 4 3 4 3 2" xfId="14392" xr:uid="{FDAFE714-0A6E-43D8-B714-2F447D7AA52E}"/>
    <cellStyle name="Normal 2 5 4 3 4 4" xfId="10174" xr:uid="{E85AE834-FF66-47C0-B738-BD12BDC028E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E830590C-5796-4F66-ADE7-3B01B25E7322}"/>
    <cellStyle name="Normal 2 5 4 3 5 2 3" xfId="12732" xr:uid="{5AE08974-E917-460F-979E-605172636C0D}"/>
    <cellStyle name="Normal 2 5 4 3 5 3" xfId="6363" xr:uid="{00000000-0005-0000-0000-00004E110000}"/>
    <cellStyle name="Normal 2 5 4 3 5 3 2" xfId="14805" xr:uid="{DF7382A8-B99E-4689-B417-BFFF7D550A2D}"/>
    <cellStyle name="Normal 2 5 4 3 5 4" xfId="10587" xr:uid="{2DA2C471-EF21-42B0-B3D6-580A0B99B4C4}"/>
    <cellStyle name="Normal 2 5 4 3 6" xfId="2492" xr:uid="{00000000-0005-0000-0000-00004F110000}"/>
    <cellStyle name="Normal 2 5 4 3 6 2" xfId="6776" xr:uid="{00000000-0005-0000-0000-000050110000}"/>
    <cellStyle name="Normal 2 5 4 3 6 2 2" xfId="15218" xr:uid="{2EA0DF4A-FC10-4C42-B6F8-2B45F8774EFD}"/>
    <cellStyle name="Normal 2 5 4 3 6 3" xfId="11000" xr:uid="{F9F9CD28-252D-4D9D-8DF1-16C7F77C09ED}"/>
    <cellStyle name="Normal 2 5 4 3 7" xfId="4710" xr:uid="{00000000-0005-0000-0000-000051110000}"/>
    <cellStyle name="Normal 2 5 4 3 7 2" xfId="13152" xr:uid="{458FF5A5-611E-4D67-8C42-E0A828465BAB}"/>
    <cellStyle name="Normal 2 5 4 3 8" xfId="8934" xr:uid="{3B3DDCBA-CA04-4A45-9BE0-BFE5203FEAD4}"/>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429CE8FB-63E2-451A-A69C-825A57465003}"/>
    <cellStyle name="Normal 2 5 4 4 2 3" xfId="11490" xr:uid="{11C578A6-E3FF-4039-9418-6EA50A5A92FB}"/>
    <cellStyle name="Normal 2 5 4 4 3" xfId="5121" xr:uid="{00000000-0005-0000-0000-000055110000}"/>
    <cellStyle name="Normal 2 5 4 4 3 2" xfId="13563" xr:uid="{A9666989-D20A-47DA-B2BC-10156FAF3F6D}"/>
    <cellStyle name="Normal 2 5 4 4 4" xfId="9345" xr:uid="{012697F2-8D3B-4F8B-9E54-9C39511AEB3A}"/>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555A243B-E3FF-4A91-A34F-347A5CE1807B}"/>
    <cellStyle name="Normal 2 5 4 5 2 3" xfId="11903" xr:uid="{A56D0492-4A69-43AD-B672-FBCB7C8F1060}"/>
    <cellStyle name="Normal 2 5 4 5 3" xfId="5534" xr:uid="{00000000-0005-0000-0000-000059110000}"/>
    <cellStyle name="Normal 2 5 4 5 3 2" xfId="13976" xr:uid="{537DB4EE-5B31-4449-8885-F47C63D1CCA8}"/>
    <cellStyle name="Normal 2 5 4 5 4" xfId="9758" xr:uid="{D91F82A1-25B9-40B3-9F33-E3D559C09C82}"/>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472CF483-F0AA-4BAC-9B58-7BFDD4F12A8D}"/>
    <cellStyle name="Normal 2 5 4 6 2 3" xfId="12316" xr:uid="{60C44007-F2DE-4E23-BAC4-9EF5091120B8}"/>
    <cellStyle name="Normal 2 5 4 6 3" xfId="5947" xr:uid="{00000000-0005-0000-0000-00005D110000}"/>
    <cellStyle name="Normal 2 5 4 6 3 2" xfId="14389" xr:uid="{AC82C892-88A2-49D0-B989-1FFD9A4DCAEA}"/>
    <cellStyle name="Normal 2 5 4 6 4" xfId="10171" xr:uid="{29D53D93-5C9D-496B-A153-8B63C6D52318}"/>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04FF6981-4E07-494C-A0DA-6A80852AF18C}"/>
    <cellStyle name="Normal 2 5 4 7 2 3" xfId="12729" xr:uid="{E5B0332A-5A1A-402F-99C2-2908FC224028}"/>
    <cellStyle name="Normal 2 5 4 7 3" xfId="6360" xr:uid="{00000000-0005-0000-0000-000061110000}"/>
    <cellStyle name="Normal 2 5 4 7 3 2" xfId="14802" xr:uid="{2BC8ED6D-5997-4819-BE20-D730F2A7AED2}"/>
    <cellStyle name="Normal 2 5 4 7 4" xfId="10584" xr:uid="{FB157BC9-A486-427A-B0F0-BD7D077A0702}"/>
    <cellStyle name="Normal 2 5 4 8" xfId="2489" xr:uid="{00000000-0005-0000-0000-000062110000}"/>
    <cellStyle name="Normal 2 5 4 8 2" xfId="6773" xr:uid="{00000000-0005-0000-0000-000063110000}"/>
    <cellStyle name="Normal 2 5 4 8 2 2" xfId="15215" xr:uid="{97326780-1B18-4533-BBA5-D665FC5CB5C7}"/>
    <cellStyle name="Normal 2 5 4 8 3" xfId="10997" xr:uid="{C5C4E124-F728-44CF-AFCF-BD055FD7EF74}"/>
    <cellStyle name="Normal 2 5 4 9" xfId="4707" xr:uid="{00000000-0005-0000-0000-000064110000}"/>
    <cellStyle name="Normal 2 5 4 9 2" xfId="13149" xr:uid="{13A2D168-8230-4F07-9C72-04E120011BE3}"/>
    <cellStyle name="Normal 2 5 5" xfId="803" xr:uid="{00000000-0005-0000-0000-000065110000}"/>
    <cellStyle name="Normal 2 5 5 2" xfId="3042" xr:uid="{00000000-0005-0000-0000-000066110000}"/>
    <cellStyle name="Normal 2 5 5 2 2" xfId="7265" xr:uid="{00000000-0005-0000-0000-000067110000}"/>
    <cellStyle name="Normal 2 5 5 2 2 2" xfId="15707" xr:uid="{860CAC4D-308C-4F06-8304-C3214750DD49}"/>
    <cellStyle name="Normal 2 5 5 2 3" xfId="11489" xr:uid="{269151EA-4BE5-42BE-9470-A51331EFD7BE}"/>
    <cellStyle name="Normal 2 5 5 3" xfId="5120" xr:uid="{00000000-0005-0000-0000-000068110000}"/>
    <cellStyle name="Normal 2 5 5 3 2" xfId="13562" xr:uid="{FD385595-0D93-4ADE-B645-693DC0914F2D}"/>
    <cellStyle name="Normal 2 5 5 4" xfId="9344" xr:uid="{6CD7C5BD-CD07-43B5-962B-83662F5C0572}"/>
    <cellStyle name="Normal 2 5 6" xfId="1225" xr:uid="{00000000-0005-0000-0000-000069110000}"/>
    <cellStyle name="Normal 2 5 6 2" xfId="3455" xr:uid="{00000000-0005-0000-0000-00006A110000}"/>
    <cellStyle name="Normal 2 5 6 2 2" xfId="7678" xr:uid="{00000000-0005-0000-0000-00006B110000}"/>
    <cellStyle name="Normal 2 5 6 2 2 2" xfId="16120" xr:uid="{34FA9D4C-D33E-4FE8-9B41-30354ED7A0A9}"/>
    <cellStyle name="Normal 2 5 6 2 3" xfId="11902" xr:uid="{6080698B-DEC0-42A9-AE69-77FEAFDD983B}"/>
    <cellStyle name="Normal 2 5 6 3" xfId="5533" xr:uid="{00000000-0005-0000-0000-00006C110000}"/>
    <cellStyle name="Normal 2 5 6 3 2" xfId="13975" xr:uid="{424F3DF0-4BB2-4A6D-8CEA-B5F6C4BF1103}"/>
    <cellStyle name="Normal 2 5 6 4" xfId="9757" xr:uid="{F0448C52-606D-48FB-8549-6AE44CA9679F}"/>
    <cellStyle name="Normal 2 5 7" xfId="1638" xr:uid="{00000000-0005-0000-0000-00006D110000}"/>
    <cellStyle name="Normal 2 5 7 2" xfId="3868" xr:uid="{00000000-0005-0000-0000-00006E110000}"/>
    <cellStyle name="Normal 2 5 7 2 2" xfId="8091" xr:uid="{00000000-0005-0000-0000-00006F110000}"/>
    <cellStyle name="Normal 2 5 7 2 2 2" xfId="16533" xr:uid="{592D6C6E-0909-4BF0-AEEA-6636F4D9E63F}"/>
    <cellStyle name="Normal 2 5 7 2 3" xfId="12315" xr:uid="{695F4599-96E0-4B68-80F4-AAD8F5D47C30}"/>
    <cellStyle name="Normal 2 5 7 3" xfId="5946" xr:uid="{00000000-0005-0000-0000-000070110000}"/>
    <cellStyle name="Normal 2 5 7 3 2" xfId="14388" xr:uid="{B43D94DB-2565-46D5-9DC5-6D10AF3FD1B1}"/>
    <cellStyle name="Normal 2 5 7 4" xfId="10170" xr:uid="{D0384431-2EFA-442C-B5B2-62BB6360DC77}"/>
    <cellStyle name="Normal 2 5 8" xfId="2052" xr:uid="{00000000-0005-0000-0000-000071110000}"/>
    <cellStyle name="Normal 2 5 8 2" xfId="4281" xr:uid="{00000000-0005-0000-0000-000072110000}"/>
    <cellStyle name="Normal 2 5 8 2 2" xfId="8504" xr:uid="{00000000-0005-0000-0000-000073110000}"/>
    <cellStyle name="Normal 2 5 8 2 2 2" xfId="16946" xr:uid="{73227DFE-1120-446C-AE6C-DD0FD6FAB9A9}"/>
    <cellStyle name="Normal 2 5 8 2 3" xfId="12728" xr:uid="{7C92E59F-EB7D-49C9-9E61-271B2304741D}"/>
    <cellStyle name="Normal 2 5 8 3" xfId="6359" xr:uid="{00000000-0005-0000-0000-000074110000}"/>
    <cellStyle name="Normal 2 5 8 3 2" xfId="14801" xr:uid="{2863E567-D025-4460-94A4-5A9C4C880AD5}"/>
    <cellStyle name="Normal 2 5 8 4" xfId="10583" xr:uid="{A06F198A-83DD-425B-AE2B-08A4AA0B37C1}"/>
    <cellStyle name="Normal 2 5 9" xfId="2488" xr:uid="{00000000-0005-0000-0000-000075110000}"/>
    <cellStyle name="Normal 2 5 9 2" xfId="6772" xr:uid="{00000000-0005-0000-0000-000076110000}"/>
    <cellStyle name="Normal 2 5 9 2 2" xfId="15214" xr:uid="{BCFF9C93-0F41-4743-BD17-C207A0CADF58}"/>
    <cellStyle name="Normal 2 5 9 3" xfId="10996" xr:uid="{CF8D17BB-E860-41A1-8DBF-08861C2C69FF}"/>
    <cellStyle name="Normal 2 6" xfId="322" xr:uid="{00000000-0005-0000-0000-000077110000}"/>
    <cellStyle name="Normal 2 7" xfId="769" xr:uid="{00000000-0005-0000-0000-000078110000}"/>
    <cellStyle name="Normal 2 8" xfId="4495" xr:uid="{00000000-0005-0000-0000-000079110000}"/>
    <cellStyle name="Normal 2 8 2" xfId="12940" xr:uid="{2C8A144C-3AD8-4030-9ADB-0FEFE07AD4AB}"/>
    <cellStyle name="Normal 3" xfId="323" xr:uid="{00000000-0005-0000-0000-00007A110000}"/>
    <cellStyle name="Normal 3 2" xfId="324" xr:uid="{00000000-0005-0000-0000-00007B110000}"/>
    <cellStyle name="Normal 3 2 10" xfId="8935" xr:uid="{201C1355-B0A5-4114-A390-E002A100746F}"/>
    <cellStyle name="Normal 3 2 2" xfId="325" xr:uid="{00000000-0005-0000-0000-00007C110000}"/>
    <cellStyle name="Normal 3 2 2 2" xfId="810" xr:uid="{00000000-0005-0000-0000-00007D110000}"/>
    <cellStyle name="Normal 3 2 3" xfId="326" xr:uid="{00000000-0005-0000-0000-00007E110000}"/>
    <cellStyle name="Normal 3 2 3 10" xfId="8936" xr:uid="{6B04E990-6523-49DA-932D-EC2609ED98D4}"/>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1613ACA4-5159-4D99-8197-CC61654402AC}"/>
    <cellStyle name="Normal 3 2 3 2 2 2 2 3" xfId="11497" xr:uid="{101AC07E-C4B1-41AF-991A-5142C46ECB1C}"/>
    <cellStyle name="Normal 3 2 3 2 2 2 3" xfId="5128" xr:uid="{00000000-0005-0000-0000-000084110000}"/>
    <cellStyle name="Normal 3 2 3 2 2 2 3 2" xfId="13570" xr:uid="{16DD2BCF-1B59-4AE9-AEC9-29873D285A9D}"/>
    <cellStyle name="Normal 3 2 3 2 2 2 4" xfId="9352" xr:uid="{D710AABE-56A2-4E6C-9A6F-69121D60A4F9}"/>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7889BCB-00E1-468B-ABF1-291AD8A762EA}"/>
    <cellStyle name="Normal 3 2 3 2 2 3 2 3" xfId="11910" xr:uid="{E737EC74-7407-48BC-A751-0062215AD33E}"/>
    <cellStyle name="Normal 3 2 3 2 2 3 3" xfId="5541" xr:uid="{00000000-0005-0000-0000-000088110000}"/>
    <cellStyle name="Normal 3 2 3 2 2 3 3 2" xfId="13983" xr:uid="{A39020B1-87C0-4D5B-A2A3-1D50C63AA058}"/>
    <cellStyle name="Normal 3 2 3 2 2 3 4" xfId="9765" xr:uid="{8BFB6DB4-6E93-4E31-A037-3F8FA2B3E8A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9EF4FCF5-89B6-4FF5-AF58-3977DD6A253E}"/>
    <cellStyle name="Normal 3 2 3 2 2 4 2 3" xfId="12323" xr:uid="{FC7FAB73-D939-42DE-805C-9B8F54ED10F5}"/>
    <cellStyle name="Normal 3 2 3 2 2 4 3" xfId="5954" xr:uid="{00000000-0005-0000-0000-00008C110000}"/>
    <cellStyle name="Normal 3 2 3 2 2 4 3 2" xfId="14396" xr:uid="{41C8641C-6A27-4EA3-8B15-C5655973DBAB}"/>
    <cellStyle name="Normal 3 2 3 2 2 4 4" xfId="10178" xr:uid="{81979158-D49C-4CF9-A68B-B45FC3EEE4D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BD9EC794-147B-4AC4-BDBF-8837132ED619}"/>
    <cellStyle name="Normal 3 2 3 2 2 5 2 3" xfId="12736" xr:uid="{BE270FB7-FD97-47D6-82E1-569B1D2E648D}"/>
    <cellStyle name="Normal 3 2 3 2 2 5 3" xfId="6367" xr:uid="{00000000-0005-0000-0000-000090110000}"/>
    <cellStyle name="Normal 3 2 3 2 2 5 3 2" xfId="14809" xr:uid="{F00E9B56-9F0B-4991-AF4B-CFA651505CBC}"/>
    <cellStyle name="Normal 3 2 3 2 2 5 4" xfId="10591" xr:uid="{5205B382-7A9B-4E9C-937F-42A377E7E2A9}"/>
    <cellStyle name="Normal 3 2 3 2 2 6" xfId="2496" xr:uid="{00000000-0005-0000-0000-000091110000}"/>
    <cellStyle name="Normal 3 2 3 2 2 6 2" xfId="6780" xr:uid="{00000000-0005-0000-0000-000092110000}"/>
    <cellStyle name="Normal 3 2 3 2 2 6 2 2" xfId="15222" xr:uid="{71CE041A-B2DA-46F2-80E9-C3F508966A80}"/>
    <cellStyle name="Normal 3 2 3 2 2 6 3" xfId="11004" xr:uid="{D63684DC-32DF-4C65-8145-395409B71240}"/>
    <cellStyle name="Normal 3 2 3 2 2 7" xfId="4714" xr:uid="{00000000-0005-0000-0000-000093110000}"/>
    <cellStyle name="Normal 3 2 3 2 2 7 2" xfId="13156" xr:uid="{34C7443A-28E7-4DE6-B119-C91CB2830544}"/>
    <cellStyle name="Normal 3 2 3 2 2 8" xfId="8938" xr:uid="{B241250E-C1D1-4459-B950-9F52A434BBC8}"/>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554034FA-33E4-4CF7-9C59-F0DFA381526C}"/>
    <cellStyle name="Normal 3 2 3 2 3 2 3" xfId="11496" xr:uid="{C51BD438-A7BD-460E-B40F-31614D8D3158}"/>
    <cellStyle name="Normal 3 2 3 2 3 3" xfId="5127" xr:uid="{00000000-0005-0000-0000-000097110000}"/>
    <cellStyle name="Normal 3 2 3 2 3 3 2" xfId="13569" xr:uid="{C2393B1A-4F0F-407C-836E-E11151104EB3}"/>
    <cellStyle name="Normal 3 2 3 2 3 4" xfId="9351" xr:uid="{81B17562-F887-4B94-9AC4-227393F14F25}"/>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29124D06-CA8F-429C-8F4A-D4BC7F3D5C19}"/>
    <cellStyle name="Normal 3 2 3 2 4 2 3" xfId="11909" xr:uid="{B75C7445-D3BF-4F75-A649-EB754D57D5D5}"/>
    <cellStyle name="Normal 3 2 3 2 4 3" xfId="5540" xr:uid="{00000000-0005-0000-0000-00009B110000}"/>
    <cellStyle name="Normal 3 2 3 2 4 3 2" xfId="13982" xr:uid="{F0BC79EE-5D49-4B85-8EB8-7B71D32D81C5}"/>
    <cellStyle name="Normal 3 2 3 2 4 4" xfId="9764" xr:uid="{9F99537C-6383-41D0-BE53-7A8385A5A4D6}"/>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2376EF8C-1436-4387-9806-0A53E0CEAB12}"/>
    <cellStyle name="Normal 3 2 3 2 5 2 3" xfId="12322" xr:uid="{151FC9CB-B12A-4F36-8B30-7F037D97FB72}"/>
    <cellStyle name="Normal 3 2 3 2 5 3" xfId="5953" xr:uid="{00000000-0005-0000-0000-00009F110000}"/>
    <cellStyle name="Normal 3 2 3 2 5 3 2" xfId="14395" xr:uid="{3080F7C3-510B-4C40-BF2C-D32C9CFEF6D6}"/>
    <cellStyle name="Normal 3 2 3 2 5 4" xfId="10177" xr:uid="{1903A82B-E584-4AD6-A1CE-482BC70001E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8922552B-6134-435D-A133-ED700C492E57}"/>
    <cellStyle name="Normal 3 2 3 2 6 2 3" xfId="12735" xr:uid="{A1167383-3092-464A-8341-51E555CCEA80}"/>
    <cellStyle name="Normal 3 2 3 2 6 3" xfId="6366" xr:uid="{00000000-0005-0000-0000-0000A3110000}"/>
    <cellStyle name="Normal 3 2 3 2 6 3 2" xfId="14808" xr:uid="{FE909CEC-2319-4589-A228-4A7C409FC72C}"/>
    <cellStyle name="Normal 3 2 3 2 6 4" xfId="10590" xr:uid="{21247768-660B-4A3A-BE27-5067FD7281FD}"/>
    <cellStyle name="Normal 3 2 3 2 7" xfId="2495" xr:uid="{00000000-0005-0000-0000-0000A4110000}"/>
    <cellStyle name="Normal 3 2 3 2 7 2" xfId="6779" xr:uid="{00000000-0005-0000-0000-0000A5110000}"/>
    <cellStyle name="Normal 3 2 3 2 7 2 2" xfId="15221" xr:uid="{547A7111-1CEC-4A12-8D50-6801DA9A57E1}"/>
    <cellStyle name="Normal 3 2 3 2 7 3" xfId="11003" xr:uid="{C769E5A6-E27C-4BC5-B3EA-FCDBE3EF526D}"/>
    <cellStyle name="Normal 3 2 3 2 8" xfId="4713" xr:uid="{00000000-0005-0000-0000-0000A6110000}"/>
    <cellStyle name="Normal 3 2 3 2 8 2" xfId="13155" xr:uid="{E7491E89-C637-4291-9ECB-647F4A900C20}"/>
    <cellStyle name="Normal 3 2 3 2 9" xfId="8937" xr:uid="{250AA247-115D-474F-880C-B0AF5693B567}"/>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E4F3DFD1-5C19-490A-BD60-DC3B5B60B7BB}"/>
    <cellStyle name="Normal 3 2 3 3 2 2 3" xfId="11498" xr:uid="{C8151DFA-5A9A-4752-9297-1B8D8E81228F}"/>
    <cellStyle name="Normal 3 2 3 3 2 3" xfId="5129" xr:uid="{00000000-0005-0000-0000-0000AB110000}"/>
    <cellStyle name="Normal 3 2 3 3 2 3 2" xfId="13571" xr:uid="{CBF04A05-D951-4A8B-947D-2D9D6A7F1C60}"/>
    <cellStyle name="Normal 3 2 3 3 2 4" xfId="9353" xr:uid="{055404A4-5098-4C54-BAC5-4560B64767BE}"/>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DE756061-82D0-4E22-98EE-D7A074BAC5F0}"/>
    <cellStyle name="Normal 3 2 3 3 3 2 3" xfId="11911" xr:uid="{0226E632-A6ED-4053-8BBB-90124A846976}"/>
    <cellStyle name="Normal 3 2 3 3 3 3" xfId="5542" xr:uid="{00000000-0005-0000-0000-0000AF110000}"/>
    <cellStyle name="Normal 3 2 3 3 3 3 2" xfId="13984" xr:uid="{967A8899-52A2-4147-AE4B-B921FA8161D4}"/>
    <cellStyle name="Normal 3 2 3 3 3 4" xfId="9766" xr:uid="{AE84B21C-513A-4139-BB12-CA9267D43A9C}"/>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6E167D6B-09FC-40B9-B809-85819C9D751E}"/>
    <cellStyle name="Normal 3 2 3 3 4 2 3" xfId="12324" xr:uid="{7FE0F630-BDB0-4061-AFE8-018A45CEF3E1}"/>
    <cellStyle name="Normal 3 2 3 3 4 3" xfId="5955" xr:uid="{00000000-0005-0000-0000-0000B3110000}"/>
    <cellStyle name="Normal 3 2 3 3 4 3 2" xfId="14397" xr:uid="{6BC90366-3968-49AE-85C8-F49AEDCFD81E}"/>
    <cellStyle name="Normal 3 2 3 3 4 4" xfId="10179" xr:uid="{DE06160E-630D-440C-86C3-309109D2AFF1}"/>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BBF4F63E-C585-4915-AD69-708972C9B6F5}"/>
    <cellStyle name="Normal 3 2 3 3 5 2 3" xfId="12737" xr:uid="{D32534EF-8360-4DD3-9C62-DCDE8FD10592}"/>
    <cellStyle name="Normal 3 2 3 3 5 3" xfId="6368" xr:uid="{00000000-0005-0000-0000-0000B7110000}"/>
    <cellStyle name="Normal 3 2 3 3 5 3 2" xfId="14810" xr:uid="{7FE03CE4-83F8-4126-9134-5555DC8869A4}"/>
    <cellStyle name="Normal 3 2 3 3 5 4" xfId="10592" xr:uid="{EE808F4B-635F-4BDA-BFD5-7115F6FA51E5}"/>
    <cellStyle name="Normal 3 2 3 3 6" xfId="2497" xr:uid="{00000000-0005-0000-0000-0000B8110000}"/>
    <cellStyle name="Normal 3 2 3 3 6 2" xfId="6781" xr:uid="{00000000-0005-0000-0000-0000B9110000}"/>
    <cellStyle name="Normal 3 2 3 3 6 2 2" xfId="15223" xr:uid="{56C39E80-8107-466D-840D-1175AAF40B2B}"/>
    <cellStyle name="Normal 3 2 3 3 6 3" xfId="11005" xr:uid="{F75B81EE-9AD5-4129-9DF1-16E4954B072D}"/>
    <cellStyle name="Normal 3 2 3 3 7" xfId="4715" xr:uid="{00000000-0005-0000-0000-0000BA110000}"/>
    <cellStyle name="Normal 3 2 3 3 7 2" xfId="13157" xr:uid="{00AA2378-9219-4B0E-8AC3-C09603939A96}"/>
    <cellStyle name="Normal 3 2 3 3 8" xfId="8939" xr:uid="{0C600CCB-8987-4601-92BB-867F6CB4B936}"/>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EC6E6907-CF3D-4C89-BE9D-104AA2F5C1D0}"/>
    <cellStyle name="Normal 3 2 3 4 2 3" xfId="11495" xr:uid="{1660F988-F97B-429F-A587-A4D64E1A881D}"/>
    <cellStyle name="Normal 3 2 3 4 3" xfId="5126" xr:uid="{00000000-0005-0000-0000-0000BE110000}"/>
    <cellStyle name="Normal 3 2 3 4 3 2" xfId="13568" xr:uid="{BD109402-BB50-43CC-A735-48357EA873B6}"/>
    <cellStyle name="Normal 3 2 3 4 4" xfId="9350" xr:uid="{F15E772D-479A-4BF5-BC89-2D2CAD9F7D20}"/>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269356E4-D1F2-490F-836C-4A9BD2122785}"/>
    <cellStyle name="Normal 3 2 3 5 2 3" xfId="11908" xr:uid="{7621DB27-E6A6-4F14-BA5F-B109CA560550}"/>
    <cellStyle name="Normal 3 2 3 5 3" xfId="5539" xr:uid="{00000000-0005-0000-0000-0000C2110000}"/>
    <cellStyle name="Normal 3 2 3 5 3 2" xfId="13981" xr:uid="{F88C6501-4ADE-4493-8A3B-4AD5F4718367}"/>
    <cellStyle name="Normal 3 2 3 5 4" xfId="9763" xr:uid="{8572B2B5-F0BB-4A2B-8851-B39771C793E1}"/>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6E50AE1E-6239-4377-AA06-A0A61047874A}"/>
    <cellStyle name="Normal 3 2 3 6 2 3" xfId="12321" xr:uid="{47496317-3E36-48F5-B9A3-D9B785845CA0}"/>
    <cellStyle name="Normal 3 2 3 6 3" xfId="5952" xr:uid="{00000000-0005-0000-0000-0000C6110000}"/>
    <cellStyle name="Normal 3 2 3 6 3 2" xfId="14394" xr:uid="{347727AF-946D-42E2-A27A-5977827723D2}"/>
    <cellStyle name="Normal 3 2 3 6 4" xfId="10176" xr:uid="{52811DD6-BEED-4B7A-A190-18C22824A879}"/>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46ABE9B0-9135-4BD6-941D-59AAE30E9D0B}"/>
    <cellStyle name="Normal 3 2 3 7 2 3" xfId="12734" xr:uid="{A1D9CB2D-C385-4DB6-B1F4-09DCB8D5B30E}"/>
    <cellStyle name="Normal 3 2 3 7 3" xfId="6365" xr:uid="{00000000-0005-0000-0000-0000CA110000}"/>
    <cellStyle name="Normal 3 2 3 7 3 2" xfId="14807" xr:uid="{BBE858E1-9587-44D5-AC9E-0AFEC2285A53}"/>
    <cellStyle name="Normal 3 2 3 7 4" xfId="10589" xr:uid="{02E7F8D6-4285-4168-8135-AE64055F6DB1}"/>
    <cellStyle name="Normal 3 2 3 8" xfId="2494" xr:uid="{00000000-0005-0000-0000-0000CB110000}"/>
    <cellStyle name="Normal 3 2 3 8 2" xfId="6778" xr:uid="{00000000-0005-0000-0000-0000CC110000}"/>
    <cellStyle name="Normal 3 2 3 8 2 2" xfId="15220" xr:uid="{223AA3B5-8E45-4063-A7F2-808B53ABC7EC}"/>
    <cellStyle name="Normal 3 2 3 8 3" xfId="11002" xr:uid="{56C88E22-39A5-4C34-BE94-91487943EB64}"/>
    <cellStyle name="Normal 3 2 3 9" xfId="4712" xr:uid="{00000000-0005-0000-0000-0000CD110000}"/>
    <cellStyle name="Normal 3 2 3 9 2" xfId="13154" xr:uid="{2D180A10-DAAB-43F1-9179-94133FD37F18}"/>
    <cellStyle name="Normal 3 2 4" xfId="809" xr:uid="{00000000-0005-0000-0000-0000CE110000}"/>
    <cellStyle name="Normal 3 2 4 2" xfId="3047" xr:uid="{00000000-0005-0000-0000-0000CF110000}"/>
    <cellStyle name="Normal 3 2 4 2 2" xfId="7270" xr:uid="{00000000-0005-0000-0000-0000D0110000}"/>
    <cellStyle name="Normal 3 2 4 2 2 2" xfId="15712" xr:uid="{A48F7FBE-F041-4FB9-9D4E-B6C95B1605F3}"/>
    <cellStyle name="Normal 3 2 4 2 3" xfId="11494" xr:uid="{A7779961-DE85-46E4-881A-357BFEBC8880}"/>
    <cellStyle name="Normal 3 2 4 3" xfId="5125" xr:uid="{00000000-0005-0000-0000-0000D1110000}"/>
    <cellStyle name="Normal 3 2 4 3 2" xfId="13567" xr:uid="{8ACBA053-CD4F-4E5E-934E-F229E4E17FFC}"/>
    <cellStyle name="Normal 3 2 4 4" xfId="9349" xr:uid="{226A1819-3A95-41C9-AC2D-DC9AA633E021}"/>
    <cellStyle name="Normal 3 2 5" xfId="1230" xr:uid="{00000000-0005-0000-0000-0000D2110000}"/>
    <cellStyle name="Normal 3 2 5 2" xfId="3460" xr:uid="{00000000-0005-0000-0000-0000D3110000}"/>
    <cellStyle name="Normal 3 2 5 2 2" xfId="7683" xr:uid="{00000000-0005-0000-0000-0000D4110000}"/>
    <cellStyle name="Normal 3 2 5 2 2 2" xfId="16125" xr:uid="{12340E65-87DC-4F70-ACFF-3E5452AD9303}"/>
    <cellStyle name="Normal 3 2 5 2 3" xfId="11907" xr:uid="{FFF30726-EBEA-47E9-849F-1829DB182236}"/>
    <cellStyle name="Normal 3 2 5 3" xfId="5538" xr:uid="{00000000-0005-0000-0000-0000D5110000}"/>
    <cellStyle name="Normal 3 2 5 3 2" xfId="13980" xr:uid="{962F2D67-42FB-427B-91B6-EB4298FDAA40}"/>
    <cellStyle name="Normal 3 2 5 4" xfId="9762" xr:uid="{3A81925B-EEF9-41E7-9463-378F3B5DD185}"/>
    <cellStyle name="Normal 3 2 6" xfId="1643" xr:uid="{00000000-0005-0000-0000-0000D6110000}"/>
    <cellStyle name="Normal 3 2 6 2" xfId="3873" xr:uid="{00000000-0005-0000-0000-0000D7110000}"/>
    <cellStyle name="Normal 3 2 6 2 2" xfId="8096" xr:uid="{00000000-0005-0000-0000-0000D8110000}"/>
    <cellStyle name="Normal 3 2 6 2 2 2" xfId="16538" xr:uid="{DEDAF5EB-04EB-4303-A809-D10C975FF34C}"/>
    <cellStyle name="Normal 3 2 6 2 3" xfId="12320" xr:uid="{4292E8D8-05B5-448B-9D27-AFCD3985DD0B}"/>
    <cellStyle name="Normal 3 2 6 3" xfId="5951" xr:uid="{00000000-0005-0000-0000-0000D9110000}"/>
    <cellStyle name="Normal 3 2 6 3 2" xfId="14393" xr:uid="{DF642A9E-CE5E-47A7-A988-FD22A94A0772}"/>
    <cellStyle name="Normal 3 2 6 4" xfId="10175" xr:uid="{E747173D-0806-4B5F-8CDB-03A232381751}"/>
    <cellStyle name="Normal 3 2 7" xfId="2057" xr:uid="{00000000-0005-0000-0000-0000DA110000}"/>
    <cellStyle name="Normal 3 2 7 2" xfId="4286" xr:uid="{00000000-0005-0000-0000-0000DB110000}"/>
    <cellStyle name="Normal 3 2 7 2 2" xfId="8509" xr:uid="{00000000-0005-0000-0000-0000DC110000}"/>
    <cellStyle name="Normal 3 2 7 2 2 2" xfId="16951" xr:uid="{09877128-DDDC-4926-B1E3-CB4218600568}"/>
    <cellStyle name="Normal 3 2 7 2 3" xfId="12733" xr:uid="{5DCD17B0-85AE-48F2-B001-92974942BE12}"/>
    <cellStyle name="Normal 3 2 7 3" xfId="6364" xr:uid="{00000000-0005-0000-0000-0000DD110000}"/>
    <cellStyle name="Normal 3 2 7 3 2" xfId="14806" xr:uid="{897FAD53-43AF-4D20-8D4A-3D4666BE3B46}"/>
    <cellStyle name="Normal 3 2 7 4" xfId="10588" xr:uid="{F0F024B8-9B10-4D97-AFE2-06E1382D4D97}"/>
    <cellStyle name="Normal 3 2 8" xfId="2493" xr:uid="{00000000-0005-0000-0000-0000DE110000}"/>
    <cellStyle name="Normal 3 2 8 2" xfId="6777" xr:uid="{00000000-0005-0000-0000-0000DF110000}"/>
    <cellStyle name="Normal 3 2 8 2 2" xfId="15219" xr:uid="{13044E59-41F0-4C21-98CB-337BD49E19E1}"/>
    <cellStyle name="Normal 3 2 8 3" xfId="11001" xr:uid="{B5C3926B-BA4A-4A3C-94DF-4E58C1CE0C94}"/>
    <cellStyle name="Normal 3 2 9" xfId="4711" xr:uid="{00000000-0005-0000-0000-0000E0110000}"/>
    <cellStyle name="Normal 3 2 9 2" xfId="13153" xr:uid="{2B573B58-660D-41C8-ADAB-DB5EBC4A845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0E408DA5-BE15-4A21-9037-49B5DF81510A}"/>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CDAFB801-7A25-4961-A496-CBF10B3F222D}"/>
    <cellStyle name="Normal 4 2 2 10 2 3" xfId="12738" xr:uid="{2AE48A52-ADEE-43A7-9B4B-2CF3701B7EAA}"/>
    <cellStyle name="Normal 4 2 2 10 3" xfId="6369" xr:uid="{00000000-0005-0000-0000-0000ED110000}"/>
    <cellStyle name="Normal 4 2 2 10 3 2" xfId="14811" xr:uid="{3B509CAE-88A1-4BB9-8BD0-80DB6DDE54B4}"/>
    <cellStyle name="Normal 4 2 2 10 4" xfId="10593" xr:uid="{888E8A0C-8B15-4924-9DBC-F349C0EE2CBB}"/>
    <cellStyle name="Normal 4 2 2 11" xfId="2498" xr:uid="{00000000-0005-0000-0000-0000EE110000}"/>
    <cellStyle name="Normal 4 2 2 11 2" xfId="6782" xr:uid="{00000000-0005-0000-0000-0000EF110000}"/>
    <cellStyle name="Normal 4 2 2 11 2 2" xfId="15224" xr:uid="{2C002281-65E6-493E-A2CA-955030428889}"/>
    <cellStyle name="Normal 4 2 2 11 3" xfId="11006" xr:uid="{D92E3B21-1CB2-47B4-9DF8-BC7B1CFC7301}"/>
    <cellStyle name="Normal 4 2 2 12" xfId="4717" xr:uid="{00000000-0005-0000-0000-0000F0110000}"/>
    <cellStyle name="Normal 4 2 2 12 2" xfId="13159" xr:uid="{CC44B7F2-B524-4312-9E27-DB339BCD345E}"/>
    <cellStyle name="Normal 4 2 2 13" xfId="8941" xr:uid="{C8F604C6-471A-4041-A26F-624E70DB36A1}"/>
    <cellStyle name="Normal 4 2 2 2" xfId="338" xr:uid="{00000000-0005-0000-0000-0000F1110000}"/>
    <cellStyle name="Normal 4 2 2 3" xfId="339" xr:uid="{00000000-0005-0000-0000-0000F2110000}"/>
    <cellStyle name="Normal 4 2 2 3 10" xfId="4718" xr:uid="{00000000-0005-0000-0000-0000F3110000}"/>
    <cellStyle name="Normal 4 2 2 3 10 2" xfId="13160" xr:uid="{0DD067DB-6C71-42D0-AD38-5598A0301A12}"/>
    <cellStyle name="Normal 4 2 2 3 11" xfId="8942" xr:uid="{2A527DC4-D316-489E-9DAE-DB1E0ABAD529}"/>
    <cellStyle name="Normal 4 2 2 3 2" xfId="340" xr:uid="{00000000-0005-0000-0000-0000F4110000}"/>
    <cellStyle name="Normal 4 2 2 3 2 10" xfId="8943" xr:uid="{4758A5BD-42A0-42E6-8BC3-039878E57F9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A848297C-5E1D-43F1-9003-2F95A2961DE3}"/>
    <cellStyle name="Normal 4 2 2 3 2 2 2 2 2 3" xfId="11503" xr:uid="{D3B9E6DD-982C-43A8-893E-7DAB027FB841}"/>
    <cellStyle name="Normal 4 2 2 3 2 2 2 2 3" xfId="5134" xr:uid="{00000000-0005-0000-0000-0000FA110000}"/>
    <cellStyle name="Normal 4 2 2 3 2 2 2 2 3 2" xfId="13576" xr:uid="{FF723ED9-9BD0-44D7-A8E1-78560467AF7B}"/>
    <cellStyle name="Normal 4 2 2 3 2 2 2 2 4" xfId="9358" xr:uid="{EE6FA0C9-1BA9-421E-B561-33C093EBA8E9}"/>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B0927036-5C00-41E7-9310-F028F222B50A}"/>
    <cellStyle name="Normal 4 2 2 3 2 2 2 3 2 3" xfId="11916" xr:uid="{3C7FA16F-27AF-4B33-AE21-BF9041C94A98}"/>
    <cellStyle name="Normal 4 2 2 3 2 2 2 3 3" xfId="5547" xr:uid="{00000000-0005-0000-0000-0000FE110000}"/>
    <cellStyle name="Normal 4 2 2 3 2 2 2 3 3 2" xfId="13989" xr:uid="{42B0BA61-4C36-4D95-A8E8-17670091A4A7}"/>
    <cellStyle name="Normal 4 2 2 3 2 2 2 3 4" xfId="9771" xr:uid="{46B59895-FD54-46E1-8342-E7B0E69B253D}"/>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CE20CF2E-C99B-4B2E-9C2C-5B2226F3831F}"/>
    <cellStyle name="Normal 4 2 2 3 2 2 2 4 2 3" xfId="12329" xr:uid="{2DC9280F-D7BB-4E6A-A434-2F39F480D4E7}"/>
    <cellStyle name="Normal 4 2 2 3 2 2 2 4 3" xfId="5960" xr:uid="{00000000-0005-0000-0000-000002120000}"/>
    <cellStyle name="Normal 4 2 2 3 2 2 2 4 3 2" xfId="14402" xr:uid="{70D2DE34-291C-48FB-98A0-6864EF9CA6E6}"/>
    <cellStyle name="Normal 4 2 2 3 2 2 2 4 4" xfId="10184" xr:uid="{11E3139A-591E-4175-A190-4DF2C96F06C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B6D5A3E8-79C3-46E0-836E-36C5FF770440}"/>
    <cellStyle name="Normal 4 2 2 3 2 2 2 5 2 3" xfId="12742" xr:uid="{91EF7DF7-FB82-4A53-99B7-3D04208BB3BA}"/>
    <cellStyle name="Normal 4 2 2 3 2 2 2 5 3" xfId="6373" xr:uid="{00000000-0005-0000-0000-000006120000}"/>
    <cellStyle name="Normal 4 2 2 3 2 2 2 5 3 2" xfId="14815" xr:uid="{C6F31AA8-6014-4C87-A735-C6430540720D}"/>
    <cellStyle name="Normal 4 2 2 3 2 2 2 5 4" xfId="10597" xr:uid="{91904955-5D40-4972-A4F3-5CF723E73962}"/>
    <cellStyle name="Normal 4 2 2 3 2 2 2 6" xfId="2502" xr:uid="{00000000-0005-0000-0000-000007120000}"/>
    <cellStyle name="Normal 4 2 2 3 2 2 2 6 2" xfId="6786" xr:uid="{00000000-0005-0000-0000-000008120000}"/>
    <cellStyle name="Normal 4 2 2 3 2 2 2 6 2 2" xfId="15228" xr:uid="{28B80F8E-0B27-44C1-86B2-AD5613C13792}"/>
    <cellStyle name="Normal 4 2 2 3 2 2 2 6 3" xfId="11010" xr:uid="{8C4B1ADB-2F71-4449-8F91-1039430B0AC1}"/>
    <cellStyle name="Normal 4 2 2 3 2 2 2 7" xfId="4721" xr:uid="{00000000-0005-0000-0000-000009120000}"/>
    <cellStyle name="Normal 4 2 2 3 2 2 2 7 2" xfId="13163" xr:uid="{A7ECB0CE-AB9E-4E1A-BBAE-D04C36C413BB}"/>
    <cellStyle name="Normal 4 2 2 3 2 2 2 8" xfId="8945" xr:uid="{13569FE5-230C-4BB8-8D5F-7B0C26DCE472}"/>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85BC6206-C421-4C86-935E-AC7AC77CCF60}"/>
    <cellStyle name="Normal 4 2 2 3 2 2 3 2 3" xfId="11502" xr:uid="{CF276869-1E0D-475B-9DFA-613F6CAC2E29}"/>
    <cellStyle name="Normal 4 2 2 3 2 2 3 3" xfId="5133" xr:uid="{00000000-0005-0000-0000-00000D120000}"/>
    <cellStyle name="Normal 4 2 2 3 2 2 3 3 2" xfId="13575" xr:uid="{51D77BB5-C522-43D8-82F2-5433C92171B9}"/>
    <cellStyle name="Normal 4 2 2 3 2 2 3 4" xfId="9357" xr:uid="{695673F4-C275-4974-9454-560F580D290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CB92E0E5-FEA2-48D6-BFCF-09A2E760170C}"/>
    <cellStyle name="Normal 4 2 2 3 2 2 4 2 3" xfId="11915" xr:uid="{BDA8DD4D-3B82-4A4C-878D-09CC84CC7D72}"/>
    <cellStyle name="Normal 4 2 2 3 2 2 4 3" xfId="5546" xr:uid="{00000000-0005-0000-0000-000011120000}"/>
    <cellStyle name="Normal 4 2 2 3 2 2 4 3 2" xfId="13988" xr:uid="{CD0726FD-6D01-4D9C-A5B9-D6860B131473}"/>
    <cellStyle name="Normal 4 2 2 3 2 2 4 4" xfId="9770" xr:uid="{D12388DE-797D-463A-A3F5-94FEE94C306E}"/>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92259E94-09E2-4458-B2BE-8025D0DA5332}"/>
    <cellStyle name="Normal 4 2 2 3 2 2 5 2 3" xfId="12328" xr:uid="{605EE754-3B82-42DC-BE7C-358E18B523E7}"/>
    <cellStyle name="Normal 4 2 2 3 2 2 5 3" xfId="5959" xr:uid="{00000000-0005-0000-0000-000015120000}"/>
    <cellStyle name="Normal 4 2 2 3 2 2 5 3 2" xfId="14401" xr:uid="{DFAC8C88-1BAE-42DA-8BC1-9309BD449207}"/>
    <cellStyle name="Normal 4 2 2 3 2 2 5 4" xfId="10183" xr:uid="{365DE47C-2570-49A8-92FA-E610F3D35368}"/>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4270C3C7-E64F-4883-BCEA-1A4CD3DAEA98}"/>
    <cellStyle name="Normal 4 2 2 3 2 2 6 2 3" xfId="12741" xr:uid="{85CC6DE9-F6AD-4686-AB5D-C96F9AC9F7A0}"/>
    <cellStyle name="Normal 4 2 2 3 2 2 6 3" xfId="6372" xr:uid="{00000000-0005-0000-0000-000019120000}"/>
    <cellStyle name="Normal 4 2 2 3 2 2 6 3 2" xfId="14814" xr:uid="{2B57DD34-78AA-4F75-A19C-B889EE355BAE}"/>
    <cellStyle name="Normal 4 2 2 3 2 2 6 4" xfId="10596" xr:uid="{A1D52E1A-91E9-4EF2-8C4B-5AF81F34754D}"/>
    <cellStyle name="Normal 4 2 2 3 2 2 7" xfId="2501" xr:uid="{00000000-0005-0000-0000-00001A120000}"/>
    <cellStyle name="Normal 4 2 2 3 2 2 7 2" xfId="6785" xr:uid="{00000000-0005-0000-0000-00001B120000}"/>
    <cellStyle name="Normal 4 2 2 3 2 2 7 2 2" xfId="15227" xr:uid="{30F41B1D-8A34-43DF-841C-114AFE979602}"/>
    <cellStyle name="Normal 4 2 2 3 2 2 7 3" xfId="11009" xr:uid="{E7681A13-9888-456D-86C2-19CF73D1321D}"/>
    <cellStyle name="Normal 4 2 2 3 2 2 8" xfId="4720" xr:uid="{00000000-0005-0000-0000-00001C120000}"/>
    <cellStyle name="Normal 4 2 2 3 2 2 8 2" xfId="13162" xr:uid="{8F65ACAD-B951-40F6-8363-C451E2F2A4A0}"/>
    <cellStyle name="Normal 4 2 2 3 2 2 9" xfId="8944" xr:uid="{2EFBA437-431D-42DC-A36E-5C83F3A9B9CC}"/>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AAEB13C5-E956-4B25-8D55-35BD620F82B7}"/>
    <cellStyle name="Normal 4 2 2 3 2 3 2 2 3" xfId="11504" xr:uid="{BECCA20E-85B9-4BD4-906E-A02258E29F08}"/>
    <cellStyle name="Normal 4 2 2 3 2 3 2 3" xfId="5135" xr:uid="{00000000-0005-0000-0000-000021120000}"/>
    <cellStyle name="Normal 4 2 2 3 2 3 2 3 2" xfId="13577" xr:uid="{EB4546C6-D728-4825-856B-3A95385725A9}"/>
    <cellStyle name="Normal 4 2 2 3 2 3 2 4" xfId="9359" xr:uid="{CF071579-C382-4CA9-9B82-63739CC2ECB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5D77DBE0-BEDC-46D4-A7AC-ABF1D85F1432}"/>
    <cellStyle name="Normal 4 2 2 3 2 3 3 2 3" xfId="11917" xr:uid="{132670CE-EC3F-48CC-8305-93EC9606681F}"/>
    <cellStyle name="Normal 4 2 2 3 2 3 3 3" xfId="5548" xr:uid="{00000000-0005-0000-0000-000025120000}"/>
    <cellStyle name="Normal 4 2 2 3 2 3 3 3 2" xfId="13990" xr:uid="{356D4D6F-E85E-4AFD-B875-E5AD873AB363}"/>
    <cellStyle name="Normal 4 2 2 3 2 3 3 4" xfId="9772" xr:uid="{0C208FE9-23E4-458C-9242-144EBFB1FB55}"/>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CBCEFD01-42D3-4867-9001-4DFA29B4414A}"/>
    <cellStyle name="Normal 4 2 2 3 2 3 4 2 3" xfId="12330" xr:uid="{C516A6A5-D798-4B5F-8867-4D24761AF8A7}"/>
    <cellStyle name="Normal 4 2 2 3 2 3 4 3" xfId="5961" xr:uid="{00000000-0005-0000-0000-000029120000}"/>
    <cellStyle name="Normal 4 2 2 3 2 3 4 3 2" xfId="14403" xr:uid="{867A9F32-4780-4F91-9511-A31F77BEF23F}"/>
    <cellStyle name="Normal 4 2 2 3 2 3 4 4" xfId="10185" xr:uid="{1FD0FD9A-2107-438A-A98C-1A06A3007419}"/>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0699637A-16F1-41D0-9A44-8289D126E768}"/>
    <cellStyle name="Normal 4 2 2 3 2 3 5 2 3" xfId="12743" xr:uid="{A79FCC87-5836-4DB0-AE7F-0C4F5DD84C70}"/>
    <cellStyle name="Normal 4 2 2 3 2 3 5 3" xfId="6374" xr:uid="{00000000-0005-0000-0000-00002D120000}"/>
    <cellStyle name="Normal 4 2 2 3 2 3 5 3 2" xfId="14816" xr:uid="{2F0120E3-5F12-46F8-8745-0204D4AE6F19}"/>
    <cellStyle name="Normal 4 2 2 3 2 3 5 4" xfId="10598" xr:uid="{45938EE5-588A-4C0B-A837-1659757FE58C}"/>
    <cellStyle name="Normal 4 2 2 3 2 3 6" xfId="2503" xr:uid="{00000000-0005-0000-0000-00002E120000}"/>
    <cellStyle name="Normal 4 2 2 3 2 3 6 2" xfId="6787" xr:uid="{00000000-0005-0000-0000-00002F120000}"/>
    <cellStyle name="Normal 4 2 2 3 2 3 6 2 2" xfId="15229" xr:uid="{DACFCF92-527B-45BC-9239-8FB67CF837F1}"/>
    <cellStyle name="Normal 4 2 2 3 2 3 6 3" xfId="11011" xr:uid="{5846E880-C717-4F5F-A535-096245482B4D}"/>
    <cellStyle name="Normal 4 2 2 3 2 3 7" xfId="4722" xr:uid="{00000000-0005-0000-0000-000030120000}"/>
    <cellStyle name="Normal 4 2 2 3 2 3 7 2" xfId="13164" xr:uid="{AEC21ACA-BA52-4E2D-9754-9EA0F3D35B60}"/>
    <cellStyle name="Normal 4 2 2 3 2 3 8" xfId="8946" xr:uid="{B8B07229-6B8B-4931-BC99-950E7DCD1F14}"/>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2AF0CA69-3BE7-43E8-9F56-75F044C342AC}"/>
    <cellStyle name="Normal 4 2 2 3 2 4 2 3" xfId="11501" xr:uid="{8EC7EF28-7E5D-4046-A54A-71171965B3E8}"/>
    <cellStyle name="Normal 4 2 2 3 2 4 3" xfId="5132" xr:uid="{00000000-0005-0000-0000-000034120000}"/>
    <cellStyle name="Normal 4 2 2 3 2 4 3 2" xfId="13574" xr:uid="{AAF9B08F-25B6-436E-ADE2-A03593881C09}"/>
    <cellStyle name="Normal 4 2 2 3 2 4 4" xfId="9356" xr:uid="{321E40C5-8FA7-4F19-BC57-33528B10DE0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E790EA40-9F02-4954-942F-B44BE6FDD9EF}"/>
    <cellStyle name="Normal 4 2 2 3 2 5 2 3" xfId="11914" xr:uid="{E835218F-9ED0-4429-AD0E-EEAA89B669E4}"/>
    <cellStyle name="Normal 4 2 2 3 2 5 3" xfId="5545" xr:uid="{00000000-0005-0000-0000-000038120000}"/>
    <cellStyle name="Normal 4 2 2 3 2 5 3 2" xfId="13987" xr:uid="{E3BD368A-EC74-44B2-A7C2-A0488DBB3B57}"/>
    <cellStyle name="Normal 4 2 2 3 2 5 4" xfId="9769" xr:uid="{FAA8D46C-DBEF-4D05-A1D2-9C7D2A1A5B03}"/>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36F15BD6-9C27-4104-A348-F40C488FFE02}"/>
    <cellStyle name="Normal 4 2 2 3 2 6 2 3" xfId="12327" xr:uid="{BA91C0C3-1688-43DA-A3FB-219FF2E1DFFF}"/>
    <cellStyle name="Normal 4 2 2 3 2 6 3" xfId="5958" xr:uid="{00000000-0005-0000-0000-00003C120000}"/>
    <cellStyle name="Normal 4 2 2 3 2 6 3 2" xfId="14400" xr:uid="{1926F849-9A68-4DD3-894A-ACE08B9216FB}"/>
    <cellStyle name="Normal 4 2 2 3 2 6 4" xfId="10182" xr:uid="{2211F464-C1CA-47B7-A9E3-1A9CB041E308}"/>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62B8A1B0-2E47-4A7D-BECB-EC74647715DB}"/>
    <cellStyle name="Normal 4 2 2 3 2 7 2 3" xfId="12740" xr:uid="{CED44350-2461-49A3-83D7-BA3197E3807F}"/>
    <cellStyle name="Normal 4 2 2 3 2 7 3" xfId="6371" xr:uid="{00000000-0005-0000-0000-000040120000}"/>
    <cellStyle name="Normal 4 2 2 3 2 7 3 2" xfId="14813" xr:uid="{97F5EE2A-3816-4A94-A523-ADCBCCBA8846}"/>
    <cellStyle name="Normal 4 2 2 3 2 7 4" xfId="10595" xr:uid="{44F8667A-3C91-4D0C-BF22-18FAA96650A6}"/>
    <cellStyle name="Normal 4 2 2 3 2 8" xfId="2500" xr:uid="{00000000-0005-0000-0000-000041120000}"/>
    <cellStyle name="Normal 4 2 2 3 2 8 2" xfId="6784" xr:uid="{00000000-0005-0000-0000-000042120000}"/>
    <cellStyle name="Normal 4 2 2 3 2 8 2 2" xfId="15226" xr:uid="{FE69484C-2A19-4ECA-811A-724176299E5A}"/>
    <cellStyle name="Normal 4 2 2 3 2 8 3" xfId="11008" xr:uid="{B9624A0E-2223-4DFF-9C58-8EF0C6813CD0}"/>
    <cellStyle name="Normal 4 2 2 3 2 9" xfId="4719" xr:uid="{00000000-0005-0000-0000-000043120000}"/>
    <cellStyle name="Normal 4 2 2 3 2 9 2" xfId="13161" xr:uid="{5A53EE7F-A6F4-49F0-8F74-21EC1A2F009E}"/>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4050AD39-9EED-4E0D-98FD-644CC610B27E}"/>
    <cellStyle name="Normal 4 2 2 3 3 2 2 2 3" xfId="11506" xr:uid="{1B79382F-2949-419A-9C30-37EFB53F32A0}"/>
    <cellStyle name="Normal 4 2 2 3 3 2 2 3" xfId="5137" xr:uid="{00000000-0005-0000-0000-000049120000}"/>
    <cellStyle name="Normal 4 2 2 3 3 2 2 3 2" xfId="13579" xr:uid="{74BE62BF-DB2D-497C-8AB4-19656134FFD0}"/>
    <cellStyle name="Normal 4 2 2 3 3 2 2 4" xfId="9361" xr:uid="{15CCF10B-69EF-4547-B864-1D0994743F4C}"/>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353CF939-60CD-47BF-B8AD-1FFDBDC22907}"/>
    <cellStyle name="Normal 4 2 2 3 3 2 3 2 3" xfId="11919" xr:uid="{732987A4-DD81-4958-894E-B6825A36D259}"/>
    <cellStyle name="Normal 4 2 2 3 3 2 3 3" xfId="5550" xr:uid="{00000000-0005-0000-0000-00004D120000}"/>
    <cellStyle name="Normal 4 2 2 3 3 2 3 3 2" xfId="13992" xr:uid="{A4E0F7E4-2BD3-4210-8E1F-5957A8367314}"/>
    <cellStyle name="Normal 4 2 2 3 3 2 3 4" xfId="9774" xr:uid="{5AFFCE48-289A-4273-8C26-659F1B5EE73B}"/>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E8BE2DDE-C0DA-47AF-814F-661791657F63}"/>
    <cellStyle name="Normal 4 2 2 3 3 2 4 2 3" xfId="12332" xr:uid="{3D0A7F98-1500-4624-97E3-58838A3A51A4}"/>
    <cellStyle name="Normal 4 2 2 3 3 2 4 3" xfId="5963" xr:uid="{00000000-0005-0000-0000-000051120000}"/>
    <cellStyle name="Normal 4 2 2 3 3 2 4 3 2" xfId="14405" xr:uid="{588B66FB-7E9F-4AEC-AF7B-64EC531638A6}"/>
    <cellStyle name="Normal 4 2 2 3 3 2 4 4" xfId="10187" xr:uid="{C609CF15-A2C2-47B4-8FD9-998B1E075229}"/>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CBDA5866-966B-4419-B9FF-F78058ECEFE6}"/>
    <cellStyle name="Normal 4 2 2 3 3 2 5 2 3" xfId="12745" xr:uid="{917C8EAD-9583-4A9B-AE6C-B36B72505547}"/>
    <cellStyle name="Normal 4 2 2 3 3 2 5 3" xfId="6376" xr:uid="{00000000-0005-0000-0000-000055120000}"/>
    <cellStyle name="Normal 4 2 2 3 3 2 5 3 2" xfId="14818" xr:uid="{DA426BAB-327D-44B2-97D3-E7248BC73F96}"/>
    <cellStyle name="Normal 4 2 2 3 3 2 5 4" xfId="10600" xr:uid="{4DE732A8-17A6-454F-8C22-5F0B81526F92}"/>
    <cellStyle name="Normal 4 2 2 3 3 2 6" xfId="2505" xr:uid="{00000000-0005-0000-0000-000056120000}"/>
    <cellStyle name="Normal 4 2 2 3 3 2 6 2" xfId="6789" xr:uid="{00000000-0005-0000-0000-000057120000}"/>
    <cellStyle name="Normal 4 2 2 3 3 2 6 2 2" xfId="15231" xr:uid="{82B12E80-88C2-4AC1-ACFF-E2BEA573C207}"/>
    <cellStyle name="Normal 4 2 2 3 3 2 6 3" xfId="11013" xr:uid="{ECB23802-831E-489F-B409-FDE39481FED1}"/>
    <cellStyle name="Normal 4 2 2 3 3 2 7" xfId="4724" xr:uid="{00000000-0005-0000-0000-000058120000}"/>
    <cellStyle name="Normal 4 2 2 3 3 2 7 2" xfId="13166" xr:uid="{E0D2F147-45AE-4403-B942-03A63AE90179}"/>
    <cellStyle name="Normal 4 2 2 3 3 2 8" xfId="8948" xr:uid="{95DBC3B8-4CE1-426B-932F-70773644EE2E}"/>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60FED8FD-DE13-4C84-AB35-9C6A692A41B2}"/>
    <cellStyle name="Normal 4 2 2 3 3 3 2 3" xfId="11505" xr:uid="{B9E5C2F9-593D-40E7-81B1-301CE698A661}"/>
    <cellStyle name="Normal 4 2 2 3 3 3 3" xfId="5136" xr:uid="{00000000-0005-0000-0000-00005C120000}"/>
    <cellStyle name="Normal 4 2 2 3 3 3 3 2" xfId="13578" xr:uid="{6D68217F-954D-488E-8298-A5FA43189A8D}"/>
    <cellStyle name="Normal 4 2 2 3 3 3 4" xfId="9360" xr:uid="{EF3D7E47-CF62-4382-8497-6ABD0888AB92}"/>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1736564E-F81F-4304-A01E-EC7CA06D954F}"/>
    <cellStyle name="Normal 4 2 2 3 3 4 2 3" xfId="11918" xr:uid="{8256F97E-20D1-40DF-9597-313AB2608AE1}"/>
    <cellStyle name="Normal 4 2 2 3 3 4 3" xfId="5549" xr:uid="{00000000-0005-0000-0000-000060120000}"/>
    <cellStyle name="Normal 4 2 2 3 3 4 3 2" xfId="13991" xr:uid="{94E5C1CF-732A-4E93-9279-53C596AA500F}"/>
    <cellStyle name="Normal 4 2 2 3 3 4 4" xfId="9773" xr:uid="{B227FCFD-5ADA-4D13-8055-B192E58EEE5E}"/>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525F3A41-AD37-4481-87ED-FABE968CC6AA}"/>
    <cellStyle name="Normal 4 2 2 3 3 5 2 3" xfId="12331" xr:uid="{B97A50E5-3DAA-4FE5-B453-B8A284EC9434}"/>
    <cellStyle name="Normal 4 2 2 3 3 5 3" xfId="5962" xr:uid="{00000000-0005-0000-0000-000064120000}"/>
    <cellStyle name="Normal 4 2 2 3 3 5 3 2" xfId="14404" xr:uid="{18FEA649-975F-4116-B1DD-1090029260AB}"/>
    <cellStyle name="Normal 4 2 2 3 3 5 4" xfId="10186" xr:uid="{02D452BE-4A00-40AE-A31C-F7F7A718152B}"/>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440FD89C-490A-42DC-9CD0-A193D48B500A}"/>
    <cellStyle name="Normal 4 2 2 3 3 6 2 3" xfId="12744" xr:uid="{2B11F8F8-77EE-4276-B0A8-E8FC949A7BBB}"/>
    <cellStyle name="Normal 4 2 2 3 3 6 3" xfId="6375" xr:uid="{00000000-0005-0000-0000-000068120000}"/>
    <cellStyle name="Normal 4 2 2 3 3 6 3 2" xfId="14817" xr:uid="{1C094BD6-C9C9-4016-8904-9E0E24ACF726}"/>
    <cellStyle name="Normal 4 2 2 3 3 6 4" xfId="10599" xr:uid="{14F7DCE4-9E86-40B9-8B94-AA5B5A670ECD}"/>
    <cellStyle name="Normal 4 2 2 3 3 7" xfId="2504" xr:uid="{00000000-0005-0000-0000-000069120000}"/>
    <cellStyle name="Normal 4 2 2 3 3 7 2" xfId="6788" xr:uid="{00000000-0005-0000-0000-00006A120000}"/>
    <cellStyle name="Normal 4 2 2 3 3 7 2 2" xfId="15230" xr:uid="{AEEBBA74-17E5-40BE-B9A5-5C33FCEC424E}"/>
    <cellStyle name="Normal 4 2 2 3 3 7 3" xfId="11012" xr:uid="{E103A626-150D-461F-9E0F-08DEC330639B}"/>
    <cellStyle name="Normal 4 2 2 3 3 8" xfId="4723" xr:uid="{00000000-0005-0000-0000-00006B120000}"/>
    <cellStyle name="Normal 4 2 2 3 3 8 2" xfId="13165" xr:uid="{E32EB0F7-8CB2-4970-B553-A940F24268D0}"/>
    <cellStyle name="Normal 4 2 2 3 3 9" xfId="8947" xr:uid="{EF5636A7-1CE0-4B76-A1C6-342404A6C791}"/>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BDD8ACF3-80F0-4588-A857-9E797730EF31}"/>
    <cellStyle name="Normal 4 2 2 3 4 2 2 3" xfId="11507" xr:uid="{42F6008C-85CD-4D2D-A802-73D200D941FA}"/>
    <cellStyle name="Normal 4 2 2 3 4 2 3" xfId="5138" xr:uid="{00000000-0005-0000-0000-000070120000}"/>
    <cellStyle name="Normal 4 2 2 3 4 2 3 2" xfId="13580" xr:uid="{5E7062F1-9B50-4DC9-8F90-01820096F16E}"/>
    <cellStyle name="Normal 4 2 2 3 4 2 4" xfId="9362" xr:uid="{8BEEBA98-F199-4439-996C-E448C7B0FE7D}"/>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75C294F1-66D6-4EAC-BAD8-313A98F3D167}"/>
    <cellStyle name="Normal 4 2 2 3 4 3 2 3" xfId="11920" xr:uid="{F6BA1622-FA7B-4AED-AFF8-64D52C4FEC72}"/>
    <cellStyle name="Normal 4 2 2 3 4 3 3" xfId="5551" xr:uid="{00000000-0005-0000-0000-000074120000}"/>
    <cellStyle name="Normal 4 2 2 3 4 3 3 2" xfId="13993" xr:uid="{F98C4509-5B59-4DDD-A825-FC2A75B851E9}"/>
    <cellStyle name="Normal 4 2 2 3 4 3 4" xfId="9775" xr:uid="{894287C6-C81A-4248-9674-9E07914D14DA}"/>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54E84F58-01CE-4874-8621-47744078930A}"/>
    <cellStyle name="Normal 4 2 2 3 4 4 2 3" xfId="12333" xr:uid="{74F27A54-7AA0-4CDC-8E79-39E73B10FE07}"/>
    <cellStyle name="Normal 4 2 2 3 4 4 3" xfId="5964" xr:uid="{00000000-0005-0000-0000-000078120000}"/>
    <cellStyle name="Normal 4 2 2 3 4 4 3 2" xfId="14406" xr:uid="{DA923A99-CCF0-44F7-B2E7-2A132E0ECB79}"/>
    <cellStyle name="Normal 4 2 2 3 4 4 4" xfId="10188" xr:uid="{0F893526-A0EB-4EF1-8B3A-E9F9078BDC05}"/>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12F8F832-E01B-4B73-B98F-9ADA3EC3FF1D}"/>
    <cellStyle name="Normal 4 2 2 3 4 5 2 3" xfId="12746" xr:uid="{48398780-E0A2-4B65-84E9-71F174FD8A63}"/>
    <cellStyle name="Normal 4 2 2 3 4 5 3" xfId="6377" xr:uid="{00000000-0005-0000-0000-00007C120000}"/>
    <cellStyle name="Normal 4 2 2 3 4 5 3 2" xfId="14819" xr:uid="{83713B64-13C5-4ADC-8A10-3032A0087AD6}"/>
    <cellStyle name="Normal 4 2 2 3 4 5 4" xfId="10601" xr:uid="{A7C1F854-8F04-4FF1-AB53-2FC18A66BB37}"/>
    <cellStyle name="Normal 4 2 2 3 4 6" xfId="2506" xr:uid="{00000000-0005-0000-0000-00007D120000}"/>
    <cellStyle name="Normal 4 2 2 3 4 6 2" xfId="6790" xr:uid="{00000000-0005-0000-0000-00007E120000}"/>
    <cellStyle name="Normal 4 2 2 3 4 6 2 2" xfId="15232" xr:uid="{7D452684-0BDF-40B5-A47D-A0073E60EE66}"/>
    <cellStyle name="Normal 4 2 2 3 4 6 3" xfId="11014" xr:uid="{7CCAA829-0C9E-4E2A-BE4E-79CC0EDF3198}"/>
    <cellStyle name="Normal 4 2 2 3 4 7" xfId="4725" xr:uid="{00000000-0005-0000-0000-00007F120000}"/>
    <cellStyle name="Normal 4 2 2 3 4 7 2" xfId="13167" xr:uid="{B7FE3A55-C00D-4369-8CB5-8DA7EEF6D242}"/>
    <cellStyle name="Normal 4 2 2 3 4 8" xfId="8949" xr:uid="{689027EB-1CD0-48A4-81F3-3CBBF1393264}"/>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2C8BD3EC-6BC6-4005-8374-44DFB4C4374A}"/>
    <cellStyle name="Normal 4 2 2 3 5 2 3" xfId="11500" xr:uid="{1C86032D-4A20-40A4-8220-EE7876F769FD}"/>
    <cellStyle name="Normal 4 2 2 3 5 3" xfId="5131" xr:uid="{00000000-0005-0000-0000-000083120000}"/>
    <cellStyle name="Normal 4 2 2 3 5 3 2" xfId="13573" xr:uid="{65FCCB1C-91E8-42AF-AAD3-F1CD0E63641F}"/>
    <cellStyle name="Normal 4 2 2 3 5 4" xfId="9355" xr:uid="{E50AEBFF-8393-4463-8E29-18650913AD8D}"/>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8A3E1DC2-28C3-4A03-B0B2-997420F391B2}"/>
    <cellStyle name="Normal 4 2 2 3 6 2 3" xfId="11913" xr:uid="{50483F96-64EF-46ED-AD35-7BED6DA15C4E}"/>
    <cellStyle name="Normal 4 2 2 3 6 3" xfId="5544" xr:uid="{00000000-0005-0000-0000-000087120000}"/>
    <cellStyle name="Normal 4 2 2 3 6 3 2" xfId="13986" xr:uid="{021847F1-4BB4-4D76-B653-43F69D9F2997}"/>
    <cellStyle name="Normal 4 2 2 3 6 4" xfId="9768" xr:uid="{698E9D7C-0F49-48CE-A538-4ED1F4D28CC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00ABC3FD-DE90-4625-B8E0-9F894EA05BA2}"/>
    <cellStyle name="Normal 4 2 2 3 7 2 3" xfId="12326" xr:uid="{6AD39959-E3E8-4BB2-9BE4-35A1E5995120}"/>
    <cellStyle name="Normal 4 2 2 3 7 3" xfId="5957" xr:uid="{00000000-0005-0000-0000-00008B120000}"/>
    <cellStyle name="Normal 4 2 2 3 7 3 2" xfId="14399" xr:uid="{8CA9F418-8C72-4A55-B7EB-20268C934CE8}"/>
    <cellStyle name="Normal 4 2 2 3 7 4" xfId="10181" xr:uid="{F538AE20-980E-4E95-8492-DB9E20140D1C}"/>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5F85E376-9D76-4769-8E93-FD4A7E29CDDD}"/>
    <cellStyle name="Normal 4 2 2 3 8 2 3" xfId="12739" xr:uid="{00874212-5981-4EC9-9533-44A0B60A49BE}"/>
    <cellStyle name="Normal 4 2 2 3 8 3" xfId="6370" xr:uid="{00000000-0005-0000-0000-00008F120000}"/>
    <cellStyle name="Normal 4 2 2 3 8 3 2" xfId="14812" xr:uid="{2E78650F-0CB2-4ED2-A52C-D8F5B5291845}"/>
    <cellStyle name="Normal 4 2 2 3 8 4" xfId="10594" xr:uid="{93562452-3A39-4DA3-80F7-40284D97E9CC}"/>
    <cellStyle name="Normal 4 2 2 3 9" xfId="2499" xr:uid="{00000000-0005-0000-0000-000090120000}"/>
    <cellStyle name="Normal 4 2 2 3 9 2" xfId="6783" xr:uid="{00000000-0005-0000-0000-000091120000}"/>
    <cellStyle name="Normal 4 2 2 3 9 2 2" xfId="15225" xr:uid="{B8387B04-B440-4A73-982D-E4148DDE94F2}"/>
    <cellStyle name="Normal 4 2 2 3 9 3" xfId="11007" xr:uid="{58B5DE44-0BB8-4398-AA78-C01027630F70}"/>
    <cellStyle name="Normal 4 2 2 4" xfId="347" xr:uid="{00000000-0005-0000-0000-000092120000}"/>
    <cellStyle name="Normal 4 2 2 4 10" xfId="8950" xr:uid="{3D4DA826-86DB-47AC-A272-5DE10407E56B}"/>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CE340548-FB28-4036-AFE9-9727DB83D3B4}"/>
    <cellStyle name="Normal 4 2 2 4 2 2 2 2 3" xfId="11510" xr:uid="{CB480D35-C305-4828-8E83-D4D09FEB80DC}"/>
    <cellStyle name="Normal 4 2 2 4 2 2 2 3" xfId="5141" xr:uid="{00000000-0005-0000-0000-000098120000}"/>
    <cellStyle name="Normal 4 2 2 4 2 2 2 3 2" xfId="13583" xr:uid="{2EB3672C-9C1C-41DE-86CE-2CA3D9361E64}"/>
    <cellStyle name="Normal 4 2 2 4 2 2 2 4" xfId="9365" xr:uid="{F754EE1C-EDDA-42AB-8DBF-C2EB83EC30EF}"/>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8030C5C2-9C7E-47F0-8CB5-C980159ADD83}"/>
    <cellStyle name="Normal 4 2 2 4 2 2 3 2 3" xfId="11923" xr:uid="{7AEB4E12-1D5E-430E-9B7D-3F604FA9ED9A}"/>
    <cellStyle name="Normal 4 2 2 4 2 2 3 3" xfId="5554" xr:uid="{00000000-0005-0000-0000-00009C120000}"/>
    <cellStyle name="Normal 4 2 2 4 2 2 3 3 2" xfId="13996" xr:uid="{401F93DB-B64E-4E8D-9443-56DCBEE64D1B}"/>
    <cellStyle name="Normal 4 2 2 4 2 2 3 4" xfId="9778" xr:uid="{B524B84E-872B-4965-8EAC-D0768F2D02A2}"/>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5F3E310B-6198-4D5D-82DE-F8365DBCFE79}"/>
    <cellStyle name="Normal 4 2 2 4 2 2 4 2 3" xfId="12336" xr:uid="{F4614F56-0EC2-44F0-8F9B-F031401947A5}"/>
    <cellStyle name="Normal 4 2 2 4 2 2 4 3" xfId="5967" xr:uid="{00000000-0005-0000-0000-0000A0120000}"/>
    <cellStyle name="Normal 4 2 2 4 2 2 4 3 2" xfId="14409" xr:uid="{8EC11296-264F-457C-A138-EB1DC561DD22}"/>
    <cellStyle name="Normal 4 2 2 4 2 2 4 4" xfId="10191" xr:uid="{3DA704CB-864A-42CE-8889-C098373B5923}"/>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CA30E978-69A7-4525-94E4-E19363A4643D}"/>
    <cellStyle name="Normal 4 2 2 4 2 2 5 2 3" xfId="12749" xr:uid="{075DB18F-9F4F-422F-9F3F-C9AD17F1B63D}"/>
    <cellStyle name="Normal 4 2 2 4 2 2 5 3" xfId="6380" xr:uid="{00000000-0005-0000-0000-0000A4120000}"/>
    <cellStyle name="Normal 4 2 2 4 2 2 5 3 2" xfId="14822" xr:uid="{4F56AC36-9B9A-4750-8048-94924D0C011D}"/>
    <cellStyle name="Normal 4 2 2 4 2 2 5 4" xfId="10604" xr:uid="{1BFC5031-F551-484E-8397-565D8CFB040B}"/>
    <cellStyle name="Normal 4 2 2 4 2 2 6" xfId="2509" xr:uid="{00000000-0005-0000-0000-0000A5120000}"/>
    <cellStyle name="Normal 4 2 2 4 2 2 6 2" xfId="6793" xr:uid="{00000000-0005-0000-0000-0000A6120000}"/>
    <cellStyle name="Normal 4 2 2 4 2 2 6 2 2" xfId="15235" xr:uid="{2F9E3E2E-1619-4E12-A899-E27D8349F1FC}"/>
    <cellStyle name="Normal 4 2 2 4 2 2 6 3" xfId="11017" xr:uid="{E48CB6A2-E3E2-475B-8458-B9C98E8B4FF8}"/>
    <cellStyle name="Normal 4 2 2 4 2 2 7" xfId="4728" xr:uid="{00000000-0005-0000-0000-0000A7120000}"/>
    <cellStyle name="Normal 4 2 2 4 2 2 7 2" xfId="13170" xr:uid="{9791DA0A-B1BF-4CEF-9769-8324043B6630}"/>
    <cellStyle name="Normal 4 2 2 4 2 2 8" xfId="8952" xr:uid="{8F5A105B-E98F-4F66-9B75-86A451735AB4}"/>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F404D113-8163-43E7-905B-D8B8778221E4}"/>
    <cellStyle name="Normal 4 2 2 4 2 3 2 3" xfId="11509" xr:uid="{1249F5A6-016D-458B-9A63-926C7543D112}"/>
    <cellStyle name="Normal 4 2 2 4 2 3 3" xfId="5140" xr:uid="{00000000-0005-0000-0000-0000AB120000}"/>
    <cellStyle name="Normal 4 2 2 4 2 3 3 2" xfId="13582" xr:uid="{8E67DCB5-D70A-4C38-96AB-91EDEFC23E0D}"/>
    <cellStyle name="Normal 4 2 2 4 2 3 4" xfId="9364" xr:uid="{03B25DCF-CEE6-4C92-836A-6116728CD426}"/>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182935A3-A9AC-4AEC-8AFF-6F84AC450C74}"/>
    <cellStyle name="Normal 4 2 2 4 2 4 2 3" xfId="11922" xr:uid="{2751FA6C-58EF-4C86-8414-F6375C7B7C48}"/>
    <cellStyle name="Normal 4 2 2 4 2 4 3" xfId="5553" xr:uid="{00000000-0005-0000-0000-0000AF120000}"/>
    <cellStyle name="Normal 4 2 2 4 2 4 3 2" xfId="13995" xr:uid="{32CFEC60-834B-4035-82C4-E4001B6CCC10}"/>
    <cellStyle name="Normal 4 2 2 4 2 4 4" xfId="9777" xr:uid="{00025FC6-FE01-42FE-8D57-CC3F90EA02C7}"/>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62885D0A-7354-4227-B55E-7A004EEAE397}"/>
    <cellStyle name="Normal 4 2 2 4 2 5 2 3" xfId="12335" xr:uid="{DA4D7E8E-F9CE-4C64-8C78-1AFE4387891F}"/>
    <cellStyle name="Normal 4 2 2 4 2 5 3" xfId="5966" xr:uid="{00000000-0005-0000-0000-0000B3120000}"/>
    <cellStyle name="Normal 4 2 2 4 2 5 3 2" xfId="14408" xr:uid="{C4462274-C754-4184-A189-FFB9A51A9212}"/>
    <cellStyle name="Normal 4 2 2 4 2 5 4" xfId="10190" xr:uid="{B46822AB-59A0-44E9-8F8D-61B2F03EDC3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5D360A73-2814-4ADB-82AD-3294007C349B}"/>
    <cellStyle name="Normal 4 2 2 4 2 6 2 3" xfId="12748" xr:uid="{85518351-AF68-4C4E-AD0D-2144753AF9EB}"/>
    <cellStyle name="Normal 4 2 2 4 2 6 3" xfId="6379" xr:uid="{00000000-0005-0000-0000-0000B7120000}"/>
    <cellStyle name="Normal 4 2 2 4 2 6 3 2" xfId="14821" xr:uid="{36375E01-8C73-498A-BE84-494B8B796003}"/>
    <cellStyle name="Normal 4 2 2 4 2 6 4" xfId="10603" xr:uid="{ABC6012B-C8AF-40FA-ADF6-BAF6E0F445CA}"/>
    <cellStyle name="Normal 4 2 2 4 2 7" xfId="2508" xr:uid="{00000000-0005-0000-0000-0000B8120000}"/>
    <cellStyle name="Normal 4 2 2 4 2 7 2" xfId="6792" xr:uid="{00000000-0005-0000-0000-0000B9120000}"/>
    <cellStyle name="Normal 4 2 2 4 2 7 2 2" xfId="15234" xr:uid="{3A471D77-CFD1-40D8-AD35-4B40F11105EC}"/>
    <cellStyle name="Normal 4 2 2 4 2 7 3" xfId="11016" xr:uid="{1FA10C32-27DF-4E04-B1AC-4983EE982D06}"/>
    <cellStyle name="Normal 4 2 2 4 2 8" xfId="4727" xr:uid="{00000000-0005-0000-0000-0000BA120000}"/>
    <cellStyle name="Normal 4 2 2 4 2 8 2" xfId="13169" xr:uid="{8D9D4572-4731-406E-9B3C-94393492463B}"/>
    <cellStyle name="Normal 4 2 2 4 2 9" xfId="8951" xr:uid="{35442EF4-D2B0-4BB6-B1F9-F17FC8D2B3FA}"/>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02D5E3C0-A982-42AE-A80E-56DF2465A401}"/>
    <cellStyle name="Normal 4 2 2 4 3 2 2 3" xfId="11511" xr:uid="{A514ECDE-2513-4B33-9B1B-784480530818}"/>
    <cellStyle name="Normal 4 2 2 4 3 2 3" xfId="5142" xr:uid="{00000000-0005-0000-0000-0000BF120000}"/>
    <cellStyle name="Normal 4 2 2 4 3 2 3 2" xfId="13584" xr:uid="{B404F9F8-391A-4D41-80A1-A2C165D3D869}"/>
    <cellStyle name="Normal 4 2 2 4 3 2 4" xfId="9366" xr:uid="{B06461EE-5D1B-4E56-9F01-5DA6C0E0609D}"/>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AF2C606D-3E36-430A-BD70-C63D9C81F07F}"/>
    <cellStyle name="Normal 4 2 2 4 3 3 2 3" xfId="11924" xr:uid="{26C0E099-B0B7-44C4-AE55-440188D7502E}"/>
    <cellStyle name="Normal 4 2 2 4 3 3 3" xfId="5555" xr:uid="{00000000-0005-0000-0000-0000C3120000}"/>
    <cellStyle name="Normal 4 2 2 4 3 3 3 2" xfId="13997" xr:uid="{F2B67991-F5FE-45D0-B25B-D88D4985F1D8}"/>
    <cellStyle name="Normal 4 2 2 4 3 3 4" xfId="9779" xr:uid="{BFEBDCAF-D89D-4566-8D61-3C167A2FDD19}"/>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1238CCEF-BF3E-430C-AB7A-234C5EFEBC3B}"/>
    <cellStyle name="Normal 4 2 2 4 3 4 2 3" xfId="12337" xr:uid="{A0EFB4BD-0940-40E3-82B7-DC404D04A2B8}"/>
    <cellStyle name="Normal 4 2 2 4 3 4 3" xfId="5968" xr:uid="{00000000-0005-0000-0000-0000C7120000}"/>
    <cellStyle name="Normal 4 2 2 4 3 4 3 2" xfId="14410" xr:uid="{5569144D-26A3-4C9F-A134-DA5B8B1F555D}"/>
    <cellStyle name="Normal 4 2 2 4 3 4 4" xfId="10192" xr:uid="{507D8246-6EE0-421F-B78F-CB536F585339}"/>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677E1465-94B4-4FCB-A590-EE7326AC50B3}"/>
    <cellStyle name="Normal 4 2 2 4 3 5 2 3" xfId="12750" xr:uid="{CCB4D7C4-644E-43E0-B7BC-923BBE41F844}"/>
    <cellStyle name="Normal 4 2 2 4 3 5 3" xfId="6381" xr:uid="{00000000-0005-0000-0000-0000CB120000}"/>
    <cellStyle name="Normal 4 2 2 4 3 5 3 2" xfId="14823" xr:uid="{103717F8-3A16-4D26-BF6A-BB7B1FD1BC0A}"/>
    <cellStyle name="Normal 4 2 2 4 3 5 4" xfId="10605" xr:uid="{A19D755F-48BB-40C2-A2BC-BA0279D591C6}"/>
    <cellStyle name="Normal 4 2 2 4 3 6" xfId="2510" xr:uid="{00000000-0005-0000-0000-0000CC120000}"/>
    <cellStyle name="Normal 4 2 2 4 3 6 2" xfId="6794" xr:uid="{00000000-0005-0000-0000-0000CD120000}"/>
    <cellStyle name="Normal 4 2 2 4 3 6 2 2" xfId="15236" xr:uid="{E0F695BC-98AC-4A32-99CE-6D5BD86D22F2}"/>
    <cellStyle name="Normal 4 2 2 4 3 6 3" xfId="11018" xr:uid="{488EC10D-6A0C-4206-BC36-FD4C47798233}"/>
    <cellStyle name="Normal 4 2 2 4 3 7" xfId="4729" xr:uid="{00000000-0005-0000-0000-0000CE120000}"/>
    <cellStyle name="Normal 4 2 2 4 3 7 2" xfId="13171" xr:uid="{39651901-C9DB-44B7-B598-1CFBEFF69E09}"/>
    <cellStyle name="Normal 4 2 2 4 3 8" xfId="8953" xr:uid="{1E73C72B-9D0F-4115-BF4E-4F84F86CB586}"/>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5D0E745F-726B-4FFE-BA63-C11A8E964450}"/>
    <cellStyle name="Normal 4 2 2 4 4 2 3" xfId="11508" xr:uid="{EFE744E7-192D-48C9-AF1E-F1938CB0FFCB}"/>
    <cellStyle name="Normal 4 2 2 4 4 3" xfId="5139" xr:uid="{00000000-0005-0000-0000-0000D2120000}"/>
    <cellStyle name="Normal 4 2 2 4 4 3 2" xfId="13581" xr:uid="{4629EB96-289E-4667-9AB8-55BC289F3F46}"/>
    <cellStyle name="Normal 4 2 2 4 4 4" xfId="9363" xr:uid="{770C99F5-CD64-4F93-A83F-FBCF2D2653CF}"/>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40938606-1F6C-459A-9151-C3E172E7CC12}"/>
    <cellStyle name="Normal 4 2 2 4 5 2 3" xfId="11921" xr:uid="{47B4CFC8-74B5-4601-B129-D9F8825427E2}"/>
    <cellStyle name="Normal 4 2 2 4 5 3" xfId="5552" xr:uid="{00000000-0005-0000-0000-0000D6120000}"/>
    <cellStyle name="Normal 4 2 2 4 5 3 2" xfId="13994" xr:uid="{8B2F7C6C-7663-4DD2-A031-6BE4F42F28C7}"/>
    <cellStyle name="Normal 4 2 2 4 5 4" xfId="9776" xr:uid="{A0FBBD24-B78C-4A8D-AD39-0DB122BEB798}"/>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E09B7411-8068-421E-BE2A-5CC220C32AA2}"/>
    <cellStyle name="Normal 4 2 2 4 6 2 3" xfId="12334" xr:uid="{EA0D2904-2A3B-4E8E-BA6D-EBA710AFCD4C}"/>
    <cellStyle name="Normal 4 2 2 4 6 3" xfId="5965" xr:uid="{00000000-0005-0000-0000-0000DA120000}"/>
    <cellStyle name="Normal 4 2 2 4 6 3 2" xfId="14407" xr:uid="{2F3C9E88-058A-4516-8B1B-A521123357EF}"/>
    <cellStyle name="Normal 4 2 2 4 6 4" xfId="10189" xr:uid="{18DDD1E0-92C6-4CD8-8F8D-AAE73E5816A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E35404A7-5EF2-4CAF-AAF1-92CEC7E2312E}"/>
    <cellStyle name="Normal 4 2 2 4 7 2 3" xfId="12747" xr:uid="{E2A6F25C-D482-466E-89D1-BC0DAFE7C664}"/>
    <cellStyle name="Normal 4 2 2 4 7 3" xfId="6378" xr:uid="{00000000-0005-0000-0000-0000DE120000}"/>
    <cellStyle name="Normal 4 2 2 4 7 3 2" xfId="14820" xr:uid="{2AB8EACF-1E80-45E2-ADC5-B4034DBFF22C}"/>
    <cellStyle name="Normal 4 2 2 4 7 4" xfId="10602" xr:uid="{98E45754-DF0D-4F09-BAFD-52151C6F894F}"/>
    <cellStyle name="Normal 4 2 2 4 8" xfId="2507" xr:uid="{00000000-0005-0000-0000-0000DF120000}"/>
    <cellStyle name="Normal 4 2 2 4 8 2" xfId="6791" xr:uid="{00000000-0005-0000-0000-0000E0120000}"/>
    <cellStyle name="Normal 4 2 2 4 8 2 2" xfId="15233" xr:uid="{4E99B731-9EAA-44B7-95A5-2A9ABDA498F9}"/>
    <cellStyle name="Normal 4 2 2 4 8 3" xfId="11015" xr:uid="{0D66882D-DF60-4364-B911-FCC981654F10}"/>
    <cellStyle name="Normal 4 2 2 4 9" xfId="4726" xr:uid="{00000000-0005-0000-0000-0000E1120000}"/>
    <cellStyle name="Normal 4 2 2 4 9 2" xfId="13168" xr:uid="{A2FDE3FB-D8BC-45AD-830B-C6311B7ABF51}"/>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972028BD-43CF-4188-9334-05FC006E0B20}"/>
    <cellStyle name="Normal 4 2 2 5 2 2 2 3" xfId="11513" xr:uid="{080D3D24-BE3B-4A27-B324-C3D2943A5714}"/>
    <cellStyle name="Normal 4 2 2 5 2 2 3" xfId="5144" xr:uid="{00000000-0005-0000-0000-0000E7120000}"/>
    <cellStyle name="Normal 4 2 2 5 2 2 3 2" xfId="13586" xr:uid="{D0EB2430-25C7-46E7-B986-7AC6BB7D731A}"/>
    <cellStyle name="Normal 4 2 2 5 2 2 4" xfId="9368" xr:uid="{5862BD07-2C10-4797-83AB-9FA3327ECE0C}"/>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2933FA9C-77E1-4747-9B9B-FA7675C07F17}"/>
    <cellStyle name="Normal 4 2 2 5 2 3 2 3" xfId="11926" xr:uid="{9023C3D8-307C-4760-91A2-7D71F92C5A65}"/>
    <cellStyle name="Normal 4 2 2 5 2 3 3" xfId="5557" xr:uid="{00000000-0005-0000-0000-0000EB120000}"/>
    <cellStyle name="Normal 4 2 2 5 2 3 3 2" xfId="13999" xr:uid="{7BCC0B3A-3064-418D-9C19-EA38106547B3}"/>
    <cellStyle name="Normal 4 2 2 5 2 3 4" xfId="9781" xr:uid="{606B4C24-42E5-47D8-BECD-64CCF20C992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19528F4F-9075-432E-8384-40A35D222E2E}"/>
    <cellStyle name="Normal 4 2 2 5 2 4 2 3" xfId="12339" xr:uid="{2FAEB464-7981-43D2-947E-A8039312EFBF}"/>
    <cellStyle name="Normal 4 2 2 5 2 4 3" xfId="5970" xr:uid="{00000000-0005-0000-0000-0000EF120000}"/>
    <cellStyle name="Normal 4 2 2 5 2 4 3 2" xfId="14412" xr:uid="{E2E9E0EF-A5BC-4F8B-BE6E-09652462A3AD}"/>
    <cellStyle name="Normal 4 2 2 5 2 4 4" xfId="10194" xr:uid="{097F5C2B-CB9B-47F3-839B-1D55E111AD2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36F6323C-2F2F-4325-B97D-7389C9205B70}"/>
    <cellStyle name="Normal 4 2 2 5 2 5 2 3" xfId="12752" xr:uid="{559CA8C4-494D-446D-8771-6EDBA49D8316}"/>
    <cellStyle name="Normal 4 2 2 5 2 5 3" xfId="6383" xr:uid="{00000000-0005-0000-0000-0000F3120000}"/>
    <cellStyle name="Normal 4 2 2 5 2 5 3 2" xfId="14825" xr:uid="{CB65FEB6-4E65-4DF7-AC2C-2AAEB8419219}"/>
    <cellStyle name="Normal 4 2 2 5 2 5 4" xfId="10607" xr:uid="{2363BF9E-B7DA-40A2-90EB-FC6E16B011A8}"/>
    <cellStyle name="Normal 4 2 2 5 2 6" xfId="2512" xr:uid="{00000000-0005-0000-0000-0000F4120000}"/>
    <cellStyle name="Normal 4 2 2 5 2 6 2" xfId="6796" xr:uid="{00000000-0005-0000-0000-0000F5120000}"/>
    <cellStyle name="Normal 4 2 2 5 2 6 2 2" xfId="15238" xr:uid="{12E07128-CBA2-4A22-AF4B-A71AA00E91D0}"/>
    <cellStyle name="Normal 4 2 2 5 2 6 3" xfId="11020" xr:uid="{25C5AE57-F1C0-4F44-8F15-19ABCC0D7D02}"/>
    <cellStyle name="Normal 4 2 2 5 2 7" xfId="4731" xr:uid="{00000000-0005-0000-0000-0000F6120000}"/>
    <cellStyle name="Normal 4 2 2 5 2 7 2" xfId="13173" xr:uid="{0125EB38-C8E3-4C3E-9638-FCEE49EC0C5B}"/>
    <cellStyle name="Normal 4 2 2 5 2 8" xfId="8955" xr:uid="{C695438C-02B5-4CE7-B50A-172B759D194E}"/>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7B8081AD-1F46-4184-A9A5-0FD455D2FBD6}"/>
    <cellStyle name="Normal 4 2 2 5 3 2 3" xfId="11512" xr:uid="{7899CFFD-FDC4-40F9-8D96-4875AB3FE965}"/>
    <cellStyle name="Normal 4 2 2 5 3 3" xfId="5143" xr:uid="{00000000-0005-0000-0000-0000FA120000}"/>
    <cellStyle name="Normal 4 2 2 5 3 3 2" xfId="13585" xr:uid="{A670C7F5-06D3-41BB-9E40-01CC8ADB5DC7}"/>
    <cellStyle name="Normal 4 2 2 5 3 4" xfId="9367" xr:uid="{DD47C4AB-5D51-44A3-8C2B-8567E7FF9BCA}"/>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06A5175F-B59A-4514-A7B4-11759D2CC888}"/>
    <cellStyle name="Normal 4 2 2 5 4 2 3" xfId="11925" xr:uid="{CB98EF8E-46CE-4E1B-BFD4-58F154900EEF}"/>
    <cellStyle name="Normal 4 2 2 5 4 3" xfId="5556" xr:uid="{00000000-0005-0000-0000-0000FE120000}"/>
    <cellStyle name="Normal 4 2 2 5 4 3 2" xfId="13998" xr:uid="{6D360496-F1A1-48AE-84A3-928FFC711E07}"/>
    <cellStyle name="Normal 4 2 2 5 4 4" xfId="9780" xr:uid="{6692E057-35D2-47A9-9FB6-AB10AB32B9E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57A3CBEF-4FF4-46B6-B7EE-C0FE526E6F3F}"/>
    <cellStyle name="Normal 4 2 2 5 5 2 3" xfId="12338" xr:uid="{B212A8AE-7C22-461B-B07D-7A7A864D9BF2}"/>
    <cellStyle name="Normal 4 2 2 5 5 3" xfId="5969" xr:uid="{00000000-0005-0000-0000-000002130000}"/>
    <cellStyle name="Normal 4 2 2 5 5 3 2" xfId="14411" xr:uid="{480138BB-88CB-48F8-800B-509805F16B78}"/>
    <cellStyle name="Normal 4 2 2 5 5 4" xfId="10193" xr:uid="{32AB595E-E60A-4C02-84C6-BC7297F646C1}"/>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1B3090A3-4388-4238-A783-7C0327FA4DB3}"/>
    <cellStyle name="Normal 4 2 2 5 6 2 3" xfId="12751" xr:uid="{05E41BF3-7C61-46F7-AB4D-6CFE32A80634}"/>
    <cellStyle name="Normal 4 2 2 5 6 3" xfId="6382" xr:uid="{00000000-0005-0000-0000-000006130000}"/>
    <cellStyle name="Normal 4 2 2 5 6 3 2" xfId="14824" xr:uid="{AA206347-B626-4B28-9BBA-645ADC6AAA77}"/>
    <cellStyle name="Normal 4 2 2 5 6 4" xfId="10606" xr:uid="{65F2E25A-FB1E-4E10-8F86-D8689050656B}"/>
    <cellStyle name="Normal 4 2 2 5 7" xfId="2511" xr:uid="{00000000-0005-0000-0000-000007130000}"/>
    <cellStyle name="Normal 4 2 2 5 7 2" xfId="6795" xr:uid="{00000000-0005-0000-0000-000008130000}"/>
    <cellStyle name="Normal 4 2 2 5 7 2 2" xfId="15237" xr:uid="{8A86FDC4-422C-4941-97B7-4A42FE67AB22}"/>
    <cellStyle name="Normal 4 2 2 5 7 3" xfId="11019" xr:uid="{2EE3490D-28FA-42DB-8428-D4020B3AE166}"/>
    <cellStyle name="Normal 4 2 2 5 8" xfId="4730" xr:uid="{00000000-0005-0000-0000-000009130000}"/>
    <cellStyle name="Normal 4 2 2 5 8 2" xfId="13172" xr:uid="{8F6916D6-7C75-46AB-A4D3-2B396E724F3F}"/>
    <cellStyle name="Normal 4 2 2 5 9" xfId="8954" xr:uid="{053BC608-E1A5-4246-8E40-6229757E561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7D0F44F3-A672-4E6D-BB68-0891FD76FAAE}"/>
    <cellStyle name="Normal 4 2 2 6 2 2 3" xfId="11514" xr:uid="{B86662DC-B611-44C6-8C2E-D36AAE192D7B}"/>
    <cellStyle name="Normal 4 2 2 6 2 3" xfId="5145" xr:uid="{00000000-0005-0000-0000-00000E130000}"/>
    <cellStyle name="Normal 4 2 2 6 2 3 2" xfId="13587" xr:uid="{F1A5489A-4CB2-48D2-B202-A0DB61A4D4C1}"/>
    <cellStyle name="Normal 4 2 2 6 2 4" xfId="9369" xr:uid="{88DCA5A5-31B0-47BB-8F19-36CABA46ADFB}"/>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E196FD04-CEBB-47BE-8F51-A0A91C85B46F}"/>
    <cellStyle name="Normal 4 2 2 6 3 2 3" xfId="11927" xr:uid="{659E683C-F0AC-403E-9977-E6379BBBD2B3}"/>
    <cellStyle name="Normal 4 2 2 6 3 3" xfId="5558" xr:uid="{00000000-0005-0000-0000-000012130000}"/>
    <cellStyle name="Normal 4 2 2 6 3 3 2" xfId="14000" xr:uid="{A36E9158-9853-4BBD-8F07-7F876633190C}"/>
    <cellStyle name="Normal 4 2 2 6 3 4" xfId="9782" xr:uid="{959EF78E-4D88-464B-83CA-A841AAF89568}"/>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332B70EC-6A91-4291-9C60-3C6DB2A46503}"/>
    <cellStyle name="Normal 4 2 2 6 4 2 3" xfId="12340" xr:uid="{8D6BD7FA-EA67-4170-AC8E-D361D1701855}"/>
    <cellStyle name="Normal 4 2 2 6 4 3" xfId="5971" xr:uid="{00000000-0005-0000-0000-000016130000}"/>
    <cellStyle name="Normal 4 2 2 6 4 3 2" xfId="14413" xr:uid="{B9D4B5BD-A252-4404-B85E-540C2D17DB9D}"/>
    <cellStyle name="Normal 4 2 2 6 4 4" xfId="10195" xr:uid="{BE0792AF-5886-48A3-BB3C-B9042F4BCC5F}"/>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599FE0CD-530D-4FD2-93AF-C2898ACC17B7}"/>
    <cellStyle name="Normal 4 2 2 6 5 2 3" xfId="12753" xr:uid="{A64C9FB9-527C-4F7E-B3A7-6657232E9002}"/>
    <cellStyle name="Normal 4 2 2 6 5 3" xfId="6384" xr:uid="{00000000-0005-0000-0000-00001A130000}"/>
    <cellStyle name="Normal 4 2 2 6 5 3 2" xfId="14826" xr:uid="{C0649F19-BAF2-4EB7-A24F-5FFC8F3F0308}"/>
    <cellStyle name="Normal 4 2 2 6 5 4" xfId="10608" xr:uid="{A11EF6A1-859A-435B-A954-C5C5E453977F}"/>
    <cellStyle name="Normal 4 2 2 6 6" xfId="2513" xr:uid="{00000000-0005-0000-0000-00001B130000}"/>
    <cellStyle name="Normal 4 2 2 6 6 2" xfId="6797" xr:uid="{00000000-0005-0000-0000-00001C130000}"/>
    <cellStyle name="Normal 4 2 2 6 6 2 2" xfId="15239" xr:uid="{DCC65B6F-1D11-4111-BB66-5C7D54E347CA}"/>
    <cellStyle name="Normal 4 2 2 6 6 3" xfId="11021" xr:uid="{F767424E-7611-48DC-90F1-D16160FDB34B}"/>
    <cellStyle name="Normal 4 2 2 6 7" xfId="4732" xr:uid="{00000000-0005-0000-0000-00001D130000}"/>
    <cellStyle name="Normal 4 2 2 6 7 2" xfId="13174" xr:uid="{FEE9260E-B1FB-462B-90FB-5AA4B325350D}"/>
    <cellStyle name="Normal 4 2 2 6 8" xfId="8956" xr:uid="{F6A6949D-60C6-485F-9CA3-5D8F87ED8D42}"/>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CACA89D2-4CB1-4528-9EC4-72ACA5C52B26}"/>
    <cellStyle name="Normal 4 2 2 7 2 3" xfId="11499" xr:uid="{B63193FE-499D-405A-869B-8E7510850AA4}"/>
    <cellStyle name="Normal 4 2 2 7 3" xfId="5130" xr:uid="{00000000-0005-0000-0000-000021130000}"/>
    <cellStyle name="Normal 4 2 2 7 3 2" xfId="13572" xr:uid="{6B203DDA-C980-4B7D-B5E1-500BAD2F06F9}"/>
    <cellStyle name="Normal 4 2 2 7 4" xfId="9354" xr:uid="{F7CEA053-8CBE-4490-BB85-B348AB2E6533}"/>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0584DEE8-65A3-4FAD-A270-F5B52F777A8E}"/>
    <cellStyle name="Normal 4 2 2 8 2 3" xfId="11912" xr:uid="{1B7EB722-34D0-4373-929E-2DBC73371596}"/>
    <cellStyle name="Normal 4 2 2 8 3" xfId="5543" xr:uid="{00000000-0005-0000-0000-000025130000}"/>
    <cellStyle name="Normal 4 2 2 8 3 2" xfId="13985" xr:uid="{E59E8D7B-CA35-4C1F-B6D6-76302A936A3C}"/>
    <cellStyle name="Normal 4 2 2 8 4" xfId="9767" xr:uid="{7906310C-69CE-40F6-8DDF-5C7D82CC544E}"/>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3D7724A3-E0E2-430D-9231-8C9C73813FE1}"/>
    <cellStyle name="Normal 4 2 2 9 2 3" xfId="12325" xr:uid="{0C15D2F6-B88D-49E5-9863-C4347DB017AB}"/>
    <cellStyle name="Normal 4 2 2 9 3" xfId="5956" xr:uid="{00000000-0005-0000-0000-000029130000}"/>
    <cellStyle name="Normal 4 2 2 9 3 2" xfId="14398" xr:uid="{74B26AFD-3A74-410B-9008-2C2789C8F8DA}"/>
    <cellStyle name="Normal 4 2 2 9 4" xfId="10180" xr:uid="{72FD4F94-753B-4E17-978A-F89EC57748D7}"/>
    <cellStyle name="Normal 4 2 3" xfId="354" xr:uid="{00000000-0005-0000-0000-00002A130000}"/>
    <cellStyle name="Normal 4 2 4" xfId="355" xr:uid="{00000000-0005-0000-0000-00002B130000}"/>
    <cellStyle name="Normal 4 2 4 10" xfId="4733" xr:uid="{00000000-0005-0000-0000-00002C130000}"/>
    <cellStyle name="Normal 4 2 4 10 2" xfId="13175" xr:uid="{634368DE-E5C4-4730-9A34-5570C635E903}"/>
    <cellStyle name="Normal 4 2 4 11" xfId="8957" xr:uid="{22131153-D636-4489-9BAE-A51CE1DC1BE4}"/>
    <cellStyle name="Normal 4 2 4 2" xfId="356" xr:uid="{00000000-0005-0000-0000-00002D130000}"/>
    <cellStyle name="Normal 4 2 4 2 10" xfId="8958" xr:uid="{43B15E14-8FA2-4460-ACC3-E01E0F8A3CC1}"/>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F141001A-2F30-41A0-ADDD-F6DF66D840E6}"/>
    <cellStyle name="Normal 4 2 4 2 2 2 2 2 3" xfId="11518" xr:uid="{DF3700A1-DDE5-44F7-947D-AFE329E4A0F3}"/>
    <cellStyle name="Normal 4 2 4 2 2 2 2 3" xfId="5149" xr:uid="{00000000-0005-0000-0000-000033130000}"/>
    <cellStyle name="Normal 4 2 4 2 2 2 2 3 2" xfId="13591" xr:uid="{E2DD050A-9D05-4BFD-8EDA-F71235BB4BC5}"/>
    <cellStyle name="Normal 4 2 4 2 2 2 2 4" xfId="9373" xr:uid="{811905B1-FE6C-43C9-BC24-9C03A1D99301}"/>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84686083-0061-4A6E-8BAD-ED5D99E8E72D}"/>
    <cellStyle name="Normal 4 2 4 2 2 2 3 2 3" xfId="11931" xr:uid="{E57CBFF5-A32F-4161-9925-45CCCAB796DF}"/>
    <cellStyle name="Normal 4 2 4 2 2 2 3 3" xfId="5562" xr:uid="{00000000-0005-0000-0000-000037130000}"/>
    <cellStyle name="Normal 4 2 4 2 2 2 3 3 2" xfId="14004" xr:uid="{E6BB83C4-D354-458C-907E-49AD3D4EB7E3}"/>
    <cellStyle name="Normal 4 2 4 2 2 2 3 4" xfId="9786" xr:uid="{204AF6D6-E825-44B2-BA9D-34B605B36CA9}"/>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5C50A320-D02A-4887-B1ED-AD52C6B11222}"/>
    <cellStyle name="Normal 4 2 4 2 2 2 4 2 3" xfId="12344" xr:uid="{538F0776-1DD8-4363-A9B6-4DBCD6EDB937}"/>
    <cellStyle name="Normal 4 2 4 2 2 2 4 3" xfId="5975" xr:uid="{00000000-0005-0000-0000-00003B130000}"/>
    <cellStyle name="Normal 4 2 4 2 2 2 4 3 2" xfId="14417" xr:uid="{50F3725B-C6E7-4A75-AA8D-C411C97CF1B4}"/>
    <cellStyle name="Normal 4 2 4 2 2 2 4 4" xfId="10199" xr:uid="{49107B75-F8A6-4EEC-83E4-04EA65D8151A}"/>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01766324-C053-43F1-AA7F-F726D0C586FE}"/>
    <cellStyle name="Normal 4 2 4 2 2 2 5 2 3" xfId="12757" xr:uid="{5B3FD7D4-C36A-4445-8F8B-83689ECC018A}"/>
    <cellStyle name="Normal 4 2 4 2 2 2 5 3" xfId="6388" xr:uid="{00000000-0005-0000-0000-00003F130000}"/>
    <cellStyle name="Normal 4 2 4 2 2 2 5 3 2" xfId="14830" xr:uid="{96F64160-EC96-4250-BC2A-5EA041EF07EE}"/>
    <cellStyle name="Normal 4 2 4 2 2 2 5 4" xfId="10612" xr:uid="{4BD0AA27-47D5-442E-A501-3A24E52CAB98}"/>
    <cellStyle name="Normal 4 2 4 2 2 2 6" xfId="2517" xr:uid="{00000000-0005-0000-0000-000040130000}"/>
    <cellStyle name="Normal 4 2 4 2 2 2 6 2" xfId="6801" xr:uid="{00000000-0005-0000-0000-000041130000}"/>
    <cellStyle name="Normal 4 2 4 2 2 2 6 2 2" xfId="15243" xr:uid="{6CDFD23B-81AC-4FC9-93CD-FDD356468A0C}"/>
    <cellStyle name="Normal 4 2 4 2 2 2 6 3" xfId="11025" xr:uid="{877D0F4F-C9BC-4D2B-BC5B-8F603819F149}"/>
    <cellStyle name="Normal 4 2 4 2 2 2 7" xfId="4736" xr:uid="{00000000-0005-0000-0000-000042130000}"/>
    <cellStyle name="Normal 4 2 4 2 2 2 7 2" xfId="13178" xr:uid="{249EEF2E-1D84-4AA8-B366-7C7DDF1902F2}"/>
    <cellStyle name="Normal 4 2 4 2 2 2 8" xfId="8960" xr:uid="{92C92129-E02B-4F73-800C-87405F6A3515}"/>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337DA14B-A996-4038-9D38-EBD47D3451D8}"/>
    <cellStyle name="Normal 4 2 4 2 2 3 2 3" xfId="11517" xr:uid="{CF3D9399-3482-47F1-88E0-97CB3648D5DC}"/>
    <cellStyle name="Normal 4 2 4 2 2 3 3" xfId="5148" xr:uid="{00000000-0005-0000-0000-000046130000}"/>
    <cellStyle name="Normal 4 2 4 2 2 3 3 2" xfId="13590" xr:uid="{A1A3C5EF-2C58-42DE-9C77-D1C68EA5CE37}"/>
    <cellStyle name="Normal 4 2 4 2 2 3 4" xfId="9372" xr:uid="{72D2C671-8DC0-4F80-8889-4484E88D637C}"/>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E5DD8D66-35A5-4673-A6DC-7F192297CCBE}"/>
    <cellStyle name="Normal 4 2 4 2 2 4 2 3" xfId="11930" xr:uid="{9529CD1A-811E-4B32-AFB5-C66671E86E6C}"/>
    <cellStyle name="Normal 4 2 4 2 2 4 3" xfId="5561" xr:uid="{00000000-0005-0000-0000-00004A130000}"/>
    <cellStyle name="Normal 4 2 4 2 2 4 3 2" xfId="14003" xr:uid="{2797E847-833E-4144-8989-AF72A34BC52B}"/>
    <cellStyle name="Normal 4 2 4 2 2 4 4" xfId="9785" xr:uid="{64436F83-00FA-4A75-A5E2-369830EF432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93B0BCEE-B0BA-4DCE-884F-F285136BE975}"/>
    <cellStyle name="Normal 4 2 4 2 2 5 2 3" xfId="12343" xr:uid="{FF6002CD-D410-49D1-9FE3-435394CDE210}"/>
    <cellStyle name="Normal 4 2 4 2 2 5 3" xfId="5974" xr:uid="{00000000-0005-0000-0000-00004E130000}"/>
    <cellStyle name="Normal 4 2 4 2 2 5 3 2" xfId="14416" xr:uid="{DD7D3053-3D0B-4685-8E2E-36E876A18B9F}"/>
    <cellStyle name="Normal 4 2 4 2 2 5 4" xfId="10198" xr:uid="{850AD647-D81E-4796-8450-C275E4CF9D34}"/>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70E14392-E99D-4316-A5D8-788D0D198669}"/>
    <cellStyle name="Normal 4 2 4 2 2 6 2 3" xfId="12756" xr:uid="{FA646268-3037-4D84-B911-026A0592334A}"/>
    <cellStyle name="Normal 4 2 4 2 2 6 3" xfId="6387" xr:uid="{00000000-0005-0000-0000-000052130000}"/>
    <cellStyle name="Normal 4 2 4 2 2 6 3 2" xfId="14829" xr:uid="{3D9E1065-E0A3-4852-A387-2827574C6BA6}"/>
    <cellStyle name="Normal 4 2 4 2 2 6 4" xfId="10611" xr:uid="{7EED7D77-BA2D-435B-BCCD-52384C0B462A}"/>
    <cellStyle name="Normal 4 2 4 2 2 7" xfId="2516" xr:uid="{00000000-0005-0000-0000-000053130000}"/>
    <cellStyle name="Normal 4 2 4 2 2 7 2" xfId="6800" xr:uid="{00000000-0005-0000-0000-000054130000}"/>
    <cellStyle name="Normal 4 2 4 2 2 7 2 2" xfId="15242" xr:uid="{461AFCB6-B6C3-49A8-839A-F019B52B60E0}"/>
    <cellStyle name="Normal 4 2 4 2 2 7 3" xfId="11024" xr:uid="{74660C6F-61E9-480D-947F-BB0CC9BDD5B7}"/>
    <cellStyle name="Normal 4 2 4 2 2 8" xfId="4735" xr:uid="{00000000-0005-0000-0000-000055130000}"/>
    <cellStyle name="Normal 4 2 4 2 2 8 2" xfId="13177" xr:uid="{D267EB32-8299-4C2E-AAF7-9D2BC5360D8D}"/>
    <cellStyle name="Normal 4 2 4 2 2 9" xfId="8959" xr:uid="{CD386ABC-95D2-49D7-9F5B-9E5191153FF1}"/>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787A38FE-D433-4616-A842-65F41790E15E}"/>
    <cellStyle name="Normal 4 2 4 2 3 2 2 3" xfId="11519" xr:uid="{BE20674F-6C60-412D-A35B-B572A29880E8}"/>
    <cellStyle name="Normal 4 2 4 2 3 2 3" xfId="5150" xr:uid="{00000000-0005-0000-0000-00005A130000}"/>
    <cellStyle name="Normal 4 2 4 2 3 2 3 2" xfId="13592" xr:uid="{5810C56C-F3B3-47B4-AC7F-11DCEE2AA777}"/>
    <cellStyle name="Normal 4 2 4 2 3 2 4" xfId="9374" xr:uid="{9AC08972-C7EA-4386-B471-FC97FFBEF989}"/>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74E9B9DD-BF9B-474C-99AC-6BA648264655}"/>
    <cellStyle name="Normal 4 2 4 2 3 3 2 3" xfId="11932" xr:uid="{C806E646-6CAD-4F5E-8587-E5D5DC5ED7DF}"/>
    <cellStyle name="Normal 4 2 4 2 3 3 3" xfId="5563" xr:uid="{00000000-0005-0000-0000-00005E130000}"/>
    <cellStyle name="Normal 4 2 4 2 3 3 3 2" xfId="14005" xr:uid="{F946A3DF-87AE-4DC4-B395-A5AE646D3BB2}"/>
    <cellStyle name="Normal 4 2 4 2 3 3 4" xfId="9787" xr:uid="{7A29266A-9A80-4319-B828-8529A065DD1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A44C15B5-9BED-46D6-B04E-549F81711028}"/>
    <cellStyle name="Normal 4 2 4 2 3 4 2 3" xfId="12345" xr:uid="{7DF48016-6252-4568-B89D-DA5EB8FF6FFF}"/>
    <cellStyle name="Normal 4 2 4 2 3 4 3" xfId="5976" xr:uid="{00000000-0005-0000-0000-000062130000}"/>
    <cellStyle name="Normal 4 2 4 2 3 4 3 2" xfId="14418" xr:uid="{D587852A-2012-4092-9E77-3135CFCE85D6}"/>
    <cellStyle name="Normal 4 2 4 2 3 4 4" xfId="10200" xr:uid="{54EED50D-BF1F-464E-BB88-7D4E11D0EAA6}"/>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8087B942-C6AD-41AF-93DE-A156FC6A891F}"/>
    <cellStyle name="Normal 4 2 4 2 3 5 2 3" xfId="12758" xr:uid="{91CB292E-ACC8-43C7-8722-F3F8E7AD44F0}"/>
    <cellStyle name="Normal 4 2 4 2 3 5 3" xfId="6389" xr:uid="{00000000-0005-0000-0000-000066130000}"/>
    <cellStyle name="Normal 4 2 4 2 3 5 3 2" xfId="14831" xr:uid="{96059203-82C7-4486-A3C1-AAB876994BF8}"/>
    <cellStyle name="Normal 4 2 4 2 3 5 4" xfId="10613" xr:uid="{0A9CCD7A-3F4A-4EE7-8BB1-47CD2E28697C}"/>
    <cellStyle name="Normal 4 2 4 2 3 6" xfId="2518" xr:uid="{00000000-0005-0000-0000-000067130000}"/>
    <cellStyle name="Normal 4 2 4 2 3 6 2" xfId="6802" xr:uid="{00000000-0005-0000-0000-000068130000}"/>
    <cellStyle name="Normal 4 2 4 2 3 6 2 2" xfId="15244" xr:uid="{0EDC82D0-CBEA-4A3F-ADD4-DBCFA868E44B}"/>
    <cellStyle name="Normal 4 2 4 2 3 6 3" xfId="11026" xr:uid="{5126A873-29AB-4BE7-B844-C7A1FB4081BE}"/>
    <cellStyle name="Normal 4 2 4 2 3 7" xfId="4737" xr:uid="{00000000-0005-0000-0000-000069130000}"/>
    <cellStyle name="Normal 4 2 4 2 3 7 2" xfId="13179" xr:uid="{05584BCD-33A9-4636-8CF7-D0B103D0EBF6}"/>
    <cellStyle name="Normal 4 2 4 2 3 8" xfId="8961" xr:uid="{4C9674CE-C981-4F92-95C9-324F42DFA8DE}"/>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1B0D2E06-427B-4EB6-8914-9019C8A92178}"/>
    <cellStyle name="Normal 4 2 4 2 4 2 3" xfId="11516" xr:uid="{677C5258-51A7-44F2-AF79-300A6F087A89}"/>
    <cellStyle name="Normal 4 2 4 2 4 3" xfId="5147" xr:uid="{00000000-0005-0000-0000-00006D130000}"/>
    <cellStyle name="Normal 4 2 4 2 4 3 2" xfId="13589" xr:uid="{B7705C73-318E-4DAF-A726-CF3E5710FE01}"/>
    <cellStyle name="Normal 4 2 4 2 4 4" xfId="9371" xr:uid="{1D72C325-3B10-4D62-AC42-4520E4941A53}"/>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1934EC80-FA4F-444F-B150-83F09789C944}"/>
    <cellStyle name="Normal 4 2 4 2 5 2 3" xfId="11929" xr:uid="{A3F588AC-ADB2-48AA-999B-174259CCC87B}"/>
    <cellStyle name="Normal 4 2 4 2 5 3" xfId="5560" xr:uid="{00000000-0005-0000-0000-000071130000}"/>
    <cellStyle name="Normal 4 2 4 2 5 3 2" xfId="14002" xr:uid="{0EBB0B51-F1D0-45BB-A264-F905A7547CCD}"/>
    <cellStyle name="Normal 4 2 4 2 5 4" xfId="9784" xr:uid="{BFDBE3B3-65EC-4CAD-9742-318B73B2357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BF820E93-1184-40CB-AD42-7A262D0AFE6F}"/>
    <cellStyle name="Normal 4 2 4 2 6 2 3" xfId="12342" xr:uid="{A590F429-2178-4DAF-8F62-79AE0734D5E8}"/>
    <cellStyle name="Normal 4 2 4 2 6 3" xfId="5973" xr:uid="{00000000-0005-0000-0000-000075130000}"/>
    <cellStyle name="Normal 4 2 4 2 6 3 2" xfId="14415" xr:uid="{5ABACFDF-03F9-4863-9640-9E8F71F4AA1B}"/>
    <cellStyle name="Normal 4 2 4 2 6 4" xfId="10197" xr:uid="{3B9585DB-6908-416E-A787-FBED7654FCF5}"/>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4F8B144C-2408-42C2-8C11-D4C3E12557C2}"/>
    <cellStyle name="Normal 4 2 4 2 7 2 3" xfId="12755" xr:uid="{4701221D-390E-479A-BA5E-8BDB302A7486}"/>
    <cellStyle name="Normal 4 2 4 2 7 3" xfId="6386" xr:uid="{00000000-0005-0000-0000-000079130000}"/>
    <cellStyle name="Normal 4 2 4 2 7 3 2" xfId="14828" xr:uid="{45D044F2-ABAF-4931-93E7-F1C77CCDB108}"/>
    <cellStyle name="Normal 4 2 4 2 7 4" xfId="10610" xr:uid="{809953B1-4734-4685-AEFA-041EA3E98A46}"/>
    <cellStyle name="Normal 4 2 4 2 8" xfId="2515" xr:uid="{00000000-0005-0000-0000-00007A130000}"/>
    <cellStyle name="Normal 4 2 4 2 8 2" xfId="6799" xr:uid="{00000000-0005-0000-0000-00007B130000}"/>
    <cellStyle name="Normal 4 2 4 2 8 2 2" xfId="15241" xr:uid="{80BDCF24-EA6A-4BA1-8E31-12C1F6C87EC6}"/>
    <cellStyle name="Normal 4 2 4 2 8 3" xfId="11023" xr:uid="{CFBD6B1F-3326-425B-A934-69CFB0360E1D}"/>
    <cellStyle name="Normal 4 2 4 2 9" xfId="4734" xr:uid="{00000000-0005-0000-0000-00007C130000}"/>
    <cellStyle name="Normal 4 2 4 2 9 2" xfId="13176" xr:uid="{8DB60940-2CAD-48A4-B913-D0B9FFB34565}"/>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99610F87-807C-4F5F-AF0B-3A9BFB70A6B0}"/>
    <cellStyle name="Normal 4 2 4 3 2 2 2 3" xfId="11521" xr:uid="{FACB5C01-FEAA-40A0-91BF-A2FE1319F0AC}"/>
    <cellStyle name="Normal 4 2 4 3 2 2 3" xfId="5152" xr:uid="{00000000-0005-0000-0000-000082130000}"/>
    <cellStyle name="Normal 4 2 4 3 2 2 3 2" xfId="13594" xr:uid="{F66323FD-9935-400D-BE18-9CE5419E4571}"/>
    <cellStyle name="Normal 4 2 4 3 2 2 4" xfId="9376" xr:uid="{72D30A4A-69BE-4E97-A40F-24A72F8C8A46}"/>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19F27C1F-87B9-4624-9FB3-13414480BBE7}"/>
    <cellStyle name="Normal 4 2 4 3 2 3 2 3" xfId="11934" xr:uid="{B827A300-9BB9-4013-9CF5-811382B3749D}"/>
    <cellStyle name="Normal 4 2 4 3 2 3 3" xfId="5565" xr:uid="{00000000-0005-0000-0000-000086130000}"/>
    <cellStyle name="Normal 4 2 4 3 2 3 3 2" xfId="14007" xr:uid="{8DFEA225-8D14-43AD-9413-EAD540F29706}"/>
    <cellStyle name="Normal 4 2 4 3 2 3 4" xfId="9789" xr:uid="{4CF4E43C-73B4-41F0-AED7-53BD672199E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5835543C-3A57-4C87-9E38-8B41506EF416}"/>
    <cellStyle name="Normal 4 2 4 3 2 4 2 3" xfId="12347" xr:uid="{FCB3E9EC-FCFC-4E1E-9F05-013C8C50155C}"/>
    <cellStyle name="Normal 4 2 4 3 2 4 3" xfId="5978" xr:uid="{00000000-0005-0000-0000-00008A130000}"/>
    <cellStyle name="Normal 4 2 4 3 2 4 3 2" xfId="14420" xr:uid="{A6CBCDD2-2097-4FD3-A2C7-883A1DB38F9E}"/>
    <cellStyle name="Normal 4 2 4 3 2 4 4" xfId="10202" xr:uid="{CE9AC4C1-2FAD-49D6-91F2-88D4BB13655B}"/>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C512095A-5B92-4C48-809D-B28AD80DCC79}"/>
    <cellStyle name="Normal 4 2 4 3 2 5 2 3" xfId="12760" xr:uid="{2A1AFA76-C38E-41A4-8611-52FB10876DE9}"/>
    <cellStyle name="Normal 4 2 4 3 2 5 3" xfId="6391" xr:uid="{00000000-0005-0000-0000-00008E130000}"/>
    <cellStyle name="Normal 4 2 4 3 2 5 3 2" xfId="14833" xr:uid="{136A87D4-F3DC-4940-9E71-82713570E106}"/>
    <cellStyle name="Normal 4 2 4 3 2 5 4" xfId="10615" xr:uid="{DAB2E97C-FC1D-4FE9-8D2D-76A74BAD420E}"/>
    <cellStyle name="Normal 4 2 4 3 2 6" xfId="2520" xr:uid="{00000000-0005-0000-0000-00008F130000}"/>
    <cellStyle name="Normal 4 2 4 3 2 6 2" xfId="6804" xr:uid="{00000000-0005-0000-0000-000090130000}"/>
    <cellStyle name="Normal 4 2 4 3 2 6 2 2" xfId="15246" xr:uid="{66B03025-F073-481A-A1B4-47E7B1F33317}"/>
    <cellStyle name="Normal 4 2 4 3 2 6 3" xfId="11028" xr:uid="{ECA4D4D0-D98E-4B81-84C5-BB6682F8B26A}"/>
    <cellStyle name="Normal 4 2 4 3 2 7" xfId="4739" xr:uid="{00000000-0005-0000-0000-000091130000}"/>
    <cellStyle name="Normal 4 2 4 3 2 7 2" xfId="13181" xr:uid="{84FA6B83-0522-4007-86E0-EDFF2F9F60AB}"/>
    <cellStyle name="Normal 4 2 4 3 2 8" xfId="8963" xr:uid="{0606B4DE-1C15-4768-9D20-4F03FD4865B5}"/>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180A6B0C-F94D-4B4E-8D2A-E994AE29EBC7}"/>
    <cellStyle name="Normal 4 2 4 3 3 2 3" xfId="11520" xr:uid="{ADDBDA26-E8B2-4919-927D-55AD6822FD07}"/>
    <cellStyle name="Normal 4 2 4 3 3 3" xfId="5151" xr:uid="{00000000-0005-0000-0000-000095130000}"/>
    <cellStyle name="Normal 4 2 4 3 3 3 2" xfId="13593" xr:uid="{C3A7383E-0A78-4E00-B422-058093F6E617}"/>
    <cellStyle name="Normal 4 2 4 3 3 4" xfId="9375" xr:uid="{D91ECAD0-BEC0-49BE-9F7D-091340C19823}"/>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71F5056A-2077-440B-8736-A0E1CCDFE312}"/>
    <cellStyle name="Normal 4 2 4 3 4 2 3" xfId="11933" xr:uid="{63B9950B-A1F5-42FF-98E6-FE981F72D61A}"/>
    <cellStyle name="Normal 4 2 4 3 4 3" xfId="5564" xr:uid="{00000000-0005-0000-0000-000099130000}"/>
    <cellStyle name="Normal 4 2 4 3 4 3 2" xfId="14006" xr:uid="{62C4DC7D-5D6A-495A-87B0-117D7E82C572}"/>
    <cellStyle name="Normal 4 2 4 3 4 4" xfId="9788" xr:uid="{8B324328-EDAC-4646-B2DC-D55E2EB3B544}"/>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C7FB811E-598A-479E-BBC5-2FFA882DD80C}"/>
    <cellStyle name="Normal 4 2 4 3 5 2 3" xfId="12346" xr:uid="{E6DBBE47-C891-4D12-A061-9D62627AB3CA}"/>
    <cellStyle name="Normal 4 2 4 3 5 3" xfId="5977" xr:uid="{00000000-0005-0000-0000-00009D130000}"/>
    <cellStyle name="Normal 4 2 4 3 5 3 2" xfId="14419" xr:uid="{8A2D4997-E94F-4135-8305-41AF6AA58B37}"/>
    <cellStyle name="Normal 4 2 4 3 5 4" xfId="10201" xr:uid="{759A7716-B997-49B6-BAFB-2BE94E33BAFF}"/>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76D10C17-1CA7-4517-A81D-EF3CBC4A56C5}"/>
    <cellStyle name="Normal 4 2 4 3 6 2 3" xfId="12759" xr:uid="{0407BDCD-45AA-4DD8-8C4E-F3E95B4345D6}"/>
    <cellStyle name="Normal 4 2 4 3 6 3" xfId="6390" xr:uid="{00000000-0005-0000-0000-0000A1130000}"/>
    <cellStyle name="Normal 4 2 4 3 6 3 2" xfId="14832" xr:uid="{BB07D45C-E6BE-4A14-B583-9922CA416C90}"/>
    <cellStyle name="Normal 4 2 4 3 6 4" xfId="10614" xr:uid="{93029681-425B-4EA3-A843-A20E8A320F28}"/>
    <cellStyle name="Normal 4 2 4 3 7" xfId="2519" xr:uid="{00000000-0005-0000-0000-0000A2130000}"/>
    <cellStyle name="Normal 4 2 4 3 7 2" xfId="6803" xr:uid="{00000000-0005-0000-0000-0000A3130000}"/>
    <cellStyle name="Normal 4 2 4 3 7 2 2" xfId="15245" xr:uid="{59D62FF3-622C-486D-83C6-3C27206F8283}"/>
    <cellStyle name="Normal 4 2 4 3 7 3" xfId="11027" xr:uid="{16F2F315-05C5-4A30-8413-348033F769F8}"/>
    <cellStyle name="Normal 4 2 4 3 8" xfId="4738" xr:uid="{00000000-0005-0000-0000-0000A4130000}"/>
    <cellStyle name="Normal 4 2 4 3 8 2" xfId="13180" xr:uid="{7C3A8442-0972-4773-9DCE-3D7F62CC4559}"/>
    <cellStyle name="Normal 4 2 4 3 9" xfId="8962" xr:uid="{100CF21E-7E22-4A7E-A5F3-CB4E0552C9EE}"/>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B97A7510-7E6F-4B48-A596-99718EFA049F}"/>
    <cellStyle name="Normal 4 2 4 4 2 2 3" xfId="11522" xr:uid="{FD639B18-E11F-4503-AF01-E9C7EFE87138}"/>
    <cellStyle name="Normal 4 2 4 4 2 3" xfId="5153" xr:uid="{00000000-0005-0000-0000-0000A9130000}"/>
    <cellStyle name="Normal 4 2 4 4 2 3 2" xfId="13595" xr:uid="{14D600D1-1476-4CE7-B110-F36F6D88D265}"/>
    <cellStyle name="Normal 4 2 4 4 2 4" xfId="9377" xr:uid="{DCD194ED-6E1A-41CA-8798-FB1E223EDA27}"/>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9FA0DD3A-C1D0-4992-A317-D9E534A17015}"/>
    <cellStyle name="Normal 4 2 4 4 3 2 3" xfId="11935" xr:uid="{2748D8AD-3F1D-48BD-986F-9546421E3C00}"/>
    <cellStyle name="Normal 4 2 4 4 3 3" xfId="5566" xr:uid="{00000000-0005-0000-0000-0000AD130000}"/>
    <cellStyle name="Normal 4 2 4 4 3 3 2" xfId="14008" xr:uid="{8ED3F602-6243-4A9C-8830-2A261838685D}"/>
    <cellStyle name="Normal 4 2 4 4 3 4" xfId="9790" xr:uid="{7220EB0F-5BA0-4BDC-816C-A93A457C0E1C}"/>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5DC0A024-6CBC-4FF5-99A7-1412B37EAC16}"/>
    <cellStyle name="Normal 4 2 4 4 4 2 3" xfId="12348" xr:uid="{15C2E25F-D6DB-4BBE-A140-B2DBAD3E90C8}"/>
    <cellStyle name="Normal 4 2 4 4 4 3" xfId="5979" xr:uid="{00000000-0005-0000-0000-0000B1130000}"/>
    <cellStyle name="Normal 4 2 4 4 4 3 2" xfId="14421" xr:uid="{2B59798C-59BA-4FC3-8A4E-A9A738C5D896}"/>
    <cellStyle name="Normal 4 2 4 4 4 4" xfId="10203" xr:uid="{A321C6FE-147B-4502-A7A3-5CCE8E658EDA}"/>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58258AFA-8717-40DA-B90C-8B973D58BF35}"/>
    <cellStyle name="Normal 4 2 4 4 5 2 3" xfId="12761" xr:uid="{4ED244D5-A715-4E40-9A8D-368405BCC17C}"/>
    <cellStyle name="Normal 4 2 4 4 5 3" xfId="6392" xr:uid="{00000000-0005-0000-0000-0000B5130000}"/>
    <cellStyle name="Normal 4 2 4 4 5 3 2" xfId="14834" xr:uid="{8EFC9652-FF81-4021-830A-A366F598ED0C}"/>
    <cellStyle name="Normal 4 2 4 4 5 4" xfId="10616" xr:uid="{449A96CA-0D7C-4FF4-8A00-7281DE57F81E}"/>
    <cellStyle name="Normal 4 2 4 4 6" xfId="2521" xr:uid="{00000000-0005-0000-0000-0000B6130000}"/>
    <cellStyle name="Normal 4 2 4 4 6 2" xfId="6805" xr:uid="{00000000-0005-0000-0000-0000B7130000}"/>
    <cellStyle name="Normal 4 2 4 4 6 2 2" xfId="15247" xr:uid="{ADB72345-7584-4693-9E9F-FADE9F2C5B92}"/>
    <cellStyle name="Normal 4 2 4 4 6 3" xfId="11029" xr:uid="{C0146405-57F2-4A2D-AE65-CF1D4CB4F9BB}"/>
    <cellStyle name="Normal 4 2 4 4 7" xfId="4740" xr:uid="{00000000-0005-0000-0000-0000B8130000}"/>
    <cellStyle name="Normal 4 2 4 4 7 2" xfId="13182" xr:uid="{B15866AF-8915-4135-AAFA-FC7EB548FA2E}"/>
    <cellStyle name="Normal 4 2 4 4 8" xfId="8964" xr:uid="{AFA610FB-833C-4228-B0E6-2DE80A9E5BDE}"/>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BBD6A01D-C568-4294-80C8-22672B15ED17}"/>
    <cellStyle name="Normal 4 2 4 5 2 3" xfId="11515" xr:uid="{705EBD12-785D-4636-A3F7-EC1A8C920C52}"/>
    <cellStyle name="Normal 4 2 4 5 3" xfId="5146" xr:uid="{00000000-0005-0000-0000-0000BC130000}"/>
    <cellStyle name="Normal 4 2 4 5 3 2" xfId="13588" xr:uid="{1B6F169A-A923-4C21-8A41-DE30F0164DD3}"/>
    <cellStyle name="Normal 4 2 4 5 4" xfId="9370" xr:uid="{07B6F7EF-37CC-4485-8B5A-33EE188653AA}"/>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8DCF43F2-B89A-4144-BAC4-22CEFD173144}"/>
    <cellStyle name="Normal 4 2 4 6 2 3" xfId="11928" xr:uid="{56E741D1-4A20-4E30-9A01-F102DD41A4DB}"/>
    <cellStyle name="Normal 4 2 4 6 3" xfId="5559" xr:uid="{00000000-0005-0000-0000-0000C0130000}"/>
    <cellStyle name="Normal 4 2 4 6 3 2" xfId="14001" xr:uid="{647050CC-7E21-4EDE-A594-2447B6902D93}"/>
    <cellStyle name="Normal 4 2 4 6 4" xfId="9783" xr:uid="{D9720DA5-5419-4D97-9C74-1D752655D4DA}"/>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D83804F7-F34C-4A42-AB41-C0A46AC6C61A}"/>
    <cellStyle name="Normal 4 2 4 7 2 3" xfId="12341" xr:uid="{AD023BB8-C4AE-42A4-9761-BE270D6098E4}"/>
    <cellStyle name="Normal 4 2 4 7 3" xfId="5972" xr:uid="{00000000-0005-0000-0000-0000C4130000}"/>
    <cellStyle name="Normal 4 2 4 7 3 2" xfId="14414" xr:uid="{E95410AD-BA1D-4A63-8EFB-6D51541BF867}"/>
    <cellStyle name="Normal 4 2 4 7 4" xfId="10196" xr:uid="{3232824A-C776-465D-A9B9-BC0388B2C4C3}"/>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03AC718F-E7A5-4FDA-8EBA-766C413F8976}"/>
    <cellStyle name="Normal 4 2 4 8 2 3" xfId="12754" xr:uid="{987C1EDF-EE94-4EE0-A01C-316220B2EB0E}"/>
    <cellStyle name="Normal 4 2 4 8 3" xfId="6385" xr:uid="{00000000-0005-0000-0000-0000C8130000}"/>
    <cellStyle name="Normal 4 2 4 8 3 2" xfId="14827" xr:uid="{3308DB19-25F7-4B84-A31F-3E2BA52F3082}"/>
    <cellStyle name="Normal 4 2 4 8 4" xfId="10609" xr:uid="{250DE1BA-F0B0-4D2F-A7B6-131907A8361E}"/>
    <cellStyle name="Normal 4 2 4 9" xfId="2514" xr:uid="{00000000-0005-0000-0000-0000C9130000}"/>
    <cellStyle name="Normal 4 2 4 9 2" xfId="6798" xr:uid="{00000000-0005-0000-0000-0000CA130000}"/>
    <cellStyle name="Normal 4 2 4 9 2 2" xfId="15240" xr:uid="{CCD47475-706A-4C5A-A408-ECE2E4A04AAF}"/>
    <cellStyle name="Normal 4 2 4 9 3" xfId="11022" xr:uid="{D47A6476-25F8-4E53-98B6-BB1BC102C18B}"/>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8EDCF938-3753-4338-A74F-16C781225136}"/>
    <cellStyle name="Normal 4 2 5 2 2 2 3" xfId="11524" xr:uid="{AF642594-F8E2-463A-971B-D479A6D856FD}"/>
    <cellStyle name="Normal 4 2 5 2 2 3" xfId="5155" xr:uid="{00000000-0005-0000-0000-0000D0130000}"/>
    <cellStyle name="Normal 4 2 5 2 2 3 2" xfId="13597" xr:uid="{6D742D0C-B9C3-41CD-8B87-D0F5F4200AE4}"/>
    <cellStyle name="Normal 4 2 5 2 2 4" xfId="9379" xr:uid="{2E107208-F8D7-47F8-938A-302AFC7677B2}"/>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1CB6C99D-13C3-4F20-B21E-AEEF6B5B67D5}"/>
    <cellStyle name="Normal 4 2 5 2 3 2 3" xfId="11937" xr:uid="{E6B65B18-4027-4EEA-9F2A-D62ADFE4A516}"/>
    <cellStyle name="Normal 4 2 5 2 3 3" xfId="5568" xr:uid="{00000000-0005-0000-0000-0000D4130000}"/>
    <cellStyle name="Normal 4 2 5 2 3 3 2" xfId="14010" xr:uid="{1D293E4B-29F8-4E53-ACB9-51A3BBCA8699}"/>
    <cellStyle name="Normal 4 2 5 2 3 4" xfId="9792" xr:uid="{9D685CA4-9F9D-4F11-B17C-3E66163E9716}"/>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A7F8368B-BAE0-4DD4-B28A-0799406EC617}"/>
    <cellStyle name="Normal 4 2 5 2 4 2 3" xfId="12350" xr:uid="{F26B6226-7BE4-4803-A831-66F2D6112D91}"/>
    <cellStyle name="Normal 4 2 5 2 4 3" xfId="5981" xr:uid="{00000000-0005-0000-0000-0000D8130000}"/>
    <cellStyle name="Normal 4 2 5 2 4 3 2" xfId="14423" xr:uid="{D1D265B6-EA90-48A9-8BDE-A70E1020F81C}"/>
    <cellStyle name="Normal 4 2 5 2 4 4" xfId="10205" xr:uid="{4BD28E34-B0A3-44BA-943E-FC518882D869}"/>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DB7C71BF-494B-4B3A-A154-BD36D9BD9D24}"/>
    <cellStyle name="Normal 4 2 5 2 5 2 3" xfId="12763" xr:uid="{7D440B30-5F5A-4715-B49E-0A4025697326}"/>
    <cellStyle name="Normal 4 2 5 2 5 3" xfId="6394" xr:uid="{00000000-0005-0000-0000-0000DC130000}"/>
    <cellStyle name="Normal 4 2 5 2 5 3 2" xfId="14836" xr:uid="{A16E93C8-2248-4FC2-9919-F3987F597E10}"/>
    <cellStyle name="Normal 4 2 5 2 5 4" xfId="10618" xr:uid="{52F82767-4FD4-4F18-B67B-657E156B308F}"/>
    <cellStyle name="Normal 4 2 5 2 6" xfId="2523" xr:uid="{00000000-0005-0000-0000-0000DD130000}"/>
    <cellStyle name="Normal 4 2 5 2 6 2" xfId="6807" xr:uid="{00000000-0005-0000-0000-0000DE130000}"/>
    <cellStyle name="Normal 4 2 5 2 6 2 2" xfId="15249" xr:uid="{6C99BF14-DB61-4D5E-901E-02777BBEF0FA}"/>
    <cellStyle name="Normal 4 2 5 2 6 3" xfId="11031" xr:uid="{6293FCC6-A08D-4D13-9D7A-EF1BAB05E7AD}"/>
    <cellStyle name="Normal 4 2 5 2 7" xfId="4742" xr:uid="{00000000-0005-0000-0000-0000DF130000}"/>
    <cellStyle name="Normal 4 2 5 2 7 2" xfId="13184" xr:uid="{0655E70D-D1C8-4518-A24F-BC5534372833}"/>
    <cellStyle name="Normal 4 2 5 2 8" xfId="8966" xr:uid="{CC44DD72-E2FE-43B5-8EF2-EF1BE170C3A4}"/>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80B9C1BE-31F9-4FAC-9484-8CF41EA7F31F}"/>
    <cellStyle name="Normal 4 2 5 3 2 3" xfId="11523" xr:uid="{B26C23F8-34D8-46F5-8E1B-B2A5DE3F5562}"/>
    <cellStyle name="Normal 4 2 5 3 3" xfId="5154" xr:uid="{00000000-0005-0000-0000-0000E3130000}"/>
    <cellStyle name="Normal 4 2 5 3 3 2" xfId="13596" xr:uid="{28534C5D-7AAC-4022-80CF-9F2D2A637EFD}"/>
    <cellStyle name="Normal 4 2 5 3 4" xfId="9378" xr:uid="{D98ACD96-EAD2-4B21-8CF7-6E5F70972A7F}"/>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2DDF2298-516E-45D6-896E-1BDEE6FAE077}"/>
    <cellStyle name="Normal 4 2 5 4 2 3" xfId="11936" xr:uid="{3F17AE39-F896-43FC-94C7-06B5CE1DA817}"/>
    <cellStyle name="Normal 4 2 5 4 3" xfId="5567" xr:uid="{00000000-0005-0000-0000-0000E7130000}"/>
    <cellStyle name="Normal 4 2 5 4 3 2" xfId="14009" xr:uid="{C66EF648-ABCB-4D38-BB9C-FCA9CAC08914}"/>
    <cellStyle name="Normal 4 2 5 4 4" xfId="9791" xr:uid="{5108105C-D69D-41EA-B651-F00D8EE9404F}"/>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BB2AD0FB-A9A9-47AE-8E90-C7B4D9F379AD}"/>
    <cellStyle name="Normal 4 2 5 5 2 3" xfId="12349" xr:uid="{3E0FC4E0-7D7F-473E-887C-48BC130D5422}"/>
    <cellStyle name="Normal 4 2 5 5 3" xfId="5980" xr:uid="{00000000-0005-0000-0000-0000EB130000}"/>
    <cellStyle name="Normal 4 2 5 5 3 2" xfId="14422" xr:uid="{206E90DF-B6AC-4E22-BE75-7DA5F649DD66}"/>
    <cellStyle name="Normal 4 2 5 5 4" xfId="10204" xr:uid="{9C99703C-E371-47A0-AC18-94D14AE88BA3}"/>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87FC1B4B-55E4-4955-8DF6-DC4DDCE08E40}"/>
    <cellStyle name="Normal 4 2 5 6 2 3" xfId="12762" xr:uid="{DD5ADEF6-2DAF-4F54-90DE-D82147BFB318}"/>
    <cellStyle name="Normal 4 2 5 6 3" xfId="6393" xr:uid="{00000000-0005-0000-0000-0000EF130000}"/>
    <cellStyle name="Normal 4 2 5 6 3 2" xfId="14835" xr:uid="{6156FB3D-5F7F-4F23-8242-E7FF26CD2D5C}"/>
    <cellStyle name="Normal 4 2 5 6 4" xfId="10617" xr:uid="{A0793336-6AC1-4201-8E7B-00AE63F2A123}"/>
    <cellStyle name="Normal 4 2 5 7" xfId="2522" xr:uid="{00000000-0005-0000-0000-0000F0130000}"/>
    <cellStyle name="Normal 4 2 5 7 2" xfId="6806" xr:uid="{00000000-0005-0000-0000-0000F1130000}"/>
    <cellStyle name="Normal 4 2 5 7 2 2" xfId="15248" xr:uid="{2A1E6221-BCC5-42CE-8E91-F4A24FAA369C}"/>
    <cellStyle name="Normal 4 2 5 7 3" xfId="11030" xr:uid="{5C3AF549-5696-4A31-890D-86EE2813FFD8}"/>
    <cellStyle name="Normal 4 2 5 8" xfId="4741" xr:uid="{00000000-0005-0000-0000-0000F2130000}"/>
    <cellStyle name="Normal 4 2 5 8 2" xfId="13183" xr:uid="{B5690611-7F37-4495-8F1F-91541A57F743}"/>
    <cellStyle name="Normal 4 2 5 9" xfId="8965" xr:uid="{DAE14886-458A-4FFF-AE7F-6ECAD7E8655E}"/>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2EB0C90B-8B8E-4368-8AAE-83B69671DCEB}"/>
    <cellStyle name="Normal 4 2 6 2 2 3" xfId="11525" xr:uid="{85B1FA06-5A47-44D6-905C-E77D00036510}"/>
    <cellStyle name="Normal 4 2 6 2 3" xfId="5156" xr:uid="{00000000-0005-0000-0000-0000F7130000}"/>
    <cellStyle name="Normal 4 2 6 2 3 2" xfId="13598" xr:uid="{C3E43229-A59E-4741-9692-F3FAF6EF9814}"/>
    <cellStyle name="Normal 4 2 6 2 4" xfId="9380" xr:uid="{55A2C6A8-D045-484E-BB1F-98D35A01D0DD}"/>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5115BD29-2B28-4E48-82F7-C1A70CE5AB9A}"/>
    <cellStyle name="Normal 4 2 6 3 2 3" xfId="11938" xr:uid="{79D80911-61D0-41DB-8578-F5CBD573F0AA}"/>
    <cellStyle name="Normal 4 2 6 3 3" xfId="5569" xr:uid="{00000000-0005-0000-0000-0000FB130000}"/>
    <cellStyle name="Normal 4 2 6 3 3 2" xfId="14011" xr:uid="{FBEBFF50-CDC6-4DDD-BFA6-2C5E4A2F5D0E}"/>
    <cellStyle name="Normal 4 2 6 3 4" xfId="9793" xr:uid="{BA0EAB17-046C-4D17-8F57-0D761304E1E3}"/>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9E1C2865-F068-4CB3-9906-64230C91DBA3}"/>
    <cellStyle name="Normal 4 2 6 4 2 3" xfId="12351" xr:uid="{6163FCEE-23ED-4FDE-B8EE-7C5C5706262D}"/>
    <cellStyle name="Normal 4 2 6 4 3" xfId="5982" xr:uid="{00000000-0005-0000-0000-0000FF130000}"/>
    <cellStyle name="Normal 4 2 6 4 3 2" xfId="14424" xr:uid="{F369FDD8-8E6D-4393-ABB7-C841679F3EC9}"/>
    <cellStyle name="Normal 4 2 6 4 4" xfId="10206" xr:uid="{E7D5B418-824F-4529-8028-E3B690173A73}"/>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B5979AA4-2277-452B-9C4D-ECF9FDD19EB7}"/>
    <cellStyle name="Normal 4 2 6 5 2 3" xfId="12764" xr:uid="{29F36FA0-C6A6-46E5-87CA-F4EF2DE83EEC}"/>
    <cellStyle name="Normal 4 2 6 5 3" xfId="6395" xr:uid="{00000000-0005-0000-0000-000003140000}"/>
    <cellStyle name="Normal 4 2 6 5 3 2" xfId="14837" xr:uid="{5709A42B-0717-4BEC-BF6A-D39146062AE1}"/>
    <cellStyle name="Normal 4 2 6 5 4" xfId="10619" xr:uid="{21876210-B59C-4936-8F46-D30081377EEB}"/>
    <cellStyle name="Normal 4 2 6 6" xfId="2524" xr:uid="{00000000-0005-0000-0000-000004140000}"/>
    <cellStyle name="Normal 4 2 6 6 2" xfId="6808" xr:uid="{00000000-0005-0000-0000-000005140000}"/>
    <cellStyle name="Normal 4 2 6 6 2 2" xfId="15250" xr:uid="{6DDAC4D3-1B22-4FBC-936B-C92C54EE4EC1}"/>
    <cellStyle name="Normal 4 2 6 6 3" xfId="11032" xr:uid="{56376BAD-89E3-4148-883A-1154FDC063EC}"/>
    <cellStyle name="Normal 4 2 6 7" xfId="4743" xr:uid="{00000000-0005-0000-0000-000006140000}"/>
    <cellStyle name="Normal 4 2 6 7 2" xfId="13185" xr:uid="{F3FC4D68-3974-47DD-923D-CC91D055EB66}"/>
    <cellStyle name="Normal 4 2 6 8" xfId="8967" xr:uid="{E0B15D64-DF4C-4325-9846-E17F928088BA}"/>
    <cellStyle name="Normal 4 3" xfId="366" xr:uid="{00000000-0005-0000-0000-000007140000}"/>
    <cellStyle name="Normal 4 3 10" xfId="8968" xr:uid="{C4D18422-85A8-4006-B2C7-65C236B99E74}"/>
    <cellStyle name="Normal 4 3 2" xfId="367" xr:uid="{00000000-0005-0000-0000-000008140000}"/>
    <cellStyle name="Normal 4 3 2 2" xfId="368" xr:uid="{00000000-0005-0000-0000-000009140000}"/>
    <cellStyle name="Normal 4 3 2 2 2" xfId="369" xr:uid="{00000000-0005-0000-0000-00000A140000}"/>
    <cellStyle name="Normal 4 3 2 2 2 10" xfId="8969" xr:uid="{A956AADA-2327-4565-A0C0-0081DD63C3F5}"/>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6D19AB02-AA04-42AB-80E1-AEDF5190E146}"/>
    <cellStyle name="Normal 4 3 2 2 2 2 2 2 2 3" xfId="11529" xr:uid="{1A63F86F-0EE7-424B-9C7C-EC5554FE6C84}"/>
    <cellStyle name="Normal 4 3 2 2 2 2 2 2 3" xfId="5160" xr:uid="{00000000-0005-0000-0000-000010140000}"/>
    <cellStyle name="Normal 4 3 2 2 2 2 2 2 3 2" xfId="13602" xr:uid="{344FA0A0-64AA-41B5-B760-E6C7B532A950}"/>
    <cellStyle name="Normal 4 3 2 2 2 2 2 2 4" xfId="9384" xr:uid="{981346BD-032B-46DE-8187-AC0169B9D98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CB24230F-798B-482B-A446-8EAD3F89A323}"/>
    <cellStyle name="Normal 4 3 2 2 2 2 2 3 2 3" xfId="11942" xr:uid="{342A76C5-9911-448C-9EFC-46A205D7095A}"/>
    <cellStyle name="Normal 4 3 2 2 2 2 2 3 3" xfId="5573" xr:uid="{00000000-0005-0000-0000-000014140000}"/>
    <cellStyle name="Normal 4 3 2 2 2 2 2 3 3 2" xfId="14015" xr:uid="{92257C8D-7200-40E6-AFDB-51A0E6FA21E7}"/>
    <cellStyle name="Normal 4 3 2 2 2 2 2 3 4" xfId="9797" xr:uid="{37865B9D-1D7D-42D3-8D99-17A51897B2A7}"/>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38D82AE4-4D42-4B3E-8354-D18CCFCA716A}"/>
    <cellStyle name="Normal 4 3 2 2 2 2 2 4 2 3" xfId="12355" xr:uid="{250F9393-2467-43CD-8F42-CAE66F9937C9}"/>
    <cellStyle name="Normal 4 3 2 2 2 2 2 4 3" xfId="5986" xr:uid="{00000000-0005-0000-0000-000018140000}"/>
    <cellStyle name="Normal 4 3 2 2 2 2 2 4 3 2" xfId="14428" xr:uid="{8768CFD9-38AD-4C21-A7EA-4742C051E282}"/>
    <cellStyle name="Normal 4 3 2 2 2 2 2 4 4" xfId="10210" xr:uid="{EA932F3D-E0B2-4A2E-A86C-9880302F7657}"/>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D3DEA466-86E9-4621-A93E-F70328421A13}"/>
    <cellStyle name="Normal 4 3 2 2 2 2 2 5 2 3" xfId="12768" xr:uid="{F8E73984-748F-4B2F-A1C0-5AE6C6E836D4}"/>
    <cellStyle name="Normal 4 3 2 2 2 2 2 5 3" xfId="6399" xr:uid="{00000000-0005-0000-0000-00001C140000}"/>
    <cellStyle name="Normal 4 3 2 2 2 2 2 5 3 2" xfId="14841" xr:uid="{1FC3B130-7471-400A-BAE1-57CB4EE5CE3E}"/>
    <cellStyle name="Normal 4 3 2 2 2 2 2 5 4" xfId="10623" xr:uid="{FCFBD794-8617-43DA-A07F-566B0AA7B228}"/>
    <cellStyle name="Normal 4 3 2 2 2 2 2 6" xfId="2528" xr:uid="{00000000-0005-0000-0000-00001D140000}"/>
    <cellStyle name="Normal 4 3 2 2 2 2 2 6 2" xfId="6812" xr:uid="{00000000-0005-0000-0000-00001E140000}"/>
    <cellStyle name="Normal 4 3 2 2 2 2 2 6 2 2" xfId="15254" xr:uid="{ED1D0CB8-1C45-4DFC-9E35-EA47048229AD}"/>
    <cellStyle name="Normal 4 3 2 2 2 2 2 6 3" xfId="11036" xr:uid="{A511A8D6-0FFE-4440-8DC8-4D2834AEEC86}"/>
    <cellStyle name="Normal 4 3 2 2 2 2 2 7" xfId="4747" xr:uid="{00000000-0005-0000-0000-00001F140000}"/>
    <cellStyle name="Normal 4 3 2 2 2 2 2 7 2" xfId="13189" xr:uid="{8CAC8B7A-4923-4FC9-A4DC-28569CA718AF}"/>
    <cellStyle name="Normal 4 3 2 2 2 2 2 8" xfId="8971" xr:uid="{8766689D-EB14-40CC-93FF-E254BFC6091A}"/>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676E50D5-48D5-42A8-945F-37A3A83068EE}"/>
    <cellStyle name="Normal 4 3 2 2 2 2 3 2 3" xfId="11528" xr:uid="{E2719EDB-E425-4624-92B0-AE9967A2A417}"/>
    <cellStyle name="Normal 4 3 2 2 2 2 3 3" xfId="5159" xr:uid="{00000000-0005-0000-0000-000023140000}"/>
    <cellStyle name="Normal 4 3 2 2 2 2 3 3 2" xfId="13601" xr:uid="{3A8E66FE-DB34-429D-87C0-ED1E89B02277}"/>
    <cellStyle name="Normal 4 3 2 2 2 2 3 4" xfId="9383" xr:uid="{8D1E14CB-04B5-4C2D-85F5-17F923EAC1E7}"/>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AEC42BEB-76AF-4F28-A02D-C7DDB4F86240}"/>
    <cellStyle name="Normal 4 3 2 2 2 2 4 2 3" xfId="11941" xr:uid="{D9932C86-880B-4D26-97BD-CE8A6977925E}"/>
    <cellStyle name="Normal 4 3 2 2 2 2 4 3" xfId="5572" xr:uid="{00000000-0005-0000-0000-000027140000}"/>
    <cellStyle name="Normal 4 3 2 2 2 2 4 3 2" xfId="14014" xr:uid="{842B7BAE-B4A8-4E84-BD04-5BB9752AD268}"/>
    <cellStyle name="Normal 4 3 2 2 2 2 4 4" xfId="9796" xr:uid="{844B827E-D6EF-4D35-8DF6-90F1C5B4D776}"/>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530DDD1E-BDF6-4D61-A774-4D1D415CFE4D}"/>
    <cellStyle name="Normal 4 3 2 2 2 2 5 2 3" xfId="12354" xr:uid="{ECD51790-96C9-488F-BA20-01E4C95DAF42}"/>
    <cellStyle name="Normal 4 3 2 2 2 2 5 3" xfId="5985" xr:uid="{00000000-0005-0000-0000-00002B140000}"/>
    <cellStyle name="Normal 4 3 2 2 2 2 5 3 2" xfId="14427" xr:uid="{6F1F181E-A4E1-418A-BB0E-E406C9EFFC76}"/>
    <cellStyle name="Normal 4 3 2 2 2 2 5 4" xfId="10209" xr:uid="{BEB3D664-EBD0-40E0-842B-3C63B6C6631F}"/>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EAB328E9-87AF-4C52-AB0E-4449A96FBF7E}"/>
    <cellStyle name="Normal 4 3 2 2 2 2 6 2 3" xfId="12767" xr:uid="{A74D7BA7-8D77-4D2A-8992-E2A3BF1668C1}"/>
    <cellStyle name="Normal 4 3 2 2 2 2 6 3" xfId="6398" xr:uid="{00000000-0005-0000-0000-00002F140000}"/>
    <cellStyle name="Normal 4 3 2 2 2 2 6 3 2" xfId="14840" xr:uid="{BCF734F0-FDB6-4DD7-AC2A-394E7FCB1B09}"/>
    <cellStyle name="Normal 4 3 2 2 2 2 6 4" xfId="10622" xr:uid="{4EB333E5-A0F6-48C0-95A2-E37D3A93C6A6}"/>
    <cellStyle name="Normal 4 3 2 2 2 2 7" xfId="2527" xr:uid="{00000000-0005-0000-0000-000030140000}"/>
    <cellStyle name="Normal 4 3 2 2 2 2 7 2" xfId="6811" xr:uid="{00000000-0005-0000-0000-000031140000}"/>
    <cellStyle name="Normal 4 3 2 2 2 2 7 2 2" xfId="15253" xr:uid="{83460B49-312E-4B39-8C6A-C3B09342CD8C}"/>
    <cellStyle name="Normal 4 3 2 2 2 2 7 3" xfId="11035" xr:uid="{8798D31B-06E2-41DC-96C9-9A0D13460A1B}"/>
    <cellStyle name="Normal 4 3 2 2 2 2 8" xfId="4746" xr:uid="{00000000-0005-0000-0000-000032140000}"/>
    <cellStyle name="Normal 4 3 2 2 2 2 8 2" xfId="13188" xr:uid="{D75A4462-FF1C-4794-9AD1-CE60C4A4B312}"/>
    <cellStyle name="Normal 4 3 2 2 2 2 9" xfId="8970" xr:uid="{67CEB171-E8F4-4648-8C27-DB9592E07B54}"/>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73EDB00E-AD2F-481B-AFF9-6880D308F7FC}"/>
    <cellStyle name="Normal 4 3 2 2 2 3 2 2 3" xfId="11530" xr:uid="{F45B80D7-C2AC-48CA-8929-4E7428C6A26F}"/>
    <cellStyle name="Normal 4 3 2 2 2 3 2 3" xfId="5161" xr:uid="{00000000-0005-0000-0000-000037140000}"/>
    <cellStyle name="Normal 4 3 2 2 2 3 2 3 2" xfId="13603" xr:uid="{08800BCC-EB9E-424E-B023-626F91856EE8}"/>
    <cellStyle name="Normal 4 3 2 2 2 3 2 4" xfId="9385" xr:uid="{6C3400CF-7C6B-4820-B560-0026CB63CE1E}"/>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7A2EB3AD-200D-449A-B32B-5E3542C78ABC}"/>
    <cellStyle name="Normal 4 3 2 2 2 3 3 2 3" xfId="11943" xr:uid="{C5EA58F5-D675-404B-809A-2561B8EF001C}"/>
    <cellStyle name="Normal 4 3 2 2 2 3 3 3" xfId="5574" xr:uid="{00000000-0005-0000-0000-00003B140000}"/>
    <cellStyle name="Normal 4 3 2 2 2 3 3 3 2" xfId="14016" xr:uid="{06826B14-5D0A-4543-918B-646C496698D4}"/>
    <cellStyle name="Normal 4 3 2 2 2 3 3 4" xfId="9798" xr:uid="{521F569C-FD0F-40AE-B1D3-B16BD7C91E18}"/>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B359E0EA-1DB3-495C-83E1-5A287F1897C9}"/>
    <cellStyle name="Normal 4 3 2 2 2 3 4 2 3" xfId="12356" xr:uid="{F30C393B-C89C-4227-8988-B28009E43A53}"/>
    <cellStyle name="Normal 4 3 2 2 2 3 4 3" xfId="5987" xr:uid="{00000000-0005-0000-0000-00003F140000}"/>
    <cellStyle name="Normal 4 3 2 2 2 3 4 3 2" xfId="14429" xr:uid="{04DF48B1-5E36-4AFA-9778-CF55964F0B90}"/>
    <cellStyle name="Normal 4 3 2 2 2 3 4 4" xfId="10211" xr:uid="{DFED24BB-581E-4BDC-B94E-84203858C967}"/>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82604ADC-5F69-4D08-B0CD-61C6D6CF6030}"/>
    <cellStyle name="Normal 4 3 2 2 2 3 5 2 3" xfId="12769" xr:uid="{6FB18CD0-0BEE-444D-B7E1-B5DCFAFF0E65}"/>
    <cellStyle name="Normal 4 3 2 2 2 3 5 3" xfId="6400" xr:uid="{00000000-0005-0000-0000-000043140000}"/>
    <cellStyle name="Normal 4 3 2 2 2 3 5 3 2" xfId="14842" xr:uid="{5AAA3847-D8C1-48F9-96BE-0DF29E6D389B}"/>
    <cellStyle name="Normal 4 3 2 2 2 3 5 4" xfId="10624" xr:uid="{A562E24E-DD7D-4758-B409-BDE3F84621B2}"/>
    <cellStyle name="Normal 4 3 2 2 2 3 6" xfId="2529" xr:uid="{00000000-0005-0000-0000-000044140000}"/>
    <cellStyle name="Normal 4 3 2 2 2 3 6 2" xfId="6813" xr:uid="{00000000-0005-0000-0000-000045140000}"/>
    <cellStyle name="Normal 4 3 2 2 2 3 6 2 2" xfId="15255" xr:uid="{20BB45EA-75C7-49E3-95FA-4B6124736042}"/>
    <cellStyle name="Normal 4 3 2 2 2 3 6 3" xfId="11037" xr:uid="{5FA39AAA-E41E-494F-A1D7-83BC2DD0910A}"/>
    <cellStyle name="Normal 4 3 2 2 2 3 7" xfId="4748" xr:uid="{00000000-0005-0000-0000-000046140000}"/>
    <cellStyle name="Normal 4 3 2 2 2 3 7 2" xfId="13190" xr:uid="{87BADD53-A785-4D47-96E9-E8F384E3EACB}"/>
    <cellStyle name="Normal 4 3 2 2 2 3 8" xfId="8972" xr:uid="{D3311273-727A-4B54-B5EE-FBBD991CA204}"/>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6282A2BA-15DF-47E2-8972-C59D7E4D8C00}"/>
    <cellStyle name="Normal 4 3 2 2 2 4 2 3" xfId="11527" xr:uid="{997C0CF7-ED63-439B-BC96-DC96585D3B37}"/>
    <cellStyle name="Normal 4 3 2 2 2 4 3" xfId="5158" xr:uid="{00000000-0005-0000-0000-00004A140000}"/>
    <cellStyle name="Normal 4 3 2 2 2 4 3 2" xfId="13600" xr:uid="{3FCED466-C723-4F11-A6DC-99DEA10CF174}"/>
    <cellStyle name="Normal 4 3 2 2 2 4 4" xfId="9382" xr:uid="{4B4F829E-9BA8-46D8-9597-9BCB69DDEB04}"/>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B4409EDC-5100-48BE-A0EE-D5546E094172}"/>
    <cellStyle name="Normal 4 3 2 2 2 5 2 3" xfId="11940" xr:uid="{48A14C4A-BC0F-414D-9629-EEDCA667D30B}"/>
    <cellStyle name="Normal 4 3 2 2 2 5 3" xfId="5571" xr:uid="{00000000-0005-0000-0000-00004E140000}"/>
    <cellStyle name="Normal 4 3 2 2 2 5 3 2" xfId="14013" xr:uid="{D667362A-4322-4A36-B21D-1AA51CF79552}"/>
    <cellStyle name="Normal 4 3 2 2 2 5 4" xfId="9795" xr:uid="{5812C159-B95E-4931-84AC-ED2C67DAA2C1}"/>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E29142B6-B284-4286-817B-6A1C3A7B9E8B}"/>
    <cellStyle name="Normal 4 3 2 2 2 6 2 3" xfId="12353" xr:uid="{FAABEF5B-BDA6-4224-9FE6-F9CB729C6406}"/>
    <cellStyle name="Normal 4 3 2 2 2 6 3" xfId="5984" xr:uid="{00000000-0005-0000-0000-000052140000}"/>
    <cellStyle name="Normal 4 3 2 2 2 6 3 2" xfId="14426" xr:uid="{AF9356E3-FC3A-4B6F-BB97-89C0F45F11E5}"/>
    <cellStyle name="Normal 4 3 2 2 2 6 4" xfId="10208" xr:uid="{1A9FF5E5-0B62-49C0-9066-8846EDF8B58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6B4A4D2E-2C62-4E15-B58D-369EAA3B1358}"/>
    <cellStyle name="Normal 4 3 2 2 2 7 2 3" xfId="12766" xr:uid="{A9AB029F-A589-47EF-ACD3-779AD0FBAC0D}"/>
    <cellStyle name="Normal 4 3 2 2 2 7 3" xfId="6397" xr:uid="{00000000-0005-0000-0000-000056140000}"/>
    <cellStyle name="Normal 4 3 2 2 2 7 3 2" xfId="14839" xr:uid="{3FE88ACA-F01A-4CA7-89FC-31508EF9CED9}"/>
    <cellStyle name="Normal 4 3 2 2 2 7 4" xfId="10621" xr:uid="{7D33D341-BECE-4ADA-971E-838C60CE28CB}"/>
    <cellStyle name="Normal 4 3 2 2 2 8" xfId="2526" xr:uid="{00000000-0005-0000-0000-000057140000}"/>
    <cellStyle name="Normal 4 3 2 2 2 8 2" xfId="6810" xr:uid="{00000000-0005-0000-0000-000058140000}"/>
    <cellStyle name="Normal 4 3 2 2 2 8 2 2" xfId="15252" xr:uid="{B81293FD-D181-47E5-AD2F-7DDA06ECB712}"/>
    <cellStyle name="Normal 4 3 2 2 2 8 3" xfId="11034" xr:uid="{57FF8D45-31FF-417A-8AD3-852F67C3C8A8}"/>
    <cellStyle name="Normal 4 3 2 2 2 9" xfId="4745" xr:uid="{00000000-0005-0000-0000-000059140000}"/>
    <cellStyle name="Normal 4 3 2 2 2 9 2" xfId="13187" xr:uid="{CB26B5F9-6CC3-4767-9768-3F139748A5B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1D196DAD-15CA-4607-84EB-1201859D379A}"/>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596975F-3E62-471B-8573-FA2DFB11B812}"/>
    <cellStyle name="Normal 4 3 3 2 2 2 2 3" xfId="11533" xr:uid="{6073D669-9702-4D12-A103-6F4E7CEA2537}"/>
    <cellStyle name="Normal 4 3 3 2 2 2 3" xfId="5164" xr:uid="{00000000-0005-0000-0000-000063140000}"/>
    <cellStyle name="Normal 4 3 3 2 2 2 3 2" xfId="13606" xr:uid="{3C453010-9BEF-4405-BE7E-4A3DD0787049}"/>
    <cellStyle name="Normal 4 3 3 2 2 2 4" xfId="9388" xr:uid="{112885F6-6383-4A05-93F7-F72DD1C0E2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5F2B02F4-62C1-4C2D-93AE-B461B03D715B}"/>
    <cellStyle name="Normal 4 3 3 2 2 3 2 3" xfId="11946" xr:uid="{3F30D296-E0BE-46A2-8C70-701DB4BC84BC}"/>
    <cellStyle name="Normal 4 3 3 2 2 3 3" xfId="5577" xr:uid="{00000000-0005-0000-0000-000067140000}"/>
    <cellStyle name="Normal 4 3 3 2 2 3 3 2" xfId="14019" xr:uid="{68ACCB39-A547-464E-AE19-845D4E7075EA}"/>
    <cellStyle name="Normal 4 3 3 2 2 3 4" xfId="9801" xr:uid="{6C532086-FE3C-4536-A6A4-0710DC264AAE}"/>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B6A48D2A-7D4A-47BD-B50B-8242CACAB4AA}"/>
    <cellStyle name="Normal 4 3 3 2 2 4 2 3" xfId="12359" xr:uid="{CE8575B8-D210-408E-A8C9-0D3663722A74}"/>
    <cellStyle name="Normal 4 3 3 2 2 4 3" xfId="5990" xr:uid="{00000000-0005-0000-0000-00006B140000}"/>
    <cellStyle name="Normal 4 3 3 2 2 4 3 2" xfId="14432" xr:uid="{E5EA391A-1276-48D7-AF11-50250195CD69}"/>
    <cellStyle name="Normal 4 3 3 2 2 4 4" xfId="10214" xr:uid="{F261CF32-3BE5-4E1D-BFF9-9481A17AAB2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C698AAFE-9C00-4F48-85FF-DCCB40B8DDD6}"/>
    <cellStyle name="Normal 4 3 3 2 2 5 2 3" xfId="12772" xr:uid="{DC919504-1691-4BA4-81CB-EA7D4514F057}"/>
    <cellStyle name="Normal 4 3 3 2 2 5 3" xfId="6403" xr:uid="{00000000-0005-0000-0000-00006F140000}"/>
    <cellStyle name="Normal 4 3 3 2 2 5 3 2" xfId="14845" xr:uid="{F1EF997D-E491-42EF-81A5-3AB212017343}"/>
    <cellStyle name="Normal 4 3 3 2 2 5 4" xfId="10627" xr:uid="{DFB4B41C-8AEB-4CB4-B2F0-4508827E542E}"/>
    <cellStyle name="Normal 4 3 3 2 2 6" xfId="2532" xr:uid="{00000000-0005-0000-0000-000070140000}"/>
    <cellStyle name="Normal 4 3 3 2 2 6 2" xfId="6816" xr:uid="{00000000-0005-0000-0000-000071140000}"/>
    <cellStyle name="Normal 4 3 3 2 2 6 2 2" xfId="15258" xr:uid="{DAE70A61-075E-4DA6-B9DB-D0272DB73B3E}"/>
    <cellStyle name="Normal 4 3 3 2 2 6 3" xfId="11040" xr:uid="{DF362CD2-D277-48C5-A427-21E61539F94E}"/>
    <cellStyle name="Normal 4 3 3 2 2 7" xfId="4751" xr:uid="{00000000-0005-0000-0000-000072140000}"/>
    <cellStyle name="Normal 4 3 3 2 2 7 2" xfId="13193" xr:uid="{FC2C7C51-3C28-48F9-9780-2FDCBF1885DF}"/>
    <cellStyle name="Normal 4 3 3 2 2 8" xfId="8975" xr:uid="{8E2EAF5E-B0FE-4EB8-BAF8-F75BBCD507EE}"/>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18A9E241-2FFE-40A3-B8EB-5BAB5FE5E3B0}"/>
    <cellStyle name="Normal 4 3 3 2 3 2 3" xfId="11532" xr:uid="{EF857594-03D8-45CD-8691-F282907754B5}"/>
    <cellStyle name="Normal 4 3 3 2 3 3" xfId="5163" xr:uid="{00000000-0005-0000-0000-000076140000}"/>
    <cellStyle name="Normal 4 3 3 2 3 3 2" xfId="13605" xr:uid="{43BDB863-7F0A-4E7B-9F35-156C027FFF3E}"/>
    <cellStyle name="Normal 4 3 3 2 3 4" xfId="9387" xr:uid="{D09AA533-CF55-4C34-8671-2C48A42B203E}"/>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1226239F-8168-42AF-BD7C-10022F7E9AB6}"/>
    <cellStyle name="Normal 4 3 3 2 4 2 3" xfId="11945" xr:uid="{3C858A8F-944C-4C2B-B04E-3A32472276CC}"/>
    <cellStyle name="Normal 4 3 3 2 4 3" xfId="5576" xr:uid="{00000000-0005-0000-0000-00007A140000}"/>
    <cellStyle name="Normal 4 3 3 2 4 3 2" xfId="14018" xr:uid="{4433115A-554D-4C45-83F2-D99192D179DF}"/>
    <cellStyle name="Normal 4 3 3 2 4 4" xfId="9800" xr:uid="{4A11A4D3-9F25-4DD3-B6FC-0FD6A83EAB79}"/>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6049C3E0-F9AD-4861-A242-78AA36517367}"/>
    <cellStyle name="Normal 4 3 3 2 5 2 3" xfId="12358" xr:uid="{6C0B2DC7-2E38-449A-A779-09A1ED13C187}"/>
    <cellStyle name="Normal 4 3 3 2 5 3" xfId="5989" xr:uid="{00000000-0005-0000-0000-00007E140000}"/>
    <cellStyle name="Normal 4 3 3 2 5 3 2" xfId="14431" xr:uid="{B9DEB5FE-AA3E-468C-9781-B6B522F55DB3}"/>
    <cellStyle name="Normal 4 3 3 2 5 4" xfId="10213" xr:uid="{F358F097-4FB2-424F-B56C-27F00BF4CC08}"/>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4F6E0D0C-5C3B-49F3-ADA8-174CFFD6502D}"/>
    <cellStyle name="Normal 4 3 3 2 6 2 3" xfId="12771" xr:uid="{596D15B7-3106-41F0-96BB-F4CD40B386B1}"/>
    <cellStyle name="Normal 4 3 3 2 6 3" xfId="6402" xr:uid="{00000000-0005-0000-0000-000082140000}"/>
    <cellStyle name="Normal 4 3 3 2 6 3 2" xfId="14844" xr:uid="{2B17EDAB-A577-49CD-8FDA-D26D34C7FD28}"/>
    <cellStyle name="Normal 4 3 3 2 6 4" xfId="10626" xr:uid="{19ABF1CA-2597-46E4-8039-549DCD08707D}"/>
    <cellStyle name="Normal 4 3 3 2 7" xfId="2531" xr:uid="{00000000-0005-0000-0000-000083140000}"/>
    <cellStyle name="Normal 4 3 3 2 7 2" xfId="6815" xr:uid="{00000000-0005-0000-0000-000084140000}"/>
    <cellStyle name="Normal 4 3 3 2 7 2 2" xfId="15257" xr:uid="{728970ED-7360-4777-B3BC-5D17E1EFD916}"/>
    <cellStyle name="Normal 4 3 3 2 7 3" xfId="11039" xr:uid="{50108E84-5464-408A-AB76-FC9F40524860}"/>
    <cellStyle name="Normal 4 3 3 2 8" xfId="4750" xr:uid="{00000000-0005-0000-0000-000085140000}"/>
    <cellStyle name="Normal 4 3 3 2 8 2" xfId="13192" xr:uid="{71DADCE2-F775-402D-9776-B106D0ECFA22}"/>
    <cellStyle name="Normal 4 3 3 2 9" xfId="8974" xr:uid="{DE4BDF2F-5814-4420-8174-C6810D9F2AB5}"/>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3157B252-2232-486A-ABDE-F199D11FCEB1}"/>
    <cellStyle name="Normal 4 3 3 3 2 2 3" xfId="11534" xr:uid="{0952CDB9-A60E-4887-88C1-2C392A8AE05B}"/>
    <cellStyle name="Normal 4 3 3 3 2 3" xfId="5165" xr:uid="{00000000-0005-0000-0000-00008A140000}"/>
    <cellStyle name="Normal 4 3 3 3 2 3 2" xfId="13607" xr:uid="{BEF261DE-2616-40DE-A9B9-62ABD33C9D83}"/>
    <cellStyle name="Normal 4 3 3 3 2 4" xfId="9389" xr:uid="{D844EEBC-23A0-4050-BE36-49DA8F256D83}"/>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B144C11B-1B9C-497C-8822-920E2821C983}"/>
    <cellStyle name="Normal 4 3 3 3 3 2 3" xfId="11947" xr:uid="{1907B869-CAD2-4F98-BE35-FA97D696C86E}"/>
    <cellStyle name="Normal 4 3 3 3 3 3" xfId="5578" xr:uid="{00000000-0005-0000-0000-00008E140000}"/>
    <cellStyle name="Normal 4 3 3 3 3 3 2" xfId="14020" xr:uid="{71DD73AA-C416-4B39-B259-AC43E1B5ABB8}"/>
    <cellStyle name="Normal 4 3 3 3 3 4" xfId="9802" xr:uid="{A449D4B9-604E-409C-B158-6AC5428A2E51}"/>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F38482A7-8D58-4D83-95D4-599BA3FF67C8}"/>
    <cellStyle name="Normal 4 3 3 3 4 2 3" xfId="12360" xr:uid="{113846A6-093E-466F-9183-DEAF6929AE3D}"/>
    <cellStyle name="Normal 4 3 3 3 4 3" xfId="5991" xr:uid="{00000000-0005-0000-0000-000092140000}"/>
    <cellStyle name="Normal 4 3 3 3 4 3 2" xfId="14433" xr:uid="{6ADE096E-10F7-4620-96AF-EB619F707D3F}"/>
    <cellStyle name="Normal 4 3 3 3 4 4" xfId="10215" xr:uid="{74B7C5D0-96B0-4E50-8185-3691221CBD7D}"/>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EACC754E-250F-4B33-8FD3-6D512B7BEF3F}"/>
    <cellStyle name="Normal 4 3 3 3 5 2 3" xfId="12773" xr:uid="{679CED93-0B02-424E-8DFE-5A11AF3F692D}"/>
    <cellStyle name="Normal 4 3 3 3 5 3" xfId="6404" xr:uid="{00000000-0005-0000-0000-000096140000}"/>
    <cellStyle name="Normal 4 3 3 3 5 3 2" xfId="14846" xr:uid="{9E38395C-75F3-43FB-A65F-63946CE561CA}"/>
    <cellStyle name="Normal 4 3 3 3 5 4" xfId="10628" xr:uid="{B7FC9B0B-9D3F-463E-AFB7-A8A82914CF1F}"/>
    <cellStyle name="Normal 4 3 3 3 6" xfId="2533" xr:uid="{00000000-0005-0000-0000-000097140000}"/>
    <cellStyle name="Normal 4 3 3 3 6 2" xfId="6817" xr:uid="{00000000-0005-0000-0000-000098140000}"/>
    <cellStyle name="Normal 4 3 3 3 6 2 2" xfId="15259" xr:uid="{6E338B6A-248E-41BD-B02B-9F5CE99272F3}"/>
    <cellStyle name="Normal 4 3 3 3 6 3" xfId="11041" xr:uid="{6037D36C-D454-40CE-9765-63BB34155EC3}"/>
    <cellStyle name="Normal 4 3 3 3 7" xfId="4752" xr:uid="{00000000-0005-0000-0000-000099140000}"/>
    <cellStyle name="Normal 4 3 3 3 7 2" xfId="13194" xr:uid="{24645AAA-0150-45B0-8ED7-CE62026A322C}"/>
    <cellStyle name="Normal 4 3 3 3 8" xfId="8976" xr:uid="{9E06497A-A75B-4E8C-B11B-64583C9502BF}"/>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3487307A-4778-4895-B268-161F4CAF40BB}"/>
    <cellStyle name="Normal 4 3 3 4 2 3" xfId="11531" xr:uid="{8B636458-8742-46FE-AA38-8AF29E566D3F}"/>
    <cellStyle name="Normal 4 3 3 4 3" xfId="5162" xr:uid="{00000000-0005-0000-0000-00009D140000}"/>
    <cellStyle name="Normal 4 3 3 4 3 2" xfId="13604" xr:uid="{79FFA9BD-3995-4225-A676-A38B3E1C51F8}"/>
    <cellStyle name="Normal 4 3 3 4 4" xfId="9386" xr:uid="{1A850817-B7BD-4A64-A22D-C16CE2B51424}"/>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1724DC32-85E4-4F82-AF1F-6CE56E667F84}"/>
    <cellStyle name="Normal 4 3 3 5 2 3" xfId="11944" xr:uid="{5DB9D2E3-77BC-4DC3-9733-2700A7D7B890}"/>
    <cellStyle name="Normal 4 3 3 5 3" xfId="5575" xr:uid="{00000000-0005-0000-0000-0000A1140000}"/>
    <cellStyle name="Normal 4 3 3 5 3 2" xfId="14017" xr:uid="{1FAF4D7E-5E63-4B8E-A283-510C22B98133}"/>
    <cellStyle name="Normal 4 3 3 5 4" xfId="9799" xr:uid="{352BE0DF-4067-4319-8AD8-8B7C42E980C0}"/>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D08575E9-8D68-4CC6-A37A-DB8B9BF0A700}"/>
    <cellStyle name="Normal 4 3 3 6 2 3" xfId="12357" xr:uid="{9EB3E5F5-D6F5-4116-95B2-DD37F780FA65}"/>
    <cellStyle name="Normal 4 3 3 6 3" xfId="5988" xr:uid="{00000000-0005-0000-0000-0000A5140000}"/>
    <cellStyle name="Normal 4 3 3 6 3 2" xfId="14430" xr:uid="{B8F2DDA3-A5EE-42B9-92C1-3F63CB3F8427}"/>
    <cellStyle name="Normal 4 3 3 6 4" xfId="10212" xr:uid="{79760C1B-1E09-4736-9661-8D1F13219F2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970AA6CF-4E9C-424E-9F0E-5D64A61DA31B}"/>
    <cellStyle name="Normal 4 3 3 7 2 3" xfId="12770" xr:uid="{569B0266-A4D1-4A4B-A275-1082EB5B9962}"/>
    <cellStyle name="Normal 4 3 3 7 3" xfId="6401" xr:uid="{00000000-0005-0000-0000-0000A9140000}"/>
    <cellStyle name="Normal 4 3 3 7 3 2" xfId="14843" xr:uid="{B5464532-CDCA-475A-8567-7CD18AD892F0}"/>
    <cellStyle name="Normal 4 3 3 7 4" xfId="10625" xr:uid="{DD34C16F-64FC-4136-9651-BA2C7EC22FBD}"/>
    <cellStyle name="Normal 4 3 3 8" xfId="2530" xr:uid="{00000000-0005-0000-0000-0000AA140000}"/>
    <cellStyle name="Normal 4 3 3 8 2" xfId="6814" xr:uid="{00000000-0005-0000-0000-0000AB140000}"/>
    <cellStyle name="Normal 4 3 3 8 2 2" xfId="15256" xr:uid="{949EC23D-94F4-4878-A976-3508EEA855F4}"/>
    <cellStyle name="Normal 4 3 3 8 3" xfId="11038" xr:uid="{2E47B7BE-A2AC-4C51-B335-611DED704D6C}"/>
    <cellStyle name="Normal 4 3 3 9" xfId="4749" xr:uid="{00000000-0005-0000-0000-0000AC140000}"/>
    <cellStyle name="Normal 4 3 3 9 2" xfId="13191" xr:uid="{46ACDFEE-9F96-49AC-AAD4-5A74A0A69BCB}"/>
    <cellStyle name="Normal 4 3 4" xfId="842" xr:uid="{00000000-0005-0000-0000-0000AD140000}"/>
    <cellStyle name="Normal 4 3 4 2" xfId="3079" xr:uid="{00000000-0005-0000-0000-0000AE140000}"/>
    <cellStyle name="Normal 4 3 4 2 2" xfId="7302" xr:uid="{00000000-0005-0000-0000-0000AF140000}"/>
    <cellStyle name="Normal 4 3 4 2 2 2" xfId="15744" xr:uid="{CF0E2D4F-E0B8-4A71-93B9-FAC8F2C0E2E3}"/>
    <cellStyle name="Normal 4 3 4 2 3" xfId="11526" xr:uid="{E2E44DF9-DD30-44F7-A70F-E7490DDA61BC}"/>
    <cellStyle name="Normal 4 3 4 3" xfId="5157" xr:uid="{00000000-0005-0000-0000-0000B0140000}"/>
    <cellStyle name="Normal 4 3 4 3 2" xfId="13599" xr:uid="{1A2D319E-D0AC-4D1B-B1DC-1686E867EC82}"/>
    <cellStyle name="Normal 4 3 4 4" xfId="9381" xr:uid="{A7E99510-C31B-4276-84F6-9E21A1492DD1}"/>
    <cellStyle name="Normal 4 3 5" xfId="1262" xr:uid="{00000000-0005-0000-0000-0000B1140000}"/>
    <cellStyle name="Normal 4 3 5 2" xfId="3492" xr:uid="{00000000-0005-0000-0000-0000B2140000}"/>
    <cellStyle name="Normal 4 3 5 2 2" xfId="7715" xr:uid="{00000000-0005-0000-0000-0000B3140000}"/>
    <cellStyle name="Normal 4 3 5 2 2 2" xfId="16157" xr:uid="{2C5AF4F8-CAAC-429B-8F59-EF480083DE95}"/>
    <cellStyle name="Normal 4 3 5 2 3" xfId="11939" xr:uid="{BC34C650-0FDD-4928-A3A2-768A90CA3309}"/>
    <cellStyle name="Normal 4 3 5 3" xfId="5570" xr:uid="{00000000-0005-0000-0000-0000B4140000}"/>
    <cellStyle name="Normal 4 3 5 3 2" xfId="14012" xr:uid="{5239DDBD-909B-4424-B553-5727C0834376}"/>
    <cellStyle name="Normal 4 3 5 4" xfId="9794" xr:uid="{6C8DF2C1-35DB-4BFF-98CB-3676FB427030}"/>
    <cellStyle name="Normal 4 3 6" xfId="1675" xr:uid="{00000000-0005-0000-0000-0000B5140000}"/>
    <cellStyle name="Normal 4 3 6 2" xfId="3905" xr:uid="{00000000-0005-0000-0000-0000B6140000}"/>
    <cellStyle name="Normal 4 3 6 2 2" xfId="8128" xr:uid="{00000000-0005-0000-0000-0000B7140000}"/>
    <cellStyle name="Normal 4 3 6 2 2 2" xfId="16570" xr:uid="{0FB806E1-F80B-4C66-87EB-7655C249B59D}"/>
    <cellStyle name="Normal 4 3 6 2 3" xfId="12352" xr:uid="{ABBC6454-919D-4E53-8298-EF7F944430A5}"/>
    <cellStyle name="Normal 4 3 6 3" xfId="5983" xr:uid="{00000000-0005-0000-0000-0000B8140000}"/>
    <cellStyle name="Normal 4 3 6 3 2" xfId="14425" xr:uid="{829AFF6C-B3C0-4F08-BC13-40E5BCB1017B}"/>
    <cellStyle name="Normal 4 3 6 4" xfId="10207" xr:uid="{3967E15B-200A-4BB8-B2FD-CC98FBAE6D72}"/>
    <cellStyle name="Normal 4 3 7" xfId="2089" xr:uid="{00000000-0005-0000-0000-0000B9140000}"/>
    <cellStyle name="Normal 4 3 7 2" xfId="4318" xr:uid="{00000000-0005-0000-0000-0000BA140000}"/>
    <cellStyle name="Normal 4 3 7 2 2" xfId="8541" xr:uid="{00000000-0005-0000-0000-0000BB140000}"/>
    <cellStyle name="Normal 4 3 7 2 2 2" xfId="16983" xr:uid="{708CF301-A3E6-4541-B32E-08FCE7AAF1E4}"/>
    <cellStyle name="Normal 4 3 7 2 3" xfId="12765" xr:uid="{C8B2CCBA-70F2-4705-961D-14FF258D5F67}"/>
    <cellStyle name="Normal 4 3 7 3" xfId="6396" xr:uid="{00000000-0005-0000-0000-0000BC140000}"/>
    <cellStyle name="Normal 4 3 7 3 2" xfId="14838" xr:uid="{C05DD48F-D91B-4848-9978-04210394771E}"/>
    <cellStyle name="Normal 4 3 7 4" xfId="10620" xr:uid="{8FB64487-040B-4D0B-9466-1CC4EDEA5EB0}"/>
    <cellStyle name="Normal 4 3 8" xfId="2525" xr:uid="{00000000-0005-0000-0000-0000BD140000}"/>
    <cellStyle name="Normal 4 3 8 2" xfId="6809" xr:uid="{00000000-0005-0000-0000-0000BE140000}"/>
    <cellStyle name="Normal 4 3 8 2 2" xfId="15251" xr:uid="{15FB7062-586B-4456-9EEC-46019153A31E}"/>
    <cellStyle name="Normal 4 3 8 3" xfId="11033" xr:uid="{A608F010-FA30-4091-BB9F-AF177D3886DB}"/>
    <cellStyle name="Normal 4 3 9" xfId="4744" xr:uid="{00000000-0005-0000-0000-0000BF140000}"/>
    <cellStyle name="Normal 4 3 9 2" xfId="13186" xr:uid="{133899F1-0EA0-4A30-9FF4-1A6802AC3941}"/>
    <cellStyle name="Normal 4 4" xfId="378" xr:uid="{00000000-0005-0000-0000-0000C0140000}"/>
    <cellStyle name="Normal 4 4 10" xfId="2534" xr:uid="{00000000-0005-0000-0000-0000C1140000}"/>
    <cellStyle name="Normal 4 4 10 2" xfId="6818" xr:uid="{00000000-0005-0000-0000-0000C2140000}"/>
    <cellStyle name="Normal 4 4 10 2 2" xfId="15260" xr:uid="{7103B1ED-8DDF-4E9D-85E6-BE8966A7BFD0}"/>
    <cellStyle name="Normal 4 4 10 3" xfId="11042" xr:uid="{FC1B958A-6F06-4E87-BBBB-2F886B0E52BB}"/>
    <cellStyle name="Normal 4 4 11" xfId="4753" xr:uid="{00000000-0005-0000-0000-0000C3140000}"/>
    <cellStyle name="Normal 4 4 11 2" xfId="13195" xr:uid="{9FEA946B-6B09-4000-8254-3B32433F2FF6}"/>
    <cellStyle name="Normal 4 4 12" xfId="8977" xr:uid="{74251C48-4A4C-4081-8503-75E2D6E59F6F}"/>
    <cellStyle name="Normal 4 4 2" xfId="379" xr:uid="{00000000-0005-0000-0000-0000C4140000}"/>
    <cellStyle name="Normal 4 4 2 10" xfId="4754" xr:uid="{00000000-0005-0000-0000-0000C5140000}"/>
    <cellStyle name="Normal 4 4 2 10 2" xfId="13196" xr:uid="{AA542A4C-99B6-468D-B02C-4151C5986DEF}"/>
    <cellStyle name="Normal 4 4 2 11" xfId="8978" xr:uid="{74045714-6BC8-4C34-B0D7-D2B46E21FBE1}"/>
    <cellStyle name="Normal 4 4 2 2" xfId="380" xr:uid="{00000000-0005-0000-0000-0000C6140000}"/>
    <cellStyle name="Normal 4 4 2 2 10" xfId="8979" xr:uid="{CFB18887-7368-44BE-B63F-49ADA25FEFB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4E5268EA-CBB2-4870-BB0D-716657ED7A08}"/>
    <cellStyle name="Normal 4 4 2 2 2 2 2 2 3" xfId="11539" xr:uid="{5AE7D9B6-B4EC-4E76-9971-C316C77E53CE}"/>
    <cellStyle name="Normal 4 4 2 2 2 2 2 3" xfId="5170" xr:uid="{00000000-0005-0000-0000-0000CC140000}"/>
    <cellStyle name="Normal 4 4 2 2 2 2 2 3 2" xfId="13612" xr:uid="{C74FA422-5BDD-4FE4-AE14-9A3D368684F5}"/>
    <cellStyle name="Normal 4 4 2 2 2 2 2 4" xfId="9394" xr:uid="{A66F7576-D886-42FC-8714-4A85070D835B}"/>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0F2658AF-8E61-47A2-9BCE-71F1181707B3}"/>
    <cellStyle name="Normal 4 4 2 2 2 2 3 2 3" xfId="11952" xr:uid="{1B98E5F6-6B8E-4494-87A7-DF07478A284E}"/>
    <cellStyle name="Normal 4 4 2 2 2 2 3 3" xfId="5583" xr:uid="{00000000-0005-0000-0000-0000D0140000}"/>
    <cellStyle name="Normal 4 4 2 2 2 2 3 3 2" xfId="14025" xr:uid="{5F5FDB80-4478-4CE9-AEF1-837184100A10}"/>
    <cellStyle name="Normal 4 4 2 2 2 2 3 4" xfId="9807" xr:uid="{DA5B8F31-7154-44D9-B8E0-6EE7B2EE9B91}"/>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DC1B5C8F-E7F3-4A7E-893D-3202AFCE47C9}"/>
    <cellStyle name="Normal 4 4 2 2 2 2 4 2 3" xfId="12365" xr:uid="{5EEC4FD5-371E-4AE4-A869-A7E8B1967902}"/>
    <cellStyle name="Normal 4 4 2 2 2 2 4 3" xfId="5996" xr:uid="{00000000-0005-0000-0000-0000D4140000}"/>
    <cellStyle name="Normal 4 4 2 2 2 2 4 3 2" xfId="14438" xr:uid="{04026D72-C54F-4321-821F-7BA793181BC0}"/>
    <cellStyle name="Normal 4 4 2 2 2 2 4 4" xfId="10220" xr:uid="{12725F10-D6B2-46AE-B5FD-91C7A24D7D83}"/>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378D2355-B0A4-48FF-B5AC-7881D24BC14F}"/>
    <cellStyle name="Normal 4 4 2 2 2 2 5 2 3" xfId="12778" xr:uid="{126E23AC-251D-4732-8764-900833F4DFE0}"/>
    <cellStyle name="Normal 4 4 2 2 2 2 5 3" xfId="6409" xr:uid="{00000000-0005-0000-0000-0000D8140000}"/>
    <cellStyle name="Normal 4 4 2 2 2 2 5 3 2" xfId="14851" xr:uid="{4613374A-B59F-497B-BAB8-C5F4607BB551}"/>
    <cellStyle name="Normal 4 4 2 2 2 2 5 4" xfId="10633" xr:uid="{9A50EDDB-12D8-4155-BE4A-1CBF41C3F096}"/>
    <cellStyle name="Normal 4 4 2 2 2 2 6" xfId="2538" xr:uid="{00000000-0005-0000-0000-0000D9140000}"/>
    <cellStyle name="Normal 4 4 2 2 2 2 6 2" xfId="6822" xr:uid="{00000000-0005-0000-0000-0000DA140000}"/>
    <cellStyle name="Normal 4 4 2 2 2 2 6 2 2" xfId="15264" xr:uid="{3360FFA1-D52E-457A-91AF-7D5DFA65312B}"/>
    <cellStyle name="Normal 4 4 2 2 2 2 6 3" xfId="11046" xr:uid="{E44931D4-B1FE-4F9C-A6DC-3BE0AFA50E38}"/>
    <cellStyle name="Normal 4 4 2 2 2 2 7" xfId="4757" xr:uid="{00000000-0005-0000-0000-0000DB140000}"/>
    <cellStyle name="Normal 4 4 2 2 2 2 7 2" xfId="13199" xr:uid="{3A98976A-4B97-435E-93EC-DF8B0982BF30}"/>
    <cellStyle name="Normal 4 4 2 2 2 2 8" xfId="8981" xr:uid="{E4F579AC-622A-4218-B827-B8EF08C4B14E}"/>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18E55A94-70B8-4B25-ACD4-521D3C15E6E9}"/>
    <cellStyle name="Normal 4 4 2 2 2 3 2 3" xfId="11538" xr:uid="{08FC46F0-66EB-4060-B7AC-4898DCB2279D}"/>
    <cellStyle name="Normal 4 4 2 2 2 3 3" xfId="5169" xr:uid="{00000000-0005-0000-0000-0000DF140000}"/>
    <cellStyle name="Normal 4 4 2 2 2 3 3 2" xfId="13611" xr:uid="{E30105FD-1982-4087-9B24-3F77BDEC7558}"/>
    <cellStyle name="Normal 4 4 2 2 2 3 4" xfId="9393" xr:uid="{799FF9DA-5929-4FF0-92F8-ADBB2E42E61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1093FBD-954F-4ED4-8C80-1B7FF7904DA0}"/>
    <cellStyle name="Normal 4 4 2 2 2 4 2 3" xfId="11951" xr:uid="{1FD5851D-350E-4E85-9D15-A08B1597AF78}"/>
    <cellStyle name="Normal 4 4 2 2 2 4 3" xfId="5582" xr:uid="{00000000-0005-0000-0000-0000E3140000}"/>
    <cellStyle name="Normal 4 4 2 2 2 4 3 2" xfId="14024" xr:uid="{21972F85-6943-4C3B-9F1D-8EAAE95A4C41}"/>
    <cellStyle name="Normal 4 4 2 2 2 4 4" xfId="9806" xr:uid="{8B070BCB-3ECF-4937-99B5-90AD5D7CCCD5}"/>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C1DCA314-6BF3-46F2-A1EC-A239B2093D3D}"/>
    <cellStyle name="Normal 4 4 2 2 2 5 2 3" xfId="12364" xr:uid="{694D3EA4-E7F9-49E6-85A4-C9FB9D9F1AB2}"/>
    <cellStyle name="Normal 4 4 2 2 2 5 3" xfId="5995" xr:uid="{00000000-0005-0000-0000-0000E7140000}"/>
    <cellStyle name="Normal 4 4 2 2 2 5 3 2" xfId="14437" xr:uid="{8B2C40C6-ECA7-45CA-9BD3-756CF058F3CB}"/>
    <cellStyle name="Normal 4 4 2 2 2 5 4" xfId="10219" xr:uid="{EA1F66E2-C18E-4C31-801A-384F1C64A7E4}"/>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B2ACA28C-2468-4C15-BABD-7A84F72A056C}"/>
    <cellStyle name="Normal 4 4 2 2 2 6 2 3" xfId="12777" xr:uid="{657208AD-F633-4CD4-B542-B589F054E2DD}"/>
    <cellStyle name="Normal 4 4 2 2 2 6 3" xfId="6408" xr:uid="{00000000-0005-0000-0000-0000EB140000}"/>
    <cellStyle name="Normal 4 4 2 2 2 6 3 2" xfId="14850" xr:uid="{59D7D003-6527-496E-B071-1F6234CF1A5B}"/>
    <cellStyle name="Normal 4 4 2 2 2 6 4" xfId="10632" xr:uid="{E79B3213-EC1E-4513-8CDB-0FEB4D687BAF}"/>
    <cellStyle name="Normal 4 4 2 2 2 7" xfId="2537" xr:uid="{00000000-0005-0000-0000-0000EC140000}"/>
    <cellStyle name="Normal 4 4 2 2 2 7 2" xfId="6821" xr:uid="{00000000-0005-0000-0000-0000ED140000}"/>
    <cellStyle name="Normal 4 4 2 2 2 7 2 2" xfId="15263" xr:uid="{DA2E7796-D949-4BC1-BCC5-7D18B69E7913}"/>
    <cellStyle name="Normal 4 4 2 2 2 7 3" xfId="11045" xr:uid="{3062670A-36D8-4038-AEF8-9E78EE5F5C74}"/>
    <cellStyle name="Normal 4 4 2 2 2 8" xfId="4756" xr:uid="{00000000-0005-0000-0000-0000EE140000}"/>
    <cellStyle name="Normal 4 4 2 2 2 8 2" xfId="13198" xr:uid="{98B7405D-8A3C-4611-BE63-E9E78E51AB14}"/>
    <cellStyle name="Normal 4 4 2 2 2 9" xfId="8980" xr:uid="{5434066F-8E32-4F76-8D54-4E509E3258EE}"/>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9A2663F2-3CD1-4C2F-BD04-2FB5039776D3}"/>
    <cellStyle name="Normal 4 4 2 2 3 2 2 3" xfId="11540" xr:uid="{BCB67A93-29B7-4637-901C-B7A811673254}"/>
    <cellStyle name="Normal 4 4 2 2 3 2 3" xfId="5171" xr:uid="{00000000-0005-0000-0000-0000F3140000}"/>
    <cellStyle name="Normal 4 4 2 2 3 2 3 2" xfId="13613" xr:uid="{837ABA42-D6A4-4661-B9CD-6A51ED96B4C6}"/>
    <cellStyle name="Normal 4 4 2 2 3 2 4" xfId="9395" xr:uid="{87282E44-621A-4DD8-9A5F-A981E8422B76}"/>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2DCF32FC-0CCC-4F38-AF2E-20AE3053478D}"/>
    <cellStyle name="Normal 4 4 2 2 3 3 2 3" xfId="11953" xr:uid="{D8054589-7D16-41D4-8143-94F7EA8A0051}"/>
    <cellStyle name="Normal 4 4 2 2 3 3 3" xfId="5584" xr:uid="{00000000-0005-0000-0000-0000F7140000}"/>
    <cellStyle name="Normal 4 4 2 2 3 3 3 2" xfId="14026" xr:uid="{8FCB5228-F207-4C51-865B-C2AF80E13511}"/>
    <cellStyle name="Normal 4 4 2 2 3 3 4" xfId="9808" xr:uid="{C00C2666-2DB9-4875-A38B-6258D89AA3BB}"/>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6B45B04C-90A3-484F-A6C5-082FF39DDAB3}"/>
    <cellStyle name="Normal 4 4 2 2 3 4 2 3" xfId="12366" xr:uid="{3E62F837-5C1E-4AE7-9BAF-AC21B7688771}"/>
    <cellStyle name="Normal 4 4 2 2 3 4 3" xfId="5997" xr:uid="{00000000-0005-0000-0000-0000FB140000}"/>
    <cellStyle name="Normal 4 4 2 2 3 4 3 2" xfId="14439" xr:uid="{DD3F1C77-AEFA-4D8A-9769-93E9B7D953A9}"/>
    <cellStyle name="Normal 4 4 2 2 3 4 4" xfId="10221" xr:uid="{2CC8D13A-7673-4DE3-A655-51905265BF86}"/>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CCC9D075-3F44-4495-BCC5-88B768DD392E}"/>
    <cellStyle name="Normal 4 4 2 2 3 5 2 3" xfId="12779" xr:uid="{9C2249B4-8036-41A7-832B-1463A3593362}"/>
    <cellStyle name="Normal 4 4 2 2 3 5 3" xfId="6410" xr:uid="{00000000-0005-0000-0000-0000FF140000}"/>
    <cellStyle name="Normal 4 4 2 2 3 5 3 2" xfId="14852" xr:uid="{AEEC5AFA-E00E-4887-8BAB-0C4161C1D39E}"/>
    <cellStyle name="Normal 4 4 2 2 3 5 4" xfId="10634" xr:uid="{299CE83E-1270-4CE3-B545-B710902544CF}"/>
    <cellStyle name="Normal 4 4 2 2 3 6" xfId="2539" xr:uid="{00000000-0005-0000-0000-000000150000}"/>
    <cellStyle name="Normal 4 4 2 2 3 6 2" xfId="6823" xr:uid="{00000000-0005-0000-0000-000001150000}"/>
    <cellStyle name="Normal 4 4 2 2 3 6 2 2" xfId="15265" xr:uid="{AE0E934B-2FEA-4EBC-B64D-3375C204D490}"/>
    <cellStyle name="Normal 4 4 2 2 3 6 3" xfId="11047" xr:uid="{19436039-E68A-49C8-AC11-4008FACA6BE0}"/>
    <cellStyle name="Normal 4 4 2 2 3 7" xfId="4758" xr:uid="{00000000-0005-0000-0000-000002150000}"/>
    <cellStyle name="Normal 4 4 2 2 3 7 2" xfId="13200" xr:uid="{90E0CF8C-C35C-4CC8-A0D5-B563243F5ED4}"/>
    <cellStyle name="Normal 4 4 2 2 3 8" xfId="8982" xr:uid="{6B6E155E-7B55-497B-89D6-3794B12DDAC5}"/>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9A92DA5B-11F4-45EF-9250-35B0429D82D4}"/>
    <cellStyle name="Normal 4 4 2 2 4 2 3" xfId="11537" xr:uid="{68C54054-B13F-4417-A4E2-AFEBECD85557}"/>
    <cellStyle name="Normal 4 4 2 2 4 3" xfId="5168" xr:uid="{00000000-0005-0000-0000-000006150000}"/>
    <cellStyle name="Normal 4 4 2 2 4 3 2" xfId="13610" xr:uid="{BE12624A-750F-454D-84FE-62F2F5B3880E}"/>
    <cellStyle name="Normal 4 4 2 2 4 4" xfId="9392" xr:uid="{65DCE5B1-7B4F-43A4-9601-D12684D58123}"/>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178C13BB-2A3B-4580-B5EC-CEEF86EBADE5}"/>
    <cellStyle name="Normal 4 4 2 2 5 2 3" xfId="11950" xr:uid="{002BC695-616B-4821-B4E8-BED5ED078D56}"/>
    <cellStyle name="Normal 4 4 2 2 5 3" xfId="5581" xr:uid="{00000000-0005-0000-0000-00000A150000}"/>
    <cellStyle name="Normal 4 4 2 2 5 3 2" xfId="14023" xr:uid="{CC9E2D8C-46AA-41B8-BCA0-DC61AF1B59AF}"/>
    <cellStyle name="Normal 4 4 2 2 5 4" xfId="9805" xr:uid="{B65502DA-EFD2-4064-B688-81DC988E8375}"/>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542F4803-447B-4BA8-B46C-37A427F3C26F}"/>
    <cellStyle name="Normal 4 4 2 2 6 2 3" xfId="12363" xr:uid="{E79460DE-478B-4397-A8B1-73219AFF0C32}"/>
    <cellStyle name="Normal 4 4 2 2 6 3" xfId="5994" xr:uid="{00000000-0005-0000-0000-00000E150000}"/>
    <cellStyle name="Normal 4 4 2 2 6 3 2" xfId="14436" xr:uid="{48DBB810-22D0-4EC2-BC72-58A64B8501EC}"/>
    <cellStyle name="Normal 4 4 2 2 6 4" xfId="10218" xr:uid="{3A41353E-C323-4084-B4AB-74D4DB4F561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CFAE4130-F1DB-401C-9B0C-1FB32715AE09}"/>
    <cellStyle name="Normal 4 4 2 2 7 2 3" xfId="12776" xr:uid="{10D49B87-D89E-4838-82FD-6547CCB38D9E}"/>
    <cellStyle name="Normal 4 4 2 2 7 3" xfId="6407" xr:uid="{00000000-0005-0000-0000-000012150000}"/>
    <cellStyle name="Normal 4 4 2 2 7 3 2" xfId="14849" xr:uid="{1E31556D-B96E-4822-AC7D-0C1A8998B19A}"/>
    <cellStyle name="Normal 4 4 2 2 7 4" xfId="10631" xr:uid="{8734F7AC-45D8-460C-A863-9F34F99C2F64}"/>
    <cellStyle name="Normal 4 4 2 2 8" xfId="2536" xr:uid="{00000000-0005-0000-0000-000013150000}"/>
    <cellStyle name="Normal 4 4 2 2 8 2" xfId="6820" xr:uid="{00000000-0005-0000-0000-000014150000}"/>
    <cellStyle name="Normal 4 4 2 2 8 2 2" xfId="15262" xr:uid="{1789996E-70EC-4BEF-92FA-079E0937686D}"/>
    <cellStyle name="Normal 4 4 2 2 8 3" xfId="11044" xr:uid="{1341CD62-ED81-48D2-9E5D-5832690C342D}"/>
    <cellStyle name="Normal 4 4 2 2 9" xfId="4755" xr:uid="{00000000-0005-0000-0000-000015150000}"/>
    <cellStyle name="Normal 4 4 2 2 9 2" xfId="13197" xr:uid="{8E485806-168D-4E1D-A4C2-903F3B6E829D}"/>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8E896CF7-CCD6-4F0F-A98F-B27F96CA58D7}"/>
    <cellStyle name="Normal 4 4 2 3 2 2 2 3" xfId="11542" xr:uid="{656691FF-55BA-4E58-97F7-1B5E0EDE079A}"/>
    <cellStyle name="Normal 4 4 2 3 2 2 3" xfId="5173" xr:uid="{00000000-0005-0000-0000-00001B150000}"/>
    <cellStyle name="Normal 4 4 2 3 2 2 3 2" xfId="13615" xr:uid="{57FAA1F1-7C16-4872-983A-927C0E13D9D3}"/>
    <cellStyle name="Normal 4 4 2 3 2 2 4" xfId="9397" xr:uid="{7C97A345-4192-4D10-A4CD-D22DDA0EF78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E0FB4060-C682-4690-B1EB-3590C5068172}"/>
    <cellStyle name="Normal 4 4 2 3 2 3 2 3" xfId="11955" xr:uid="{AAF1562F-FBAB-468E-9D25-982DB7215EBC}"/>
    <cellStyle name="Normal 4 4 2 3 2 3 3" xfId="5586" xr:uid="{00000000-0005-0000-0000-00001F150000}"/>
    <cellStyle name="Normal 4 4 2 3 2 3 3 2" xfId="14028" xr:uid="{8F1545DE-7E37-4FAC-9128-0837E91B7C75}"/>
    <cellStyle name="Normal 4 4 2 3 2 3 4" xfId="9810" xr:uid="{46DF1EE0-C5BA-4106-9047-9ED4FF8565C7}"/>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53BF41AC-C9D3-4B48-9821-2947BFA80CEE}"/>
    <cellStyle name="Normal 4 4 2 3 2 4 2 3" xfId="12368" xr:uid="{55504B98-6DBB-485D-A57D-DC505605A92B}"/>
    <cellStyle name="Normal 4 4 2 3 2 4 3" xfId="5999" xr:uid="{00000000-0005-0000-0000-000023150000}"/>
    <cellStyle name="Normal 4 4 2 3 2 4 3 2" xfId="14441" xr:uid="{F0C07681-D477-4232-8840-D27A5E9FDFD4}"/>
    <cellStyle name="Normal 4 4 2 3 2 4 4" xfId="10223" xr:uid="{736E44B5-6BA8-418A-917A-7EC08C3CD8CA}"/>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F16668AB-9919-4AA0-A231-9CE53FED0B65}"/>
    <cellStyle name="Normal 4 4 2 3 2 5 2 3" xfId="12781" xr:uid="{73ED79D7-0FF1-4F86-854B-61D3A3448DEA}"/>
    <cellStyle name="Normal 4 4 2 3 2 5 3" xfId="6412" xr:uid="{00000000-0005-0000-0000-000027150000}"/>
    <cellStyle name="Normal 4 4 2 3 2 5 3 2" xfId="14854" xr:uid="{1DE0ABD8-27C5-4774-9290-6E25864DB815}"/>
    <cellStyle name="Normal 4 4 2 3 2 5 4" xfId="10636" xr:uid="{7A5A722A-F6C0-4794-9778-82CC85C81665}"/>
    <cellStyle name="Normal 4 4 2 3 2 6" xfId="2541" xr:uid="{00000000-0005-0000-0000-000028150000}"/>
    <cellStyle name="Normal 4 4 2 3 2 6 2" xfId="6825" xr:uid="{00000000-0005-0000-0000-000029150000}"/>
    <cellStyle name="Normal 4 4 2 3 2 6 2 2" xfId="15267" xr:uid="{D7D2D6BA-04F1-48CB-9B4A-878B96567D86}"/>
    <cellStyle name="Normal 4 4 2 3 2 6 3" xfId="11049" xr:uid="{88DEA340-7709-4AAC-8A81-0B1D9DAC9A02}"/>
    <cellStyle name="Normal 4 4 2 3 2 7" xfId="4760" xr:uid="{00000000-0005-0000-0000-00002A150000}"/>
    <cellStyle name="Normal 4 4 2 3 2 7 2" xfId="13202" xr:uid="{A92D9A6B-0301-45F9-BC73-9C15045F7149}"/>
    <cellStyle name="Normal 4 4 2 3 2 8" xfId="8984" xr:uid="{2E176E49-AD6C-460D-8A81-E1FBC5A4E799}"/>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DA49D8B9-2B8F-4EF9-8680-39C66D0407DE}"/>
    <cellStyle name="Normal 4 4 2 3 3 2 3" xfId="11541" xr:uid="{7EB39DAA-A5B6-4E96-A24C-608E51D4F273}"/>
    <cellStyle name="Normal 4 4 2 3 3 3" xfId="5172" xr:uid="{00000000-0005-0000-0000-00002E150000}"/>
    <cellStyle name="Normal 4 4 2 3 3 3 2" xfId="13614" xr:uid="{9806CC13-1136-49F7-A8E2-3955D6A67DBE}"/>
    <cellStyle name="Normal 4 4 2 3 3 4" xfId="9396" xr:uid="{E645DE45-1A61-4015-9161-69C37407C5B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5E46E747-D184-4730-B806-FFB9B12F4D0B}"/>
    <cellStyle name="Normal 4 4 2 3 4 2 3" xfId="11954" xr:uid="{15A22126-7245-49F9-A381-60EED5A1A1BE}"/>
    <cellStyle name="Normal 4 4 2 3 4 3" xfId="5585" xr:uid="{00000000-0005-0000-0000-000032150000}"/>
    <cellStyle name="Normal 4 4 2 3 4 3 2" xfId="14027" xr:uid="{29266567-4452-4C54-B311-E283DE9877E1}"/>
    <cellStyle name="Normal 4 4 2 3 4 4" xfId="9809" xr:uid="{E4AB7D07-6F21-4416-883A-CCFCADC5C248}"/>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3646B82-D493-438F-A757-09A5C92B2EAA}"/>
    <cellStyle name="Normal 4 4 2 3 5 2 3" xfId="12367" xr:uid="{43E39015-57B3-488B-9ADB-FC1BFE0A7E2B}"/>
    <cellStyle name="Normal 4 4 2 3 5 3" xfId="5998" xr:uid="{00000000-0005-0000-0000-000036150000}"/>
    <cellStyle name="Normal 4 4 2 3 5 3 2" xfId="14440" xr:uid="{E228167C-9F8A-49C5-BF9C-9AC4E9AD3D11}"/>
    <cellStyle name="Normal 4 4 2 3 5 4" xfId="10222" xr:uid="{A3040C97-D389-4D86-BDB6-EF12374190BB}"/>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257F9187-2C12-4D71-8452-B24A6A044261}"/>
    <cellStyle name="Normal 4 4 2 3 6 2 3" xfId="12780" xr:uid="{CC349A9B-F909-473E-901B-10212A0A604D}"/>
    <cellStyle name="Normal 4 4 2 3 6 3" xfId="6411" xr:uid="{00000000-0005-0000-0000-00003A150000}"/>
    <cellStyle name="Normal 4 4 2 3 6 3 2" xfId="14853" xr:uid="{A5099E6F-B8FE-4C82-AAB9-CFE716F17A19}"/>
    <cellStyle name="Normal 4 4 2 3 6 4" xfId="10635" xr:uid="{81B930C3-E158-4862-BF9F-A0C9C32EAAB9}"/>
    <cellStyle name="Normal 4 4 2 3 7" xfId="2540" xr:uid="{00000000-0005-0000-0000-00003B150000}"/>
    <cellStyle name="Normal 4 4 2 3 7 2" xfId="6824" xr:uid="{00000000-0005-0000-0000-00003C150000}"/>
    <cellStyle name="Normal 4 4 2 3 7 2 2" xfId="15266" xr:uid="{EE88C298-F700-4396-AB20-C014E487498A}"/>
    <cellStyle name="Normal 4 4 2 3 7 3" xfId="11048" xr:uid="{ADBF60B6-BF1B-4A3A-B914-6110ED6C64FE}"/>
    <cellStyle name="Normal 4 4 2 3 8" xfId="4759" xr:uid="{00000000-0005-0000-0000-00003D150000}"/>
    <cellStyle name="Normal 4 4 2 3 8 2" xfId="13201" xr:uid="{CC3DAEAB-457A-4A15-94AE-BFB9399FD4F0}"/>
    <cellStyle name="Normal 4 4 2 3 9" xfId="8983" xr:uid="{280BD718-BFDB-41AC-8B95-3B32AF81527D}"/>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46B01C90-7D53-42E8-98D3-D0B77A42598D}"/>
    <cellStyle name="Normal 4 4 2 4 2 2 3" xfId="11543" xr:uid="{E929AF88-40EF-4BDE-9C7B-0FE4FBF7449A}"/>
    <cellStyle name="Normal 4 4 2 4 2 3" xfId="5174" xr:uid="{00000000-0005-0000-0000-000042150000}"/>
    <cellStyle name="Normal 4 4 2 4 2 3 2" xfId="13616" xr:uid="{4A71BB78-65F1-418F-AAA7-8F00426A06B0}"/>
    <cellStyle name="Normal 4 4 2 4 2 4" xfId="9398" xr:uid="{BFBDABE3-3E6D-449B-B879-984EADD3C3A5}"/>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7653856E-FE41-46B1-85D4-7792F7B3E08D}"/>
    <cellStyle name="Normal 4 4 2 4 3 2 3" xfId="11956" xr:uid="{E45F82C5-89E0-4F79-A8CB-93EB08AAC8F1}"/>
    <cellStyle name="Normal 4 4 2 4 3 3" xfId="5587" xr:uid="{00000000-0005-0000-0000-000046150000}"/>
    <cellStyle name="Normal 4 4 2 4 3 3 2" xfId="14029" xr:uid="{6DC3E921-A534-4F7D-9803-ECFC3DF743D6}"/>
    <cellStyle name="Normal 4 4 2 4 3 4" xfId="9811" xr:uid="{A34EDB33-99F6-44EF-A399-22181E2AA27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EA180721-0885-4E75-BEBD-6540FEDA557F}"/>
    <cellStyle name="Normal 4 4 2 4 4 2 3" xfId="12369" xr:uid="{C3604F99-7CBF-42C8-A5EE-BB936CCF1715}"/>
    <cellStyle name="Normal 4 4 2 4 4 3" xfId="6000" xr:uid="{00000000-0005-0000-0000-00004A150000}"/>
    <cellStyle name="Normal 4 4 2 4 4 3 2" xfId="14442" xr:uid="{9B4EEF84-7671-4AB7-B5B0-7C483BBB811A}"/>
    <cellStyle name="Normal 4 4 2 4 4 4" xfId="10224" xr:uid="{2CB35C3A-A5C4-455F-B06C-B47C6693B3D8}"/>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B7C6AF6A-3A57-4446-AB89-419782CE1F86}"/>
    <cellStyle name="Normal 4 4 2 4 5 2 3" xfId="12782" xr:uid="{1F3BACD5-7ABF-4338-8361-D4F1E355DC9C}"/>
    <cellStyle name="Normal 4 4 2 4 5 3" xfId="6413" xr:uid="{00000000-0005-0000-0000-00004E150000}"/>
    <cellStyle name="Normal 4 4 2 4 5 3 2" xfId="14855" xr:uid="{6EF1EA30-F80F-4B47-B7AC-2F322A119D6F}"/>
    <cellStyle name="Normal 4 4 2 4 5 4" xfId="10637" xr:uid="{8B0EBA13-4575-4C67-8126-E0F103B882D2}"/>
    <cellStyle name="Normal 4 4 2 4 6" xfId="2542" xr:uid="{00000000-0005-0000-0000-00004F150000}"/>
    <cellStyle name="Normal 4 4 2 4 6 2" xfId="6826" xr:uid="{00000000-0005-0000-0000-000050150000}"/>
    <cellStyle name="Normal 4 4 2 4 6 2 2" xfId="15268" xr:uid="{D7F57905-414F-4188-BFED-F924E3529106}"/>
    <cellStyle name="Normal 4 4 2 4 6 3" xfId="11050" xr:uid="{E7D061B5-A95B-49BD-8CC6-F6DFFB1D4D23}"/>
    <cellStyle name="Normal 4 4 2 4 7" xfId="4761" xr:uid="{00000000-0005-0000-0000-000051150000}"/>
    <cellStyle name="Normal 4 4 2 4 7 2" xfId="13203" xr:uid="{AE230EA5-36EB-447C-AEC7-2E1034A874B3}"/>
    <cellStyle name="Normal 4 4 2 4 8" xfId="8985" xr:uid="{8F02019F-7BFD-4FBC-A9A9-96AAC095A2D2}"/>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9B7C41FC-A748-491F-879A-9320A4FD442B}"/>
    <cellStyle name="Normal 4 4 2 5 2 3" xfId="11536" xr:uid="{8E3D1D8D-FA76-4735-85DF-F607224234DF}"/>
    <cellStyle name="Normal 4 4 2 5 3" xfId="5167" xr:uid="{00000000-0005-0000-0000-000055150000}"/>
    <cellStyle name="Normal 4 4 2 5 3 2" xfId="13609" xr:uid="{5B133501-AC93-46E4-886C-0304AD3EA02A}"/>
    <cellStyle name="Normal 4 4 2 5 4" xfId="9391" xr:uid="{72BE3BF6-03C5-471A-B29B-31DDA1A799C2}"/>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6CD7A0CD-CFBD-418C-AD07-66CF1F1E2B21}"/>
    <cellStyle name="Normal 4 4 2 6 2 3" xfId="11949" xr:uid="{BC5E7CE3-011B-41DD-8641-8976DE29673C}"/>
    <cellStyle name="Normal 4 4 2 6 3" xfId="5580" xr:uid="{00000000-0005-0000-0000-000059150000}"/>
    <cellStyle name="Normal 4 4 2 6 3 2" xfId="14022" xr:uid="{9A7D1A72-E81D-43F8-802B-3F2D705DA0A3}"/>
    <cellStyle name="Normal 4 4 2 6 4" xfId="9804" xr:uid="{225B605D-9CD1-4683-913B-2BEAF6D2D701}"/>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82F2F8C0-DEC2-485C-AC1C-6AE4FF516E94}"/>
    <cellStyle name="Normal 4 4 2 7 2 3" xfId="12362" xr:uid="{F13289BF-DFDD-488B-81F0-42D90B3CBCA7}"/>
    <cellStyle name="Normal 4 4 2 7 3" xfId="5993" xr:uid="{00000000-0005-0000-0000-00005D150000}"/>
    <cellStyle name="Normal 4 4 2 7 3 2" xfId="14435" xr:uid="{2E0F4D4C-E474-4853-A760-892865BC2484}"/>
    <cellStyle name="Normal 4 4 2 7 4" xfId="10217" xr:uid="{6D4D905F-1085-490E-A274-427A8D5BACBF}"/>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F92A2D8D-E03D-45E0-B1A0-71A5E17F31CA}"/>
    <cellStyle name="Normal 4 4 2 8 2 3" xfId="12775" xr:uid="{2C1A9F07-948E-4A26-BF8C-1C4A3830BF9A}"/>
    <cellStyle name="Normal 4 4 2 8 3" xfId="6406" xr:uid="{00000000-0005-0000-0000-000061150000}"/>
    <cellStyle name="Normal 4 4 2 8 3 2" xfId="14848" xr:uid="{4529D16B-D865-4BA5-9EA6-130A162BCEBD}"/>
    <cellStyle name="Normal 4 4 2 8 4" xfId="10630" xr:uid="{1493D413-8BF0-4D4B-B558-D1878C49E53D}"/>
    <cellStyle name="Normal 4 4 2 9" xfId="2535" xr:uid="{00000000-0005-0000-0000-000062150000}"/>
    <cellStyle name="Normal 4 4 2 9 2" xfId="6819" xr:uid="{00000000-0005-0000-0000-000063150000}"/>
    <cellStyle name="Normal 4 4 2 9 2 2" xfId="15261" xr:uid="{AC14B660-3D85-419F-A9F9-0BDBEE70617B}"/>
    <cellStyle name="Normal 4 4 2 9 3" xfId="11043" xr:uid="{A1689334-E7A8-463E-BE42-9051352D5748}"/>
    <cellStyle name="Normal 4 4 3" xfId="387" xr:uid="{00000000-0005-0000-0000-000064150000}"/>
    <cellStyle name="Normal 4 4 3 10" xfId="8986" xr:uid="{F0F3DBE4-BAAA-4BF3-B737-11647383C3E7}"/>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C73C4BD4-073A-4182-9ACF-039777CC58B4}"/>
    <cellStyle name="Normal 4 4 3 2 2 2 2 3" xfId="11546" xr:uid="{5B0F2B41-79A2-450C-A423-2C8BB356E6FF}"/>
    <cellStyle name="Normal 4 4 3 2 2 2 3" xfId="5177" xr:uid="{00000000-0005-0000-0000-00006A150000}"/>
    <cellStyle name="Normal 4 4 3 2 2 2 3 2" xfId="13619" xr:uid="{71AC7C8C-250B-4A4E-AC20-F24A25723931}"/>
    <cellStyle name="Normal 4 4 3 2 2 2 4" xfId="9401" xr:uid="{090ED556-5596-41C9-82CA-2B15159BD1E8}"/>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F54F693A-40EE-4556-BC7C-25319A955CC4}"/>
    <cellStyle name="Normal 4 4 3 2 2 3 2 3" xfId="11959" xr:uid="{679E4029-012E-4E2F-94B2-D7996C94915A}"/>
    <cellStyle name="Normal 4 4 3 2 2 3 3" xfId="5590" xr:uid="{00000000-0005-0000-0000-00006E150000}"/>
    <cellStyle name="Normal 4 4 3 2 2 3 3 2" xfId="14032" xr:uid="{8B95378C-53D5-4F5E-849B-47E813F26271}"/>
    <cellStyle name="Normal 4 4 3 2 2 3 4" xfId="9814" xr:uid="{36197C0D-C46C-4C60-9FC1-A2DC9EDDCDA7}"/>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14830CF3-D581-439E-9F82-92B963342817}"/>
    <cellStyle name="Normal 4 4 3 2 2 4 2 3" xfId="12372" xr:uid="{BBD89482-08D7-4971-9CEB-A5720E4DD801}"/>
    <cellStyle name="Normal 4 4 3 2 2 4 3" xfId="6003" xr:uid="{00000000-0005-0000-0000-000072150000}"/>
    <cellStyle name="Normal 4 4 3 2 2 4 3 2" xfId="14445" xr:uid="{5D4C5EDD-76C5-4C91-8B3E-0CA1963AEAC1}"/>
    <cellStyle name="Normal 4 4 3 2 2 4 4" xfId="10227" xr:uid="{D80E0FCC-B18F-48B0-AF7D-C72DD92D5D0B}"/>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5E585579-1A9D-4A1A-A8D1-202A9B50AD70}"/>
    <cellStyle name="Normal 4 4 3 2 2 5 2 3" xfId="12785" xr:uid="{470B94B0-F606-405A-8A38-8584596A694C}"/>
    <cellStyle name="Normal 4 4 3 2 2 5 3" xfId="6416" xr:uid="{00000000-0005-0000-0000-000076150000}"/>
    <cellStyle name="Normal 4 4 3 2 2 5 3 2" xfId="14858" xr:uid="{B87390E7-E993-4065-81E2-F68FEDE7C888}"/>
    <cellStyle name="Normal 4 4 3 2 2 5 4" xfId="10640" xr:uid="{8D9880B6-A5DF-49CF-97E7-DB056F627A10}"/>
    <cellStyle name="Normal 4 4 3 2 2 6" xfId="2545" xr:uid="{00000000-0005-0000-0000-000077150000}"/>
    <cellStyle name="Normal 4 4 3 2 2 6 2" xfId="6829" xr:uid="{00000000-0005-0000-0000-000078150000}"/>
    <cellStyle name="Normal 4 4 3 2 2 6 2 2" xfId="15271" xr:uid="{D4AAA73B-ECE9-4D89-9CA4-13CC5E2EFCA1}"/>
    <cellStyle name="Normal 4 4 3 2 2 6 3" xfId="11053" xr:uid="{CFF17F98-C431-493E-AA4A-7B85E900F91E}"/>
    <cellStyle name="Normal 4 4 3 2 2 7" xfId="4764" xr:uid="{00000000-0005-0000-0000-000079150000}"/>
    <cellStyle name="Normal 4 4 3 2 2 7 2" xfId="13206" xr:uid="{851C73C4-5432-482E-83FD-D41CEB71D83F}"/>
    <cellStyle name="Normal 4 4 3 2 2 8" xfId="8988" xr:uid="{97202727-36ED-40D1-942D-C718A7B4919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32B5FB46-1D15-4606-B86D-A404578DFE02}"/>
    <cellStyle name="Normal 4 4 3 2 3 2 3" xfId="11545" xr:uid="{C5C2C410-1E09-444A-B6D1-80C8451B2027}"/>
    <cellStyle name="Normal 4 4 3 2 3 3" xfId="5176" xr:uid="{00000000-0005-0000-0000-00007D150000}"/>
    <cellStyle name="Normal 4 4 3 2 3 3 2" xfId="13618" xr:uid="{75A9197A-13DC-471A-8624-C2C17B7899D3}"/>
    <cellStyle name="Normal 4 4 3 2 3 4" xfId="9400" xr:uid="{717B6A17-DD9E-4772-AEED-9A7065474F67}"/>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87376460-75A5-4582-9742-450FA5C49696}"/>
    <cellStyle name="Normal 4 4 3 2 4 2 3" xfId="11958" xr:uid="{DE779359-29E3-427E-9ED0-5D12249E1480}"/>
    <cellStyle name="Normal 4 4 3 2 4 3" xfId="5589" xr:uid="{00000000-0005-0000-0000-000081150000}"/>
    <cellStyle name="Normal 4 4 3 2 4 3 2" xfId="14031" xr:uid="{C8A7BCE1-B785-43E8-A71D-20B2194ADD26}"/>
    <cellStyle name="Normal 4 4 3 2 4 4" xfId="9813" xr:uid="{000F7FDD-A527-4AE8-B090-F322733460CC}"/>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E8D9903D-58B0-4676-A096-89ABBAABB2F2}"/>
    <cellStyle name="Normal 4 4 3 2 5 2 3" xfId="12371" xr:uid="{1D70C08D-6839-46DE-9B16-318C2BE3A4F5}"/>
    <cellStyle name="Normal 4 4 3 2 5 3" xfId="6002" xr:uid="{00000000-0005-0000-0000-000085150000}"/>
    <cellStyle name="Normal 4 4 3 2 5 3 2" xfId="14444" xr:uid="{A6D603CC-03E9-4F23-AD62-6B9B713695B8}"/>
    <cellStyle name="Normal 4 4 3 2 5 4" xfId="10226" xr:uid="{3C5455CF-F30D-49D9-AE12-359094ED4FE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59D76269-D31E-4B93-A514-2D6B36426AF7}"/>
    <cellStyle name="Normal 4 4 3 2 6 2 3" xfId="12784" xr:uid="{2B03254F-996C-49FE-B693-A699790A00C6}"/>
    <cellStyle name="Normal 4 4 3 2 6 3" xfId="6415" xr:uid="{00000000-0005-0000-0000-000089150000}"/>
    <cellStyle name="Normal 4 4 3 2 6 3 2" xfId="14857" xr:uid="{B0D260A0-1244-4C50-9E95-198B91150130}"/>
    <cellStyle name="Normal 4 4 3 2 6 4" xfId="10639" xr:uid="{809DB874-A721-4D25-A0D5-65A76F067BBC}"/>
    <cellStyle name="Normal 4 4 3 2 7" xfId="2544" xr:uid="{00000000-0005-0000-0000-00008A150000}"/>
    <cellStyle name="Normal 4 4 3 2 7 2" xfId="6828" xr:uid="{00000000-0005-0000-0000-00008B150000}"/>
    <cellStyle name="Normal 4 4 3 2 7 2 2" xfId="15270" xr:uid="{DB897F66-8D07-4F68-8868-18681FBA886C}"/>
    <cellStyle name="Normal 4 4 3 2 7 3" xfId="11052" xr:uid="{F8579C7C-97B2-4AA1-8B24-A8ACE943A737}"/>
    <cellStyle name="Normal 4 4 3 2 8" xfId="4763" xr:uid="{00000000-0005-0000-0000-00008C150000}"/>
    <cellStyle name="Normal 4 4 3 2 8 2" xfId="13205" xr:uid="{AA3040D0-F0C5-4E18-B4D4-E71BE06F161B}"/>
    <cellStyle name="Normal 4 4 3 2 9" xfId="8987" xr:uid="{51CFF51E-BEA4-441E-B7A5-A186BC573175}"/>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8EE755C3-7DA2-477E-A7A9-B487AE2DE430}"/>
    <cellStyle name="Normal 4 4 3 3 2 2 3" xfId="11547" xr:uid="{DE7862D3-72BC-47E9-966B-7DFFC8F1C1B3}"/>
    <cellStyle name="Normal 4 4 3 3 2 3" xfId="5178" xr:uid="{00000000-0005-0000-0000-000091150000}"/>
    <cellStyle name="Normal 4 4 3 3 2 3 2" xfId="13620" xr:uid="{EC072B9B-5257-4E76-BD19-283BEBDE1963}"/>
    <cellStyle name="Normal 4 4 3 3 2 4" xfId="9402" xr:uid="{F0937E16-0BDE-418D-89E6-C35F81C4A775}"/>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6C5B43C0-0D3A-4B35-9DC6-071E8233B052}"/>
    <cellStyle name="Normal 4 4 3 3 3 2 3" xfId="11960" xr:uid="{1B1D22E4-0711-4B36-8454-45441E187C7B}"/>
    <cellStyle name="Normal 4 4 3 3 3 3" xfId="5591" xr:uid="{00000000-0005-0000-0000-000095150000}"/>
    <cellStyle name="Normal 4 4 3 3 3 3 2" xfId="14033" xr:uid="{E305278B-3017-4B7A-9E4F-FA31EF3366EF}"/>
    <cellStyle name="Normal 4 4 3 3 3 4" xfId="9815" xr:uid="{58D35EA3-C5FF-4533-9E4C-0A823C9AE077}"/>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B9F2FE9C-5568-4F23-BF99-DFB7EF86FA12}"/>
    <cellStyle name="Normal 4 4 3 3 4 2 3" xfId="12373" xr:uid="{F0488473-4005-4FBC-93DC-BACEE5FB1FE6}"/>
    <cellStyle name="Normal 4 4 3 3 4 3" xfId="6004" xr:uid="{00000000-0005-0000-0000-000099150000}"/>
    <cellStyle name="Normal 4 4 3 3 4 3 2" xfId="14446" xr:uid="{D06E378D-0ABC-4E55-A1E3-15756210A754}"/>
    <cellStyle name="Normal 4 4 3 3 4 4" xfId="10228" xr:uid="{F454237F-BC14-4603-BEF9-B0F59BD21A72}"/>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2FF5782C-374B-4C94-BCDD-65FA7073B074}"/>
    <cellStyle name="Normal 4 4 3 3 5 2 3" xfId="12786" xr:uid="{C3826EB3-1D52-4EA0-8FFF-1B9B2FDF0A92}"/>
    <cellStyle name="Normal 4 4 3 3 5 3" xfId="6417" xr:uid="{00000000-0005-0000-0000-00009D150000}"/>
    <cellStyle name="Normal 4 4 3 3 5 3 2" xfId="14859" xr:uid="{BAFAE211-8796-462E-9A47-630B06188399}"/>
    <cellStyle name="Normal 4 4 3 3 5 4" xfId="10641" xr:uid="{20829099-37BC-4517-9CE8-86AE052732AA}"/>
    <cellStyle name="Normal 4 4 3 3 6" xfId="2546" xr:uid="{00000000-0005-0000-0000-00009E150000}"/>
    <cellStyle name="Normal 4 4 3 3 6 2" xfId="6830" xr:uid="{00000000-0005-0000-0000-00009F150000}"/>
    <cellStyle name="Normal 4 4 3 3 6 2 2" xfId="15272" xr:uid="{BB73A85F-7BA6-49EA-8734-93BFEC341197}"/>
    <cellStyle name="Normal 4 4 3 3 6 3" xfId="11054" xr:uid="{BF685835-7E58-459A-ADC5-54E302753E8D}"/>
    <cellStyle name="Normal 4 4 3 3 7" xfId="4765" xr:uid="{00000000-0005-0000-0000-0000A0150000}"/>
    <cellStyle name="Normal 4 4 3 3 7 2" xfId="13207" xr:uid="{E199F5D9-3FE4-40C8-A3F8-AD7CE9FA1C0D}"/>
    <cellStyle name="Normal 4 4 3 3 8" xfId="8989" xr:uid="{4309DA34-0A2C-4A8E-B0E5-753F0F594AEC}"/>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60A9A3FE-CA7F-44B6-B3B1-D74B78D308A2}"/>
    <cellStyle name="Normal 4 4 3 4 2 3" xfId="11544" xr:uid="{05FB91C3-A109-4ACC-B0C3-F0FABA230D35}"/>
    <cellStyle name="Normal 4 4 3 4 3" xfId="5175" xr:uid="{00000000-0005-0000-0000-0000A4150000}"/>
    <cellStyle name="Normal 4 4 3 4 3 2" xfId="13617" xr:uid="{D1F834BC-E048-466D-BB72-23FDEE3FBCDF}"/>
    <cellStyle name="Normal 4 4 3 4 4" xfId="9399" xr:uid="{E2F95D0E-071C-446F-9155-889E9421E083}"/>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A2A67EDA-8087-4824-8B6D-8C8ED0D92C29}"/>
    <cellStyle name="Normal 4 4 3 5 2 3" xfId="11957" xr:uid="{515A8C9F-9154-48CF-A2B7-1F57C379F4D7}"/>
    <cellStyle name="Normal 4 4 3 5 3" xfId="5588" xr:uid="{00000000-0005-0000-0000-0000A8150000}"/>
    <cellStyle name="Normal 4 4 3 5 3 2" xfId="14030" xr:uid="{E274A9E2-2FC3-425A-8E94-E5039FAAA59D}"/>
    <cellStyle name="Normal 4 4 3 5 4" xfId="9812" xr:uid="{AB924041-3ED1-414C-84B0-7F666A73CD97}"/>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6545499A-F9E1-415E-99A1-14EFFA10F126}"/>
    <cellStyle name="Normal 4 4 3 6 2 3" xfId="12370" xr:uid="{F7CBABF5-49DC-4593-97F1-E351CE89B850}"/>
    <cellStyle name="Normal 4 4 3 6 3" xfId="6001" xr:uid="{00000000-0005-0000-0000-0000AC150000}"/>
    <cellStyle name="Normal 4 4 3 6 3 2" xfId="14443" xr:uid="{B29B26B1-348A-4126-A3F1-B33D0920FE72}"/>
    <cellStyle name="Normal 4 4 3 6 4" xfId="10225" xr:uid="{B8E033C2-EA58-46B5-AA72-9458A9A31360}"/>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2820A914-820D-468E-89F4-74115DD66B84}"/>
    <cellStyle name="Normal 4 4 3 7 2 3" xfId="12783" xr:uid="{46045124-A7B8-49AF-A34D-257A5A3599FE}"/>
    <cellStyle name="Normal 4 4 3 7 3" xfId="6414" xr:uid="{00000000-0005-0000-0000-0000B0150000}"/>
    <cellStyle name="Normal 4 4 3 7 3 2" xfId="14856" xr:uid="{A57680B4-4BCF-4559-A187-26CD78DF9D78}"/>
    <cellStyle name="Normal 4 4 3 7 4" xfId="10638" xr:uid="{6B528AFF-4E13-41FB-94AC-44038CDBDFD8}"/>
    <cellStyle name="Normal 4 4 3 8" xfId="2543" xr:uid="{00000000-0005-0000-0000-0000B1150000}"/>
    <cellStyle name="Normal 4 4 3 8 2" xfId="6827" xr:uid="{00000000-0005-0000-0000-0000B2150000}"/>
    <cellStyle name="Normal 4 4 3 8 2 2" xfId="15269" xr:uid="{0274178C-7754-4B39-8BFC-D46F9B0B62CB}"/>
    <cellStyle name="Normal 4 4 3 8 3" xfId="11051" xr:uid="{0DE2C011-FE67-4798-878B-A25A3A0A5191}"/>
    <cellStyle name="Normal 4 4 3 9" xfId="4762" xr:uid="{00000000-0005-0000-0000-0000B3150000}"/>
    <cellStyle name="Normal 4 4 3 9 2" xfId="13204" xr:uid="{49C19813-6F2B-42FC-AC4D-BD7A87F23FF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70D9B218-2940-49F7-993D-B92DAD4FD965}"/>
    <cellStyle name="Normal 4 4 4 2 2 2 3" xfId="11549" xr:uid="{BDADF398-3EDC-4BA8-8128-B207634C8E76}"/>
    <cellStyle name="Normal 4 4 4 2 2 3" xfId="5180" xr:uid="{00000000-0005-0000-0000-0000B9150000}"/>
    <cellStyle name="Normal 4 4 4 2 2 3 2" xfId="13622" xr:uid="{57C4E801-E6C9-4814-AC8F-3065BD03A9E1}"/>
    <cellStyle name="Normal 4 4 4 2 2 4" xfId="9404" xr:uid="{9EBDF2CB-DF69-4DA9-8CE4-D26338F1B16A}"/>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7BB1CA94-C443-4FC6-8079-A05F5B5B79D8}"/>
    <cellStyle name="Normal 4 4 4 2 3 2 3" xfId="11962" xr:uid="{A80C6306-CEAC-4046-B775-103247BCFFBF}"/>
    <cellStyle name="Normal 4 4 4 2 3 3" xfId="5593" xr:uid="{00000000-0005-0000-0000-0000BD150000}"/>
    <cellStyle name="Normal 4 4 4 2 3 3 2" xfId="14035" xr:uid="{731EB211-CD42-4DF6-8DAF-215E19078380}"/>
    <cellStyle name="Normal 4 4 4 2 3 4" xfId="9817" xr:uid="{7D7B2578-A4A6-4332-84B5-324FE4FD776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C354A126-3155-44B7-A239-A32830A98AC8}"/>
    <cellStyle name="Normal 4 4 4 2 4 2 3" xfId="12375" xr:uid="{4639245B-3D47-41BC-94C4-7E59E89541C0}"/>
    <cellStyle name="Normal 4 4 4 2 4 3" xfId="6006" xr:uid="{00000000-0005-0000-0000-0000C1150000}"/>
    <cellStyle name="Normal 4 4 4 2 4 3 2" xfId="14448" xr:uid="{AE86C260-1A7F-499D-B561-35AC9E3B90A8}"/>
    <cellStyle name="Normal 4 4 4 2 4 4" xfId="10230" xr:uid="{E2AF8CCA-1649-4AA0-8C3D-59040DDCBEA2}"/>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71445596-5D0F-4769-A7E7-77B5D7AE60D7}"/>
    <cellStyle name="Normal 4 4 4 2 5 2 3" xfId="12788" xr:uid="{59B7E87E-7AC8-4C44-8CD5-D7E500670D18}"/>
    <cellStyle name="Normal 4 4 4 2 5 3" xfId="6419" xr:uid="{00000000-0005-0000-0000-0000C5150000}"/>
    <cellStyle name="Normal 4 4 4 2 5 3 2" xfId="14861" xr:uid="{79022366-13CA-476F-A9F8-30B9AD953408}"/>
    <cellStyle name="Normal 4 4 4 2 5 4" xfId="10643" xr:uid="{1BD47DA7-AE85-46FF-A04A-47581D71ACB2}"/>
    <cellStyle name="Normal 4 4 4 2 6" xfId="2548" xr:uid="{00000000-0005-0000-0000-0000C6150000}"/>
    <cellStyle name="Normal 4 4 4 2 6 2" xfId="6832" xr:uid="{00000000-0005-0000-0000-0000C7150000}"/>
    <cellStyle name="Normal 4 4 4 2 6 2 2" xfId="15274" xr:uid="{F4500C53-F6E5-4E29-A31F-C9F9D2DD099A}"/>
    <cellStyle name="Normal 4 4 4 2 6 3" xfId="11056" xr:uid="{695171A0-E2B2-411B-9D47-6F42C841E8EB}"/>
    <cellStyle name="Normal 4 4 4 2 7" xfId="4767" xr:uid="{00000000-0005-0000-0000-0000C8150000}"/>
    <cellStyle name="Normal 4 4 4 2 7 2" xfId="13209" xr:uid="{AAA395E8-F201-401E-BFFA-8C20CC0F077C}"/>
    <cellStyle name="Normal 4 4 4 2 8" xfId="8991" xr:uid="{F4AF7409-EDE0-400E-A6E7-33FA998740D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BC437B58-C4F3-4E01-B3F7-2A2F14E4FAF9}"/>
    <cellStyle name="Normal 4 4 4 3 2 3" xfId="11548" xr:uid="{C8E1BCB6-7937-46EF-8D98-A9304AF8247A}"/>
    <cellStyle name="Normal 4 4 4 3 3" xfId="5179" xr:uid="{00000000-0005-0000-0000-0000CC150000}"/>
    <cellStyle name="Normal 4 4 4 3 3 2" xfId="13621" xr:uid="{F2BB0E95-9FC8-41A0-9F26-D0255EDDD5A9}"/>
    <cellStyle name="Normal 4 4 4 3 4" xfId="9403" xr:uid="{9513C0F7-AEC7-4871-98DA-8CFEF025C16F}"/>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5F45E844-EA51-4927-855F-6E80CC92CEEB}"/>
    <cellStyle name="Normal 4 4 4 4 2 3" xfId="11961" xr:uid="{A84C70CD-13D9-42CF-AD2E-94C755F09B30}"/>
    <cellStyle name="Normal 4 4 4 4 3" xfId="5592" xr:uid="{00000000-0005-0000-0000-0000D0150000}"/>
    <cellStyle name="Normal 4 4 4 4 3 2" xfId="14034" xr:uid="{BF268CC1-B41F-4D45-ABAA-B14C0F7B43D3}"/>
    <cellStyle name="Normal 4 4 4 4 4" xfId="9816" xr:uid="{D96719CB-980F-459A-9AFC-49639170A492}"/>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C4275BC7-3B30-4F8C-BA3B-34F012ABAF8C}"/>
    <cellStyle name="Normal 4 4 4 5 2 3" xfId="12374" xr:uid="{AA864D1A-CCF4-468B-83F3-93DCA05DA749}"/>
    <cellStyle name="Normal 4 4 4 5 3" xfId="6005" xr:uid="{00000000-0005-0000-0000-0000D4150000}"/>
    <cellStyle name="Normal 4 4 4 5 3 2" xfId="14447" xr:uid="{52B0B902-595F-459C-ADD4-A94BEABCECD4}"/>
    <cellStyle name="Normal 4 4 4 5 4" xfId="10229" xr:uid="{7BC0FD5F-2A2B-4F0C-89B3-397ED112052A}"/>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FC7A6319-4E18-48C0-BA6A-3D90BBE265DF}"/>
    <cellStyle name="Normal 4 4 4 6 2 3" xfId="12787" xr:uid="{A14FD48E-A1C3-4028-90CC-95C0F2FE68C0}"/>
    <cellStyle name="Normal 4 4 4 6 3" xfId="6418" xr:uid="{00000000-0005-0000-0000-0000D8150000}"/>
    <cellStyle name="Normal 4 4 4 6 3 2" xfId="14860" xr:uid="{6A984073-E084-4401-9867-C4BA28018EDE}"/>
    <cellStyle name="Normal 4 4 4 6 4" xfId="10642" xr:uid="{4AE292E8-B43B-4CFC-A142-13406FC22D54}"/>
    <cellStyle name="Normal 4 4 4 7" xfId="2547" xr:uid="{00000000-0005-0000-0000-0000D9150000}"/>
    <cellStyle name="Normal 4 4 4 7 2" xfId="6831" xr:uid="{00000000-0005-0000-0000-0000DA150000}"/>
    <cellStyle name="Normal 4 4 4 7 2 2" xfId="15273" xr:uid="{BE68B6C4-8568-492C-83B3-4EF84EC4C40B}"/>
    <cellStyle name="Normal 4 4 4 7 3" xfId="11055" xr:uid="{D549DA4A-A066-499E-A75A-7E783E714BCD}"/>
    <cellStyle name="Normal 4 4 4 8" xfId="4766" xr:uid="{00000000-0005-0000-0000-0000DB150000}"/>
    <cellStyle name="Normal 4 4 4 8 2" xfId="13208" xr:uid="{7887A726-9E03-4444-A439-8EEF966ACF1A}"/>
    <cellStyle name="Normal 4 4 4 9" xfId="8990" xr:uid="{FAF3EE6A-5E82-4DF5-B963-59D28596A09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D08E131D-6B87-4AE9-AD1F-55477ACB9B76}"/>
    <cellStyle name="Normal 4 4 5 2 2 3" xfId="11550" xr:uid="{22BF4A64-3D37-4486-A6C6-EEE6FC0EE166}"/>
    <cellStyle name="Normal 4 4 5 2 3" xfId="5181" xr:uid="{00000000-0005-0000-0000-0000E0150000}"/>
    <cellStyle name="Normal 4 4 5 2 3 2" xfId="13623" xr:uid="{219C921F-99AF-4382-B4B5-4BA51518180A}"/>
    <cellStyle name="Normal 4 4 5 2 4" xfId="9405" xr:uid="{284D266C-2040-4721-B8A7-9C48B3BA9FD6}"/>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716A9F4B-F412-4A42-BCB0-435FBA1EA29F}"/>
    <cellStyle name="Normal 4 4 5 3 2 3" xfId="11963" xr:uid="{0D3BE198-B958-4598-9E4B-2445222DC0A3}"/>
    <cellStyle name="Normal 4 4 5 3 3" xfId="5594" xr:uid="{00000000-0005-0000-0000-0000E4150000}"/>
    <cellStyle name="Normal 4 4 5 3 3 2" xfId="14036" xr:uid="{C9124018-3191-4AD3-B160-31F5EBEF05B1}"/>
    <cellStyle name="Normal 4 4 5 3 4" xfId="9818" xr:uid="{0885F7FA-A125-4215-9A0E-09990EBAD104}"/>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82CD559-EF0C-484A-BDFE-3A56EE29C91D}"/>
    <cellStyle name="Normal 4 4 5 4 2 3" xfId="12376" xr:uid="{572C0CD2-9568-46AB-B8AE-28C93EDEE73E}"/>
    <cellStyle name="Normal 4 4 5 4 3" xfId="6007" xr:uid="{00000000-0005-0000-0000-0000E8150000}"/>
    <cellStyle name="Normal 4 4 5 4 3 2" xfId="14449" xr:uid="{F41450B6-5B3B-4858-AD5A-D4DD1747445B}"/>
    <cellStyle name="Normal 4 4 5 4 4" xfId="10231" xr:uid="{DE9789A0-839B-4262-8B22-F6D62C2C17A9}"/>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D1E3C93A-9A2B-4BD4-938F-C6D628BB9A9E}"/>
    <cellStyle name="Normal 4 4 5 5 2 3" xfId="12789" xr:uid="{F5397C58-26E6-4034-B9AA-9179903C2B1E}"/>
    <cellStyle name="Normal 4 4 5 5 3" xfId="6420" xr:uid="{00000000-0005-0000-0000-0000EC150000}"/>
    <cellStyle name="Normal 4 4 5 5 3 2" xfId="14862" xr:uid="{18DBF656-E449-4D19-9B19-C7CE882B2E90}"/>
    <cellStyle name="Normal 4 4 5 5 4" xfId="10644" xr:uid="{1281DB3B-89DF-4A12-B883-675202540D01}"/>
    <cellStyle name="Normal 4 4 5 6" xfId="2549" xr:uid="{00000000-0005-0000-0000-0000ED150000}"/>
    <cellStyle name="Normal 4 4 5 6 2" xfId="6833" xr:uid="{00000000-0005-0000-0000-0000EE150000}"/>
    <cellStyle name="Normal 4 4 5 6 2 2" xfId="15275" xr:uid="{F93E5F94-760E-46F6-AB12-9FB69E8EE47D}"/>
    <cellStyle name="Normal 4 4 5 6 3" xfId="11057" xr:uid="{C771547D-C155-491A-BF77-6A831C480848}"/>
    <cellStyle name="Normal 4 4 5 7" xfId="4768" xr:uid="{00000000-0005-0000-0000-0000EF150000}"/>
    <cellStyle name="Normal 4 4 5 7 2" xfId="13210" xr:uid="{92A7166E-D59E-43F1-B54E-90DCF10946D3}"/>
    <cellStyle name="Normal 4 4 5 8" xfId="8992" xr:uid="{9CCC9335-6EC2-430D-B44A-C0876ECB3B7F}"/>
    <cellStyle name="Normal 4 4 6" xfId="853" xr:uid="{00000000-0005-0000-0000-0000F0150000}"/>
    <cellStyle name="Normal 4 4 6 2" xfId="3088" xr:uid="{00000000-0005-0000-0000-0000F1150000}"/>
    <cellStyle name="Normal 4 4 6 2 2" xfId="7311" xr:uid="{00000000-0005-0000-0000-0000F2150000}"/>
    <cellStyle name="Normal 4 4 6 2 2 2" xfId="15753" xr:uid="{3397C27E-DAEB-462C-954D-7B23CBBA2B6E}"/>
    <cellStyle name="Normal 4 4 6 2 3" xfId="11535" xr:uid="{BA199F25-4486-4658-9453-DC9890E7FAD9}"/>
    <cellStyle name="Normal 4 4 6 3" xfId="5166" xr:uid="{00000000-0005-0000-0000-0000F3150000}"/>
    <cellStyle name="Normal 4 4 6 3 2" xfId="13608" xr:uid="{8496801C-8F0C-4F1C-8833-D11D87A34252}"/>
    <cellStyle name="Normal 4 4 6 4" xfId="9390" xr:uid="{348E20C3-B997-4F88-8081-6BF0E4CBA5FD}"/>
    <cellStyle name="Normal 4 4 7" xfId="1271" xr:uid="{00000000-0005-0000-0000-0000F4150000}"/>
    <cellStyle name="Normal 4 4 7 2" xfId="3501" xr:uid="{00000000-0005-0000-0000-0000F5150000}"/>
    <cellStyle name="Normal 4 4 7 2 2" xfId="7724" xr:uid="{00000000-0005-0000-0000-0000F6150000}"/>
    <cellStyle name="Normal 4 4 7 2 2 2" xfId="16166" xr:uid="{E302021C-CE6A-4A09-97F2-BE4541C005F3}"/>
    <cellStyle name="Normal 4 4 7 2 3" xfId="11948" xr:uid="{D0ECCB47-4F5C-4202-B935-58747E9E1E4C}"/>
    <cellStyle name="Normal 4 4 7 3" xfId="5579" xr:uid="{00000000-0005-0000-0000-0000F7150000}"/>
    <cellStyle name="Normal 4 4 7 3 2" xfId="14021" xr:uid="{6A71F7B4-8AF5-4A46-9757-3A9990FBAD45}"/>
    <cellStyle name="Normal 4 4 7 4" xfId="9803" xr:uid="{D3B0E756-677B-4D38-A36C-200D25304249}"/>
    <cellStyle name="Normal 4 4 8" xfId="1684" xr:uid="{00000000-0005-0000-0000-0000F8150000}"/>
    <cellStyle name="Normal 4 4 8 2" xfId="3914" xr:uid="{00000000-0005-0000-0000-0000F9150000}"/>
    <cellStyle name="Normal 4 4 8 2 2" xfId="8137" xr:uid="{00000000-0005-0000-0000-0000FA150000}"/>
    <cellStyle name="Normal 4 4 8 2 2 2" xfId="16579" xr:uid="{915A9926-FC31-4ACB-95B2-8F9AAA147171}"/>
    <cellStyle name="Normal 4 4 8 2 3" xfId="12361" xr:uid="{B024D1DF-2109-40AA-A6B4-F80FE24360DE}"/>
    <cellStyle name="Normal 4 4 8 3" xfId="5992" xr:uid="{00000000-0005-0000-0000-0000FB150000}"/>
    <cellStyle name="Normal 4 4 8 3 2" xfId="14434" xr:uid="{D099E98F-2849-42AA-BE18-505558B3FDD5}"/>
    <cellStyle name="Normal 4 4 8 4" xfId="10216" xr:uid="{E998D651-56EE-48B5-97D4-42B837A16A94}"/>
    <cellStyle name="Normal 4 4 9" xfId="2098" xr:uid="{00000000-0005-0000-0000-0000FC150000}"/>
    <cellStyle name="Normal 4 4 9 2" xfId="4327" xr:uid="{00000000-0005-0000-0000-0000FD150000}"/>
    <cellStyle name="Normal 4 4 9 2 2" xfId="8550" xr:uid="{00000000-0005-0000-0000-0000FE150000}"/>
    <cellStyle name="Normal 4 4 9 2 2 2" xfId="16992" xr:uid="{B159A884-10D8-4284-B63E-627A3B20A371}"/>
    <cellStyle name="Normal 4 4 9 2 3" xfId="12774" xr:uid="{B985835B-0FBC-4B7E-95DB-19A6169E34FD}"/>
    <cellStyle name="Normal 4 4 9 3" xfId="6405" xr:uid="{00000000-0005-0000-0000-0000FF150000}"/>
    <cellStyle name="Normal 4 4 9 3 2" xfId="14847" xr:uid="{5C5EF0D5-3A5A-47EF-AD5F-DE7E71E2D2BF}"/>
    <cellStyle name="Normal 4 4 9 4" xfId="10629" xr:uid="{0051AFE8-D0D0-4398-84DA-89A7ADB8DCFB}"/>
    <cellStyle name="Normal 4 5" xfId="394" xr:uid="{00000000-0005-0000-0000-000000160000}"/>
    <cellStyle name="Normal 4 6" xfId="395" xr:uid="{00000000-0005-0000-0000-000001160000}"/>
    <cellStyle name="Normal 4 6 10" xfId="4769" xr:uid="{00000000-0005-0000-0000-000002160000}"/>
    <cellStyle name="Normal 4 6 10 2" xfId="13211" xr:uid="{CF6C184C-852B-4E65-BF4F-F94410F05B43}"/>
    <cellStyle name="Normal 4 6 11" xfId="8993" xr:uid="{0C080A6C-6132-434A-98F9-37332AE62B5D}"/>
    <cellStyle name="Normal 4 6 2" xfId="396" xr:uid="{00000000-0005-0000-0000-000003160000}"/>
    <cellStyle name="Normal 4 6 2 10" xfId="8994" xr:uid="{01318831-2319-47E8-9437-57BED4CFABA8}"/>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9033D84A-6F88-4BF9-B3AD-73ACDB13458F}"/>
    <cellStyle name="Normal 4 6 2 2 2 2 2 3" xfId="11554" xr:uid="{BDBD91C7-6249-43DC-9257-9CBC5C75FFE6}"/>
    <cellStyle name="Normal 4 6 2 2 2 2 3" xfId="5185" xr:uid="{00000000-0005-0000-0000-000009160000}"/>
    <cellStyle name="Normal 4 6 2 2 2 2 3 2" xfId="13627" xr:uid="{B8880BB2-F540-4CB0-BD91-79A6D2A664D5}"/>
    <cellStyle name="Normal 4 6 2 2 2 2 4" xfId="9409" xr:uid="{A26F3515-473D-4E65-BCED-A3E4FF1743EB}"/>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173A5B7D-2074-4B91-B70C-EC0EA4BF1894}"/>
    <cellStyle name="Normal 4 6 2 2 2 3 2 3" xfId="11967" xr:uid="{B0949AA5-8737-4205-A3D7-8E53540F8584}"/>
    <cellStyle name="Normal 4 6 2 2 2 3 3" xfId="5598" xr:uid="{00000000-0005-0000-0000-00000D160000}"/>
    <cellStyle name="Normal 4 6 2 2 2 3 3 2" xfId="14040" xr:uid="{F6BE9B67-4AB5-4FF7-ABAB-73B9424273AA}"/>
    <cellStyle name="Normal 4 6 2 2 2 3 4" xfId="9822" xr:uid="{7A2AF72A-4176-4AC6-BFB5-9B3AE2F792D1}"/>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B1B18DBD-F531-429A-AA43-55F3AA7F1047}"/>
    <cellStyle name="Normal 4 6 2 2 2 4 2 3" xfId="12380" xr:uid="{8B3E61E5-7D6A-4F44-B1B3-B9FD16A1B207}"/>
    <cellStyle name="Normal 4 6 2 2 2 4 3" xfId="6011" xr:uid="{00000000-0005-0000-0000-000011160000}"/>
    <cellStyle name="Normal 4 6 2 2 2 4 3 2" xfId="14453" xr:uid="{2F847A24-7243-4989-A8B8-671A4DE98BCF}"/>
    <cellStyle name="Normal 4 6 2 2 2 4 4" xfId="10235" xr:uid="{55382D1A-8F88-4186-B0C3-BABA95063FD1}"/>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3BEA0F64-5C41-411F-ABAE-925E58878A1E}"/>
    <cellStyle name="Normal 4 6 2 2 2 5 2 3" xfId="12793" xr:uid="{9017E984-14F8-4CA5-822D-CA03CEF38DF4}"/>
    <cellStyle name="Normal 4 6 2 2 2 5 3" xfId="6424" xr:uid="{00000000-0005-0000-0000-000015160000}"/>
    <cellStyle name="Normal 4 6 2 2 2 5 3 2" xfId="14866" xr:uid="{F5DF46DC-3E65-48ED-9EFD-E1BA83368F8D}"/>
    <cellStyle name="Normal 4 6 2 2 2 5 4" xfId="10648" xr:uid="{CA37AA8C-A3E0-40D0-9BDA-D96336725FDC}"/>
    <cellStyle name="Normal 4 6 2 2 2 6" xfId="2553" xr:uid="{00000000-0005-0000-0000-000016160000}"/>
    <cellStyle name="Normal 4 6 2 2 2 6 2" xfId="6837" xr:uid="{00000000-0005-0000-0000-000017160000}"/>
    <cellStyle name="Normal 4 6 2 2 2 6 2 2" xfId="15279" xr:uid="{C7B168B0-27BF-4399-888F-53D1AFABFDA4}"/>
    <cellStyle name="Normal 4 6 2 2 2 6 3" xfId="11061" xr:uid="{64747BCE-04D4-4705-8881-F6B8B5AC1465}"/>
    <cellStyle name="Normal 4 6 2 2 2 7" xfId="4772" xr:uid="{00000000-0005-0000-0000-000018160000}"/>
    <cellStyle name="Normal 4 6 2 2 2 7 2" xfId="13214" xr:uid="{BD22BBD8-3465-4420-A2D0-520537F64312}"/>
    <cellStyle name="Normal 4 6 2 2 2 8" xfId="8996" xr:uid="{3DDED3C1-E35B-4CFB-AC4C-789C55414120}"/>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08C6038D-46F5-4EB5-8A7A-C04E770F0958}"/>
    <cellStyle name="Normal 4 6 2 2 3 2 3" xfId="11553" xr:uid="{E06D847E-2DB7-417F-983C-3EA659834BE1}"/>
    <cellStyle name="Normal 4 6 2 2 3 3" xfId="5184" xr:uid="{00000000-0005-0000-0000-00001C160000}"/>
    <cellStyle name="Normal 4 6 2 2 3 3 2" xfId="13626" xr:uid="{3A07CC0D-0FE2-4984-BCD5-FEC31A3758EF}"/>
    <cellStyle name="Normal 4 6 2 2 3 4" xfId="9408" xr:uid="{687256BD-33CE-454C-ADEB-5957D7A91E1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546423F2-C137-4807-9866-F56E60A197B4}"/>
    <cellStyle name="Normal 4 6 2 2 4 2 3" xfId="11966" xr:uid="{7C8D9611-2102-4E6C-8807-377E7E3E059D}"/>
    <cellStyle name="Normal 4 6 2 2 4 3" xfId="5597" xr:uid="{00000000-0005-0000-0000-000020160000}"/>
    <cellStyle name="Normal 4 6 2 2 4 3 2" xfId="14039" xr:uid="{3935E7C8-D1B8-4398-82ED-2BBC24FB8DA2}"/>
    <cellStyle name="Normal 4 6 2 2 4 4" xfId="9821" xr:uid="{424F21C9-FC82-49CB-94A4-C4F268906A65}"/>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E36DC5CF-D50F-4079-A395-8556066DD020}"/>
    <cellStyle name="Normal 4 6 2 2 5 2 3" xfId="12379" xr:uid="{A2386563-7D5F-466D-82A6-9DEC1B375303}"/>
    <cellStyle name="Normal 4 6 2 2 5 3" xfId="6010" xr:uid="{00000000-0005-0000-0000-000024160000}"/>
    <cellStyle name="Normal 4 6 2 2 5 3 2" xfId="14452" xr:uid="{20D1F8EC-041B-42A9-B4B2-0D8FBF4395FA}"/>
    <cellStyle name="Normal 4 6 2 2 5 4" xfId="10234" xr:uid="{333FBB94-2083-42F9-A6A5-DBAB39B7B8A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2A80D341-018A-4BDA-B2CC-9E5CF1BFB95C}"/>
    <cellStyle name="Normal 4 6 2 2 6 2 3" xfId="12792" xr:uid="{8903003F-B6E7-4988-9DC0-B0E38D038904}"/>
    <cellStyle name="Normal 4 6 2 2 6 3" xfId="6423" xr:uid="{00000000-0005-0000-0000-000028160000}"/>
    <cellStyle name="Normal 4 6 2 2 6 3 2" xfId="14865" xr:uid="{DE23691A-7975-4ECB-8C69-23FAE210AA33}"/>
    <cellStyle name="Normal 4 6 2 2 6 4" xfId="10647" xr:uid="{42C7AB56-5227-44F8-A6E0-DD683CD6E42E}"/>
    <cellStyle name="Normal 4 6 2 2 7" xfId="2552" xr:uid="{00000000-0005-0000-0000-000029160000}"/>
    <cellStyle name="Normal 4 6 2 2 7 2" xfId="6836" xr:uid="{00000000-0005-0000-0000-00002A160000}"/>
    <cellStyle name="Normal 4 6 2 2 7 2 2" xfId="15278" xr:uid="{54ECA9A6-7A80-4D1C-839E-AD1719CBB7B2}"/>
    <cellStyle name="Normal 4 6 2 2 7 3" xfId="11060" xr:uid="{A707E24E-8409-4296-985A-1E6F577D13E0}"/>
    <cellStyle name="Normal 4 6 2 2 8" xfId="4771" xr:uid="{00000000-0005-0000-0000-00002B160000}"/>
    <cellStyle name="Normal 4 6 2 2 8 2" xfId="13213" xr:uid="{D29ADFE9-59BE-4F9F-8F88-2259DF930029}"/>
    <cellStyle name="Normal 4 6 2 2 9" xfId="8995" xr:uid="{20C7B097-2DDE-487B-96E8-0BE2C0882E39}"/>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C75C4049-D570-4ADC-8C08-E117C596F8E2}"/>
    <cellStyle name="Normal 4 6 2 3 2 2 3" xfId="11555" xr:uid="{D8DEE25B-B214-453B-8E5A-EEBF7446940A}"/>
    <cellStyle name="Normal 4 6 2 3 2 3" xfId="5186" xr:uid="{00000000-0005-0000-0000-000030160000}"/>
    <cellStyle name="Normal 4 6 2 3 2 3 2" xfId="13628" xr:uid="{0592E649-FC05-487A-9F31-C5A521552C07}"/>
    <cellStyle name="Normal 4 6 2 3 2 4" xfId="9410" xr:uid="{09442E3C-1B95-495B-8ED4-F48457CEBA0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0F90D283-BEB5-4F9B-AE08-1CAF746276BD}"/>
    <cellStyle name="Normal 4 6 2 3 3 2 3" xfId="11968" xr:uid="{25F58AC0-409D-4EF8-A36E-1B253220FE3A}"/>
    <cellStyle name="Normal 4 6 2 3 3 3" xfId="5599" xr:uid="{00000000-0005-0000-0000-000034160000}"/>
    <cellStyle name="Normal 4 6 2 3 3 3 2" xfId="14041" xr:uid="{C55AA448-0417-4907-87E4-328D76BBE504}"/>
    <cellStyle name="Normal 4 6 2 3 3 4" xfId="9823" xr:uid="{19650CE8-1C2D-4374-8F8E-73D3F9E1765E}"/>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9977E964-910C-448A-8D36-78B2E33506CE}"/>
    <cellStyle name="Normal 4 6 2 3 4 2 3" xfId="12381" xr:uid="{14E5E4B3-96FF-41C6-8497-231E3E8B220D}"/>
    <cellStyle name="Normal 4 6 2 3 4 3" xfId="6012" xr:uid="{00000000-0005-0000-0000-000038160000}"/>
    <cellStyle name="Normal 4 6 2 3 4 3 2" xfId="14454" xr:uid="{1195E97D-8233-457D-84E7-E0AF9B8F28FE}"/>
    <cellStyle name="Normal 4 6 2 3 4 4" xfId="10236" xr:uid="{A91B0CCE-CBE7-466A-B1A2-C9551B4A4765}"/>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1DA61779-3C48-4D6D-8C01-FFFBEE29E920}"/>
    <cellStyle name="Normal 4 6 2 3 5 2 3" xfId="12794" xr:uid="{A387C715-7E16-414A-9F59-F56702188122}"/>
    <cellStyle name="Normal 4 6 2 3 5 3" xfId="6425" xr:uid="{00000000-0005-0000-0000-00003C160000}"/>
    <cellStyle name="Normal 4 6 2 3 5 3 2" xfId="14867" xr:uid="{2AC7AA2C-9C3C-4FF4-94BB-1E31F6BD6963}"/>
    <cellStyle name="Normal 4 6 2 3 5 4" xfId="10649" xr:uid="{530FE8F7-584F-42BB-9AC7-F616A4668D18}"/>
    <cellStyle name="Normal 4 6 2 3 6" xfId="2554" xr:uid="{00000000-0005-0000-0000-00003D160000}"/>
    <cellStyle name="Normal 4 6 2 3 6 2" xfId="6838" xr:uid="{00000000-0005-0000-0000-00003E160000}"/>
    <cellStyle name="Normal 4 6 2 3 6 2 2" xfId="15280" xr:uid="{D90FCF16-1903-4972-8A19-4DA75E413CAB}"/>
    <cellStyle name="Normal 4 6 2 3 6 3" xfId="11062" xr:uid="{8B9E98CA-711E-42A5-A0C7-8EE7B9FA8493}"/>
    <cellStyle name="Normal 4 6 2 3 7" xfId="4773" xr:uid="{00000000-0005-0000-0000-00003F160000}"/>
    <cellStyle name="Normal 4 6 2 3 7 2" xfId="13215" xr:uid="{FE4A00F0-8E3D-4E28-A1E2-B1D1C058FCB6}"/>
    <cellStyle name="Normal 4 6 2 3 8" xfId="8997" xr:uid="{B75713C3-C869-4C79-95D5-345BFE5CB2F0}"/>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E87BED17-3BF3-4B7F-A446-B5981724319A}"/>
    <cellStyle name="Normal 4 6 2 4 2 3" xfId="11552" xr:uid="{57EF124B-26C0-4BC2-A527-B533A4B20C8F}"/>
    <cellStyle name="Normal 4 6 2 4 3" xfId="5183" xr:uid="{00000000-0005-0000-0000-000043160000}"/>
    <cellStyle name="Normal 4 6 2 4 3 2" xfId="13625" xr:uid="{93633E15-4FD3-43F3-A74D-02942DC7ABB4}"/>
    <cellStyle name="Normal 4 6 2 4 4" xfId="9407" xr:uid="{236166E3-C7DA-42FA-9D3D-EFA6C6276D31}"/>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87F8AD85-00DB-4BA2-8174-66EF583696BD}"/>
    <cellStyle name="Normal 4 6 2 5 2 3" xfId="11965" xr:uid="{8F1A89CA-221C-4E3A-B127-4F71E7BA56B2}"/>
    <cellStyle name="Normal 4 6 2 5 3" xfId="5596" xr:uid="{00000000-0005-0000-0000-000047160000}"/>
    <cellStyle name="Normal 4 6 2 5 3 2" xfId="14038" xr:uid="{73B2E4BB-F62B-4770-9E9E-D4FA1C3330FC}"/>
    <cellStyle name="Normal 4 6 2 5 4" xfId="9820" xr:uid="{7C0BDBAA-FEE3-4713-BC91-045FE9D60E07}"/>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F4121FFE-476E-4A9C-8F32-8AD4D1E6CB86}"/>
    <cellStyle name="Normal 4 6 2 6 2 3" xfId="12378" xr:uid="{474AAFC7-2012-4DE5-B6E1-CD4C5B1F9BD2}"/>
    <cellStyle name="Normal 4 6 2 6 3" xfId="6009" xr:uid="{00000000-0005-0000-0000-00004B160000}"/>
    <cellStyle name="Normal 4 6 2 6 3 2" xfId="14451" xr:uid="{03B7E453-254A-4DF4-9F85-914FBF71BDDD}"/>
    <cellStyle name="Normal 4 6 2 6 4" xfId="10233" xr:uid="{1720AF17-A236-493B-B290-3CCC870206DE}"/>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51C53CB3-F7CA-4B0E-BB8A-46FE46179052}"/>
    <cellStyle name="Normal 4 6 2 7 2 3" xfId="12791" xr:uid="{ADDA34CA-F01A-4562-83E2-A7595B7BFD2A}"/>
    <cellStyle name="Normal 4 6 2 7 3" xfId="6422" xr:uid="{00000000-0005-0000-0000-00004F160000}"/>
    <cellStyle name="Normal 4 6 2 7 3 2" xfId="14864" xr:uid="{280BE356-F91D-43D7-A209-69A94407EF3B}"/>
    <cellStyle name="Normal 4 6 2 7 4" xfId="10646" xr:uid="{3F49FDC2-BF57-4A71-8734-18D275A64AAD}"/>
    <cellStyle name="Normal 4 6 2 8" xfId="2551" xr:uid="{00000000-0005-0000-0000-000050160000}"/>
    <cellStyle name="Normal 4 6 2 8 2" xfId="6835" xr:uid="{00000000-0005-0000-0000-000051160000}"/>
    <cellStyle name="Normal 4 6 2 8 2 2" xfId="15277" xr:uid="{ED4EB9C0-CA16-4B80-BB7F-0029FDC91EF2}"/>
    <cellStyle name="Normal 4 6 2 8 3" xfId="11059" xr:uid="{FC050C59-103C-478B-AD51-387A2CD6C0D8}"/>
    <cellStyle name="Normal 4 6 2 9" xfId="4770" xr:uid="{00000000-0005-0000-0000-000052160000}"/>
    <cellStyle name="Normal 4 6 2 9 2" xfId="13212" xr:uid="{8CCBC55D-FA21-40A4-A783-93A72B6F2D16}"/>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18B8B0BB-2A9D-48EB-B91F-48CE1548BDE2}"/>
    <cellStyle name="Normal 4 6 3 2 2 2 3" xfId="11557" xr:uid="{097FC4BA-121F-44C0-BC3E-66EA7926AA28}"/>
    <cellStyle name="Normal 4 6 3 2 2 3" xfId="5188" xr:uid="{00000000-0005-0000-0000-000058160000}"/>
    <cellStyle name="Normal 4 6 3 2 2 3 2" xfId="13630" xr:uid="{92374DE7-3F38-4F9C-ADF8-F6515F8EBF47}"/>
    <cellStyle name="Normal 4 6 3 2 2 4" xfId="9412" xr:uid="{67549EE6-CD63-4C96-A2F1-AC35E27A7C1D}"/>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50BE4D82-95C1-473F-A535-BEB45F221ADB}"/>
    <cellStyle name="Normal 4 6 3 2 3 2 3" xfId="11970" xr:uid="{099626DE-1B7F-4C2C-92B7-C76D146D39A0}"/>
    <cellStyle name="Normal 4 6 3 2 3 3" xfId="5601" xr:uid="{00000000-0005-0000-0000-00005C160000}"/>
    <cellStyle name="Normal 4 6 3 2 3 3 2" xfId="14043" xr:uid="{83CFB353-61AD-4FB5-86A4-8E6936B65780}"/>
    <cellStyle name="Normal 4 6 3 2 3 4" xfId="9825" xr:uid="{F8628277-CE6C-4905-AE7F-6EFB64FCBE2B}"/>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EE29CD12-7DE8-447A-99C9-4F741B1AB31B}"/>
    <cellStyle name="Normal 4 6 3 2 4 2 3" xfId="12383" xr:uid="{A9389579-A7E0-4D67-8D7C-63D20255928C}"/>
    <cellStyle name="Normal 4 6 3 2 4 3" xfId="6014" xr:uid="{00000000-0005-0000-0000-000060160000}"/>
    <cellStyle name="Normal 4 6 3 2 4 3 2" xfId="14456" xr:uid="{E0A2AFBF-2510-4940-B91A-D963703AA0F2}"/>
    <cellStyle name="Normal 4 6 3 2 4 4" xfId="10238" xr:uid="{55D6BA4E-F380-4B2F-A270-BB20EF8DA5A5}"/>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0E98E0AB-6FE8-49D1-BE29-9DDD98D78788}"/>
    <cellStyle name="Normal 4 6 3 2 5 2 3" xfId="12796" xr:uid="{ECD267F2-BB08-4739-8DBF-C49A2CECE4A1}"/>
    <cellStyle name="Normal 4 6 3 2 5 3" xfId="6427" xr:uid="{00000000-0005-0000-0000-000064160000}"/>
    <cellStyle name="Normal 4 6 3 2 5 3 2" xfId="14869" xr:uid="{B8C93BBB-EE85-44A6-99D3-34001EF22464}"/>
    <cellStyle name="Normal 4 6 3 2 5 4" xfId="10651" xr:uid="{C6E1D4B7-4B9D-421A-9E5C-AADE7F6C1129}"/>
    <cellStyle name="Normal 4 6 3 2 6" xfId="2556" xr:uid="{00000000-0005-0000-0000-000065160000}"/>
    <cellStyle name="Normal 4 6 3 2 6 2" xfId="6840" xr:uid="{00000000-0005-0000-0000-000066160000}"/>
    <cellStyle name="Normal 4 6 3 2 6 2 2" xfId="15282" xr:uid="{8469EE59-C51C-4434-9752-C9B2DB84C8DC}"/>
    <cellStyle name="Normal 4 6 3 2 6 3" xfId="11064" xr:uid="{D4968993-344F-4B1C-B267-787D2673CB83}"/>
    <cellStyle name="Normal 4 6 3 2 7" xfId="4775" xr:uid="{00000000-0005-0000-0000-000067160000}"/>
    <cellStyle name="Normal 4 6 3 2 7 2" xfId="13217" xr:uid="{E866564F-C530-430F-B824-809FEA0F35D3}"/>
    <cellStyle name="Normal 4 6 3 2 8" xfId="8999" xr:uid="{972A79C7-0725-40A5-816D-A98C29D9E55F}"/>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080FD14D-757A-4A41-9DC0-67C74379BA59}"/>
    <cellStyle name="Normal 4 6 3 3 2 3" xfId="11556" xr:uid="{8623A6BA-028F-4EB8-9B79-5500B7366F32}"/>
    <cellStyle name="Normal 4 6 3 3 3" xfId="5187" xr:uid="{00000000-0005-0000-0000-00006B160000}"/>
    <cellStyle name="Normal 4 6 3 3 3 2" xfId="13629" xr:uid="{DF8C75EB-B8F6-4D61-8372-6B4A64A9418A}"/>
    <cellStyle name="Normal 4 6 3 3 4" xfId="9411" xr:uid="{3D50770B-207C-43AA-A2C5-7470B0689542}"/>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4FB89495-3208-438B-ACDD-16846897E025}"/>
    <cellStyle name="Normal 4 6 3 4 2 3" xfId="11969" xr:uid="{FE8168F9-0E68-4E03-9914-006AD69AF701}"/>
    <cellStyle name="Normal 4 6 3 4 3" xfId="5600" xr:uid="{00000000-0005-0000-0000-00006F160000}"/>
    <cellStyle name="Normal 4 6 3 4 3 2" xfId="14042" xr:uid="{79F3C877-4602-4271-8871-A87CA9D50797}"/>
    <cellStyle name="Normal 4 6 3 4 4" xfId="9824" xr:uid="{42981A6B-2F3A-43B8-8B8F-C7410795D4C9}"/>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10466CAF-BF7A-46FE-B375-E8C8B2FC3B52}"/>
    <cellStyle name="Normal 4 6 3 5 2 3" xfId="12382" xr:uid="{8ED908FC-D003-402D-B458-54867618F881}"/>
    <cellStyle name="Normal 4 6 3 5 3" xfId="6013" xr:uid="{00000000-0005-0000-0000-000073160000}"/>
    <cellStyle name="Normal 4 6 3 5 3 2" xfId="14455" xr:uid="{A5B2C8C6-7B86-40A3-A718-78C03D7B664D}"/>
    <cellStyle name="Normal 4 6 3 5 4" xfId="10237" xr:uid="{3C70FFBE-DD3E-4A69-A4CF-5BA2E708C4DB}"/>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7FB89755-D32B-4685-8395-D6DCE155D0BC}"/>
    <cellStyle name="Normal 4 6 3 6 2 3" xfId="12795" xr:uid="{646D7632-233E-4A91-8E91-1F411832E604}"/>
    <cellStyle name="Normal 4 6 3 6 3" xfId="6426" xr:uid="{00000000-0005-0000-0000-000077160000}"/>
    <cellStyle name="Normal 4 6 3 6 3 2" xfId="14868" xr:uid="{C9295A40-0F81-4863-BE06-F21E5F541363}"/>
    <cellStyle name="Normal 4 6 3 6 4" xfId="10650" xr:uid="{6834A81F-83DB-414F-B971-366DFBF51DB8}"/>
    <cellStyle name="Normal 4 6 3 7" xfId="2555" xr:uid="{00000000-0005-0000-0000-000078160000}"/>
    <cellStyle name="Normal 4 6 3 7 2" xfId="6839" xr:uid="{00000000-0005-0000-0000-000079160000}"/>
    <cellStyle name="Normal 4 6 3 7 2 2" xfId="15281" xr:uid="{2CA8DCB0-8B3E-41E8-ABAA-E432E01DEB95}"/>
    <cellStyle name="Normal 4 6 3 7 3" xfId="11063" xr:uid="{1D7D1D59-06FE-4EBB-B1F9-D3191E1BC88F}"/>
    <cellStyle name="Normal 4 6 3 8" xfId="4774" xr:uid="{00000000-0005-0000-0000-00007A160000}"/>
    <cellStyle name="Normal 4 6 3 8 2" xfId="13216" xr:uid="{CFD1714F-6027-496F-9895-921021CDF49B}"/>
    <cellStyle name="Normal 4 6 3 9" xfId="8998" xr:uid="{872786A6-F9EE-45BC-9638-55A5B5F4A289}"/>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CD7D1D02-045F-4260-AD0E-19A8A57C9332}"/>
    <cellStyle name="Normal 4 6 4 2 2 3" xfId="11558" xr:uid="{644C95B7-5AB2-4AAD-80B4-D65EC854F6FB}"/>
    <cellStyle name="Normal 4 6 4 2 3" xfId="5189" xr:uid="{00000000-0005-0000-0000-00007F160000}"/>
    <cellStyle name="Normal 4 6 4 2 3 2" xfId="13631" xr:uid="{58E56F57-43B7-402D-A0E4-E18EA5B77C80}"/>
    <cellStyle name="Normal 4 6 4 2 4" xfId="9413" xr:uid="{6DD7C9B1-BF10-4A07-AC08-D38149CA7D9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BA45515D-9D98-4183-9E33-9DEA92E2C7B9}"/>
    <cellStyle name="Normal 4 6 4 3 2 3" xfId="11971" xr:uid="{BE8F4672-FC4D-4B64-9FCE-86FECB5B1876}"/>
    <cellStyle name="Normal 4 6 4 3 3" xfId="5602" xr:uid="{00000000-0005-0000-0000-000083160000}"/>
    <cellStyle name="Normal 4 6 4 3 3 2" xfId="14044" xr:uid="{D925C1B9-0B91-451E-9A28-E85C71577146}"/>
    <cellStyle name="Normal 4 6 4 3 4" xfId="9826" xr:uid="{0579B53E-8B6A-48AA-BF6E-93360DE83502}"/>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58642C7C-15EA-46B4-81D1-262F247587B6}"/>
    <cellStyle name="Normal 4 6 4 4 2 3" xfId="12384" xr:uid="{301D5B47-7CDB-4214-97CA-F667388CE179}"/>
    <cellStyle name="Normal 4 6 4 4 3" xfId="6015" xr:uid="{00000000-0005-0000-0000-000087160000}"/>
    <cellStyle name="Normal 4 6 4 4 3 2" xfId="14457" xr:uid="{502A85AE-C0E0-4103-AA6A-DDEAAFD2D6A9}"/>
    <cellStyle name="Normal 4 6 4 4 4" xfId="10239" xr:uid="{7AB733DA-7C77-46B3-87AB-3AEBB1198907}"/>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E2022E26-291D-4D07-898C-D7252FBDAAE6}"/>
    <cellStyle name="Normal 4 6 4 5 2 3" xfId="12797" xr:uid="{145BE4C2-06F2-4A52-95C4-22CF41C1BC72}"/>
    <cellStyle name="Normal 4 6 4 5 3" xfId="6428" xr:uid="{00000000-0005-0000-0000-00008B160000}"/>
    <cellStyle name="Normal 4 6 4 5 3 2" xfId="14870" xr:uid="{1A82D3EF-DF3F-4441-A4CC-4ADECFCA6D82}"/>
    <cellStyle name="Normal 4 6 4 5 4" xfId="10652" xr:uid="{48C9A126-7397-4D89-B4A4-7BC20914AA65}"/>
    <cellStyle name="Normal 4 6 4 6" xfId="2557" xr:uid="{00000000-0005-0000-0000-00008C160000}"/>
    <cellStyle name="Normal 4 6 4 6 2" xfId="6841" xr:uid="{00000000-0005-0000-0000-00008D160000}"/>
    <cellStyle name="Normal 4 6 4 6 2 2" xfId="15283" xr:uid="{C1F5C79C-B17E-4492-8FD3-6BBD7AB9BCA9}"/>
    <cellStyle name="Normal 4 6 4 6 3" xfId="11065" xr:uid="{8D1C2EB5-B036-4255-9D29-9220923E0E20}"/>
    <cellStyle name="Normal 4 6 4 7" xfId="4776" xr:uid="{00000000-0005-0000-0000-00008E160000}"/>
    <cellStyle name="Normal 4 6 4 7 2" xfId="13218" xr:uid="{3AB1A392-1097-484A-97EE-411AA064832C}"/>
    <cellStyle name="Normal 4 6 4 8" xfId="9000" xr:uid="{F8FE9FC2-D247-4961-A236-769BD074E43D}"/>
    <cellStyle name="Normal 4 6 5" xfId="869" xr:uid="{00000000-0005-0000-0000-00008F160000}"/>
    <cellStyle name="Normal 4 6 5 2" xfId="3104" xr:uid="{00000000-0005-0000-0000-000090160000}"/>
    <cellStyle name="Normal 4 6 5 2 2" xfId="7327" xr:uid="{00000000-0005-0000-0000-000091160000}"/>
    <cellStyle name="Normal 4 6 5 2 2 2" xfId="15769" xr:uid="{C1750CE4-7BEB-476A-BB40-4F6A3BE1BBB2}"/>
    <cellStyle name="Normal 4 6 5 2 3" xfId="11551" xr:uid="{F2CF1269-0F09-4457-8C87-CA88CEF1ED78}"/>
    <cellStyle name="Normal 4 6 5 3" xfId="5182" xr:uid="{00000000-0005-0000-0000-000092160000}"/>
    <cellStyle name="Normal 4 6 5 3 2" xfId="13624" xr:uid="{692DB338-B31A-4074-A14A-89726B9F791A}"/>
    <cellStyle name="Normal 4 6 5 4" xfId="9406" xr:uid="{E247DD04-7BC7-40BA-A49A-6CB7CC201AA6}"/>
    <cellStyle name="Normal 4 6 6" xfId="1287" xr:uid="{00000000-0005-0000-0000-000093160000}"/>
    <cellStyle name="Normal 4 6 6 2" xfId="3517" xr:uid="{00000000-0005-0000-0000-000094160000}"/>
    <cellStyle name="Normal 4 6 6 2 2" xfId="7740" xr:uid="{00000000-0005-0000-0000-000095160000}"/>
    <cellStyle name="Normal 4 6 6 2 2 2" xfId="16182" xr:uid="{45481060-302C-4DE8-87A7-93C191953024}"/>
    <cellStyle name="Normal 4 6 6 2 3" xfId="11964" xr:uid="{33B63208-7360-4633-BC9F-455F37FA86E2}"/>
    <cellStyle name="Normal 4 6 6 3" xfId="5595" xr:uid="{00000000-0005-0000-0000-000096160000}"/>
    <cellStyle name="Normal 4 6 6 3 2" xfId="14037" xr:uid="{36505D1B-28A7-482B-B9FB-A2719B86B882}"/>
    <cellStyle name="Normal 4 6 6 4" xfId="9819" xr:uid="{B4CF1B77-AEA7-4D06-999D-A21CD1F54D0F}"/>
    <cellStyle name="Normal 4 6 7" xfId="1700" xr:uid="{00000000-0005-0000-0000-000097160000}"/>
    <cellStyle name="Normal 4 6 7 2" xfId="3930" xr:uid="{00000000-0005-0000-0000-000098160000}"/>
    <cellStyle name="Normal 4 6 7 2 2" xfId="8153" xr:uid="{00000000-0005-0000-0000-000099160000}"/>
    <cellStyle name="Normal 4 6 7 2 2 2" xfId="16595" xr:uid="{487C233D-2AC3-4BA4-8FB8-0AF8A64F8480}"/>
    <cellStyle name="Normal 4 6 7 2 3" xfId="12377" xr:uid="{FA60806D-31EC-4C4E-BCC9-A5A746596B99}"/>
    <cellStyle name="Normal 4 6 7 3" xfId="6008" xr:uid="{00000000-0005-0000-0000-00009A160000}"/>
    <cellStyle name="Normal 4 6 7 3 2" xfId="14450" xr:uid="{9442074D-DA03-4472-89F8-2C32A8216787}"/>
    <cellStyle name="Normal 4 6 7 4" xfId="10232" xr:uid="{92F0B76A-1395-4951-9413-34C340965E81}"/>
    <cellStyle name="Normal 4 6 8" xfId="2114" xr:uid="{00000000-0005-0000-0000-00009B160000}"/>
    <cellStyle name="Normal 4 6 8 2" xfId="4343" xr:uid="{00000000-0005-0000-0000-00009C160000}"/>
    <cellStyle name="Normal 4 6 8 2 2" xfId="8566" xr:uid="{00000000-0005-0000-0000-00009D160000}"/>
    <cellStyle name="Normal 4 6 8 2 2 2" xfId="17008" xr:uid="{3B4F9FEF-6550-4E9D-806F-60F8C31D9C75}"/>
    <cellStyle name="Normal 4 6 8 2 3" xfId="12790" xr:uid="{B2D95EDF-AF3A-43D5-968B-9FB52BB19B34}"/>
    <cellStyle name="Normal 4 6 8 3" xfId="6421" xr:uid="{00000000-0005-0000-0000-00009E160000}"/>
    <cellStyle name="Normal 4 6 8 3 2" xfId="14863" xr:uid="{668ABD8F-C053-4C3C-9ACA-19B4BC14AE30}"/>
    <cellStyle name="Normal 4 6 8 4" xfId="10645" xr:uid="{D262638B-7038-429A-A8F6-E8E01B9B3E91}"/>
    <cellStyle name="Normal 4 6 9" xfId="2550" xr:uid="{00000000-0005-0000-0000-00009F160000}"/>
    <cellStyle name="Normal 4 6 9 2" xfId="6834" xr:uid="{00000000-0005-0000-0000-0000A0160000}"/>
    <cellStyle name="Normal 4 6 9 2 2" xfId="15276" xr:uid="{BEC71163-3EA9-4A7D-8562-B5613A54DE74}"/>
    <cellStyle name="Normal 4 6 9 3" xfId="11058" xr:uid="{52828C9F-0AB0-4FCD-A407-CA6FE0DFE80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E4373BA5-A235-4768-A170-E530EC46DCEE}"/>
    <cellStyle name="Normal 4 7 2 2 2 3" xfId="11560" xr:uid="{7062DF21-8451-4364-BB34-B373607BAFE6}"/>
    <cellStyle name="Normal 4 7 2 2 3" xfId="5191" xr:uid="{00000000-0005-0000-0000-0000A6160000}"/>
    <cellStyle name="Normal 4 7 2 2 3 2" xfId="13633" xr:uid="{8EEB7D22-F259-461B-B891-D244E19D836C}"/>
    <cellStyle name="Normal 4 7 2 2 4" xfId="9415" xr:uid="{D221F5F7-FCEA-4E8C-904C-62EC58440AD8}"/>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C9C1A792-B7DE-4D2F-B567-4D3966C7EFDA}"/>
    <cellStyle name="Normal 4 7 2 3 2 3" xfId="11973" xr:uid="{4CC687A7-D243-4B02-B0C5-D289208AF1E0}"/>
    <cellStyle name="Normal 4 7 2 3 3" xfId="5604" xr:uid="{00000000-0005-0000-0000-0000AA160000}"/>
    <cellStyle name="Normal 4 7 2 3 3 2" xfId="14046" xr:uid="{9CED3E69-43BB-44B9-B057-F1C55E68C977}"/>
    <cellStyle name="Normal 4 7 2 3 4" xfId="9828" xr:uid="{A8BF1C28-074C-4044-BAA1-7A13F8EB3CA6}"/>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EB85F2AE-96F0-4F18-897A-A1584BE75B81}"/>
    <cellStyle name="Normal 4 7 2 4 2 3" xfId="12386" xr:uid="{1740DA72-454B-4BC8-B968-945A6D734DCD}"/>
    <cellStyle name="Normal 4 7 2 4 3" xfId="6017" xr:uid="{00000000-0005-0000-0000-0000AE160000}"/>
    <cellStyle name="Normal 4 7 2 4 3 2" xfId="14459" xr:uid="{5571D3DB-176A-4CE3-9A2D-E947C52F2033}"/>
    <cellStyle name="Normal 4 7 2 4 4" xfId="10241" xr:uid="{2B9D3C14-01BB-49B3-BCE8-7AFA69A5E207}"/>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7D022A52-1E47-4270-AF57-79044F7706E6}"/>
    <cellStyle name="Normal 4 7 2 5 2 3" xfId="12799" xr:uid="{8E263C1D-9B95-4193-A75D-0B1C869E1F3A}"/>
    <cellStyle name="Normal 4 7 2 5 3" xfId="6430" xr:uid="{00000000-0005-0000-0000-0000B2160000}"/>
    <cellStyle name="Normal 4 7 2 5 3 2" xfId="14872" xr:uid="{21465DE6-88AF-4169-BFF9-806C8A5ABB6E}"/>
    <cellStyle name="Normal 4 7 2 5 4" xfId="10654" xr:uid="{6EB51FC3-78D3-4010-B512-B85B6CEFD283}"/>
    <cellStyle name="Normal 4 7 2 6" xfId="2559" xr:uid="{00000000-0005-0000-0000-0000B3160000}"/>
    <cellStyle name="Normal 4 7 2 6 2" xfId="6843" xr:uid="{00000000-0005-0000-0000-0000B4160000}"/>
    <cellStyle name="Normal 4 7 2 6 2 2" xfId="15285" xr:uid="{D81A7C97-80FC-4597-8EF0-AEDA8596DFA6}"/>
    <cellStyle name="Normal 4 7 2 6 3" xfId="11067" xr:uid="{F4CBF66A-8651-47C6-97D3-CBC950FA05E7}"/>
    <cellStyle name="Normal 4 7 2 7" xfId="4778" xr:uid="{00000000-0005-0000-0000-0000B5160000}"/>
    <cellStyle name="Normal 4 7 2 7 2" xfId="13220" xr:uid="{56525F93-F60E-4914-A826-6CF426A84742}"/>
    <cellStyle name="Normal 4 7 2 8" xfId="9002" xr:uid="{3587A635-B985-4260-BCB8-988541390DCA}"/>
    <cellStyle name="Normal 4 7 3" xfId="877" xr:uid="{00000000-0005-0000-0000-0000B6160000}"/>
    <cellStyle name="Normal 4 7 3 2" xfId="3112" xr:uid="{00000000-0005-0000-0000-0000B7160000}"/>
    <cellStyle name="Normal 4 7 3 2 2" xfId="7335" xr:uid="{00000000-0005-0000-0000-0000B8160000}"/>
    <cellStyle name="Normal 4 7 3 2 2 2" xfId="15777" xr:uid="{7E4B596B-E5B3-4910-9CBD-9BDAE427D11D}"/>
    <cellStyle name="Normal 4 7 3 2 3" xfId="11559" xr:uid="{8FE94EFB-583C-4BAB-B8F0-B9B05BDEA1EA}"/>
    <cellStyle name="Normal 4 7 3 3" xfId="5190" xr:uid="{00000000-0005-0000-0000-0000B9160000}"/>
    <cellStyle name="Normal 4 7 3 3 2" xfId="13632" xr:uid="{B36EC53E-E404-43D1-929E-CB6532F613E0}"/>
    <cellStyle name="Normal 4 7 3 4" xfId="9414" xr:uid="{0541DBA9-9478-4013-B857-EE2707168B25}"/>
    <cellStyle name="Normal 4 7 4" xfId="1295" xr:uid="{00000000-0005-0000-0000-0000BA160000}"/>
    <cellStyle name="Normal 4 7 4 2" xfId="3525" xr:uid="{00000000-0005-0000-0000-0000BB160000}"/>
    <cellStyle name="Normal 4 7 4 2 2" xfId="7748" xr:uid="{00000000-0005-0000-0000-0000BC160000}"/>
    <cellStyle name="Normal 4 7 4 2 2 2" xfId="16190" xr:uid="{F64CC4CD-98F0-40A3-91A8-97D428689F2B}"/>
    <cellStyle name="Normal 4 7 4 2 3" xfId="11972" xr:uid="{AAC2C8FA-17B5-4D8E-9305-3DC04A0B5A25}"/>
    <cellStyle name="Normal 4 7 4 3" xfId="5603" xr:uid="{00000000-0005-0000-0000-0000BD160000}"/>
    <cellStyle name="Normal 4 7 4 3 2" xfId="14045" xr:uid="{8B9ED679-C6CD-4E42-9DBB-49A33D50CD17}"/>
    <cellStyle name="Normal 4 7 4 4" xfId="9827" xr:uid="{F915060C-1864-4A06-84ED-A65008C087AC}"/>
    <cellStyle name="Normal 4 7 5" xfId="1708" xr:uid="{00000000-0005-0000-0000-0000BE160000}"/>
    <cellStyle name="Normal 4 7 5 2" xfId="3938" xr:uid="{00000000-0005-0000-0000-0000BF160000}"/>
    <cellStyle name="Normal 4 7 5 2 2" xfId="8161" xr:uid="{00000000-0005-0000-0000-0000C0160000}"/>
    <cellStyle name="Normal 4 7 5 2 2 2" xfId="16603" xr:uid="{1555AEB1-AC2B-44E8-B6F4-B02E2AE70B6C}"/>
    <cellStyle name="Normal 4 7 5 2 3" xfId="12385" xr:uid="{BAF8D8ED-2713-4610-B6B3-4D1F4649C0B0}"/>
    <cellStyle name="Normal 4 7 5 3" xfId="6016" xr:uid="{00000000-0005-0000-0000-0000C1160000}"/>
    <cellStyle name="Normal 4 7 5 3 2" xfId="14458" xr:uid="{A4802926-E611-4CE8-8671-BB2081FC69DE}"/>
    <cellStyle name="Normal 4 7 5 4" xfId="10240" xr:uid="{501A6639-88BF-4DBD-885A-42D38BE1B059}"/>
    <cellStyle name="Normal 4 7 6" xfId="2122" xr:uid="{00000000-0005-0000-0000-0000C2160000}"/>
    <cellStyle name="Normal 4 7 6 2" xfId="4351" xr:uid="{00000000-0005-0000-0000-0000C3160000}"/>
    <cellStyle name="Normal 4 7 6 2 2" xfId="8574" xr:uid="{00000000-0005-0000-0000-0000C4160000}"/>
    <cellStyle name="Normal 4 7 6 2 2 2" xfId="17016" xr:uid="{59ACACB3-D010-4159-84EB-28A814069042}"/>
    <cellStyle name="Normal 4 7 6 2 3" xfId="12798" xr:uid="{AE03F121-DAE5-4178-A516-0BB7B7821C45}"/>
    <cellStyle name="Normal 4 7 6 3" xfId="6429" xr:uid="{00000000-0005-0000-0000-0000C5160000}"/>
    <cellStyle name="Normal 4 7 6 3 2" xfId="14871" xr:uid="{22FBEEBE-4452-45E5-9CED-5932CC97986E}"/>
    <cellStyle name="Normal 4 7 6 4" xfId="10653" xr:uid="{AC8B001E-F252-487E-8220-9658A46721DB}"/>
    <cellStyle name="Normal 4 7 7" xfId="2558" xr:uid="{00000000-0005-0000-0000-0000C6160000}"/>
    <cellStyle name="Normal 4 7 7 2" xfId="6842" xr:uid="{00000000-0005-0000-0000-0000C7160000}"/>
    <cellStyle name="Normal 4 7 7 2 2" xfId="15284" xr:uid="{4D4D3069-83F6-4873-8440-B8D43EB3B4FF}"/>
    <cellStyle name="Normal 4 7 7 3" xfId="11066" xr:uid="{2E85E6C6-720D-48AB-9995-CAA3DA03F647}"/>
    <cellStyle name="Normal 4 7 8" xfId="4777" xr:uid="{00000000-0005-0000-0000-0000C8160000}"/>
    <cellStyle name="Normal 4 7 8 2" xfId="13219" xr:uid="{EACED8DE-14A9-4CAB-89B1-0DF6596D0AD1}"/>
    <cellStyle name="Normal 4 7 9" xfId="9001" xr:uid="{897FDC0A-F37A-436C-B45A-4730B442E32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A237365C-5D17-48AD-B660-79EF2B3EABC5}"/>
    <cellStyle name="Normal 4 8 2 2 3" xfId="11561" xr:uid="{78866C87-4E4A-4885-B161-F99B50D4A90F}"/>
    <cellStyle name="Normal 4 8 2 3" xfId="5192" xr:uid="{00000000-0005-0000-0000-0000CD160000}"/>
    <cellStyle name="Normal 4 8 2 3 2" xfId="13634" xr:uid="{C97D77AB-D83D-4668-9AEE-3B680B0AE654}"/>
    <cellStyle name="Normal 4 8 2 4" xfId="9416" xr:uid="{37210BE3-63E3-4BBE-946C-C99C8B7DD87A}"/>
    <cellStyle name="Normal 4 8 3" xfId="1297" xr:uid="{00000000-0005-0000-0000-0000CE160000}"/>
    <cellStyle name="Normal 4 8 3 2" xfId="3527" xr:uid="{00000000-0005-0000-0000-0000CF160000}"/>
    <cellStyle name="Normal 4 8 3 2 2" xfId="7750" xr:uid="{00000000-0005-0000-0000-0000D0160000}"/>
    <cellStyle name="Normal 4 8 3 2 2 2" xfId="16192" xr:uid="{4DA28771-77E4-4937-9600-5416DE7C1B49}"/>
    <cellStyle name="Normal 4 8 3 2 3" xfId="11974" xr:uid="{51C7125C-37BC-4AB3-A273-CC031DEA80D7}"/>
    <cellStyle name="Normal 4 8 3 3" xfId="5605" xr:uid="{00000000-0005-0000-0000-0000D1160000}"/>
    <cellStyle name="Normal 4 8 3 3 2" xfId="14047" xr:uid="{52CE4087-7CDC-4939-AD58-163A35156CE3}"/>
    <cellStyle name="Normal 4 8 3 4" xfId="9829" xr:uid="{003AE31C-4022-42A5-8BE8-8C51C59B2A6A}"/>
    <cellStyle name="Normal 4 8 4" xfId="1710" xr:uid="{00000000-0005-0000-0000-0000D2160000}"/>
    <cellStyle name="Normal 4 8 4 2" xfId="3940" xr:uid="{00000000-0005-0000-0000-0000D3160000}"/>
    <cellStyle name="Normal 4 8 4 2 2" xfId="8163" xr:uid="{00000000-0005-0000-0000-0000D4160000}"/>
    <cellStyle name="Normal 4 8 4 2 2 2" xfId="16605" xr:uid="{5A243906-D93D-4577-91D5-5466B02CA912}"/>
    <cellStyle name="Normal 4 8 4 2 3" xfId="12387" xr:uid="{EECF924E-41A9-44A0-BBDC-E041BCA0C8A7}"/>
    <cellStyle name="Normal 4 8 4 3" xfId="6018" xr:uid="{00000000-0005-0000-0000-0000D5160000}"/>
    <cellStyle name="Normal 4 8 4 3 2" xfId="14460" xr:uid="{69E0EE84-53AA-4257-A931-6E3CD5BBD858}"/>
    <cellStyle name="Normal 4 8 4 4" xfId="10242" xr:uid="{715E6A0C-4142-4505-9DF4-2C7403CFCD70}"/>
    <cellStyle name="Normal 4 8 5" xfId="2124" xr:uid="{00000000-0005-0000-0000-0000D6160000}"/>
    <cellStyle name="Normal 4 8 5 2" xfId="4353" xr:uid="{00000000-0005-0000-0000-0000D7160000}"/>
    <cellStyle name="Normal 4 8 5 2 2" xfId="8576" xr:uid="{00000000-0005-0000-0000-0000D8160000}"/>
    <cellStyle name="Normal 4 8 5 2 2 2" xfId="17018" xr:uid="{792A956A-95BD-4710-A609-267639ED7382}"/>
    <cellStyle name="Normal 4 8 5 2 3" xfId="12800" xr:uid="{E6CB1330-AAF3-4B42-977B-916222363BB6}"/>
    <cellStyle name="Normal 4 8 5 3" xfId="6431" xr:uid="{00000000-0005-0000-0000-0000D9160000}"/>
    <cellStyle name="Normal 4 8 5 3 2" xfId="14873" xr:uid="{F084D9EB-7FDC-4A1F-8F88-9FE1CD74174E}"/>
    <cellStyle name="Normal 4 8 5 4" xfId="10655" xr:uid="{8D0F94B0-37AF-4523-A572-658AB2BAE442}"/>
    <cellStyle name="Normal 4 8 6" xfId="2560" xr:uid="{00000000-0005-0000-0000-0000DA160000}"/>
    <cellStyle name="Normal 4 8 6 2" xfId="6844" xr:uid="{00000000-0005-0000-0000-0000DB160000}"/>
    <cellStyle name="Normal 4 8 6 2 2" xfId="15286" xr:uid="{1D1A18A7-8CA5-4F2A-BD8A-43ADD105BE61}"/>
    <cellStyle name="Normal 4 8 6 3" xfId="11068" xr:uid="{97BAFE91-72F7-4D41-9844-4F4CE33E84A4}"/>
    <cellStyle name="Normal 4 8 7" xfId="4779" xr:uid="{00000000-0005-0000-0000-0000DC160000}"/>
    <cellStyle name="Normal 4 8 7 2" xfId="13221" xr:uid="{FD910CA3-2E58-4520-BC2B-1D97F6DEF48B}"/>
    <cellStyle name="Normal 4 8 8" xfId="9003" xr:uid="{65DA25F6-616B-44AA-8038-ECE6C2632CFF}"/>
    <cellStyle name="Normal 4 9" xfId="4716" xr:uid="{00000000-0005-0000-0000-0000DD160000}"/>
    <cellStyle name="Normal 4 9 2" xfId="13158" xr:uid="{63EB9253-F3C4-4DF9-AB5E-7F01059450E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01D84676-F67B-4EEA-93AA-7F2F9431073D}"/>
    <cellStyle name="Normal 5 10 2 3" xfId="12388" xr:uid="{4DF33C65-DDEC-4E24-A402-4D200BF4AA55}"/>
    <cellStyle name="Normal 5 10 3" xfId="6019" xr:uid="{00000000-0005-0000-0000-0000E2160000}"/>
    <cellStyle name="Normal 5 10 3 2" xfId="14461" xr:uid="{C6DFD267-7DDD-4375-811A-E20AEB0D6ABC}"/>
    <cellStyle name="Normal 5 10 4" xfId="10243" xr:uid="{3FBFCAC4-B59A-4CA7-9702-B13DF8401778}"/>
    <cellStyle name="Normal 5 11" xfId="2125" xr:uid="{00000000-0005-0000-0000-0000E3160000}"/>
    <cellStyle name="Normal 5 11 2" xfId="4354" xr:uid="{00000000-0005-0000-0000-0000E4160000}"/>
    <cellStyle name="Normal 5 11 2 2" xfId="8577" xr:uid="{00000000-0005-0000-0000-0000E5160000}"/>
    <cellStyle name="Normal 5 11 2 2 2" xfId="17019" xr:uid="{DE088B84-CC4D-4EC0-8E18-BB6FCED3C7E6}"/>
    <cellStyle name="Normal 5 11 2 3" xfId="12801" xr:uid="{94A66AD6-8DBA-4647-AA1A-D328C25C0496}"/>
    <cellStyle name="Normal 5 11 3" xfId="6432" xr:uid="{00000000-0005-0000-0000-0000E6160000}"/>
    <cellStyle name="Normal 5 11 3 2" xfId="14874" xr:uid="{4DB8542E-37AD-4BBC-BB93-FD477461016A}"/>
    <cellStyle name="Normal 5 11 4" xfId="10656" xr:uid="{B67873EF-0D03-41C9-B106-D2CDD02B2C6D}"/>
    <cellStyle name="Normal 5 12" xfId="2561" xr:uid="{00000000-0005-0000-0000-0000E7160000}"/>
    <cellStyle name="Normal 5 12 2" xfId="6845" xr:uid="{00000000-0005-0000-0000-0000E8160000}"/>
    <cellStyle name="Normal 5 12 2 2" xfId="15287" xr:uid="{82DA4DD8-C2A7-4A36-B498-4A4296805B14}"/>
    <cellStyle name="Normal 5 12 3" xfId="11069" xr:uid="{98DC1FE1-94BC-49E2-A9BC-0CE90DB47289}"/>
    <cellStyle name="Normal 5 13" xfId="4780" xr:uid="{00000000-0005-0000-0000-0000E9160000}"/>
    <cellStyle name="Normal 5 13 2" xfId="13222" xr:uid="{BE15447F-2F1A-41DB-94F5-B200CFAB7E1D}"/>
    <cellStyle name="Normal 5 14" xfId="9004" xr:uid="{D1B5D6B2-FAC9-4BC8-88E6-32960B659C6F}"/>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2F71FD0A-2212-4449-8595-CF0DCA3107E3}"/>
    <cellStyle name="Normal 5 2 10 2 3" xfId="12802" xr:uid="{17383082-F735-46E8-8C80-E9159AE6845E}"/>
    <cellStyle name="Normal 5 2 10 3" xfId="6433" xr:uid="{00000000-0005-0000-0000-0000EE160000}"/>
    <cellStyle name="Normal 5 2 10 3 2" xfId="14875" xr:uid="{630B2F04-E671-4199-999D-F3C6BC054946}"/>
    <cellStyle name="Normal 5 2 10 4" xfId="10657" xr:uid="{F4EBDF56-B23B-4AED-98CF-B80087243EC5}"/>
    <cellStyle name="Normal 5 2 11" xfId="2562" xr:uid="{00000000-0005-0000-0000-0000EF160000}"/>
    <cellStyle name="Normal 5 2 11 2" xfId="6846" xr:uid="{00000000-0005-0000-0000-0000F0160000}"/>
    <cellStyle name="Normal 5 2 11 2 2" xfId="15288" xr:uid="{7A0D9D28-C247-4B67-A690-6F74ADE191F2}"/>
    <cellStyle name="Normal 5 2 11 3" xfId="11070" xr:uid="{B58979EB-2156-4486-A0D5-BDF4F7F4AFC7}"/>
    <cellStyle name="Normal 5 2 12" xfId="4781" xr:uid="{00000000-0005-0000-0000-0000F1160000}"/>
    <cellStyle name="Normal 5 2 12 2" xfId="13223" xr:uid="{F2143844-3286-4DB5-8684-C2EF6C133C73}"/>
    <cellStyle name="Normal 5 2 13" xfId="9005" xr:uid="{4D210616-B684-42EB-8D0E-A0B839DFA94A}"/>
    <cellStyle name="Normal 5 2 2" xfId="408" xr:uid="{00000000-0005-0000-0000-0000F2160000}"/>
    <cellStyle name="Normal 5 2 2 10" xfId="2563" xr:uid="{00000000-0005-0000-0000-0000F3160000}"/>
    <cellStyle name="Normal 5 2 2 10 2" xfId="6847" xr:uid="{00000000-0005-0000-0000-0000F4160000}"/>
    <cellStyle name="Normal 5 2 2 10 2 2" xfId="15289" xr:uid="{013AD876-6D31-4105-B60F-3253BC474A13}"/>
    <cellStyle name="Normal 5 2 2 10 3" xfId="11071" xr:uid="{5C44714C-217F-426E-994D-1251030198CE}"/>
    <cellStyle name="Normal 5 2 2 11" xfId="4782" xr:uid="{00000000-0005-0000-0000-0000F5160000}"/>
    <cellStyle name="Normal 5 2 2 11 2" xfId="13224" xr:uid="{30784285-0090-46C9-B111-88F2DB16ADFD}"/>
    <cellStyle name="Normal 5 2 2 12" xfId="9006" xr:uid="{46A01235-4143-4E2A-8E7C-9B9A9B3DAE72}"/>
    <cellStyle name="Normal 5 2 2 2" xfId="409" xr:uid="{00000000-0005-0000-0000-0000F6160000}"/>
    <cellStyle name="Normal 5 2 2 2 10" xfId="4783" xr:uid="{00000000-0005-0000-0000-0000F7160000}"/>
    <cellStyle name="Normal 5 2 2 2 10 2" xfId="13225" xr:uid="{529EFC03-600C-49FE-A63C-8C76E5A1C40A}"/>
    <cellStyle name="Normal 5 2 2 2 11" xfId="9007" xr:uid="{BB51EEED-2B85-4574-80AE-40DCDD728553}"/>
    <cellStyle name="Normal 5 2 2 2 2" xfId="410" xr:uid="{00000000-0005-0000-0000-0000F8160000}"/>
    <cellStyle name="Normal 5 2 2 2 2 10" xfId="9008" xr:uid="{3883FBAC-7BB7-4424-AF82-A081A1103443}"/>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F2CFFA7D-9900-4FBB-ABFE-F88B058BDD2D}"/>
    <cellStyle name="Normal 5 2 2 2 2 2 2 2 2 3" xfId="11568" xr:uid="{CFC298F1-ED3D-4C9B-BA2B-A3E8A384B381}"/>
    <cellStyle name="Normal 5 2 2 2 2 2 2 2 3" xfId="5199" xr:uid="{00000000-0005-0000-0000-0000FE160000}"/>
    <cellStyle name="Normal 5 2 2 2 2 2 2 2 3 2" xfId="13641" xr:uid="{BC7404A3-0D67-42E3-B3EE-0A096BB00997}"/>
    <cellStyle name="Normal 5 2 2 2 2 2 2 2 4" xfId="9423" xr:uid="{0BA399AC-594A-4849-85C9-32C1049B4A07}"/>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09389399-37DF-4FAB-862F-C63D291BF9C3}"/>
    <cellStyle name="Normal 5 2 2 2 2 2 2 3 2 3" xfId="11981" xr:uid="{E49202F5-8BE6-4466-B545-80D24575846E}"/>
    <cellStyle name="Normal 5 2 2 2 2 2 2 3 3" xfId="5612" xr:uid="{00000000-0005-0000-0000-000002170000}"/>
    <cellStyle name="Normal 5 2 2 2 2 2 2 3 3 2" xfId="14054" xr:uid="{2129B27B-12F6-40AC-9530-E9794263F3B6}"/>
    <cellStyle name="Normal 5 2 2 2 2 2 2 3 4" xfId="9836" xr:uid="{57AB5468-92B4-4751-BD2D-3B3C1D1CD9E5}"/>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2D63DAC3-ADBB-419F-AB27-F6FADD62834C}"/>
    <cellStyle name="Normal 5 2 2 2 2 2 2 4 2 3" xfId="12394" xr:uid="{6E04174A-678F-4B2D-B88C-0F0ABABAB302}"/>
    <cellStyle name="Normal 5 2 2 2 2 2 2 4 3" xfId="6025" xr:uid="{00000000-0005-0000-0000-000006170000}"/>
    <cellStyle name="Normal 5 2 2 2 2 2 2 4 3 2" xfId="14467" xr:uid="{F12DBFD6-C79A-494D-904A-78625E09A2C5}"/>
    <cellStyle name="Normal 5 2 2 2 2 2 2 4 4" xfId="10249" xr:uid="{E1CCDC03-6B19-4E27-9C32-689C512EDD1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ABE02C23-BF6A-45B4-AA40-9548146AF898}"/>
    <cellStyle name="Normal 5 2 2 2 2 2 2 5 2 3" xfId="12807" xr:uid="{5A0A6E88-6BC4-423F-9000-A9ED690FAC26}"/>
    <cellStyle name="Normal 5 2 2 2 2 2 2 5 3" xfId="6438" xr:uid="{00000000-0005-0000-0000-00000A170000}"/>
    <cellStyle name="Normal 5 2 2 2 2 2 2 5 3 2" xfId="14880" xr:uid="{258EB492-D338-4868-A27A-AA5BA6338DC8}"/>
    <cellStyle name="Normal 5 2 2 2 2 2 2 5 4" xfId="10662" xr:uid="{6A3A221D-32BB-4441-AAF0-758A6C96413D}"/>
    <cellStyle name="Normal 5 2 2 2 2 2 2 6" xfId="2567" xr:uid="{00000000-0005-0000-0000-00000B170000}"/>
    <cellStyle name="Normal 5 2 2 2 2 2 2 6 2" xfId="6851" xr:uid="{00000000-0005-0000-0000-00000C170000}"/>
    <cellStyle name="Normal 5 2 2 2 2 2 2 6 2 2" xfId="15293" xr:uid="{04AC2492-A8B0-43BA-97B3-8670F11D1FF5}"/>
    <cellStyle name="Normal 5 2 2 2 2 2 2 6 3" xfId="11075" xr:uid="{017081D4-CE67-4962-B1C0-C8336B238825}"/>
    <cellStyle name="Normal 5 2 2 2 2 2 2 7" xfId="4786" xr:uid="{00000000-0005-0000-0000-00000D170000}"/>
    <cellStyle name="Normal 5 2 2 2 2 2 2 7 2" xfId="13228" xr:uid="{A696EB9C-D0DD-44C1-BFFC-DE01780D581F}"/>
    <cellStyle name="Normal 5 2 2 2 2 2 2 8" xfId="9010" xr:uid="{4C9C5685-79B1-4BD9-8917-5D70A61D68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97078422-57B5-490B-8BD3-080107D82D30}"/>
    <cellStyle name="Normal 5 2 2 2 2 2 3 2 3" xfId="11567" xr:uid="{F919BADD-AFBF-41C8-BA27-30E4CC64E0CE}"/>
    <cellStyle name="Normal 5 2 2 2 2 2 3 3" xfId="5198" xr:uid="{00000000-0005-0000-0000-000011170000}"/>
    <cellStyle name="Normal 5 2 2 2 2 2 3 3 2" xfId="13640" xr:uid="{65077662-C090-4660-A0E4-DE96205195D3}"/>
    <cellStyle name="Normal 5 2 2 2 2 2 3 4" xfId="9422" xr:uid="{F3D83699-1185-483A-AE53-E009491B2B33}"/>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4F80F033-3773-4BB1-ACF1-1FA8B1F7997A}"/>
    <cellStyle name="Normal 5 2 2 2 2 2 4 2 3" xfId="11980" xr:uid="{9C98FAF3-E5F1-4E6B-9A5D-1F969B21CB20}"/>
    <cellStyle name="Normal 5 2 2 2 2 2 4 3" xfId="5611" xr:uid="{00000000-0005-0000-0000-000015170000}"/>
    <cellStyle name="Normal 5 2 2 2 2 2 4 3 2" xfId="14053" xr:uid="{F6E61749-49C8-4204-8F97-7E4374527D80}"/>
    <cellStyle name="Normal 5 2 2 2 2 2 4 4" xfId="9835" xr:uid="{EE2C096D-7BC9-42A9-872F-E46AB06E11ED}"/>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BD7A7F6F-97BF-4E12-AF9F-B8ECB933B139}"/>
    <cellStyle name="Normal 5 2 2 2 2 2 5 2 3" xfId="12393" xr:uid="{23EAEC3B-B107-4D73-939A-273AF92F1771}"/>
    <cellStyle name="Normal 5 2 2 2 2 2 5 3" xfId="6024" xr:uid="{00000000-0005-0000-0000-000019170000}"/>
    <cellStyle name="Normal 5 2 2 2 2 2 5 3 2" xfId="14466" xr:uid="{D30432BD-592F-4E09-AE4D-030D7DA570B9}"/>
    <cellStyle name="Normal 5 2 2 2 2 2 5 4" xfId="10248" xr:uid="{28EA9EFB-31B3-4F37-B9D4-02A2E2F93EFC}"/>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4C604FDA-E1E8-48BF-9756-5124079F79B2}"/>
    <cellStyle name="Normal 5 2 2 2 2 2 6 2 3" xfId="12806" xr:uid="{708FFA2F-D2C4-4B8B-83D8-86B8575D44A7}"/>
    <cellStyle name="Normal 5 2 2 2 2 2 6 3" xfId="6437" xr:uid="{00000000-0005-0000-0000-00001D170000}"/>
    <cellStyle name="Normal 5 2 2 2 2 2 6 3 2" xfId="14879" xr:uid="{A7D56ADF-EEAD-46F6-8058-56A4CCD07DE4}"/>
    <cellStyle name="Normal 5 2 2 2 2 2 6 4" xfId="10661" xr:uid="{0D41632B-A7F7-464D-85DF-DE58031002E1}"/>
    <cellStyle name="Normal 5 2 2 2 2 2 7" xfId="2566" xr:uid="{00000000-0005-0000-0000-00001E170000}"/>
    <cellStyle name="Normal 5 2 2 2 2 2 7 2" xfId="6850" xr:uid="{00000000-0005-0000-0000-00001F170000}"/>
    <cellStyle name="Normal 5 2 2 2 2 2 7 2 2" xfId="15292" xr:uid="{A929B0C5-7DF7-4058-8225-DC039E471DCC}"/>
    <cellStyle name="Normal 5 2 2 2 2 2 7 3" xfId="11074" xr:uid="{EE8C9796-E80B-4CC8-ACED-D8047668A26E}"/>
    <cellStyle name="Normal 5 2 2 2 2 2 8" xfId="4785" xr:uid="{00000000-0005-0000-0000-000020170000}"/>
    <cellStyle name="Normal 5 2 2 2 2 2 8 2" xfId="13227" xr:uid="{52FF8C15-DC39-4F4C-AFF3-3F596D227FC5}"/>
    <cellStyle name="Normal 5 2 2 2 2 2 9" xfId="9009" xr:uid="{5C133E51-4F9C-43F4-BF86-295C457D49F2}"/>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F7A82F1F-B017-4130-99BF-B27F7AF13BF1}"/>
    <cellStyle name="Normal 5 2 2 2 2 3 2 2 3" xfId="11569" xr:uid="{F938F925-07CB-4B99-B02A-56D82AB4F892}"/>
    <cellStyle name="Normal 5 2 2 2 2 3 2 3" xfId="5200" xr:uid="{00000000-0005-0000-0000-000025170000}"/>
    <cellStyle name="Normal 5 2 2 2 2 3 2 3 2" xfId="13642" xr:uid="{7524546E-167E-4203-A406-A1776EA48F3D}"/>
    <cellStyle name="Normal 5 2 2 2 2 3 2 4" xfId="9424" xr:uid="{CF1E1036-D22D-41D8-8621-9E3C055F1382}"/>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8C1028BD-2699-4541-B40B-7AF7EB95DA42}"/>
    <cellStyle name="Normal 5 2 2 2 2 3 3 2 3" xfId="11982" xr:uid="{49E494B5-560B-4A2C-A9CB-C60E591795ED}"/>
    <cellStyle name="Normal 5 2 2 2 2 3 3 3" xfId="5613" xr:uid="{00000000-0005-0000-0000-000029170000}"/>
    <cellStyle name="Normal 5 2 2 2 2 3 3 3 2" xfId="14055" xr:uid="{CFA958CB-122C-487C-B0A8-AE08E77BA273}"/>
    <cellStyle name="Normal 5 2 2 2 2 3 3 4" xfId="9837" xr:uid="{F2DF598A-3364-47EF-A397-DEBC33D1FA5D}"/>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633880A1-FAB3-4586-AAB1-A3F9E071A4B6}"/>
    <cellStyle name="Normal 5 2 2 2 2 3 4 2 3" xfId="12395" xr:uid="{EA8E055B-6419-437E-810A-F077B7517879}"/>
    <cellStyle name="Normal 5 2 2 2 2 3 4 3" xfId="6026" xr:uid="{00000000-0005-0000-0000-00002D170000}"/>
    <cellStyle name="Normal 5 2 2 2 2 3 4 3 2" xfId="14468" xr:uid="{B4B2738F-C929-4DAB-B8C5-EBFCFBCC89B1}"/>
    <cellStyle name="Normal 5 2 2 2 2 3 4 4" xfId="10250" xr:uid="{BF1AC8BF-18D4-4A5D-8B03-CEFABDEE7236}"/>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C2143F40-21A3-477C-8B70-E89BE65DFADA}"/>
    <cellStyle name="Normal 5 2 2 2 2 3 5 2 3" xfId="12808" xr:uid="{F0BAB709-E492-4A1F-8DC0-8B2B681F78EF}"/>
    <cellStyle name="Normal 5 2 2 2 2 3 5 3" xfId="6439" xr:uid="{00000000-0005-0000-0000-000031170000}"/>
    <cellStyle name="Normal 5 2 2 2 2 3 5 3 2" xfId="14881" xr:uid="{E396B020-2CB0-487B-A187-636162B66C00}"/>
    <cellStyle name="Normal 5 2 2 2 2 3 5 4" xfId="10663" xr:uid="{BD65E86F-BD83-453B-A160-956D3ADE0116}"/>
    <cellStyle name="Normal 5 2 2 2 2 3 6" xfId="2568" xr:uid="{00000000-0005-0000-0000-000032170000}"/>
    <cellStyle name="Normal 5 2 2 2 2 3 6 2" xfId="6852" xr:uid="{00000000-0005-0000-0000-000033170000}"/>
    <cellStyle name="Normal 5 2 2 2 2 3 6 2 2" xfId="15294" xr:uid="{5621CE57-DF28-4E67-9915-6A240270D91C}"/>
    <cellStyle name="Normal 5 2 2 2 2 3 6 3" xfId="11076" xr:uid="{F5912CB2-AF28-439B-93AE-B195CC3F3230}"/>
    <cellStyle name="Normal 5 2 2 2 2 3 7" xfId="4787" xr:uid="{00000000-0005-0000-0000-000034170000}"/>
    <cellStyle name="Normal 5 2 2 2 2 3 7 2" xfId="13229" xr:uid="{828A562E-9BE7-44F5-A0FC-2A45F1AB1B2C}"/>
    <cellStyle name="Normal 5 2 2 2 2 3 8" xfId="9011" xr:uid="{1F77C386-8F26-4402-AF87-A392D0A4CA27}"/>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62EF97C4-7797-4763-BD7C-A48A79128241}"/>
    <cellStyle name="Normal 5 2 2 2 2 4 2 3" xfId="11566" xr:uid="{5CE2DCCB-0401-4202-9BF6-988CC84C8917}"/>
    <cellStyle name="Normal 5 2 2 2 2 4 3" xfId="5197" xr:uid="{00000000-0005-0000-0000-000038170000}"/>
    <cellStyle name="Normal 5 2 2 2 2 4 3 2" xfId="13639" xr:uid="{75CE1173-1A6E-446B-AD34-A80EC4AF3DAC}"/>
    <cellStyle name="Normal 5 2 2 2 2 4 4" xfId="9421" xr:uid="{4BF12291-A6E8-470D-92D5-7A4E59D87F7E}"/>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B735D168-F208-4231-BE33-B09DB8EFB81F}"/>
    <cellStyle name="Normal 5 2 2 2 2 5 2 3" xfId="11979" xr:uid="{BBC5B81B-8F05-498A-BEBD-34B3754A7A7A}"/>
    <cellStyle name="Normal 5 2 2 2 2 5 3" xfId="5610" xr:uid="{00000000-0005-0000-0000-00003C170000}"/>
    <cellStyle name="Normal 5 2 2 2 2 5 3 2" xfId="14052" xr:uid="{2A676887-9E49-425E-8CAA-1183219BBFC6}"/>
    <cellStyle name="Normal 5 2 2 2 2 5 4" xfId="9834" xr:uid="{E62FDC7D-ABDB-4A2D-B1A4-5E9F50EF2E8C}"/>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7E7CC32B-6C19-49A0-8887-3594F6BF585E}"/>
    <cellStyle name="Normal 5 2 2 2 2 6 2 3" xfId="12392" xr:uid="{38EF8CC0-19ED-4E90-A198-D34330724382}"/>
    <cellStyle name="Normal 5 2 2 2 2 6 3" xfId="6023" xr:uid="{00000000-0005-0000-0000-000040170000}"/>
    <cellStyle name="Normal 5 2 2 2 2 6 3 2" xfId="14465" xr:uid="{F0290B89-2038-4EAC-AE92-618DFBAA17B3}"/>
    <cellStyle name="Normal 5 2 2 2 2 6 4" xfId="10247" xr:uid="{DD30EEFA-DACB-4EDA-BF56-07ED83F18A38}"/>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045CF643-3E95-403E-8DF5-4D6BAEEAC02D}"/>
    <cellStyle name="Normal 5 2 2 2 2 7 2 3" xfId="12805" xr:uid="{94E26902-B13D-4BA5-B23E-C8F206DA2B0B}"/>
    <cellStyle name="Normal 5 2 2 2 2 7 3" xfId="6436" xr:uid="{00000000-0005-0000-0000-000044170000}"/>
    <cellStyle name="Normal 5 2 2 2 2 7 3 2" xfId="14878" xr:uid="{346AA1F8-292F-4AC5-A2BD-7E5FA6B6918F}"/>
    <cellStyle name="Normal 5 2 2 2 2 7 4" xfId="10660" xr:uid="{E4FA4DD3-66B4-4B28-A904-C6CC57A226C5}"/>
    <cellStyle name="Normal 5 2 2 2 2 8" xfId="2565" xr:uid="{00000000-0005-0000-0000-000045170000}"/>
    <cellStyle name="Normal 5 2 2 2 2 8 2" xfId="6849" xr:uid="{00000000-0005-0000-0000-000046170000}"/>
    <cellStyle name="Normal 5 2 2 2 2 8 2 2" xfId="15291" xr:uid="{A3C10D6B-D4DE-4094-8317-123A4FC54CDD}"/>
    <cellStyle name="Normal 5 2 2 2 2 8 3" xfId="11073" xr:uid="{98B939D4-A419-4DF2-8C77-0A7AE4005909}"/>
    <cellStyle name="Normal 5 2 2 2 2 9" xfId="4784" xr:uid="{00000000-0005-0000-0000-000047170000}"/>
    <cellStyle name="Normal 5 2 2 2 2 9 2" xfId="13226" xr:uid="{FBEE272E-F5C7-4D81-9CE8-A268C7B2D985}"/>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7219E116-77F9-4FCC-9B2F-4A0292A8E6CE}"/>
    <cellStyle name="Normal 5 2 2 2 3 2 2 2 3" xfId="11571" xr:uid="{4B1A362E-D3C4-48DC-95C2-B26E8C0A3B33}"/>
    <cellStyle name="Normal 5 2 2 2 3 2 2 3" xfId="5202" xr:uid="{00000000-0005-0000-0000-00004D170000}"/>
    <cellStyle name="Normal 5 2 2 2 3 2 2 3 2" xfId="13644" xr:uid="{33008642-ABC9-4E3E-B869-C8D9CD895C45}"/>
    <cellStyle name="Normal 5 2 2 2 3 2 2 4" xfId="9426" xr:uid="{454A6FC4-F1F2-4360-B9D5-04D1326B3877}"/>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C988145F-C5CC-48FD-9E1E-883B4390DF2E}"/>
    <cellStyle name="Normal 5 2 2 2 3 2 3 2 3" xfId="11984" xr:uid="{23734B6A-2D80-470A-AD1B-676E9AFEBE4E}"/>
    <cellStyle name="Normal 5 2 2 2 3 2 3 3" xfId="5615" xr:uid="{00000000-0005-0000-0000-000051170000}"/>
    <cellStyle name="Normal 5 2 2 2 3 2 3 3 2" xfId="14057" xr:uid="{DDD0C92E-AE35-4578-916C-C6ADF45D897A}"/>
    <cellStyle name="Normal 5 2 2 2 3 2 3 4" xfId="9839" xr:uid="{88F4D7FF-C36C-4C97-9AEC-883DF1FA063F}"/>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32FDF10B-68D0-41AC-B765-98CF91B29412}"/>
    <cellStyle name="Normal 5 2 2 2 3 2 4 2 3" xfId="12397" xr:uid="{3E3F431A-4CEE-4B0E-95D1-9A5E6322C72D}"/>
    <cellStyle name="Normal 5 2 2 2 3 2 4 3" xfId="6028" xr:uid="{00000000-0005-0000-0000-000055170000}"/>
    <cellStyle name="Normal 5 2 2 2 3 2 4 3 2" xfId="14470" xr:uid="{DC269A8E-B775-4FCA-922F-2853A7E830E4}"/>
    <cellStyle name="Normal 5 2 2 2 3 2 4 4" xfId="10252" xr:uid="{3006DAB1-8FE7-4664-B3B7-26A270F0444A}"/>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0FFEAB5F-EC84-41C2-9080-CE5910E2A863}"/>
    <cellStyle name="Normal 5 2 2 2 3 2 5 2 3" xfId="12810" xr:uid="{2CCD96AF-9B33-4C75-A666-A54D8F577888}"/>
    <cellStyle name="Normal 5 2 2 2 3 2 5 3" xfId="6441" xr:uid="{00000000-0005-0000-0000-000059170000}"/>
    <cellStyle name="Normal 5 2 2 2 3 2 5 3 2" xfId="14883" xr:uid="{FF408890-91CF-4B21-BBDC-604DD969064F}"/>
    <cellStyle name="Normal 5 2 2 2 3 2 5 4" xfId="10665" xr:uid="{C752526A-2A96-49C8-887F-D671AAE284A2}"/>
    <cellStyle name="Normal 5 2 2 2 3 2 6" xfId="2570" xr:uid="{00000000-0005-0000-0000-00005A170000}"/>
    <cellStyle name="Normal 5 2 2 2 3 2 6 2" xfId="6854" xr:uid="{00000000-0005-0000-0000-00005B170000}"/>
    <cellStyle name="Normal 5 2 2 2 3 2 6 2 2" xfId="15296" xr:uid="{B8D20344-FCA3-4F3B-AC26-0112E6CA22A2}"/>
    <cellStyle name="Normal 5 2 2 2 3 2 6 3" xfId="11078" xr:uid="{189F6C62-335F-4F2E-A630-E523F097C263}"/>
    <cellStyle name="Normal 5 2 2 2 3 2 7" xfId="4789" xr:uid="{00000000-0005-0000-0000-00005C170000}"/>
    <cellStyle name="Normal 5 2 2 2 3 2 7 2" xfId="13231" xr:uid="{26219A36-5B1D-4F75-BCCC-C4C70792EEE9}"/>
    <cellStyle name="Normal 5 2 2 2 3 2 8" xfId="9013" xr:uid="{F83286BB-8A01-4699-971F-12A4A82DD2F7}"/>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8EA4E29E-0F7A-4034-AA53-687C07283E51}"/>
    <cellStyle name="Normal 5 2 2 2 3 3 2 3" xfId="11570" xr:uid="{927AD43E-59DE-4503-8BEA-2D2FDBE11AC7}"/>
    <cellStyle name="Normal 5 2 2 2 3 3 3" xfId="5201" xr:uid="{00000000-0005-0000-0000-000060170000}"/>
    <cellStyle name="Normal 5 2 2 2 3 3 3 2" xfId="13643" xr:uid="{1AECF5C7-6AF1-492F-B182-BBB883591946}"/>
    <cellStyle name="Normal 5 2 2 2 3 3 4" xfId="9425" xr:uid="{3FE5630D-95ED-46B6-923C-0BA6CFD5CB37}"/>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B5E72203-6B23-4CE8-AC4C-0B23A55F7C32}"/>
    <cellStyle name="Normal 5 2 2 2 3 4 2 3" xfId="11983" xr:uid="{361458D4-B0D8-42D0-95B1-0109B5B0C682}"/>
    <cellStyle name="Normal 5 2 2 2 3 4 3" xfId="5614" xr:uid="{00000000-0005-0000-0000-000064170000}"/>
    <cellStyle name="Normal 5 2 2 2 3 4 3 2" xfId="14056" xr:uid="{C5A3DD83-F815-4983-AC2B-AAAACF4E679D}"/>
    <cellStyle name="Normal 5 2 2 2 3 4 4" xfId="9838" xr:uid="{7CE907C2-5567-4038-979F-8B215BC6E15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EEF31569-06F8-47B4-97C1-03B461FBA39A}"/>
    <cellStyle name="Normal 5 2 2 2 3 5 2 3" xfId="12396" xr:uid="{079DCA41-3ADF-4410-9531-72C9F44C7F6A}"/>
    <cellStyle name="Normal 5 2 2 2 3 5 3" xfId="6027" xr:uid="{00000000-0005-0000-0000-000068170000}"/>
    <cellStyle name="Normal 5 2 2 2 3 5 3 2" xfId="14469" xr:uid="{85D4FDDD-A908-4FA1-B7F7-27D5372C9590}"/>
    <cellStyle name="Normal 5 2 2 2 3 5 4" xfId="10251" xr:uid="{8BC0758F-A9D5-4503-8366-7D3C92E7E829}"/>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DDBCBD74-DE1D-467F-A0E0-04B7378C7CBA}"/>
    <cellStyle name="Normal 5 2 2 2 3 6 2 3" xfId="12809" xr:uid="{40788D6D-8F97-43C3-91BA-0255981651AD}"/>
    <cellStyle name="Normal 5 2 2 2 3 6 3" xfId="6440" xr:uid="{00000000-0005-0000-0000-00006C170000}"/>
    <cellStyle name="Normal 5 2 2 2 3 6 3 2" xfId="14882" xr:uid="{E13E36D9-048B-4C08-9BFE-40AA3739715B}"/>
    <cellStyle name="Normal 5 2 2 2 3 6 4" xfId="10664" xr:uid="{7AB6C0F2-E4BC-4C82-8F6B-A2585C00CC58}"/>
    <cellStyle name="Normal 5 2 2 2 3 7" xfId="2569" xr:uid="{00000000-0005-0000-0000-00006D170000}"/>
    <cellStyle name="Normal 5 2 2 2 3 7 2" xfId="6853" xr:uid="{00000000-0005-0000-0000-00006E170000}"/>
    <cellStyle name="Normal 5 2 2 2 3 7 2 2" xfId="15295" xr:uid="{56331476-487E-4589-9F6B-56B517560697}"/>
    <cellStyle name="Normal 5 2 2 2 3 7 3" xfId="11077" xr:uid="{276A4BC4-0CFB-4EAA-8D8A-AFACF5668356}"/>
    <cellStyle name="Normal 5 2 2 2 3 8" xfId="4788" xr:uid="{00000000-0005-0000-0000-00006F170000}"/>
    <cellStyle name="Normal 5 2 2 2 3 8 2" xfId="13230" xr:uid="{5023F3ED-E1BF-4C9E-BC75-EF13138596BC}"/>
    <cellStyle name="Normal 5 2 2 2 3 9" xfId="9012" xr:uid="{D1F5DACB-EA93-4B1F-BA02-707C3C7F5729}"/>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C9071624-1DEA-4650-ABC8-B31EC2F13476}"/>
    <cellStyle name="Normal 5 2 2 2 4 2 2 3" xfId="11572" xr:uid="{7D0251F6-9A64-4648-8BED-618A7863829D}"/>
    <cellStyle name="Normal 5 2 2 2 4 2 3" xfId="5203" xr:uid="{00000000-0005-0000-0000-000074170000}"/>
    <cellStyle name="Normal 5 2 2 2 4 2 3 2" xfId="13645" xr:uid="{19855C77-ADCD-454C-BDB6-CBA71E4BE588}"/>
    <cellStyle name="Normal 5 2 2 2 4 2 4" xfId="9427" xr:uid="{E2368D48-30C6-4049-9B84-4392A1F03A1C}"/>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BA3FD25C-5B5A-4652-B935-F657648638E9}"/>
    <cellStyle name="Normal 5 2 2 2 4 3 2 3" xfId="11985" xr:uid="{7BB3E1C5-4FF9-43D4-8903-0AFC4F6F4C4E}"/>
    <cellStyle name="Normal 5 2 2 2 4 3 3" xfId="5616" xr:uid="{00000000-0005-0000-0000-000078170000}"/>
    <cellStyle name="Normal 5 2 2 2 4 3 3 2" xfId="14058" xr:uid="{44D9FD37-47DC-4537-9B4E-4260ED171393}"/>
    <cellStyle name="Normal 5 2 2 2 4 3 4" xfId="9840" xr:uid="{C4712790-5112-4E7D-B009-8D0D72025535}"/>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E711B0BE-D706-488C-A17C-11185D82394D}"/>
    <cellStyle name="Normal 5 2 2 2 4 4 2 3" xfId="12398" xr:uid="{961C3B4D-091B-4E23-BCBE-661D8FC9E1D6}"/>
    <cellStyle name="Normal 5 2 2 2 4 4 3" xfId="6029" xr:uid="{00000000-0005-0000-0000-00007C170000}"/>
    <cellStyle name="Normal 5 2 2 2 4 4 3 2" xfId="14471" xr:uid="{A740FB96-F37C-4154-8BFA-1402CB70D369}"/>
    <cellStyle name="Normal 5 2 2 2 4 4 4" xfId="10253" xr:uid="{04C918EF-7D2C-49BB-96C3-8A5B7537CB4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22EFD9FF-94D5-4FC9-A078-591F072AD33C}"/>
    <cellStyle name="Normal 5 2 2 2 4 5 2 3" xfId="12811" xr:uid="{61B745E4-C5D5-4D4B-88DD-8770BC94943B}"/>
    <cellStyle name="Normal 5 2 2 2 4 5 3" xfId="6442" xr:uid="{00000000-0005-0000-0000-000080170000}"/>
    <cellStyle name="Normal 5 2 2 2 4 5 3 2" xfId="14884" xr:uid="{CB14AEA0-0FD7-4C4A-BDB1-665A6FE4849F}"/>
    <cellStyle name="Normal 5 2 2 2 4 5 4" xfId="10666" xr:uid="{D0DC20E1-D2F7-4DB4-80CD-5E5F82FB5C32}"/>
    <cellStyle name="Normal 5 2 2 2 4 6" xfId="2571" xr:uid="{00000000-0005-0000-0000-000081170000}"/>
    <cellStyle name="Normal 5 2 2 2 4 6 2" xfId="6855" xr:uid="{00000000-0005-0000-0000-000082170000}"/>
    <cellStyle name="Normal 5 2 2 2 4 6 2 2" xfId="15297" xr:uid="{729C2800-34C4-41B1-986D-662DB97E04D9}"/>
    <cellStyle name="Normal 5 2 2 2 4 6 3" xfId="11079" xr:uid="{A538AE74-EE6A-44A4-AA42-255A4E42F89E}"/>
    <cellStyle name="Normal 5 2 2 2 4 7" xfId="4790" xr:uid="{00000000-0005-0000-0000-000083170000}"/>
    <cellStyle name="Normal 5 2 2 2 4 7 2" xfId="13232" xr:uid="{23BC841E-DABA-4F84-82F0-10F525A8BBBF}"/>
    <cellStyle name="Normal 5 2 2 2 4 8" xfId="9014" xr:uid="{8763C8D8-419F-45B3-8821-C24187D6AEFC}"/>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B0E92BD7-6F91-4CF5-BE94-AADD68AE9E28}"/>
    <cellStyle name="Normal 5 2 2 2 5 2 3" xfId="11565" xr:uid="{4539CE8E-929D-4B6B-B496-E64742259EC7}"/>
    <cellStyle name="Normal 5 2 2 2 5 3" xfId="5196" xr:uid="{00000000-0005-0000-0000-000087170000}"/>
    <cellStyle name="Normal 5 2 2 2 5 3 2" xfId="13638" xr:uid="{717A66C5-6C95-483C-945A-C67DB84B626B}"/>
    <cellStyle name="Normal 5 2 2 2 5 4" xfId="9420" xr:uid="{B9DC514B-8B33-49FB-9DD0-EFC9E9144DAC}"/>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14B1B847-80E4-48DF-A8A0-FABADBA64F17}"/>
    <cellStyle name="Normal 5 2 2 2 6 2 3" xfId="11978" xr:uid="{B0B4B740-1AFF-49E8-A35C-0CA2FE07F7DB}"/>
    <cellStyle name="Normal 5 2 2 2 6 3" xfId="5609" xr:uid="{00000000-0005-0000-0000-00008B170000}"/>
    <cellStyle name="Normal 5 2 2 2 6 3 2" xfId="14051" xr:uid="{B0D2D42A-5F82-4E24-B7FD-459447E688E1}"/>
    <cellStyle name="Normal 5 2 2 2 6 4" xfId="9833" xr:uid="{6A500B5C-3F8B-4F39-992F-57C92BD341A7}"/>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63C82DB6-A942-4BD1-B6B9-8BDFEBAA5644}"/>
    <cellStyle name="Normal 5 2 2 2 7 2 3" xfId="12391" xr:uid="{8ECB5804-D15B-4634-A228-0752C6DA0C56}"/>
    <cellStyle name="Normal 5 2 2 2 7 3" xfId="6022" xr:uid="{00000000-0005-0000-0000-00008F170000}"/>
    <cellStyle name="Normal 5 2 2 2 7 3 2" xfId="14464" xr:uid="{D25CCD03-134B-482E-AB0B-F083E26A7A3A}"/>
    <cellStyle name="Normal 5 2 2 2 7 4" xfId="10246" xr:uid="{283B8C38-84CA-4F90-AEA0-129348466202}"/>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950A831B-24D7-4BBF-8A8B-E568408C673A}"/>
    <cellStyle name="Normal 5 2 2 2 8 2 3" xfId="12804" xr:uid="{DF89C60C-3D36-4801-A4DE-1124D92F5CC3}"/>
    <cellStyle name="Normal 5 2 2 2 8 3" xfId="6435" xr:uid="{00000000-0005-0000-0000-000093170000}"/>
    <cellStyle name="Normal 5 2 2 2 8 3 2" xfId="14877" xr:uid="{335112CD-04D7-4FCB-9622-D6EB7DB1CB0C}"/>
    <cellStyle name="Normal 5 2 2 2 8 4" xfId="10659" xr:uid="{ED72443B-8D64-4D08-9CF0-20361DF712AD}"/>
    <cellStyle name="Normal 5 2 2 2 9" xfId="2564" xr:uid="{00000000-0005-0000-0000-000094170000}"/>
    <cellStyle name="Normal 5 2 2 2 9 2" xfId="6848" xr:uid="{00000000-0005-0000-0000-000095170000}"/>
    <cellStyle name="Normal 5 2 2 2 9 2 2" xfId="15290" xr:uid="{6B1F30B0-8D79-4ADD-A46F-8AF51638E6C3}"/>
    <cellStyle name="Normal 5 2 2 2 9 3" xfId="11072" xr:uid="{B296AB5C-7C2C-4B23-A44A-04016D23E6AF}"/>
    <cellStyle name="Normal 5 2 2 3" xfId="417" xr:uid="{00000000-0005-0000-0000-000096170000}"/>
    <cellStyle name="Normal 5 2 2 3 10" xfId="9015" xr:uid="{E8D77158-F988-4136-AEE9-B72A5BB906C2}"/>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453890DA-B8DA-4B74-BC48-89419A0CEDA1}"/>
    <cellStyle name="Normal 5 2 2 3 2 2 2 2 3" xfId="11575" xr:uid="{44204C28-80E6-4C2A-9CE4-97E1F80C41EB}"/>
    <cellStyle name="Normal 5 2 2 3 2 2 2 3" xfId="5206" xr:uid="{00000000-0005-0000-0000-00009C170000}"/>
    <cellStyle name="Normal 5 2 2 3 2 2 2 3 2" xfId="13648" xr:uid="{F140BA22-893C-46D6-844C-67DF6654A04B}"/>
    <cellStyle name="Normal 5 2 2 3 2 2 2 4" xfId="9430" xr:uid="{B9D4E610-081B-4C67-8FF4-89198582A2B7}"/>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3A49A10E-69C6-4416-9C37-E523B9B6DFE0}"/>
    <cellStyle name="Normal 5 2 2 3 2 2 3 2 3" xfId="11988" xr:uid="{81E1F075-0406-4729-A892-9D4C857766FD}"/>
    <cellStyle name="Normal 5 2 2 3 2 2 3 3" xfId="5619" xr:uid="{00000000-0005-0000-0000-0000A0170000}"/>
    <cellStyle name="Normal 5 2 2 3 2 2 3 3 2" xfId="14061" xr:uid="{3A773D89-357F-4D92-BD99-EB890E4FD160}"/>
    <cellStyle name="Normal 5 2 2 3 2 2 3 4" xfId="9843" xr:uid="{ADF98179-7A0F-47E8-AAEE-2159C2A35B2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DD8234EB-0559-46F8-B5A5-EA996E674EE1}"/>
    <cellStyle name="Normal 5 2 2 3 2 2 4 2 3" xfId="12401" xr:uid="{D4D47577-1EC8-4FCF-AEC8-8E74901902AB}"/>
    <cellStyle name="Normal 5 2 2 3 2 2 4 3" xfId="6032" xr:uid="{00000000-0005-0000-0000-0000A4170000}"/>
    <cellStyle name="Normal 5 2 2 3 2 2 4 3 2" xfId="14474" xr:uid="{F4B9B4D7-3B57-42CE-AEF1-3F8A6CE77BEE}"/>
    <cellStyle name="Normal 5 2 2 3 2 2 4 4" xfId="10256" xr:uid="{BB250160-EB98-4392-B51C-96DE1074D5FF}"/>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23DD16E5-67FE-41A3-A030-9B0C556FFC85}"/>
    <cellStyle name="Normal 5 2 2 3 2 2 5 2 3" xfId="12814" xr:uid="{AB1B86E9-A5EF-4E17-911E-378ADACA082D}"/>
    <cellStyle name="Normal 5 2 2 3 2 2 5 3" xfId="6445" xr:uid="{00000000-0005-0000-0000-0000A8170000}"/>
    <cellStyle name="Normal 5 2 2 3 2 2 5 3 2" xfId="14887" xr:uid="{D6EBEC3D-5D20-4B30-89E1-5FA47BEAC47C}"/>
    <cellStyle name="Normal 5 2 2 3 2 2 5 4" xfId="10669" xr:uid="{60F08DB4-31B3-4A5D-B7D6-F218ADF655F5}"/>
    <cellStyle name="Normal 5 2 2 3 2 2 6" xfId="2574" xr:uid="{00000000-0005-0000-0000-0000A9170000}"/>
    <cellStyle name="Normal 5 2 2 3 2 2 6 2" xfId="6858" xr:uid="{00000000-0005-0000-0000-0000AA170000}"/>
    <cellStyle name="Normal 5 2 2 3 2 2 6 2 2" xfId="15300" xr:uid="{89873EC0-0EDE-4AF1-9F95-FE60FEF9FEDD}"/>
    <cellStyle name="Normal 5 2 2 3 2 2 6 3" xfId="11082" xr:uid="{B9728CBD-C588-450A-99EE-3AC34E06EB9D}"/>
    <cellStyle name="Normal 5 2 2 3 2 2 7" xfId="4793" xr:uid="{00000000-0005-0000-0000-0000AB170000}"/>
    <cellStyle name="Normal 5 2 2 3 2 2 7 2" xfId="13235" xr:uid="{08B20BFB-1990-4D2A-8197-569F37D0619A}"/>
    <cellStyle name="Normal 5 2 2 3 2 2 8" xfId="9017" xr:uid="{CA968CE0-2A3C-4180-BECD-AB34AA43873C}"/>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555E8BD9-3E4E-44D2-AB05-A1C7F02DF1E8}"/>
    <cellStyle name="Normal 5 2 2 3 2 3 2 3" xfId="11574" xr:uid="{9543FDBE-8B71-4C37-8F89-6D592FFB6107}"/>
    <cellStyle name="Normal 5 2 2 3 2 3 3" xfId="5205" xr:uid="{00000000-0005-0000-0000-0000AF170000}"/>
    <cellStyle name="Normal 5 2 2 3 2 3 3 2" xfId="13647" xr:uid="{4D6984BE-ACB3-486B-BB96-3F7964871A4C}"/>
    <cellStyle name="Normal 5 2 2 3 2 3 4" xfId="9429" xr:uid="{0FF5C644-1DA4-445A-BB34-52D9B5905404}"/>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76E88090-3322-4C8E-8F86-9B94C74E7DC5}"/>
    <cellStyle name="Normal 5 2 2 3 2 4 2 3" xfId="11987" xr:uid="{2BD711FB-25B5-4DBE-82FF-48E4BFF55AB6}"/>
    <cellStyle name="Normal 5 2 2 3 2 4 3" xfId="5618" xr:uid="{00000000-0005-0000-0000-0000B3170000}"/>
    <cellStyle name="Normal 5 2 2 3 2 4 3 2" xfId="14060" xr:uid="{B08C61B2-838D-473D-962D-325D98AA6A61}"/>
    <cellStyle name="Normal 5 2 2 3 2 4 4" xfId="9842" xr:uid="{741CAA33-A6BD-4EA0-A71A-90B0DEDC3E5A}"/>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8FD2484-CA31-42E7-A8AB-C6E2B53C575D}"/>
    <cellStyle name="Normal 5 2 2 3 2 5 2 3" xfId="12400" xr:uid="{10C9AC11-A6E9-4E4C-A8C1-08E6320018C5}"/>
    <cellStyle name="Normal 5 2 2 3 2 5 3" xfId="6031" xr:uid="{00000000-0005-0000-0000-0000B7170000}"/>
    <cellStyle name="Normal 5 2 2 3 2 5 3 2" xfId="14473" xr:uid="{805EAF94-3631-40D1-BEE6-DC0D391A5471}"/>
    <cellStyle name="Normal 5 2 2 3 2 5 4" xfId="10255" xr:uid="{1FEA8EB0-F024-4A32-920C-70CAA02E1F02}"/>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1C8FAE0B-859D-44AD-88E8-3FD941414BF1}"/>
    <cellStyle name="Normal 5 2 2 3 2 6 2 3" xfId="12813" xr:uid="{76229ED9-7AB2-4DB0-AB86-CB10A6A9FEC0}"/>
    <cellStyle name="Normal 5 2 2 3 2 6 3" xfId="6444" xr:uid="{00000000-0005-0000-0000-0000BB170000}"/>
    <cellStyle name="Normal 5 2 2 3 2 6 3 2" xfId="14886" xr:uid="{A08E568E-AC5D-4461-8029-9EED5130CE15}"/>
    <cellStyle name="Normal 5 2 2 3 2 6 4" xfId="10668" xr:uid="{B2EC3E7C-6C9B-461C-9250-5124909B3F25}"/>
    <cellStyle name="Normal 5 2 2 3 2 7" xfId="2573" xr:uid="{00000000-0005-0000-0000-0000BC170000}"/>
    <cellStyle name="Normal 5 2 2 3 2 7 2" xfId="6857" xr:uid="{00000000-0005-0000-0000-0000BD170000}"/>
    <cellStyle name="Normal 5 2 2 3 2 7 2 2" xfId="15299" xr:uid="{DF09C7CA-BE15-4669-A1DF-062E58DBF2CD}"/>
    <cellStyle name="Normal 5 2 2 3 2 7 3" xfId="11081" xr:uid="{E894ED1B-72D4-432F-9777-C198054DE98A}"/>
    <cellStyle name="Normal 5 2 2 3 2 8" xfId="4792" xr:uid="{00000000-0005-0000-0000-0000BE170000}"/>
    <cellStyle name="Normal 5 2 2 3 2 8 2" xfId="13234" xr:uid="{CFBE8F0C-E0A4-41A4-AEF2-6CECE649F3A9}"/>
    <cellStyle name="Normal 5 2 2 3 2 9" xfId="9016" xr:uid="{51BA33FD-2437-46D9-A0BE-F0F0107FA76E}"/>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7BAC8FAB-81E2-44B8-811D-C2F366E05D19}"/>
    <cellStyle name="Normal 5 2 2 3 3 2 2 3" xfId="11576" xr:uid="{6614D9EC-172E-4A7F-B935-9C204C4484CC}"/>
    <cellStyle name="Normal 5 2 2 3 3 2 3" xfId="5207" xr:uid="{00000000-0005-0000-0000-0000C3170000}"/>
    <cellStyle name="Normal 5 2 2 3 3 2 3 2" xfId="13649" xr:uid="{8B69106A-382E-440A-B298-FD32D7E791DA}"/>
    <cellStyle name="Normal 5 2 2 3 3 2 4" xfId="9431" xr:uid="{12969ED4-8711-435E-BD0D-08B5764D506F}"/>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E119D264-A599-4F8D-9FDB-CC62011DA62E}"/>
    <cellStyle name="Normal 5 2 2 3 3 3 2 3" xfId="11989" xr:uid="{EF8DA984-7B39-48E4-BCA1-3C941D5C76D1}"/>
    <cellStyle name="Normal 5 2 2 3 3 3 3" xfId="5620" xr:uid="{00000000-0005-0000-0000-0000C7170000}"/>
    <cellStyle name="Normal 5 2 2 3 3 3 3 2" xfId="14062" xr:uid="{E834CE8C-A8C5-4027-AB2E-8D762A858F57}"/>
    <cellStyle name="Normal 5 2 2 3 3 3 4" xfId="9844" xr:uid="{8BA839A6-B854-4CDE-82BF-E6D690B4120E}"/>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14C70CBF-F97C-4E06-A541-3927D02C0A85}"/>
    <cellStyle name="Normal 5 2 2 3 3 4 2 3" xfId="12402" xr:uid="{6A055380-1E0C-4220-9C91-6B7D3BB15212}"/>
    <cellStyle name="Normal 5 2 2 3 3 4 3" xfId="6033" xr:uid="{00000000-0005-0000-0000-0000CB170000}"/>
    <cellStyle name="Normal 5 2 2 3 3 4 3 2" xfId="14475" xr:uid="{42820913-3B71-4E8D-BD2C-1845CC9C5BC3}"/>
    <cellStyle name="Normal 5 2 2 3 3 4 4" xfId="10257" xr:uid="{2FACAB66-B107-4F5B-B4AB-18A19F60911B}"/>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27C3A384-F070-4D5A-8171-A552E5613118}"/>
    <cellStyle name="Normal 5 2 2 3 3 5 2 3" xfId="12815" xr:uid="{8D4222B1-B8FC-482C-9D1F-897BFDBC8878}"/>
    <cellStyle name="Normal 5 2 2 3 3 5 3" xfId="6446" xr:uid="{00000000-0005-0000-0000-0000CF170000}"/>
    <cellStyle name="Normal 5 2 2 3 3 5 3 2" xfId="14888" xr:uid="{44ED6DED-F0FC-438F-AF81-69FCB0FAE6AF}"/>
    <cellStyle name="Normal 5 2 2 3 3 5 4" xfId="10670" xr:uid="{D3D0F5F5-EF30-47D3-B88C-A9B9A574A415}"/>
    <cellStyle name="Normal 5 2 2 3 3 6" xfId="2575" xr:uid="{00000000-0005-0000-0000-0000D0170000}"/>
    <cellStyle name="Normal 5 2 2 3 3 6 2" xfId="6859" xr:uid="{00000000-0005-0000-0000-0000D1170000}"/>
    <cellStyle name="Normal 5 2 2 3 3 6 2 2" xfId="15301" xr:uid="{0871BA7D-91B8-46AD-9DBC-5D28A18D4D77}"/>
    <cellStyle name="Normal 5 2 2 3 3 6 3" xfId="11083" xr:uid="{C5566CB1-893D-417B-9509-E79AC5242B4F}"/>
    <cellStyle name="Normal 5 2 2 3 3 7" xfId="4794" xr:uid="{00000000-0005-0000-0000-0000D2170000}"/>
    <cellStyle name="Normal 5 2 2 3 3 7 2" xfId="13236" xr:uid="{CF02C55E-B874-4C24-A2E6-FD8E3EF51DA5}"/>
    <cellStyle name="Normal 5 2 2 3 3 8" xfId="9018" xr:uid="{DF8B63B0-C4D0-44E2-AF3B-9FE98345B397}"/>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FBCDE67F-9A5E-4BB7-8E80-B78CD905F24B}"/>
    <cellStyle name="Normal 5 2 2 3 4 2 3" xfId="11573" xr:uid="{13C3B7BF-65A9-4136-B2C0-E1B95A07E727}"/>
    <cellStyle name="Normal 5 2 2 3 4 3" xfId="5204" xr:uid="{00000000-0005-0000-0000-0000D6170000}"/>
    <cellStyle name="Normal 5 2 2 3 4 3 2" xfId="13646" xr:uid="{E5B7CC3E-1F24-49BC-A9E2-53E32DF66355}"/>
    <cellStyle name="Normal 5 2 2 3 4 4" xfId="9428" xr:uid="{B1ABB67F-24A9-462D-A8F3-B4D8E979C5AF}"/>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DC024080-6BA6-48CB-95DF-D0C1C09106DE}"/>
    <cellStyle name="Normal 5 2 2 3 5 2 3" xfId="11986" xr:uid="{70F2B058-BE80-4777-8689-865D79764736}"/>
    <cellStyle name="Normal 5 2 2 3 5 3" xfId="5617" xr:uid="{00000000-0005-0000-0000-0000DA170000}"/>
    <cellStyle name="Normal 5 2 2 3 5 3 2" xfId="14059" xr:uid="{5858DDC8-E4FC-448C-8445-962E646DAC89}"/>
    <cellStyle name="Normal 5 2 2 3 5 4" xfId="9841" xr:uid="{C6C923D2-4DC1-4B82-B9CD-759A66CBFBA1}"/>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ACE5E5A1-CE12-46E2-A940-CBAB3C7474CD}"/>
    <cellStyle name="Normal 5 2 2 3 6 2 3" xfId="12399" xr:uid="{A033FEA2-9093-4183-AF2E-142BF607333A}"/>
    <cellStyle name="Normal 5 2 2 3 6 3" xfId="6030" xr:uid="{00000000-0005-0000-0000-0000DE170000}"/>
    <cellStyle name="Normal 5 2 2 3 6 3 2" xfId="14472" xr:uid="{FC403862-B1F2-4D96-BEB4-51020188D876}"/>
    <cellStyle name="Normal 5 2 2 3 6 4" xfId="10254" xr:uid="{5053F20C-A69B-4E74-9A8B-F2E759E98B5A}"/>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31E8A864-1F98-4DC0-99DD-333FC3861CFA}"/>
    <cellStyle name="Normal 5 2 2 3 7 2 3" xfId="12812" xr:uid="{DF4FE1CA-71CA-47E8-AF9A-CA3E5E46890A}"/>
    <cellStyle name="Normal 5 2 2 3 7 3" xfId="6443" xr:uid="{00000000-0005-0000-0000-0000E2170000}"/>
    <cellStyle name="Normal 5 2 2 3 7 3 2" xfId="14885" xr:uid="{B43A17F3-9BE0-4B70-9EEA-4688FE002411}"/>
    <cellStyle name="Normal 5 2 2 3 7 4" xfId="10667" xr:uid="{8EBA1378-7040-469A-BD4B-687AA82230E0}"/>
    <cellStyle name="Normal 5 2 2 3 8" xfId="2572" xr:uid="{00000000-0005-0000-0000-0000E3170000}"/>
    <cellStyle name="Normal 5 2 2 3 8 2" xfId="6856" xr:uid="{00000000-0005-0000-0000-0000E4170000}"/>
    <cellStyle name="Normal 5 2 2 3 8 2 2" xfId="15298" xr:uid="{2E1E1A60-2DF3-4CB9-9708-CEAE5D6FEAF0}"/>
    <cellStyle name="Normal 5 2 2 3 8 3" xfId="11080" xr:uid="{009F7CB1-CB7A-46E8-B2F1-1AB4AD21CB56}"/>
    <cellStyle name="Normal 5 2 2 3 9" xfId="4791" xr:uid="{00000000-0005-0000-0000-0000E5170000}"/>
    <cellStyle name="Normal 5 2 2 3 9 2" xfId="13233" xr:uid="{C11A9FA8-CDFE-441E-AFBB-37C15A8F585E}"/>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D2D8B07F-E254-4742-82B8-05B01A6FEDA3}"/>
    <cellStyle name="Normal 5 2 2 4 2 2 2 3" xfId="11578" xr:uid="{B43AC644-4FDC-47D0-BF1C-227350659FCA}"/>
    <cellStyle name="Normal 5 2 2 4 2 2 3" xfId="5209" xr:uid="{00000000-0005-0000-0000-0000EB170000}"/>
    <cellStyle name="Normal 5 2 2 4 2 2 3 2" xfId="13651" xr:uid="{B740C41F-DF09-4039-B042-6CE5297A9E87}"/>
    <cellStyle name="Normal 5 2 2 4 2 2 4" xfId="9433" xr:uid="{944B7FE2-2EF1-406A-B61A-DA26BCDC42EE}"/>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E5FC5EA-BEFA-434D-AF47-0A1994DA49C5}"/>
    <cellStyle name="Normal 5 2 2 4 2 3 2 3" xfId="11991" xr:uid="{4926E6D7-CA1F-4FD8-872D-2A02496D02A5}"/>
    <cellStyle name="Normal 5 2 2 4 2 3 3" xfId="5622" xr:uid="{00000000-0005-0000-0000-0000EF170000}"/>
    <cellStyle name="Normal 5 2 2 4 2 3 3 2" xfId="14064" xr:uid="{B66F850D-43EB-462D-BC9F-A8301E6DB1AA}"/>
    <cellStyle name="Normal 5 2 2 4 2 3 4" xfId="9846" xr:uid="{4A33D375-30F0-4320-BA55-2F37A4DCEEFC}"/>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67C6D670-15FC-44E8-8B47-F23C68560537}"/>
    <cellStyle name="Normal 5 2 2 4 2 4 2 3" xfId="12404" xr:uid="{DE07A582-51B6-40DD-8B20-1A1840014891}"/>
    <cellStyle name="Normal 5 2 2 4 2 4 3" xfId="6035" xr:uid="{00000000-0005-0000-0000-0000F3170000}"/>
    <cellStyle name="Normal 5 2 2 4 2 4 3 2" xfId="14477" xr:uid="{FAA6D654-1B8A-40EE-8FCE-49DC2AAB9607}"/>
    <cellStyle name="Normal 5 2 2 4 2 4 4" xfId="10259" xr:uid="{74B0B9B6-A218-4CC2-85ED-C647B95008B6}"/>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14FA0E6-6A20-46E5-BBAE-68B37F138400}"/>
    <cellStyle name="Normal 5 2 2 4 2 5 2 3" xfId="12817" xr:uid="{69B1EFC3-1E18-4285-9E31-084C5BD98A5E}"/>
    <cellStyle name="Normal 5 2 2 4 2 5 3" xfId="6448" xr:uid="{00000000-0005-0000-0000-0000F7170000}"/>
    <cellStyle name="Normal 5 2 2 4 2 5 3 2" xfId="14890" xr:uid="{D2AD70B7-E21B-46F0-AE33-3663934A4D15}"/>
    <cellStyle name="Normal 5 2 2 4 2 5 4" xfId="10672" xr:uid="{26D40941-0E42-43EC-AEF2-D75DDA20D66D}"/>
    <cellStyle name="Normal 5 2 2 4 2 6" xfId="2577" xr:uid="{00000000-0005-0000-0000-0000F8170000}"/>
    <cellStyle name="Normal 5 2 2 4 2 6 2" xfId="6861" xr:uid="{00000000-0005-0000-0000-0000F9170000}"/>
    <cellStyle name="Normal 5 2 2 4 2 6 2 2" xfId="15303" xr:uid="{40E60A05-95FC-4EB1-8DD5-DA3D4536F985}"/>
    <cellStyle name="Normal 5 2 2 4 2 6 3" xfId="11085" xr:uid="{14A9C352-2D49-46C1-8B2D-594FD326DFA5}"/>
    <cellStyle name="Normal 5 2 2 4 2 7" xfId="4796" xr:uid="{00000000-0005-0000-0000-0000FA170000}"/>
    <cellStyle name="Normal 5 2 2 4 2 7 2" xfId="13238" xr:uid="{6996007E-3526-4BA9-9002-D63E59032E19}"/>
    <cellStyle name="Normal 5 2 2 4 2 8" xfId="9020" xr:uid="{CE330E08-08ED-4449-8853-79F559E94E5C}"/>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CBA1530B-7A06-4F8E-9F98-2F329001938D}"/>
    <cellStyle name="Normal 5 2 2 4 3 2 3" xfId="11577" xr:uid="{ED1B9FFA-6758-473D-8558-75ECB16B53AB}"/>
    <cellStyle name="Normal 5 2 2 4 3 3" xfId="5208" xr:uid="{00000000-0005-0000-0000-0000FE170000}"/>
    <cellStyle name="Normal 5 2 2 4 3 3 2" xfId="13650" xr:uid="{05A90BEE-4788-4E58-A6FA-04BBAC79BCA7}"/>
    <cellStyle name="Normal 5 2 2 4 3 4" xfId="9432" xr:uid="{429B7A36-B18F-4086-A55E-E278BDC13872}"/>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F9E2453A-42C7-49B9-B82C-9F8A092ECCCB}"/>
    <cellStyle name="Normal 5 2 2 4 4 2 3" xfId="11990" xr:uid="{69DBA0B6-CC4E-406F-85CE-C86B8B835E70}"/>
    <cellStyle name="Normal 5 2 2 4 4 3" xfId="5621" xr:uid="{00000000-0005-0000-0000-000002180000}"/>
    <cellStyle name="Normal 5 2 2 4 4 3 2" xfId="14063" xr:uid="{B69E540D-C64F-4996-8539-85A78C440FB0}"/>
    <cellStyle name="Normal 5 2 2 4 4 4" xfId="9845" xr:uid="{3F1FA8A0-EFA8-462E-9B5B-5885729A26E4}"/>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AEEC7E61-BEC4-40B8-AFF0-A30DEF12C87E}"/>
    <cellStyle name="Normal 5 2 2 4 5 2 3" xfId="12403" xr:uid="{56C3C139-4DB5-4D43-8E60-968F5FF3DE7E}"/>
    <cellStyle name="Normal 5 2 2 4 5 3" xfId="6034" xr:uid="{00000000-0005-0000-0000-000006180000}"/>
    <cellStyle name="Normal 5 2 2 4 5 3 2" xfId="14476" xr:uid="{7003B7F8-42BC-4B3E-9E22-3E70C6AD46A1}"/>
    <cellStyle name="Normal 5 2 2 4 5 4" xfId="10258" xr:uid="{E01CF316-A53F-4554-9A9B-4623F1631EE9}"/>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B401B809-0341-4204-87B1-C217F7703D6A}"/>
    <cellStyle name="Normal 5 2 2 4 6 2 3" xfId="12816" xr:uid="{5177176D-D52C-4BE2-BE16-8A34F598FF41}"/>
    <cellStyle name="Normal 5 2 2 4 6 3" xfId="6447" xr:uid="{00000000-0005-0000-0000-00000A180000}"/>
    <cellStyle name="Normal 5 2 2 4 6 3 2" xfId="14889" xr:uid="{096FE734-DCEF-4515-9193-F860A9C97BF0}"/>
    <cellStyle name="Normal 5 2 2 4 6 4" xfId="10671" xr:uid="{D57354AF-1C4F-466F-ABCA-DEEA82993AD6}"/>
    <cellStyle name="Normal 5 2 2 4 7" xfId="2576" xr:uid="{00000000-0005-0000-0000-00000B180000}"/>
    <cellStyle name="Normal 5 2 2 4 7 2" xfId="6860" xr:uid="{00000000-0005-0000-0000-00000C180000}"/>
    <cellStyle name="Normal 5 2 2 4 7 2 2" xfId="15302" xr:uid="{4830F7DD-9DDD-4AC5-88E5-D549300AB368}"/>
    <cellStyle name="Normal 5 2 2 4 7 3" xfId="11084" xr:uid="{E60C8D43-1C19-491A-A942-F951749786BF}"/>
    <cellStyle name="Normal 5 2 2 4 8" xfId="4795" xr:uid="{00000000-0005-0000-0000-00000D180000}"/>
    <cellStyle name="Normal 5 2 2 4 8 2" xfId="13237" xr:uid="{80CA702B-0712-4F1A-AA8A-72D8CD70B372}"/>
    <cellStyle name="Normal 5 2 2 4 9" xfId="9019" xr:uid="{70E9A772-8A02-49CE-A1B0-F7A932DDFAC6}"/>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9F09F6B8-D91F-4ADC-908D-54FA553BBB80}"/>
    <cellStyle name="Normal 5 2 2 5 2 2 3" xfId="11579" xr:uid="{8E20AC85-C6F4-490F-83DF-74583600235B}"/>
    <cellStyle name="Normal 5 2 2 5 2 3" xfId="5210" xr:uid="{00000000-0005-0000-0000-000012180000}"/>
    <cellStyle name="Normal 5 2 2 5 2 3 2" xfId="13652" xr:uid="{7B6E2DA8-EE86-4E29-931F-227FF0077A7A}"/>
    <cellStyle name="Normal 5 2 2 5 2 4" xfId="9434" xr:uid="{FED8908A-FB16-4B8A-922D-E7C26B25B024}"/>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392F4AD8-5646-45A2-B096-A39344EA3E2F}"/>
    <cellStyle name="Normal 5 2 2 5 3 2 3" xfId="11992" xr:uid="{FC3427A5-86DB-4244-98C8-82B025243D1E}"/>
    <cellStyle name="Normal 5 2 2 5 3 3" xfId="5623" xr:uid="{00000000-0005-0000-0000-000016180000}"/>
    <cellStyle name="Normal 5 2 2 5 3 3 2" xfId="14065" xr:uid="{0F87B294-A52D-4C7F-8255-684B78606438}"/>
    <cellStyle name="Normal 5 2 2 5 3 4" xfId="9847" xr:uid="{DA0AC3E6-63C1-4080-8CA1-C5BF7639176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D7EE0A4F-E21B-49F4-B665-345D9B03D49F}"/>
    <cellStyle name="Normal 5 2 2 5 4 2 3" xfId="12405" xr:uid="{5FB8E387-0B8D-4258-98F3-6B1E0045ABC7}"/>
    <cellStyle name="Normal 5 2 2 5 4 3" xfId="6036" xr:uid="{00000000-0005-0000-0000-00001A180000}"/>
    <cellStyle name="Normal 5 2 2 5 4 3 2" xfId="14478" xr:uid="{7918330A-1F38-4A9E-B2FB-0C85F73EE6EC}"/>
    <cellStyle name="Normal 5 2 2 5 4 4" xfId="10260" xr:uid="{B832CF1A-1AA2-40F0-A8DE-616CCD332E7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F00B7222-9EF7-44B4-87E9-6E0FE3805779}"/>
    <cellStyle name="Normal 5 2 2 5 5 2 3" xfId="12818" xr:uid="{C1EAF08C-630E-41F7-9A94-8DF2A6E4D723}"/>
    <cellStyle name="Normal 5 2 2 5 5 3" xfId="6449" xr:uid="{00000000-0005-0000-0000-00001E180000}"/>
    <cellStyle name="Normal 5 2 2 5 5 3 2" xfId="14891" xr:uid="{BDBB4271-FB4E-44DC-B2B8-5DB992545EAC}"/>
    <cellStyle name="Normal 5 2 2 5 5 4" xfId="10673" xr:uid="{CC70429C-99B1-4F90-ACC0-D01BE64091B3}"/>
    <cellStyle name="Normal 5 2 2 5 6" xfId="2578" xr:uid="{00000000-0005-0000-0000-00001F180000}"/>
    <cellStyle name="Normal 5 2 2 5 6 2" xfId="6862" xr:uid="{00000000-0005-0000-0000-000020180000}"/>
    <cellStyle name="Normal 5 2 2 5 6 2 2" xfId="15304" xr:uid="{2FF08BBE-DE12-47D1-8FCA-27ECFE2B54CD}"/>
    <cellStyle name="Normal 5 2 2 5 6 3" xfId="11086" xr:uid="{EFBC6C37-B9DD-4AFC-A1DB-32A2A7AB3EDB}"/>
    <cellStyle name="Normal 5 2 2 5 7" xfId="4797" xr:uid="{00000000-0005-0000-0000-000021180000}"/>
    <cellStyle name="Normal 5 2 2 5 7 2" xfId="13239" xr:uid="{0B59D0D4-B64F-4F52-839E-DF0729C5C2EC}"/>
    <cellStyle name="Normal 5 2 2 5 8" xfId="9021" xr:uid="{5A31B04D-A08A-4758-95EB-332C99323993}"/>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44CBD1DF-293A-4233-B9FA-AD615BC344D6}"/>
    <cellStyle name="Normal 5 2 2 6 2 3" xfId="11564" xr:uid="{24376F6A-5E2A-4877-8BA6-344C9E795585}"/>
    <cellStyle name="Normal 5 2 2 6 3" xfId="5195" xr:uid="{00000000-0005-0000-0000-000025180000}"/>
    <cellStyle name="Normal 5 2 2 6 3 2" xfId="13637" xr:uid="{F6274E33-3316-41F2-9D39-917C8E62FC90}"/>
    <cellStyle name="Normal 5 2 2 6 4" xfId="9419" xr:uid="{7C2104B6-8979-4C58-BD97-C891B0EB7652}"/>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BCDA2BDC-FF5F-4BBF-8A92-7AD342D581A6}"/>
    <cellStyle name="Normal 5 2 2 7 2 3" xfId="11977" xr:uid="{1650591D-1729-4190-B1E1-62706B44F589}"/>
    <cellStyle name="Normal 5 2 2 7 3" xfId="5608" xr:uid="{00000000-0005-0000-0000-000029180000}"/>
    <cellStyle name="Normal 5 2 2 7 3 2" xfId="14050" xr:uid="{3C66C459-7334-4E18-90DB-BD8EEF2DBDA7}"/>
    <cellStyle name="Normal 5 2 2 7 4" xfId="9832" xr:uid="{DA32F628-59B8-4F32-B99E-0BC8CB190B97}"/>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11B9C7A-9B34-47B4-A0E1-AA910088E29D}"/>
    <cellStyle name="Normal 5 2 2 8 2 3" xfId="12390" xr:uid="{B9B35B86-BDAE-46F0-A36A-A4BEA817F85D}"/>
    <cellStyle name="Normal 5 2 2 8 3" xfId="6021" xr:uid="{00000000-0005-0000-0000-00002D180000}"/>
    <cellStyle name="Normal 5 2 2 8 3 2" xfId="14463" xr:uid="{8185253E-6C4A-474F-BA8A-C8F90E82DA19}"/>
    <cellStyle name="Normal 5 2 2 8 4" xfId="10245" xr:uid="{48EDCF2B-EC57-4C44-A9DA-6E78EB2FCF14}"/>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9F0D0719-2B2E-41E2-8B2A-EC23A75AE486}"/>
    <cellStyle name="Normal 5 2 2 9 2 3" xfId="12803" xr:uid="{A3B0BFC3-58EF-45F0-97D1-A5FDC5B3EEAB}"/>
    <cellStyle name="Normal 5 2 2 9 3" xfId="6434" xr:uid="{00000000-0005-0000-0000-000031180000}"/>
    <cellStyle name="Normal 5 2 2 9 3 2" xfId="14876" xr:uid="{8601940F-7613-43F3-9665-42653B99CB33}"/>
    <cellStyle name="Normal 5 2 2 9 4" xfId="10658" xr:uid="{6152D52D-8691-4A3C-B2E1-3854A97DAAEE}"/>
    <cellStyle name="Normal 5 2 3" xfId="424" xr:uid="{00000000-0005-0000-0000-000032180000}"/>
    <cellStyle name="Normal 5 2 3 10" xfId="4798" xr:uid="{00000000-0005-0000-0000-000033180000}"/>
    <cellStyle name="Normal 5 2 3 10 2" xfId="13240" xr:uid="{95AA2AD4-7E10-4C1D-AEDC-0E56DF9170A9}"/>
    <cellStyle name="Normal 5 2 3 11" xfId="9022" xr:uid="{A277CC63-FB95-497C-9162-EEC3D9B265DF}"/>
    <cellStyle name="Normal 5 2 3 2" xfId="425" xr:uid="{00000000-0005-0000-0000-000034180000}"/>
    <cellStyle name="Normal 5 2 3 2 10" xfId="9023" xr:uid="{D823C952-357A-49E3-BD82-CA865F4D49D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D3FEE6BB-FC5E-40C5-AB76-8A9F74F48853}"/>
    <cellStyle name="Normal 5 2 3 2 2 2 2 2 3" xfId="11583" xr:uid="{0254DE2B-E4E3-4281-AB67-BE00974254FA}"/>
    <cellStyle name="Normal 5 2 3 2 2 2 2 3" xfId="5214" xr:uid="{00000000-0005-0000-0000-00003A180000}"/>
    <cellStyle name="Normal 5 2 3 2 2 2 2 3 2" xfId="13656" xr:uid="{032EC709-A7A0-434D-9EC5-ED4DB63091F8}"/>
    <cellStyle name="Normal 5 2 3 2 2 2 2 4" xfId="9438" xr:uid="{2A1DA9C3-54DC-41B2-B779-DF96627A31DC}"/>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5479857C-699B-4F26-955B-9D5DC2FB9509}"/>
    <cellStyle name="Normal 5 2 3 2 2 2 3 2 3" xfId="11996" xr:uid="{73F8473B-019F-4007-8CC7-BAE876C30B05}"/>
    <cellStyle name="Normal 5 2 3 2 2 2 3 3" xfId="5627" xr:uid="{00000000-0005-0000-0000-00003E180000}"/>
    <cellStyle name="Normal 5 2 3 2 2 2 3 3 2" xfId="14069" xr:uid="{0DCBAFB9-6746-42AF-A498-FA7D389AAC56}"/>
    <cellStyle name="Normal 5 2 3 2 2 2 3 4" xfId="9851" xr:uid="{412EAE5E-FB4A-414A-8173-8C4CED324F5F}"/>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BF6BA10E-A60A-4698-9FD4-F71389C235E2}"/>
    <cellStyle name="Normal 5 2 3 2 2 2 4 2 3" xfId="12409" xr:uid="{5A1E20CA-DA84-4363-9636-C2C581CEDE88}"/>
    <cellStyle name="Normal 5 2 3 2 2 2 4 3" xfId="6040" xr:uid="{00000000-0005-0000-0000-000042180000}"/>
    <cellStyle name="Normal 5 2 3 2 2 2 4 3 2" xfId="14482" xr:uid="{78FC9993-0FF2-4840-90E3-1CD3BFA8D558}"/>
    <cellStyle name="Normal 5 2 3 2 2 2 4 4" xfId="10264" xr:uid="{7B8890E2-4591-49D3-9B71-B97249A79814}"/>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B36E7B79-6AB8-4E75-9738-D5CFF5EE9DC1}"/>
    <cellStyle name="Normal 5 2 3 2 2 2 5 2 3" xfId="12822" xr:uid="{A1EF1C1F-8092-48EE-B481-328D800DD666}"/>
    <cellStyle name="Normal 5 2 3 2 2 2 5 3" xfId="6453" xr:uid="{00000000-0005-0000-0000-000046180000}"/>
    <cellStyle name="Normal 5 2 3 2 2 2 5 3 2" xfId="14895" xr:uid="{765F0B67-7A11-4EDD-94E6-5FC7FB95FEDC}"/>
    <cellStyle name="Normal 5 2 3 2 2 2 5 4" xfId="10677" xr:uid="{C1DEC3E3-7198-4CB9-A8CD-A8CDC5EEC372}"/>
    <cellStyle name="Normal 5 2 3 2 2 2 6" xfId="2582" xr:uid="{00000000-0005-0000-0000-000047180000}"/>
    <cellStyle name="Normal 5 2 3 2 2 2 6 2" xfId="6866" xr:uid="{00000000-0005-0000-0000-000048180000}"/>
    <cellStyle name="Normal 5 2 3 2 2 2 6 2 2" xfId="15308" xr:uid="{026F582A-F7B3-4C3D-857F-024F1533FEB6}"/>
    <cellStyle name="Normal 5 2 3 2 2 2 6 3" xfId="11090" xr:uid="{A76344B1-40B2-45C6-9690-7C033AF93908}"/>
    <cellStyle name="Normal 5 2 3 2 2 2 7" xfId="4801" xr:uid="{00000000-0005-0000-0000-000049180000}"/>
    <cellStyle name="Normal 5 2 3 2 2 2 7 2" xfId="13243" xr:uid="{66DA7751-26D3-4CA1-ACD3-CBF276215F69}"/>
    <cellStyle name="Normal 5 2 3 2 2 2 8" xfId="9025" xr:uid="{8504442A-26EB-4D0C-A49B-36A9834E40B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B54DD58D-D27A-42EF-83F3-2E77DDEF9AFA}"/>
    <cellStyle name="Normal 5 2 3 2 2 3 2 3" xfId="11582" xr:uid="{EA59A138-0F1C-4362-A578-F889857BC0B6}"/>
    <cellStyle name="Normal 5 2 3 2 2 3 3" xfId="5213" xr:uid="{00000000-0005-0000-0000-00004D180000}"/>
    <cellStyle name="Normal 5 2 3 2 2 3 3 2" xfId="13655" xr:uid="{244DC4FF-EF58-48BF-B9A9-20A99C341769}"/>
    <cellStyle name="Normal 5 2 3 2 2 3 4" xfId="9437" xr:uid="{983720E6-1D28-4BD0-B1D2-DF800073B59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F4883CC2-D386-4BC8-AE96-77927C31F5CE}"/>
    <cellStyle name="Normal 5 2 3 2 2 4 2 3" xfId="11995" xr:uid="{CD6EAA32-46CB-45D4-B7A8-8A8A508F7825}"/>
    <cellStyle name="Normal 5 2 3 2 2 4 3" xfId="5626" xr:uid="{00000000-0005-0000-0000-000051180000}"/>
    <cellStyle name="Normal 5 2 3 2 2 4 3 2" xfId="14068" xr:uid="{F19D372C-C841-45F8-85FA-70FF8AEF6585}"/>
    <cellStyle name="Normal 5 2 3 2 2 4 4" xfId="9850" xr:uid="{A26C9D9A-0899-46C9-AC30-10674BF65C46}"/>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C053B7A7-2A96-4A66-92F6-CC37F30D8918}"/>
    <cellStyle name="Normal 5 2 3 2 2 5 2 3" xfId="12408" xr:uid="{C6532BAE-51F6-48AC-BEF2-D9C970B11D17}"/>
    <cellStyle name="Normal 5 2 3 2 2 5 3" xfId="6039" xr:uid="{00000000-0005-0000-0000-000055180000}"/>
    <cellStyle name="Normal 5 2 3 2 2 5 3 2" xfId="14481" xr:uid="{7A2238E1-85F2-45B6-B0DC-EA9F14C2E6A1}"/>
    <cellStyle name="Normal 5 2 3 2 2 5 4" xfId="10263" xr:uid="{E31B0F0A-BC63-400C-9DAC-ED70D0A6824B}"/>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B21B24E6-CF0E-4694-8199-BF69FDCA7A84}"/>
    <cellStyle name="Normal 5 2 3 2 2 6 2 3" xfId="12821" xr:uid="{8E187786-3623-477D-97F6-E6CB11362774}"/>
    <cellStyle name="Normal 5 2 3 2 2 6 3" xfId="6452" xr:uid="{00000000-0005-0000-0000-000059180000}"/>
    <cellStyle name="Normal 5 2 3 2 2 6 3 2" xfId="14894" xr:uid="{91482720-8EC1-4C9E-8401-9024CFB5F791}"/>
    <cellStyle name="Normal 5 2 3 2 2 6 4" xfId="10676" xr:uid="{0888BF78-903E-4672-B052-3D95A20D31AF}"/>
    <cellStyle name="Normal 5 2 3 2 2 7" xfId="2581" xr:uid="{00000000-0005-0000-0000-00005A180000}"/>
    <cellStyle name="Normal 5 2 3 2 2 7 2" xfId="6865" xr:uid="{00000000-0005-0000-0000-00005B180000}"/>
    <cellStyle name="Normal 5 2 3 2 2 7 2 2" xfId="15307" xr:uid="{21B7DAC0-57E5-4F2C-B288-702F805DE3E4}"/>
    <cellStyle name="Normal 5 2 3 2 2 7 3" xfId="11089" xr:uid="{06C0A614-F518-4572-BE5B-299511383472}"/>
    <cellStyle name="Normal 5 2 3 2 2 8" xfId="4800" xr:uid="{00000000-0005-0000-0000-00005C180000}"/>
    <cellStyle name="Normal 5 2 3 2 2 8 2" xfId="13242" xr:uid="{49308F24-4339-4DA9-B200-B063260815F1}"/>
    <cellStyle name="Normal 5 2 3 2 2 9" xfId="9024" xr:uid="{027045CA-F9B7-4A84-97C7-B028F31FF20D}"/>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1410CD27-DF00-4A8D-A663-5F0BF9CC0FB2}"/>
    <cellStyle name="Normal 5 2 3 2 3 2 2 3" xfId="11584" xr:uid="{217B0320-BFC5-43EC-8971-9925D35F49C5}"/>
    <cellStyle name="Normal 5 2 3 2 3 2 3" xfId="5215" xr:uid="{00000000-0005-0000-0000-000061180000}"/>
    <cellStyle name="Normal 5 2 3 2 3 2 3 2" xfId="13657" xr:uid="{437B7FBA-302E-4474-A97B-E0D76A4CCC5E}"/>
    <cellStyle name="Normal 5 2 3 2 3 2 4" xfId="9439" xr:uid="{8E4521FD-46D7-4E2C-8F4F-C2294DE5F7B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9575A0AE-1096-47D6-B3A9-6BEE72C24565}"/>
    <cellStyle name="Normal 5 2 3 2 3 3 2 3" xfId="11997" xr:uid="{BE3A24F2-EB4B-43C4-ACF6-943BB439E94A}"/>
    <cellStyle name="Normal 5 2 3 2 3 3 3" xfId="5628" xr:uid="{00000000-0005-0000-0000-000065180000}"/>
    <cellStyle name="Normal 5 2 3 2 3 3 3 2" xfId="14070" xr:uid="{5589493C-F3AE-449E-ABEF-338C963D96A2}"/>
    <cellStyle name="Normal 5 2 3 2 3 3 4" xfId="9852" xr:uid="{C5A621C5-03BA-4134-A9F4-6929C271DF04}"/>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23463426-52BA-4CDC-89D3-E9012EA02DD1}"/>
    <cellStyle name="Normal 5 2 3 2 3 4 2 3" xfId="12410" xr:uid="{DC1C1BEA-3BDD-4598-9814-D90868F48879}"/>
    <cellStyle name="Normal 5 2 3 2 3 4 3" xfId="6041" xr:uid="{00000000-0005-0000-0000-000069180000}"/>
    <cellStyle name="Normal 5 2 3 2 3 4 3 2" xfId="14483" xr:uid="{6AEFD70D-3E84-47D2-9AE3-2DF00A1F4E5E}"/>
    <cellStyle name="Normal 5 2 3 2 3 4 4" xfId="10265" xr:uid="{C8EB4491-7E6F-4F46-A3BC-3DD73F6174F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4E5CB024-A4F7-4880-BFD0-C3A5871FB41E}"/>
    <cellStyle name="Normal 5 2 3 2 3 5 2 3" xfId="12823" xr:uid="{F3401568-7F36-438F-82F7-B5366FBA7C4E}"/>
    <cellStyle name="Normal 5 2 3 2 3 5 3" xfId="6454" xr:uid="{00000000-0005-0000-0000-00006D180000}"/>
    <cellStyle name="Normal 5 2 3 2 3 5 3 2" xfId="14896" xr:uid="{7330A709-8E51-443D-94E6-7BE11CC72768}"/>
    <cellStyle name="Normal 5 2 3 2 3 5 4" xfId="10678" xr:uid="{8EA72F90-BB17-4FF8-9E7A-9CE2EAEFA31A}"/>
    <cellStyle name="Normal 5 2 3 2 3 6" xfId="2583" xr:uid="{00000000-0005-0000-0000-00006E180000}"/>
    <cellStyle name="Normal 5 2 3 2 3 6 2" xfId="6867" xr:uid="{00000000-0005-0000-0000-00006F180000}"/>
    <cellStyle name="Normal 5 2 3 2 3 6 2 2" xfId="15309" xr:uid="{EBDDEB79-74EC-452A-ABA0-D7002029AC23}"/>
    <cellStyle name="Normal 5 2 3 2 3 6 3" xfId="11091" xr:uid="{D7B1FF83-9039-434D-9C5E-839C2952DF52}"/>
    <cellStyle name="Normal 5 2 3 2 3 7" xfId="4802" xr:uid="{00000000-0005-0000-0000-000070180000}"/>
    <cellStyle name="Normal 5 2 3 2 3 7 2" xfId="13244" xr:uid="{4FB18F70-E85B-4FF9-93EA-7721FEC3D2BA}"/>
    <cellStyle name="Normal 5 2 3 2 3 8" xfId="9026" xr:uid="{615EBBEF-67B8-4FEE-A34D-C127E210D386}"/>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6D26079F-747F-43BC-B45A-31BA8FD41B16}"/>
    <cellStyle name="Normal 5 2 3 2 4 2 3" xfId="11581" xr:uid="{D346035E-A818-4599-A4D9-BCB286FB5ECD}"/>
    <cellStyle name="Normal 5 2 3 2 4 3" xfId="5212" xr:uid="{00000000-0005-0000-0000-000074180000}"/>
    <cellStyle name="Normal 5 2 3 2 4 3 2" xfId="13654" xr:uid="{15C9AB02-6A34-426C-93B3-98C0894B5AC5}"/>
    <cellStyle name="Normal 5 2 3 2 4 4" xfId="9436" xr:uid="{01E67E3A-3EF6-4217-B1F5-4DCC539CBA87}"/>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D80E19E3-F215-4E95-BBED-1E3108D9EE95}"/>
    <cellStyle name="Normal 5 2 3 2 5 2 3" xfId="11994" xr:uid="{2966995F-0613-4CB8-B361-3115AFD202D9}"/>
    <cellStyle name="Normal 5 2 3 2 5 3" xfId="5625" xr:uid="{00000000-0005-0000-0000-000078180000}"/>
    <cellStyle name="Normal 5 2 3 2 5 3 2" xfId="14067" xr:uid="{C7DB37E1-504F-419A-82AD-CC49FDDCFCFC}"/>
    <cellStyle name="Normal 5 2 3 2 5 4" xfId="9849" xr:uid="{BA6CDB4F-4612-427A-BBB7-2DE51460A54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A9579AA-94D4-4F62-97ED-D4A697E519E2}"/>
    <cellStyle name="Normal 5 2 3 2 6 2 3" xfId="12407" xr:uid="{E1E862F1-AD08-4E8B-BA58-325F67865A25}"/>
    <cellStyle name="Normal 5 2 3 2 6 3" xfId="6038" xr:uid="{00000000-0005-0000-0000-00007C180000}"/>
    <cellStyle name="Normal 5 2 3 2 6 3 2" xfId="14480" xr:uid="{B6901BC1-C7B3-4F2F-B4A9-16302391C113}"/>
    <cellStyle name="Normal 5 2 3 2 6 4" xfId="10262" xr:uid="{6FD1665C-82F7-4CA1-B5B9-DA3FFDDB403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16BF24EC-2E76-4437-B23A-DBFCD31F0B65}"/>
    <cellStyle name="Normal 5 2 3 2 7 2 3" xfId="12820" xr:uid="{41E4F3E8-B059-4D7E-ABE4-388C57727CA4}"/>
    <cellStyle name="Normal 5 2 3 2 7 3" xfId="6451" xr:uid="{00000000-0005-0000-0000-000080180000}"/>
    <cellStyle name="Normal 5 2 3 2 7 3 2" xfId="14893" xr:uid="{8AF2CB5E-3071-4FF3-9940-58D9EB675FF6}"/>
    <cellStyle name="Normal 5 2 3 2 7 4" xfId="10675" xr:uid="{9C709BB1-E2BD-4CB1-8E08-2B8A3E273A3F}"/>
    <cellStyle name="Normal 5 2 3 2 8" xfId="2580" xr:uid="{00000000-0005-0000-0000-000081180000}"/>
    <cellStyle name="Normal 5 2 3 2 8 2" xfId="6864" xr:uid="{00000000-0005-0000-0000-000082180000}"/>
    <cellStyle name="Normal 5 2 3 2 8 2 2" xfId="15306" xr:uid="{283772DF-23B8-4517-A1E5-35AB53D5AFD1}"/>
    <cellStyle name="Normal 5 2 3 2 8 3" xfId="11088" xr:uid="{60843618-3A38-46CC-B3FA-11A0495FA190}"/>
    <cellStyle name="Normal 5 2 3 2 9" xfId="4799" xr:uid="{00000000-0005-0000-0000-000083180000}"/>
    <cellStyle name="Normal 5 2 3 2 9 2" xfId="13241" xr:uid="{D259EE9F-1CBC-43AC-A38C-9F0EE9612B32}"/>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EEA67CF5-75EE-491C-9BFE-B9E36EC09123}"/>
    <cellStyle name="Normal 5 2 3 3 2 2 2 3" xfId="11586" xr:uid="{A7E7F5DD-D06F-44E9-A803-522AB9637099}"/>
    <cellStyle name="Normal 5 2 3 3 2 2 3" xfId="5217" xr:uid="{00000000-0005-0000-0000-000089180000}"/>
    <cellStyle name="Normal 5 2 3 3 2 2 3 2" xfId="13659" xr:uid="{08E938B5-00BA-4004-8326-4772940F6554}"/>
    <cellStyle name="Normal 5 2 3 3 2 2 4" xfId="9441" xr:uid="{11AE59DB-342F-40CC-8A1F-E84F4DC36957}"/>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2091CBF0-68DA-47E5-8270-FD13F8F45FEE}"/>
    <cellStyle name="Normal 5 2 3 3 2 3 2 3" xfId="11999" xr:uid="{477A0649-0262-4B42-BBC7-D3F211074638}"/>
    <cellStyle name="Normal 5 2 3 3 2 3 3" xfId="5630" xr:uid="{00000000-0005-0000-0000-00008D180000}"/>
    <cellStyle name="Normal 5 2 3 3 2 3 3 2" xfId="14072" xr:uid="{448E311F-4DFA-435F-A12D-B258DEC9F553}"/>
    <cellStyle name="Normal 5 2 3 3 2 3 4" xfId="9854" xr:uid="{6B4267C3-742B-49FA-A663-67E91E93CCB4}"/>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141D96F7-55B8-4710-AC07-5409A4FCEC20}"/>
    <cellStyle name="Normal 5 2 3 3 2 4 2 3" xfId="12412" xr:uid="{67E6E919-7FC0-4E20-B3C1-BBA1801F2DE3}"/>
    <cellStyle name="Normal 5 2 3 3 2 4 3" xfId="6043" xr:uid="{00000000-0005-0000-0000-000091180000}"/>
    <cellStyle name="Normal 5 2 3 3 2 4 3 2" xfId="14485" xr:uid="{12DCD212-A549-4A06-937D-B2891AB729CD}"/>
    <cellStyle name="Normal 5 2 3 3 2 4 4" xfId="10267" xr:uid="{8C113D48-BFAB-472D-94E7-307076286E07}"/>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99B25C38-65E7-4F20-9F67-6649FE31004A}"/>
    <cellStyle name="Normal 5 2 3 3 2 5 2 3" xfId="12825" xr:uid="{F55D3CB2-2826-4FF9-B1D4-85E84765CFAE}"/>
    <cellStyle name="Normal 5 2 3 3 2 5 3" xfId="6456" xr:uid="{00000000-0005-0000-0000-000095180000}"/>
    <cellStyle name="Normal 5 2 3 3 2 5 3 2" xfId="14898" xr:uid="{0EF7857C-71E0-49E0-9E3D-B6628396FF39}"/>
    <cellStyle name="Normal 5 2 3 3 2 5 4" xfId="10680" xr:uid="{6CF7AD11-001C-4A47-BBAA-399454CE452F}"/>
    <cellStyle name="Normal 5 2 3 3 2 6" xfId="2585" xr:uid="{00000000-0005-0000-0000-000096180000}"/>
    <cellStyle name="Normal 5 2 3 3 2 6 2" xfId="6869" xr:uid="{00000000-0005-0000-0000-000097180000}"/>
    <cellStyle name="Normal 5 2 3 3 2 6 2 2" xfId="15311" xr:uid="{3AC38ED0-2A08-4814-BE8D-83B990323DEE}"/>
    <cellStyle name="Normal 5 2 3 3 2 6 3" xfId="11093" xr:uid="{AE1D334C-B90C-4F2E-B02C-2A956787639E}"/>
    <cellStyle name="Normal 5 2 3 3 2 7" xfId="4804" xr:uid="{00000000-0005-0000-0000-000098180000}"/>
    <cellStyle name="Normal 5 2 3 3 2 7 2" xfId="13246" xr:uid="{BC756409-8425-4402-B1F0-7675B7788320}"/>
    <cellStyle name="Normal 5 2 3 3 2 8" xfId="9028" xr:uid="{03F7C3B0-9954-498E-8513-02645638CA1C}"/>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54477B58-B66C-4797-B551-B44268AB9821}"/>
    <cellStyle name="Normal 5 2 3 3 3 2 3" xfId="11585" xr:uid="{2962E068-6723-49FD-A090-987F67A4DF98}"/>
    <cellStyle name="Normal 5 2 3 3 3 3" xfId="5216" xr:uid="{00000000-0005-0000-0000-00009C180000}"/>
    <cellStyle name="Normal 5 2 3 3 3 3 2" xfId="13658" xr:uid="{19F55F09-6803-4925-B4A4-38D74B971005}"/>
    <cellStyle name="Normal 5 2 3 3 3 4" xfId="9440" xr:uid="{1981CAB7-C4C6-45DA-B143-E5FA6097E8F5}"/>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342E800A-8683-431D-B5FF-55231ED2BDC0}"/>
    <cellStyle name="Normal 5 2 3 3 4 2 3" xfId="11998" xr:uid="{FF356505-3031-4385-A682-5AE94A49D02A}"/>
    <cellStyle name="Normal 5 2 3 3 4 3" xfId="5629" xr:uid="{00000000-0005-0000-0000-0000A0180000}"/>
    <cellStyle name="Normal 5 2 3 3 4 3 2" xfId="14071" xr:uid="{95312DDE-B98A-4EE6-B3A6-6DA24AA55E14}"/>
    <cellStyle name="Normal 5 2 3 3 4 4" xfId="9853" xr:uid="{637D3D77-8FFA-4D14-A419-F2A81D95C142}"/>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5ADCAF01-8397-4C31-8C0B-356FC2A18052}"/>
    <cellStyle name="Normal 5 2 3 3 5 2 3" xfId="12411" xr:uid="{39F975C3-9B0B-45C9-819A-47237BF76877}"/>
    <cellStyle name="Normal 5 2 3 3 5 3" xfId="6042" xr:uid="{00000000-0005-0000-0000-0000A4180000}"/>
    <cellStyle name="Normal 5 2 3 3 5 3 2" xfId="14484" xr:uid="{5ABD2091-1EA1-4D6E-A487-C07A6836C844}"/>
    <cellStyle name="Normal 5 2 3 3 5 4" xfId="10266" xr:uid="{3D8504CD-2068-4364-B0F9-1CA58F1C126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761BFEA5-2330-435A-BCF3-B69F8BC54775}"/>
    <cellStyle name="Normal 5 2 3 3 6 2 3" xfId="12824" xr:uid="{202668A2-5346-4178-84F8-F32A92C966AE}"/>
    <cellStyle name="Normal 5 2 3 3 6 3" xfId="6455" xr:uid="{00000000-0005-0000-0000-0000A8180000}"/>
    <cellStyle name="Normal 5 2 3 3 6 3 2" xfId="14897" xr:uid="{8533D67E-C65E-4237-84F1-1181239F1C8D}"/>
    <cellStyle name="Normal 5 2 3 3 6 4" xfId="10679" xr:uid="{165436A7-B338-45F1-93AA-B1CCDDF9C441}"/>
    <cellStyle name="Normal 5 2 3 3 7" xfId="2584" xr:uid="{00000000-0005-0000-0000-0000A9180000}"/>
    <cellStyle name="Normal 5 2 3 3 7 2" xfId="6868" xr:uid="{00000000-0005-0000-0000-0000AA180000}"/>
    <cellStyle name="Normal 5 2 3 3 7 2 2" xfId="15310" xr:uid="{1AD4762D-8AA6-4FBD-B4DD-EDD731F9992B}"/>
    <cellStyle name="Normal 5 2 3 3 7 3" xfId="11092" xr:uid="{EAD2B30E-8F1D-4DAB-A560-946FF612D6EC}"/>
    <cellStyle name="Normal 5 2 3 3 8" xfId="4803" xr:uid="{00000000-0005-0000-0000-0000AB180000}"/>
    <cellStyle name="Normal 5 2 3 3 8 2" xfId="13245" xr:uid="{B6397137-54D7-4090-B430-9C042989BFD8}"/>
    <cellStyle name="Normal 5 2 3 3 9" xfId="9027" xr:uid="{F60097AE-70C5-48C8-A62B-C8C4BA4895E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A9A68261-39F0-4EE5-9BDD-5EA32B3958DE}"/>
    <cellStyle name="Normal 5 2 3 4 2 2 3" xfId="11587" xr:uid="{3479FBF8-89B9-4777-B21C-7821CAA6CB85}"/>
    <cellStyle name="Normal 5 2 3 4 2 3" xfId="5218" xr:uid="{00000000-0005-0000-0000-0000B0180000}"/>
    <cellStyle name="Normal 5 2 3 4 2 3 2" xfId="13660" xr:uid="{84D94B68-0D06-4810-91B0-AC4DC751965C}"/>
    <cellStyle name="Normal 5 2 3 4 2 4" xfId="9442" xr:uid="{738EC40A-4D7F-4F43-B2AA-CADF778A3FFA}"/>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71E9E5DE-BE2B-4294-BF5E-271CE0A525EF}"/>
    <cellStyle name="Normal 5 2 3 4 3 2 3" xfId="12000" xr:uid="{B0716F3C-7C07-4C96-96B6-0A801393FA3B}"/>
    <cellStyle name="Normal 5 2 3 4 3 3" xfId="5631" xr:uid="{00000000-0005-0000-0000-0000B4180000}"/>
    <cellStyle name="Normal 5 2 3 4 3 3 2" xfId="14073" xr:uid="{D9C2B208-B18F-4CE0-B7D3-532C64A36572}"/>
    <cellStyle name="Normal 5 2 3 4 3 4" xfId="9855" xr:uid="{A37312FF-15B2-485A-BD10-C341BB18EBF5}"/>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0892E2DF-2B44-44EF-9D78-D64C92FC283E}"/>
    <cellStyle name="Normal 5 2 3 4 4 2 3" xfId="12413" xr:uid="{990B02B2-7B55-4241-B389-8F3A71B470BF}"/>
    <cellStyle name="Normal 5 2 3 4 4 3" xfId="6044" xr:uid="{00000000-0005-0000-0000-0000B8180000}"/>
    <cellStyle name="Normal 5 2 3 4 4 3 2" xfId="14486" xr:uid="{3CCDEF85-1D38-4C65-9E8B-66B981BF8735}"/>
    <cellStyle name="Normal 5 2 3 4 4 4" xfId="10268" xr:uid="{4ECBF130-B335-420A-812E-5B126E1CDA0B}"/>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48E4E01E-CEE7-4EE4-8C4B-CC1854D88E78}"/>
    <cellStyle name="Normal 5 2 3 4 5 2 3" xfId="12826" xr:uid="{51D4F56B-EA37-4EF0-961A-7B6D9058C87F}"/>
    <cellStyle name="Normal 5 2 3 4 5 3" xfId="6457" xr:uid="{00000000-0005-0000-0000-0000BC180000}"/>
    <cellStyle name="Normal 5 2 3 4 5 3 2" xfId="14899" xr:uid="{F3DBB7A0-8534-42F2-99B4-377D84E02677}"/>
    <cellStyle name="Normal 5 2 3 4 5 4" xfId="10681" xr:uid="{1BED143C-1CA7-429A-8A11-98D2619C009C}"/>
    <cellStyle name="Normal 5 2 3 4 6" xfId="2586" xr:uid="{00000000-0005-0000-0000-0000BD180000}"/>
    <cellStyle name="Normal 5 2 3 4 6 2" xfId="6870" xr:uid="{00000000-0005-0000-0000-0000BE180000}"/>
    <cellStyle name="Normal 5 2 3 4 6 2 2" xfId="15312" xr:uid="{C3619041-220D-4DF7-BDF3-D59BFEADD03F}"/>
    <cellStyle name="Normal 5 2 3 4 6 3" xfId="11094" xr:uid="{348CD946-7235-4B82-B0FA-4678F08A5C9D}"/>
    <cellStyle name="Normal 5 2 3 4 7" xfId="4805" xr:uid="{00000000-0005-0000-0000-0000BF180000}"/>
    <cellStyle name="Normal 5 2 3 4 7 2" xfId="13247" xr:uid="{3E109216-92C9-461C-9DB6-9B2180DE38CA}"/>
    <cellStyle name="Normal 5 2 3 4 8" xfId="9029" xr:uid="{2D3FFF3D-0AB9-40E0-91F1-472B1C636DEB}"/>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47C82BD7-AD16-4340-A0D5-E3B842A6E154}"/>
    <cellStyle name="Normal 5 2 3 5 2 3" xfId="11580" xr:uid="{C573C779-9B2D-4128-AFE4-54E5A602D0F6}"/>
    <cellStyle name="Normal 5 2 3 5 3" xfId="5211" xr:uid="{00000000-0005-0000-0000-0000C3180000}"/>
    <cellStyle name="Normal 5 2 3 5 3 2" xfId="13653" xr:uid="{6C7FB563-C684-4A03-9CFE-777A08C4AB10}"/>
    <cellStyle name="Normal 5 2 3 5 4" xfId="9435" xr:uid="{C89EB451-8B0F-4CAF-BB22-7A40B458EC4E}"/>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5BD5AB11-F342-452D-8A8D-A0203E045D57}"/>
    <cellStyle name="Normal 5 2 3 6 2 3" xfId="11993" xr:uid="{A30B704D-FB1F-48D5-B8CF-B93CF3BB3F97}"/>
    <cellStyle name="Normal 5 2 3 6 3" xfId="5624" xr:uid="{00000000-0005-0000-0000-0000C7180000}"/>
    <cellStyle name="Normal 5 2 3 6 3 2" xfId="14066" xr:uid="{F8AA0C74-6D58-4952-9684-01B2DB08A664}"/>
    <cellStyle name="Normal 5 2 3 6 4" xfId="9848" xr:uid="{02ED3DE0-8075-432F-9DA3-8B0308C53614}"/>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65488917-E1C5-40C8-99F5-0B04BC18033E}"/>
    <cellStyle name="Normal 5 2 3 7 2 3" xfId="12406" xr:uid="{DF359D31-5BD8-4657-99AF-0C782DE0074D}"/>
    <cellStyle name="Normal 5 2 3 7 3" xfId="6037" xr:uid="{00000000-0005-0000-0000-0000CB180000}"/>
    <cellStyle name="Normal 5 2 3 7 3 2" xfId="14479" xr:uid="{D14FBEC8-461C-426F-88DF-9154D4175D8F}"/>
    <cellStyle name="Normal 5 2 3 7 4" xfId="10261" xr:uid="{45A05185-65C1-49B5-9B18-AA1953B4ED62}"/>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821C5CE6-0A14-4F43-9855-976B5947B35F}"/>
    <cellStyle name="Normal 5 2 3 8 2 3" xfId="12819" xr:uid="{332A19A0-64D5-4EA4-9C09-979012F84AD4}"/>
    <cellStyle name="Normal 5 2 3 8 3" xfId="6450" xr:uid="{00000000-0005-0000-0000-0000CF180000}"/>
    <cellStyle name="Normal 5 2 3 8 3 2" xfId="14892" xr:uid="{A43802BE-9806-4497-9D95-F7B3B6309C30}"/>
    <cellStyle name="Normal 5 2 3 8 4" xfId="10674" xr:uid="{DBBEA137-B9CE-432F-80D7-154694537958}"/>
    <cellStyle name="Normal 5 2 3 9" xfId="2579" xr:uid="{00000000-0005-0000-0000-0000D0180000}"/>
    <cellStyle name="Normal 5 2 3 9 2" xfId="6863" xr:uid="{00000000-0005-0000-0000-0000D1180000}"/>
    <cellStyle name="Normal 5 2 3 9 2 2" xfId="15305" xr:uid="{8420DFC3-095B-46A9-AF66-D37BCAA89E21}"/>
    <cellStyle name="Normal 5 2 3 9 3" xfId="11087" xr:uid="{2625E157-D14B-45D4-8E7E-46A2AFD90ED2}"/>
    <cellStyle name="Normal 5 2 4" xfId="432" xr:uid="{00000000-0005-0000-0000-0000D2180000}"/>
    <cellStyle name="Normal 5 2 4 10" xfId="9030" xr:uid="{677D4417-8781-436D-8829-4DF871E2595B}"/>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901A2BF4-EEE4-40F6-9C52-7CD971D48B7B}"/>
    <cellStyle name="Normal 5 2 4 2 2 2 2 3" xfId="11590" xr:uid="{8AC10F38-A13E-428D-ADAE-128900BC812F}"/>
    <cellStyle name="Normal 5 2 4 2 2 2 3" xfId="5221" xr:uid="{00000000-0005-0000-0000-0000D8180000}"/>
    <cellStyle name="Normal 5 2 4 2 2 2 3 2" xfId="13663" xr:uid="{52E89120-355A-4CFB-850E-D8AD81509B8A}"/>
    <cellStyle name="Normal 5 2 4 2 2 2 4" xfId="9445" xr:uid="{CCCF28FA-FC0F-42CE-B3D2-F8C84D855915}"/>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17C221C7-E5FA-4FEC-A4F0-33F52BA7D1C9}"/>
    <cellStyle name="Normal 5 2 4 2 2 3 2 3" xfId="12003" xr:uid="{8BCE9576-1AFE-4E1E-967C-1FCAC21AF9D5}"/>
    <cellStyle name="Normal 5 2 4 2 2 3 3" xfId="5634" xr:uid="{00000000-0005-0000-0000-0000DC180000}"/>
    <cellStyle name="Normal 5 2 4 2 2 3 3 2" xfId="14076" xr:uid="{707AC4D9-59D0-4E30-BFE6-A8AC94FADCED}"/>
    <cellStyle name="Normal 5 2 4 2 2 3 4" xfId="9858" xr:uid="{51CA00D2-8F84-4F4A-ABFE-0FDD86C134FE}"/>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6550CF4A-83CD-46DD-80B2-109AC09C35FF}"/>
    <cellStyle name="Normal 5 2 4 2 2 4 2 3" xfId="12416" xr:uid="{F40D4DDE-3E86-4050-B190-F34C0E966ECE}"/>
    <cellStyle name="Normal 5 2 4 2 2 4 3" xfId="6047" xr:uid="{00000000-0005-0000-0000-0000E0180000}"/>
    <cellStyle name="Normal 5 2 4 2 2 4 3 2" xfId="14489" xr:uid="{57872D7C-F63C-4587-A70B-BBEF55D942DE}"/>
    <cellStyle name="Normal 5 2 4 2 2 4 4" xfId="10271" xr:uid="{EC42BC4F-0B2F-4F7E-B543-F693E383E08A}"/>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4D1E3057-EF60-48AE-8A56-9FB2133D4A1C}"/>
    <cellStyle name="Normal 5 2 4 2 2 5 2 3" xfId="12829" xr:uid="{F9F7172C-A556-42DF-B5C9-A0EEC5125F7F}"/>
    <cellStyle name="Normal 5 2 4 2 2 5 3" xfId="6460" xr:uid="{00000000-0005-0000-0000-0000E4180000}"/>
    <cellStyle name="Normal 5 2 4 2 2 5 3 2" xfId="14902" xr:uid="{F8064EF3-2471-4B1F-AB27-BA52889B4F75}"/>
    <cellStyle name="Normal 5 2 4 2 2 5 4" xfId="10684" xr:uid="{A9943581-5EDC-4181-AF65-9B9D5178EE07}"/>
    <cellStyle name="Normal 5 2 4 2 2 6" xfId="2589" xr:uid="{00000000-0005-0000-0000-0000E5180000}"/>
    <cellStyle name="Normal 5 2 4 2 2 6 2" xfId="6873" xr:uid="{00000000-0005-0000-0000-0000E6180000}"/>
    <cellStyle name="Normal 5 2 4 2 2 6 2 2" xfId="15315" xr:uid="{B9A24922-8243-4E89-B9FA-48BAE5434ED3}"/>
    <cellStyle name="Normal 5 2 4 2 2 6 3" xfId="11097" xr:uid="{88A37FE4-8225-49D1-9383-D58BB73DD44C}"/>
    <cellStyle name="Normal 5 2 4 2 2 7" xfId="4808" xr:uid="{00000000-0005-0000-0000-0000E7180000}"/>
    <cellStyle name="Normal 5 2 4 2 2 7 2" xfId="13250" xr:uid="{7E9863DE-C3AC-4C25-908B-B7C05B6231D2}"/>
    <cellStyle name="Normal 5 2 4 2 2 8" xfId="9032" xr:uid="{18805095-B85A-494F-8886-E0702147E11D}"/>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E843B505-85FC-4BF1-B7CB-E4C652D0E332}"/>
    <cellStyle name="Normal 5 2 4 2 3 2 3" xfId="11589" xr:uid="{189E62C1-FDF5-41E3-88C7-83A67B3D5B10}"/>
    <cellStyle name="Normal 5 2 4 2 3 3" xfId="5220" xr:uid="{00000000-0005-0000-0000-0000EB180000}"/>
    <cellStyle name="Normal 5 2 4 2 3 3 2" xfId="13662" xr:uid="{0B7A3572-D3C1-48C8-B8F4-26D00CD59A85}"/>
    <cellStyle name="Normal 5 2 4 2 3 4" xfId="9444" xr:uid="{1AA81BD3-5CD7-440A-A254-C931C4BB8C51}"/>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24A1B187-6DA8-4016-829F-87E64CFED0A7}"/>
    <cellStyle name="Normal 5 2 4 2 4 2 3" xfId="12002" xr:uid="{D819DDA8-966C-4AC2-8C3C-73B23FB89885}"/>
    <cellStyle name="Normal 5 2 4 2 4 3" xfId="5633" xr:uid="{00000000-0005-0000-0000-0000EF180000}"/>
    <cellStyle name="Normal 5 2 4 2 4 3 2" xfId="14075" xr:uid="{364BACA7-1E32-4148-8140-0E41A880A734}"/>
    <cellStyle name="Normal 5 2 4 2 4 4" xfId="9857" xr:uid="{6893D984-A546-4353-A349-E2D641C68642}"/>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56B88305-53C7-4F0F-B6F6-EED3506D9576}"/>
    <cellStyle name="Normal 5 2 4 2 5 2 3" xfId="12415" xr:uid="{A2961EDC-08D5-4255-9135-7F4E2864012D}"/>
    <cellStyle name="Normal 5 2 4 2 5 3" xfId="6046" xr:uid="{00000000-0005-0000-0000-0000F3180000}"/>
    <cellStyle name="Normal 5 2 4 2 5 3 2" xfId="14488" xr:uid="{84D4484A-B7F8-43A0-9D9D-5EAF93EAC15A}"/>
    <cellStyle name="Normal 5 2 4 2 5 4" xfId="10270" xr:uid="{5AD8F05F-1AB1-40B2-9215-C1FE7CCF019A}"/>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4F52A850-14CD-4CB4-9BAA-10ACFD03E2DA}"/>
    <cellStyle name="Normal 5 2 4 2 6 2 3" xfId="12828" xr:uid="{E189584E-6A18-469A-8CE3-3ED8F5F8A203}"/>
    <cellStyle name="Normal 5 2 4 2 6 3" xfId="6459" xr:uid="{00000000-0005-0000-0000-0000F7180000}"/>
    <cellStyle name="Normal 5 2 4 2 6 3 2" xfId="14901" xr:uid="{ABE0E0F7-CFAC-4796-A07E-98E71E91838D}"/>
    <cellStyle name="Normal 5 2 4 2 6 4" xfId="10683" xr:uid="{5BF23E80-47F1-470A-B276-8C827080827A}"/>
    <cellStyle name="Normal 5 2 4 2 7" xfId="2588" xr:uid="{00000000-0005-0000-0000-0000F8180000}"/>
    <cellStyle name="Normal 5 2 4 2 7 2" xfId="6872" xr:uid="{00000000-0005-0000-0000-0000F9180000}"/>
    <cellStyle name="Normal 5 2 4 2 7 2 2" xfId="15314" xr:uid="{32ED9508-846D-4964-B051-A6C5761F4B0A}"/>
    <cellStyle name="Normal 5 2 4 2 7 3" xfId="11096" xr:uid="{AD517AB1-0EE5-48E9-83F0-CA3AC2F320AB}"/>
    <cellStyle name="Normal 5 2 4 2 8" xfId="4807" xr:uid="{00000000-0005-0000-0000-0000FA180000}"/>
    <cellStyle name="Normal 5 2 4 2 8 2" xfId="13249" xr:uid="{BB5CE3E4-6923-4E8C-AA1E-B205D13271AE}"/>
    <cellStyle name="Normal 5 2 4 2 9" xfId="9031" xr:uid="{7EE881E5-D6F0-4305-8DA2-C7BE85CB8BDC}"/>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360E0055-8C62-41F9-8461-92740E97398A}"/>
    <cellStyle name="Normal 5 2 4 3 2 2 3" xfId="11591" xr:uid="{8890E24D-08C5-4488-8AB7-E5993E65D3C4}"/>
    <cellStyle name="Normal 5 2 4 3 2 3" xfId="5222" xr:uid="{00000000-0005-0000-0000-0000FF180000}"/>
    <cellStyle name="Normal 5 2 4 3 2 3 2" xfId="13664" xr:uid="{6B34DC88-71EF-4E38-A9C6-C9F13C550423}"/>
    <cellStyle name="Normal 5 2 4 3 2 4" xfId="9446" xr:uid="{20C0FCE1-0844-48F7-8CB9-D231260B943C}"/>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BFC95A6C-B258-4705-9AA4-E8E55442EEEE}"/>
    <cellStyle name="Normal 5 2 4 3 3 2 3" xfId="12004" xr:uid="{BD514FB4-7D1D-4AFF-9765-794B5A424E1C}"/>
    <cellStyle name="Normal 5 2 4 3 3 3" xfId="5635" xr:uid="{00000000-0005-0000-0000-000003190000}"/>
    <cellStyle name="Normal 5 2 4 3 3 3 2" xfId="14077" xr:uid="{D402BD7D-D2BB-49CD-8181-AF59FFEE0F93}"/>
    <cellStyle name="Normal 5 2 4 3 3 4" xfId="9859" xr:uid="{B335BB7E-F97B-4F37-95FD-ABA8480E776D}"/>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8CAB5114-C8C9-4F04-8D00-AD45657F51A2}"/>
    <cellStyle name="Normal 5 2 4 3 4 2 3" xfId="12417" xr:uid="{837B0C1C-5C47-46EC-8338-6864C85BE798}"/>
    <cellStyle name="Normal 5 2 4 3 4 3" xfId="6048" xr:uid="{00000000-0005-0000-0000-000007190000}"/>
    <cellStyle name="Normal 5 2 4 3 4 3 2" xfId="14490" xr:uid="{013DF1A6-61F8-4FD2-A9F6-FC753120B982}"/>
    <cellStyle name="Normal 5 2 4 3 4 4" xfId="10272" xr:uid="{B2663EEB-6A59-4051-976C-270B206A8843}"/>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2077EFC9-12BD-4570-AA55-A683FD75A4E1}"/>
    <cellStyle name="Normal 5 2 4 3 5 2 3" xfId="12830" xr:uid="{2B0B62B3-0F6D-4856-9900-A6DC588DC9BD}"/>
    <cellStyle name="Normal 5 2 4 3 5 3" xfId="6461" xr:uid="{00000000-0005-0000-0000-00000B190000}"/>
    <cellStyle name="Normal 5 2 4 3 5 3 2" xfId="14903" xr:uid="{CE8EE2E0-AEF4-4EBF-95D8-869107E98A99}"/>
    <cellStyle name="Normal 5 2 4 3 5 4" xfId="10685" xr:uid="{0A4D6AC1-9820-4B5A-8929-C3A39E512765}"/>
    <cellStyle name="Normal 5 2 4 3 6" xfId="2590" xr:uid="{00000000-0005-0000-0000-00000C190000}"/>
    <cellStyle name="Normal 5 2 4 3 6 2" xfId="6874" xr:uid="{00000000-0005-0000-0000-00000D190000}"/>
    <cellStyle name="Normal 5 2 4 3 6 2 2" xfId="15316" xr:uid="{068D3A8D-7F12-4BEE-BD7D-FB82919087CC}"/>
    <cellStyle name="Normal 5 2 4 3 6 3" xfId="11098" xr:uid="{4A6217D3-33D9-4640-A764-6ACF3F8E136F}"/>
    <cellStyle name="Normal 5 2 4 3 7" xfId="4809" xr:uid="{00000000-0005-0000-0000-00000E190000}"/>
    <cellStyle name="Normal 5 2 4 3 7 2" xfId="13251" xr:uid="{61397F4B-C7E2-4A7A-9693-0115D3170C62}"/>
    <cellStyle name="Normal 5 2 4 3 8" xfId="9033" xr:uid="{634C8C84-C5BA-4F8E-9869-5688E2F92F62}"/>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AB668138-9828-4CF8-8E66-4D9357A2B24A}"/>
    <cellStyle name="Normal 5 2 4 4 2 3" xfId="11588" xr:uid="{E69A168B-654D-4D61-B34A-90ED1B35551E}"/>
    <cellStyle name="Normal 5 2 4 4 3" xfId="5219" xr:uid="{00000000-0005-0000-0000-000012190000}"/>
    <cellStyle name="Normal 5 2 4 4 3 2" xfId="13661" xr:uid="{10401C6D-4D1B-4D2C-B657-6B1673FFA94B}"/>
    <cellStyle name="Normal 5 2 4 4 4" xfId="9443" xr:uid="{D79C5017-05C8-4E29-A4BE-17D70995B920}"/>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A56E1195-D6A2-447D-B7DE-4C583A002B1F}"/>
    <cellStyle name="Normal 5 2 4 5 2 3" xfId="12001" xr:uid="{DD9C5B3B-182B-4A26-95F5-BF1CCCF59BBB}"/>
    <cellStyle name="Normal 5 2 4 5 3" xfId="5632" xr:uid="{00000000-0005-0000-0000-000016190000}"/>
    <cellStyle name="Normal 5 2 4 5 3 2" xfId="14074" xr:uid="{E2BE013D-8223-4923-A66D-211C55E1538F}"/>
    <cellStyle name="Normal 5 2 4 5 4" xfId="9856" xr:uid="{5F22DFF2-814F-4FB7-999A-277A440E16D7}"/>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3BF8E44A-BBFB-4C02-8504-B33722F11F31}"/>
    <cellStyle name="Normal 5 2 4 6 2 3" xfId="12414" xr:uid="{81817959-0D66-4CDF-8DD9-06EC0615EAAC}"/>
    <cellStyle name="Normal 5 2 4 6 3" xfId="6045" xr:uid="{00000000-0005-0000-0000-00001A190000}"/>
    <cellStyle name="Normal 5 2 4 6 3 2" xfId="14487" xr:uid="{325FEB86-5B74-4517-BA5D-5426C2D110E5}"/>
    <cellStyle name="Normal 5 2 4 6 4" xfId="10269" xr:uid="{CFA2FB3B-396F-41B5-804D-8CDC096CF92F}"/>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20C1D71D-1E6A-4891-9C21-0368B5D14189}"/>
    <cellStyle name="Normal 5 2 4 7 2 3" xfId="12827" xr:uid="{FF0EE157-2819-4603-902C-DBE1D9856E76}"/>
    <cellStyle name="Normal 5 2 4 7 3" xfId="6458" xr:uid="{00000000-0005-0000-0000-00001E190000}"/>
    <cellStyle name="Normal 5 2 4 7 3 2" xfId="14900" xr:uid="{81D33551-58AC-46A2-8393-B883F65ABE95}"/>
    <cellStyle name="Normal 5 2 4 7 4" xfId="10682" xr:uid="{C9FE7808-096D-4AC5-BDF4-BACE2B8D3DA6}"/>
    <cellStyle name="Normal 5 2 4 8" xfId="2587" xr:uid="{00000000-0005-0000-0000-00001F190000}"/>
    <cellStyle name="Normal 5 2 4 8 2" xfId="6871" xr:uid="{00000000-0005-0000-0000-000020190000}"/>
    <cellStyle name="Normal 5 2 4 8 2 2" xfId="15313" xr:uid="{9126FBC6-30F4-46A4-86A0-14EA38E84D8A}"/>
    <cellStyle name="Normal 5 2 4 8 3" xfId="11095" xr:uid="{B68FF805-FE56-4EB2-8166-B2F3507C994A}"/>
    <cellStyle name="Normal 5 2 4 9" xfId="4806" xr:uid="{00000000-0005-0000-0000-000021190000}"/>
    <cellStyle name="Normal 5 2 4 9 2" xfId="13248" xr:uid="{7EB61487-0191-413A-88A6-70B1C4731DF7}"/>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3E258B89-111E-4C33-9906-17FAC958973F}"/>
    <cellStyle name="Normal 5 2 5 2 2 2 3" xfId="11593" xr:uid="{F1FF0D7F-4725-4B73-81E9-A56E2F9529B7}"/>
    <cellStyle name="Normal 5 2 5 2 2 3" xfId="5224" xr:uid="{00000000-0005-0000-0000-000027190000}"/>
    <cellStyle name="Normal 5 2 5 2 2 3 2" xfId="13666" xr:uid="{49CC1227-D65A-4947-9693-C0ED226B9145}"/>
    <cellStyle name="Normal 5 2 5 2 2 4" xfId="9448" xr:uid="{8DE8B17B-BB9E-4575-8C66-E7AA4C76A600}"/>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6C3E2B0F-3F55-4C78-9569-56F7C660CFE0}"/>
    <cellStyle name="Normal 5 2 5 2 3 2 3" xfId="12006" xr:uid="{7F006A28-8583-41E1-A556-CE13BB9F45D7}"/>
    <cellStyle name="Normal 5 2 5 2 3 3" xfId="5637" xr:uid="{00000000-0005-0000-0000-00002B190000}"/>
    <cellStyle name="Normal 5 2 5 2 3 3 2" xfId="14079" xr:uid="{180BE099-06F9-4139-8BE0-D0D00ED600F8}"/>
    <cellStyle name="Normal 5 2 5 2 3 4" xfId="9861" xr:uid="{31DCEB5B-CD8D-4FEF-A000-3176229BC68A}"/>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59C94E64-F3A2-41DF-BB9D-4488587E87EF}"/>
    <cellStyle name="Normal 5 2 5 2 4 2 3" xfId="12419" xr:uid="{94064357-9BE1-40D1-9798-6530E7DEC78A}"/>
    <cellStyle name="Normal 5 2 5 2 4 3" xfId="6050" xr:uid="{00000000-0005-0000-0000-00002F190000}"/>
    <cellStyle name="Normal 5 2 5 2 4 3 2" xfId="14492" xr:uid="{42277243-9B74-4C89-BB9D-02B560AC513B}"/>
    <cellStyle name="Normal 5 2 5 2 4 4" xfId="10274" xr:uid="{A3BEBBE3-11B3-43C4-A0C0-870E8E5737B5}"/>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ADEE0823-14F2-4ED5-BFDA-A6F9B0D90471}"/>
    <cellStyle name="Normal 5 2 5 2 5 2 3" xfId="12832" xr:uid="{F061F715-9BAD-4EA8-BB72-F1A985EAAC20}"/>
    <cellStyle name="Normal 5 2 5 2 5 3" xfId="6463" xr:uid="{00000000-0005-0000-0000-000033190000}"/>
    <cellStyle name="Normal 5 2 5 2 5 3 2" xfId="14905" xr:uid="{90C7F74B-B88B-40FC-B176-DAA3CF7A4648}"/>
    <cellStyle name="Normal 5 2 5 2 5 4" xfId="10687" xr:uid="{BDDCA5E9-12FF-4B9B-84EE-3C5331814F71}"/>
    <cellStyle name="Normal 5 2 5 2 6" xfId="2592" xr:uid="{00000000-0005-0000-0000-000034190000}"/>
    <cellStyle name="Normal 5 2 5 2 6 2" xfId="6876" xr:uid="{00000000-0005-0000-0000-000035190000}"/>
    <cellStyle name="Normal 5 2 5 2 6 2 2" xfId="15318" xr:uid="{7010B502-A88F-4C94-B389-ABEB87B6ADB6}"/>
    <cellStyle name="Normal 5 2 5 2 6 3" xfId="11100" xr:uid="{8045082E-35C9-4A22-92AA-38245F700C44}"/>
    <cellStyle name="Normal 5 2 5 2 7" xfId="4811" xr:uid="{00000000-0005-0000-0000-000036190000}"/>
    <cellStyle name="Normal 5 2 5 2 7 2" xfId="13253" xr:uid="{755ABF2B-C7D1-4F24-9113-E12A08979BEF}"/>
    <cellStyle name="Normal 5 2 5 2 8" xfId="9035" xr:uid="{11D46AA0-891F-47F4-BD03-C18F977FD4E5}"/>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BD0858AB-5F1D-4857-97AC-BBF6CBECE2A6}"/>
    <cellStyle name="Normal 5 2 5 3 2 3" xfId="11592" xr:uid="{D7345BB5-4220-48DF-9CC3-4094D3CB99C5}"/>
    <cellStyle name="Normal 5 2 5 3 3" xfId="5223" xr:uid="{00000000-0005-0000-0000-00003A190000}"/>
    <cellStyle name="Normal 5 2 5 3 3 2" xfId="13665" xr:uid="{6CCB04C2-1650-4E0E-BA93-50114B1DE033}"/>
    <cellStyle name="Normal 5 2 5 3 4" xfId="9447" xr:uid="{253D5D02-32AE-4EAD-BBFC-33660351A2F2}"/>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48DFF649-150A-4BF1-A26C-47951E31323D}"/>
    <cellStyle name="Normal 5 2 5 4 2 3" xfId="12005" xr:uid="{BBEDD292-F0D1-419D-B130-23D595811046}"/>
    <cellStyle name="Normal 5 2 5 4 3" xfId="5636" xr:uid="{00000000-0005-0000-0000-00003E190000}"/>
    <cellStyle name="Normal 5 2 5 4 3 2" xfId="14078" xr:uid="{2E9B12E3-3916-4558-B3D8-44194013451A}"/>
    <cellStyle name="Normal 5 2 5 4 4" xfId="9860" xr:uid="{01CCADC4-9BD6-4B84-AAED-064F381EAD70}"/>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3A40536C-9FDB-4937-9AD4-F6477526CE4B}"/>
    <cellStyle name="Normal 5 2 5 5 2 3" xfId="12418" xr:uid="{7249593D-29C0-4F0E-A236-EA373E429400}"/>
    <cellStyle name="Normal 5 2 5 5 3" xfId="6049" xr:uid="{00000000-0005-0000-0000-000042190000}"/>
    <cellStyle name="Normal 5 2 5 5 3 2" xfId="14491" xr:uid="{E028951D-DCD6-4F69-A036-AC120A50F4DB}"/>
    <cellStyle name="Normal 5 2 5 5 4" xfId="10273" xr:uid="{905F152B-4EB3-458A-8C59-4FA7B55D1063}"/>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8E3D9291-AFCE-47EF-88FA-E58C14F02739}"/>
    <cellStyle name="Normal 5 2 5 6 2 3" xfId="12831" xr:uid="{D3D0EC92-284A-4A10-B36A-D16EAF605C4D}"/>
    <cellStyle name="Normal 5 2 5 6 3" xfId="6462" xr:uid="{00000000-0005-0000-0000-000046190000}"/>
    <cellStyle name="Normal 5 2 5 6 3 2" xfId="14904" xr:uid="{77B1B676-9242-4D4E-B33F-24D812142EFF}"/>
    <cellStyle name="Normal 5 2 5 6 4" xfId="10686" xr:uid="{E9AA46AF-86A1-4183-862E-FBF56DDAB2B6}"/>
    <cellStyle name="Normal 5 2 5 7" xfId="2591" xr:uid="{00000000-0005-0000-0000-000047190000}"/>
    <cellStyle name="Normal 5 2 5 7 2" xfId="6875" xr:uid="{00000000-0005-0000-0000-000048190000}"/>
    <cellStyle name="Normal 5 2 5 7 2 2" xfId="15317" xr:uid="{1FD344E2-5717-47E2-9078-6F2313C06CA2}"/>
    <cellStyle name="Normal 5 2 5 7 3" xfId="11099" xr:uid="{F6C28859-3FD8-4689-AB75-76CF2B59A7ED}"/>
    <cellStyle name="Normal 5 2 5 8" xfId="4810" xr:uid="{00000000-0005-0000-0000-000049190000}"/>
    <cellStyle name="Normal 5 2 5 8 2" xfId="13252" xr:uid="{BBEA167B-4B40-4059-B9C4-A87DB232A64F}"/>
    <cellStyle name="Normal 5 2 5 9" xfId="9034" xr:uid="{AD32A08C-96CD-45CC-91E1-B66EB1364D4A}"/>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DD9DB303-D7DE-4AFC-BC80-5D7C1F9F2AFE}"/>
    <cellStyle name="Normal 5 2 6 2 2 3" xfId="11594" xr:uid="{15097740-3999-4E66-9E40-D9BF3EB3E255}"/>
    <cellStyle name="Normal 5 2 6 2 3" xfId="5225" xr:uid="{00000000-0005-0000-0000-00004E190000}"/>
    <cellStyle name="Normal 5 2 6 2 3 2" xfId="13667" xr:uid="{407E795A-515D-413E-BDB2-548EC8873875}"/>
    <cellStyle name="Normal 5 2 6 2 4" xfId="9449" xr:uid="{DA573C48-A1F7-4DA7-8710-CBF482D085E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C1E453DD-D803-4E86-A014-4E194BBDAF4C}"/>
    <cellStyle name="Normal 5 2 6 3 2 3" xfId="12007" xr:uid="{49564F2B-AB7F-4427-B948-352474C41B4C}"/>
    <cellStyle name="Normal 5 2 6 3 3" xfId="5638" xr:uid="{00000000-0005-0000-0000-000052190000}"/>
    <cellStyle name="Normal 5 2 6 3 3 2" xfId="14080" xr:uid="{D3201A66-E7E4-4901-9ADA-353D90D230D9}"/>
    <cellStyle name="Normal 5 2 6 3 4" xfId="9862" xr:uid="{63DFD276-0DF5-49AD-A020-962FAE7EEC63}"/>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761C5FB7-FBD5-43E4-985D-D62948DE3740}"/>
    <cellStyle name="Normal 5 2 6 4 2 3" xfId="12420" xr:uid="{D3FB90F4-803D-4FCE-9557-6E7224B513EF}"/>
    <cellStyle name="Normal 5 2 6 4 3" xfId="6051" xr:uid="{00000000-0005-0000-0000-000056190000}"/>
    <cellStyle name="Normal 5 2 6 4 3 2" xfId="14493" xr:uid="{D3B335CA-2BED-447D-A4FB-070D54B6091A}"/>
    <cellStyle name="Normal 5 2 6 4 4" xfId="10275" xr:uid="{61FEF2E2-7750-495D-A4DB-FCBD3132DA80}"/>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EBF6B816-EC56-40D5-981E-034D798BC202}"/>
    <cellStyle name="Normal 5 2 6 5 2 3" xfId="12833" xr:uid="{C43B7A75-E1D9-4611-AB90-5ACDA34A8FC7}"/>
    <cellStyle name="Normal 5 2 6 5 3" xfId="6464" xr:uid="{00000000-0005-0000-0000-00005A190000}"/>
    <cellStyle name="Normal 5 2 6 5 3 2" xfId="14906" xr:uid="{E8E060E3-32A8-4711-AF39-4C60A507842A}"/>
    <cellStyle name="Normal 5 2 6 5 4" xfId="10688" xr:uid="{F5FA6DC2-B394-43F2-A000-31170BEF8E15}"/>
    <cellStyle name="Normal 5 2 6 6" xfId="2593" xr:uid="{00000000-0005-0000-0000-00005B190000}"/>
    <cellStyle name="Normal 5 2 6 6 2" xfId="6877" xr:uid="{00000000-0005-0000-0000-00005C190000}"/>
    <cellStyle name="Normal 5 2 6 6 2 2" xfId="15319" xr:uid="{A31E24DE-1F76-4865-9DA9-DC59B7CF6F35}"/>
    <cellStyle name="Normal 5 2 6 6 3" xfId="11101" xr:uid="{4B6D49AF-CA92-4BB6-9860-3D7E64F69AD7}"/>
    <cellStyle name="Normal 5 2 6 7" xfId="4812" xr:uid="{00000000-0005-0000-0000-00005D190000}"/>
    <cellStyle name="Normal 5 2 6 7 2" xfId="13254" xr:uid="{F1B2A572-D1C2-4970-9275-D1743738D10C}"/>
    <cellStyle name="Normal 5 2 6 8" xfId="9036" xr:uid="{6360CD85-CBAF-44FE-8282-5CFD1658C64A}"/>
    <cellStyle name="Normal 5 2 7" xfId="881" xr:uid="{00000000-0005-0000-0000-00005E190000}"/>
    <cellStyle name="Normal 5 2 7 2" xfId="3116" xr:uid="{00000000-0005-0000-0000-00005F190000}"/>
    <cellStyle name="Normal 5 2 7 2 2" xfId="7339" xr:uid="{00000000-0005-0000-0000-000060190000}"/>
    <cellStyle name="Normal 5 2 7 2 2 2" xfId="15781" xr:uid="{39B268C9-295C-4304-892E-1B431FD945FF}"/>
    <cellStyle name="Normal 5 2 7 2 3" xfId="11563" xr:uid="{D3D62F48-ACF8-40E2-9867-5506E463CCCD}"/>
    <cellStyle name="Normal 5 2 7 3" xfId="5194" xr:uid="{00000000-0005-0000-0000-000061190000}"/>
    <cellStyle name="Normal 5 2 7 3 2" xfId="13636" xr:uid="{0BB70223-945D-4809-B25D-90EB2F063C41}"/>
    <cellStyle name="Normal 5 2 7 4" xfId="9418" xr:uid="{755A024D-B718-4CFF-B512-5E797B386929}"/>
    <cellStyle name="Normal 5 2 8" xfId="1299" xr:uid="{00000000-0005-0000-0000-000062190000}"/>
    <cellStyle name="Normal 5 2 8 2" xfId="3529" xr:uid="{00000000-0005-0000-0000-000063190000}"/>
    <cellStyle name="Normal 5 2 8 2 2" xfId="7752" xr:uid="{00000000-0005-0000-0000-000064190000}"/>
    <cellStyle name="Normal 5 2 8 2 2 2" xfId="16194" xr:uid="{4BB8658D-5EC4-4C82-A0B8-B2800817122B}"/>
    <cellStyle name="Normal 5 2 8 2 3" xfId="11976" xr:uid="{F94F1216-E883-4671-9DC4-18A2D31E1F54}"/>
    <cellStyle name="Normal 5 2 8 3" xfId="5607" xr:uid="{00000000-0005-0000-0000-000065190000}"/>
    <cellStyle name="Normal 5 2 8 3 2" xfId="14049" xr:uid="{72617144-81BF-4020-8392-D35D0EE5B924}"/>
    <cellStyle name="Normal 5 2 8 4" xfId="9831" xr:uid="{C358D508-EA88-4962-974A-B77247116EEC}"/>
    <cellStyle name="Normal 5 2 9" xfId="1712" xr:uid="{00000000-0005-0000-0000-000066190000}"/>
    <cellStyle name="Normal 5 2 9 2" xfId="3942" xr:uid="{00000000-0005-0000-0000-000067190000}"/>
    <cellStyle name="Normal 5 2 9 2 2" xfId="8165" xr:uid="{00000000-0005-0000-0000-000068190000}"/>
    <cellStyle name="Normal 5 2 9 2 2 2" xfId="16607" xr:uid="{3CFACD68-25FE-420F-8009-ABF1D230BA22}"/>
    <cellStyle name="Normal 5 2 9 2 3" xfId="12389" xr:uid="{985D0E6F-9734-49A0-B990-420E232EA0D8}"/>
    <cellStyle name="Normal 5 2 9 3" xfId="6020" xr:uid="{00000000-0005-0000-0000-000069190000}"/>
    <cellStyle name="Normal 5 2 9 3 2" xfId="14462" xr:uid="{03563BA7-2E33-4882-BB78-3B2F66871741}"/>
    <cellStyle name="Normal 5 2 9 4" xfId="10244" xr:uid="{FE8A7D52-BB39-49CA-991C-1DBADAF2C70D}"/>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7E19958E-5323-4FB9-9821-44BBB4F13347}"/>
    <cellStyle name="Normal 5 3 10 2 3" xfId="12834" xr:uid="{40991A65-9C8B-4908-A844-3AA9C8AF9388}"/>
    <cellStyle name="Normal 5 3 10 3" xfId="6465" xr:uid="{00000000-0005-0000-0000-00006E190000}"/>
    <cellStyle name="Normal 5 3 10 3 2" xfId="14907" xr:uid="{A5744DEB-E93A-4265-BD6C-52ECF647E4DF}"/>
    <cellStyle name="Normal 5 3 10 4" xfId="10689" xr:uid="{44708C53-5958-468D-BA93-E7E48CF711A1}"/>
    <cellStyle name="Normal 5 3 11" xfId="2594" xr:uid="{00000000-0005-0000-0000-00006F190000}"/>
    <cellStyle name="Normal 5 3 11 2" xfId="6878" xr:uid="{00000000-0005-0000-0000-000070190000}"/>
    <cellStyle name="Normal 5 3 11 2 2" xfId="15320" xr:uid="{2669FF59-78B7-4520-99D3-44A030E20483}"/>
    <cellStyle name="Normal 5 3 11 3" xfId="11102" xr:uid="{9D46E615-1954-4B0B-A56C-C0F5FD870F56}"/>
    <cellStyle name="Normal 5 3 12" xfId="4813" xr:uid="{00000000-0005-0000-0000-000071190000}"/>
    <cellStyle name="Normal 5 3 12 2" xfId="13255" xr:uid="{7D845875-42DF-4E3E-BA17-371D70872B82}"/>
    <cellStyle name="Normal 5 3 13" xfId="9037" xr:uid="{4DEA5C59-3BDF-4C60-96CD-0B9C9C3F1D6D}"/>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BDB23418-3E58-41AB-8E04-3E3C4148594B}"/>
    <cellStyle name="Normal 5 3 3 11" xfId="9038" xr:uid="{130F12E0-B59C-4EEE-AACF-9B93B5FE3E66}"/>
    <cellStyle name="Normal 5 3 3 2" xfId="442" xr:uid="{00000000-0005-0000-0000-000076190000}"/>
    <cellStyle name="Normal 5 3 3 2 10" xfId="9039" xr:uid="{33D3A66D-9E5A-4D71-92AE-CBFF84DE606A}"/>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F3FB2CBB-B1DE-448A-934B-B6476DC7E108}"/>
    <cellStyle name="Normal 5 3 3 2 2 2 2 2 3" xfId="11599" xr:uid="{D8DFE3B5-8C06-4D05-AB53-8DC29B94AAEE}"/>
    <cellStyle name="Normal 5 3 3 2 2 2 2 3" xfId="5230" xr:uid="{00000000-0005-0000-0000-00007C190000}"/>
    <cellStyle name="Normal 5 3 3 2 2 2 2 3 2" xfId="13672" xr:uid="{71FD5129-31E6-49C2-891F-05EE7F12D14E}"/>
    <cellStyle name="Normal 5 3 3 2 2 2 2 4" xfId="9454" xr:uid="{DCBC17E6-75C0-4C23-8449-74B41F336245}"/>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D31C6FC7-846F-4DE8-B873-3A3C73BB5510}"/>
    <cellStyle name="Normal 5 3 3 2 2 2 3 2 3" xfId="12012" xr:uid="{8F4E2F7B-592A-40FA-A658-EB0152309975}"/>
    <cellStyle name="Normal 5 3 3 2 2 2 3 3" xfId="5643" xr:uid="{00000000-0005-0000-0000-000080190000}"/>
    <cellStyle name="Normal 5 3 3 2 2 2 3 3 2" xfId="14085" xr:uid="{AB69BAE9-1019-4172-939D-948EAD8900AD}"/>
    <cellStyle name="Normal 5 3 3 2 2 2 3 4" xfId="9867" xr:uid="{0A67A7FA-B64C-4994-965B-9248651E1148}"/>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E93D26F5-A7F0-4BA2-9E11-A07B8176D20B}"/>
    <cellStyle name="Normal 5 3 3 2 2 2 4 2 3" xfId="12425" xr:uid="{2AACC619-4664-4618-A091-2930762FFEB7}"/>
    <cellStyle name="Normal 5 3 3 2 2 2 4 3" xfId="6056" xr:uid="{00000000-0005-0000-0000-000084190000}"/>
    <cellStyle name="Normal 5 3 3 2 2 2 4 3 2" xfId="14498" xr:uid="{6F941BEC-4C10-4537-A24E-6F284886DF8F}"/>
    <cellStyle name="Normal 5 3 3 2 2 2 4 4" xfId="10280" xr:uid="{FCC4A6C7-0757-49D3-BE99-79C40C282333}"/>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91427641-9391-457B-9CD9-DF9AD2D542A9}"/>
    <cellStyle name="Normal 5 3 3 2 2 2 5 2 3" xfId="12838" xr:uid="{CEC8F626-25CC-4F09-98BE-F962FB5A5081}"/>
    <cellStyle name="Normal 5 3 3 2 2 2 5 3" xfId="6469" xr:uid="{00000000-0005-0000-0000-000088190000}"/>
    <cellStyle name="Normal 5 3 3 2 2 2 5 3 2" xfId="14911" xr:uid="{18625033-A52E-4A74-B716-1F93ED3B92D6}"/>
    <cellStyle name="Normal 5 3 3 2 2 2 5 4" xfId="10693" xr:uid="{32D71CA1-4B62-4C03-9872-6462533EB418}"/>
    <cellStyle name="Normal 5 3 3 2 2 2 6" xfId="2598" xr:uid="{00000000-0005-0000-0000-000089190000}"/>
    <cellStyle name="Normal 5 3 3 2 2 2 6 2" xfId="6882" xr:uid="{00000000-0005-0000-0000-00008A190000}"/>
    <cellStyle name="Normal 5 3 3 2 2 2 6 2 2" xfId="15324" xr:uid="{6BCD2C47-423D-44F7-9C24-D6211EDEDC96}"/>
    <cellStyle name="Normal 5 3 3 2 2 2 6 3" xfId="11106" xr:uid="{CC9F3515-C523-4E71-BEEE-30B7E382D6E9}"/>
    <cellStyle name="Normal 5 3 3 2 2 2 7" xfId="4817" xr:uid="{00000000-0005-0000-0000-00008B190000}"/>
    <cellStyle name="Normal 5 3 3 2 2 2 7 2" xfId="13259" xr:uid="{740E3F92-428D-432B-BDF7-A4040E9FE95A}"/>
    <cellStyle name="Normal 5 3 3 2 2 2 8" xfId="9041" xr:uid="{B0F7536A-7C5A-417D-9347-FB34AD4CEE3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37C4F8CD-5F86-494A-A3E4-CACA23E2ADE4}"/>
    <cellStyle name="Normal 5 3 3 2 2 3 2 3" xfId="11598" xr:uid="{30B969BC-6654-47ED-8C7F-611ED42FD5DD}"/>
    <cellStyle name="Normal 5 3 3 2 2 3 3" xfId="5229" xr:uid="{00000000-0005-0000-0000-00008F190000}"/>
    <cellStyle name="Normal 5 3 3 2 2 3 3 2" xfId="13671" xr:uid="{B0C59DFB-91A0-4DC8-8A5E-A27859992AC9}"/>
    <cellStyle name="Normal 5 3 3 2 2 3 4" xfId="9453" xr:uid="{C0698546-607E-4E95-AB1B-6FFD8B2B9C14}"/>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240409B0-811C-4530-8238-7C30ADCD4E1E}"/>
    <cellStyle name="Normal 5 3 3 2 2 4 2 3" xfId="12011" xr:uid="{029984CF-F7B6-4563-ABA0-9614095A0738}"/>
    <cellStyle name="Normal 5 3 3 2 2 4 3" xfId="5642" xr:uid="{00000000-0005-0000-0000-000093190000}"/>
    <cellStyle name="Normal 5 3 3 2 2 4 3 2" xfId="14084" xr:uid="{8BFEA807-398E-411B-813A-0F471B13A00C}"/>
    <cellStyle name="Normal 5 3 3 2 2 4 4" xfId="9866" xr:uid="{2E16D2DC-891D-4F03-BF7E-D9B4A06C8722}"/>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AAD5CC15-F4A1-4841-AF29-F3FC31F03A52}"/>
    <cellStyle name="Normal 5 3 3 2 2 5 2 3" xfId="12424" xr:uid="{6997360A-8C1B-4731-9E68-CAFF4FD91C78}"/>
    <cellStyle name="Normal 5 3 3 2 2 5 3" xfId="6055" xr:uid="{00000000-0005-0000-0000-000097190000}"/>
    <cellStyle name="Normal 5 3 3 2 2 5 3 2" xfId="14497" xr:uid="{9FF3ED12-2CAA-4365-BAC0-A2466EBD66E0}"/>
    <cellStyle name="Normal 5 3 3 2 2 5 4" xfId="10279" xr:uid="{B7B408CC-6F87-40D0-AC50-794FCFE1B50B}"/>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F62457C6-CF9A-4E6D-953C-68647C729629}"/>
    <cellStyle name="Normal 5 3 3 2 2 6 2 3" xfId="12837" xr:uid="{51CA55F0-621B-4619-82ED-84FB7685E873}"/>
    <cellStyle name="Normal 5 3 3 2 2 6 3" xfId="6468" xr:uid="{00000000-0005-0000-0000-00009B190000}"/>
    <cellStyle name="Normal 5 3 3 2 2 6 3 2" xfId="14910" xr:uid="{65D95A88-B0B0-4532-9A86-3CF314839589}"/>
    <cellStyle name="Normal 5 3 3 2 2 6 4" xfId="10692" xr:uid="{2D7D0BF0-BFDC-4185-8CCA-2B71ED8F7EBC}"/>
    <cellStyle name="Normal 5 3 3 2 2 7" xfId="2597" xr:uid="{00000000-0005-0000-0000-00009C190000}"/>
    <cellStyle name="Normal 5 3 3 2 2 7 2" xfId="6881" xr:uid="{00000000-0005-0000-0000-00009D190000}"/>
    <cellStyle name="Normal 5 3 3 2 2 7 2 2" xfId="15323" xr:uid="{F99D6AC9-CA37-49D3-8FC1-5278BA3A3419}"/>
    <cellStyle name="Normal 5 3 3 2 2 7 3" xfId="11105" xr:uid="{3B85797E-CBF2-4E89-86E9-3E9506E0C456}"/>
    <cellStyle name="Normal 5 3 3 2 2 8" xfId="4816" xr:uid="{00000000-0005-0000-0000-00009E190000}"/>
    <cellStyle name="Normal 5 3 3 2 2 8 2" xfId="13258" xr:uid="{65C7C9F4-BCC4-4D02-81A9-95C82D6C88A7}"/>
    <cellStyle name="Normal 5 3 3 2 2 9" xfId="9040" xr:uid="{C7B0CE50-633D-4787-A724-AF3F428D9898}"/>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FF2583F3-E3E2-4567-AA8E-E7BF3FE98E2E}"/>
    <cellStyle name="Normal 5 3 3 2 3 2 2 3" xfId="11600" xr:uid="{2560AFBE-361A-47D8-9702-2A6CB5B95BF9}"/>
    <cellStyle name="Normal 5 3 3 2 3 2 3" xfId="5231" xr:uid="{00000000-0005-0000-0000-0000A3190000}"/>
    <cellStyle name="Normal 5 3 3 2 3 2 3 2" xfId="13673" xr:uid="{7D10CB50-34A9-4520-B872-F51501050777}"/>
    <cellStyle name="Normal 5 3 3 2 3 2 4" xfId="9455" xr:uid="{A52AE897-F55D-4B70-A8E9-6CB86F33C743}"/>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91B41600-3147-428A-A19E-E242870DF79C}"/>
    <cellStyle name="Normal 5 3 3 2 3 3 2 3" xfId="12013" xr:uid="{B64ACD68-02B7-4284-B1E3-CF0F791E8141}"/>
    <cellStyle name="Normal 5 3 3 2 3 3 3" xfId="5644" xr:uid="{00000000-0005-0000-0000-0000A7190000}"/>
    <cellStyle name="Normal 5 3 3 2 3 3 3 2" xfId="14086" xr:uid="{132E217C-9CCE-4484-933F-CE1E075A8395}"/>
    <cellStyle name="Normal 5 3 3 2 3 3 4" xfId="9868" xr:uid="{6D157608-E01B-47CE-94EB-2D0CACD12B59}"/>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D1CDAA65-6BD5-45D2-951D-78FB879DEA8B}"/>
    <cellStyle name="Normal 5 3 3 2 3 4 2 3" xfId="12426" xr:uid="{999479E4-9F39-4A11-A0C5-89FC0FB75EA5}"/>
    <cellStyle name="Normal 5 3 3 2 3 4 3" xfId="6057" xr:uid="{00000000-0005-0000-0000-0000AB190000}"/>
    <cellStyle name="Normal 5 3 3 2 3 4 3 2" xfId="14499" xr:uid="{93045C00-5BFE-4D15-B501-3E6B2C95A84C}"/>
    <cellStyle name="Normal 5 3 3 2 3 4 4" xfId="10281" xr:uid="{BC6F6F63-5E6C-4FA6-AFF3-B4F05C56C599}"/>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9DF45D84-4B8B-4FEC-BCB8-BEBC96591861}"/>
    <cellStyle name="Normal 5 3 3 2 3 5 2 3" xfId="12839" xr:uid="{C404772A-0D60-4155-8712-A7D6C5CF3559}"/>
    <cellStyle name="Normal 5 3 3 2 3 5 3" xfId="6470" xr:uid="{00000000-0005-0000-0000-0000AF190000}"/>
    <cellStyle name="Normal 5 3 3 2 3 5 3 2" xfId="14912" xr:uid="{788D3473-F44D-4E91-AE4F-FB056FCD1C67}"/>
    <cellStyle name="Normal 5 3 3 2 3 5 4" xfId="10694" xr:uid="{816D16D1-147F-4F31-B0D0-76670E8A834E}"/>
    <cellStyle name="Normal 5 3 3 2 3 6" xfId="2599" xr:uid="{00000000-0005-0000-0000-0000B0190000}"/>
    <cellStyle name="Normal 5 3 3 2 3 6 2" xfId="6883" xr:uid="{00000000-0005-0000-0000-0000B1190000}"/>
    <cellStyle name="Normal 5 3 3 2 3 6 2 2" xfId="15325" xr:uid="{25C68F1B-1D80-4A7D-B3A4-AE82FB2F69B0}"/>
    <cellStyle name="Normal 5 3 3 2 3 6 3" xfId="11107" xr:uid="{76F29FE2-459C-4C7A-9624-48DA1D5D8045}"/>
    <cellStyle name="Normal 5 3 3 2 3 7" xfId="4818" xr:uid="{00000000-0005-0000-0000-0000B2190000}"/>
    <cellStyle name="Normal 5 3 3 2 3 7 2" xfId="13260" xr:uid="{FDC66431-00B7-42A2-94D0-B15F29C3AC9E}"/>
    <cellStyle name="Normal 5 3 3 2 3 8" xfId="9042" xr:uid="{C024D6B0-C9D3-4E1D-9E9C-47EAB20F65CE}"/>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23861B51-A704-4AE3-A7B9-970BD95E8359}"/>
    <cellStyle name="Normal 5 3 3 2 4 2 3" xfId="11597" xr:uid="{0336FAF8-B647-4126-85F6-8CE263B55BC1}"/>
    <cellStyle name="Normal 5 3 3 2 4 3" xfId="5228" xr:uid="{00000000-0005-0000-0000-0000B6190000}"/>
    <cellStyle name="Normal 5 3 3 2 4 3 2" xfId="13670" xr:uid="{CC39C1C3-1AC2-46D7-B441-F5BF86E74924}"/>
    <cellStyle name="Normal 5 3 3 2 4 4" xfId="9452" xr:uid="{5BC50752-E533-49C8-8876-6617CE48363C}"/>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5357173F-59FC-42C1-A552-00343B492976}"/>
    <cellStyle name="Normal 5 3 3 2 5 2 3" xfId="12010" xr:uid="{44550ADF-5548-48D6-9921-4E64911B0925}"/>
    <cellStyle name="Normal 5 3 3 2 5 3" xfId="5641" xr:uid="{00000000-0005-0000-0000-0000BA190000}"/>
    <cellStyle name="Normal 5 3 3 2 5 3 2" xfId="14083" xr:uid="{2C3DCBF4-761D-4E45-AAFB-80E03FC47027}"/>
    <cellStyle name="Normal 5 3 3 2 5 4" xfId="9865" xr:uid="{D763ABB9-FFE7-4E8C-B7B9-27E124222AB4}"/>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4A66FC0B-0EE6-4970-83C0-8131477DC4DD}"/>
    <cellStyle name="Normal 5 3 3 2 6 2 3" xfId="12423" xr:uid="{ABE2E0BC-3E5E-4695-ABC0-B125D202808E}"/>
    <cellStyle name="Normal 5 3 3 2 6 3" xfId="6054" xr:uid="{00000000-0005-0000-0000-0000BE190000}"/>
    <cellStyle name="Normal 5 3 3 2 6 3 2" xfId="14496" xr:uid="{7AE327E6-6ECE-4A6E-A210-08B02B6AF27D}"/>
    <cellStyle name="Normal 5 3 3 2 6 4" xfId="10278" xr:uid="{940B5AE7-2700-4713-9A5D-7CE532B4998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7905AF36-46D5-47B4-A495-821D67768DF0}"/>
    <cellStyle name="Normal 5 3 3 2 7 2 3" xfId="12836" xr:uid="{C257662E-E6A0-43C7-9F1A-67C5307800D8}"/>
    <cellStyle name="Normal 5 3 3 2 7 3" xfId="6467" xr:uid="{00000000-0005-0000-0000-0000C2190000}"/>
    <cellStyle name="Normal 5 3 3 2 7 3 2" xfId="14909" xr:uid="{446B67CF-C8CB-480B-BF3A-17D9FC961FC7}"/>
    <cellStyle name="Normal 5 3 3 2 7 4" xfId="10691" xr:uid="{F9F7E9AE-E576-4EAA-B196-A8B5F6DF0731}"/>
    <cellStyle name="Normal 5 3 3 2 8" xfId="2596" xr:uid="{00000000-0005-0000-0000-0000C3190000}"/>
    <cellStyle name="Normal 5 3 3 2 8 2" xfId="6880" xr:uid="{00000000-0005-0000-0000-0000C4190000}"/>
    <cellStyle name="Normal 5 3 3 2 8 2 2" xfId="15322" xr:uid="{31829B5C-DAD1-4F87-A4D9-8AFD84A53B54}"/>
    <cellStyle name="Normal 5 3 3 2 8 3" xfId="11104" xr:uid="{04311705-75EB-499C-8281-B0472A22BAAD}"/>
    <cellStyle name="Normal 5 3 3 2 9" xfId="4815" xr:uid="{00000000-0005-0000-0000-0000C5190000}"/>
    <cellStyle name="Normal 5 3 3 2 9 2" xfId="13257" xr:uid="{4ED63366-2884-47AF-8CBA-9C93A48242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A7F762D4-9ED9-4774-9A3C-E740D2D5436D}"/>
    <cellStyle name="Normal 5 3 3 3 2 2 2 3" xfId="11602" xr:uid="{60C13132-39C7-4733-AC8A-0107D3EE7D3B}"/>
    <cellStyle name="Normal 5 3 3 3 2 2 3" xfId="5233" xr:uid="{00000000-0005-0000-0000-0000CB190000}"/>
    <cellStyle name="Normal 5 3 3 3 2 2 3 2" xfId="13675" xr:uid="{F7EA5EBB-0EA9-4A59-B90E-4BF95E6743D0}"/>
    <cellStyle name="Normal 5 3 3 3 2 2 4" xfId="9457" xr:uid="{AC1F4906-B909-40A8-AA1A-78DD3462FE9C}"/>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E476579B-FCDA-43DA-8C59-5AC405876D9A}"/>
    <cellStyle name="Normal 5 3 3 3 2 3 2 3" xfId="12015" xr:uid="{0DD98F38-6CEA-4139-B889-3D4B16539D4E}"/>
    <cellStyle name="Normal 5 3 3 3 2 3 3" xfId="5646" xr:uid="{00000000-0005-0000-0000-0000CF190000}"/>
    <cellStyle name="Normal 5 3 3 3 2 3 3 2" xfId="14088" xr:uid="{1B14B26C-C292-486D-AA6E-65930726E377}"/>
    <cellStyle name="Normal 5 3 3 3 2 3 4" xfId="9870" xr:uid="{29E8A828-141D-4162-ACFF-7EF9918B413E}"/>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FDC5A16F-E612-4906-89B3-A28886539B82}"/>
    <cellStyle name="Normal 5 3 3 3 2 4 2 3" xfId="12428" xr:uid="{D04E66F1-AFD6-4ED6-9846-F9EA91F57EC2}"/>
    <cellStyle name="Normal 5 3 3 3 2 4 3" xfId="6059" xr:uid="{00000000-0005-0000-0000-0000D3190000}"/>
    <cellStyle name="Normal 5 3 3 3 2 4 3 2" xfId="14501" xr:uid="{16E58539-C03F-48C6-A059-64ED25A87DA8}"/>
    <cellStyle name="Normal 5 3 3 3 2 4 4" xfId="10283" xr:uid="{EB86420A-D0B8-4777-B551-D87203F68248}"/>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27BAF552-9578-4AC8-825D-E92E88ADBC16}"/>
    <cellStyle name="Normal 5 3 3 3 2 5 2 3" xfId="12841" xr:uid="{247F874E-93E6-4A89-8165-5FFA31169ED8}"/>
    <cellStyle name="Normal 5 3 3 3 2 5 3" xfId="6472" xr:uid="{00000000-0005-0000-0000-0000D7190000}"/>
    <cellStyle name="Normal 5 3 3 3 2 5 3 2" xfId="14914" xr:uid="{108FFFE4-B4B6-4133-BD48-6292DE4D0215}"/>
    <cellStyle name="Normal 5 3 3 3 2 5 4" xfId="10696" xr:uid="{B5ABD56E-7DEC-479F-B17E-02AC09D56FAB}"/>
    <cellStyle name="Normal 5 3 3 3 2 6" xfId="2601" xr:uid="{00000000-0005-0000-0000-0000D8190000}"/>
    <cellStyle name="Normal 5 3 3 3 2 6 2" xfId="6885" xr:uid="{00000000-0005-0000-0000-0000D9190000}"/>
    <cellStyle name="Normal 5 3 3 3 2 6 2 2" xfId="15327" xr:uid="{64F8F0EE-EBD0-4D12-B01A-6C878940E126}"/>
    <cellStyle name="Normal 5 3 3 3 2 6 3" xfId="11109" xr:uid="{98B910A0-12BA-49F3-813C-B258FA129CC9}"/>
    <cellStyle name="Normal 5 3 3 3 2 7" xfId="4820" xr:uid="{00000000-0005-0000-0000-0000DA190000}"/>
    <cellStyle name="Normal 5 3 3 3 2 7 2" xfId="13262" xr:uid="{D8345D8D-9227-4696-B5D2-82357FE48B83}"/>
    <cellStyle name="Normal 5 3 3 3 2 8" xfId="9044" xr:uid="{216A34FC-01B6-4DA5-85F0-DEDC077E77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59A375B9-70FD-4691-A343-C45986270A6B}"/>
    <cellStyle name="Normal 5 3 3 3 3 2 3" xfId="11601" xr:uid="{FC46F8BA-CA76-4C7F-80EC-382D0E4D51DB}"/>
    <cellStyle name="Normal 5 3 3 3 3 3" xfId="5232" xr:uid="{00000000-0005-0000-0000-0000DE190000}"/>
    <cellStyle name="Normal 5 3 3 3 3 3 2" xfId="13674" xr:uid="{9C16ED4A-1AFD-4C5E-BB6B-2B0AC87459C4}"/>
    <cellStyle name="Normal 5 3 3 3 3 4" xfId="9456" xr:uid="{5960220D-FB70-43B0-B574-9C45BBBFE636}"/>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98400578-FC78-41ED-A66A-3B2E189323A0}"/>
    <cellStyle name="Normal 5 3 3 3 4 2 3" xfId="12014" xr:uid="{DDF9F8D0-D476-4443-9061-F0036F97B763}"/>
    <cellStyle name="Normal 5 3 3 3 4 3" xfId="5645" xr:uid="{00000000-0005-0000-0000-0000E2190000}"/>
    <cellStyle name="Normal 5 3 3 3 4 3 2" xfId="14087" xr:uid="{7F6FCAC4-E9C4-4C1B-A782-50CCA095117D}"/>
    <cellStyle name="Normal 5 3 3 3 4 4" xfId="9869" xr:uid="{076B8760-531F-4093-A2F5-B7B1B7A04A23}"/>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E1D37798-6685-4AD5-9CC3-9064062552E5}"/>
    <cellStyle name="Normal 5 3 3 3 5 2 3" xfId="12427" xr:uid="{DAC3963E-6F46-4AD6-AFDC-5CFE08F4311F}"/>
    <cellStyle name="Normal 5 3 3 3 5 3" xfId="6058" xr:uid="{00000000-0005-0000-0000-0000E6190000}"/>
    <cellStyle name="Normal 5 3 3 3 5 3 2" xfId="14500" xr:uid="{FE99A4BE-2484-4783-8B3D-A666F6E0728F}"/>
    <cellStyle name="Normal 5 3 3 3 5 4" xfId="10282" xr:uid="{A5DCBB54-D946-44FE-867B-740907A7225A}"/>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1E5430C2-EAB9-406E-B0E4-EAACC93837F6}"/>
    <cellStyle name="Normal 5 3 3 3 6 2 3" xfId="12840" xr:uid="{EE8FF84B-1A0C-4C00-BDC6-6B4161B00690}"/>
    <cellStyle name="Normal 5 3 3 3 6 3" xfId="6471" xr:uid="{00000000-0005-0000-0000-0000EA190000}"/>
    <cellStyle name="Normal 5 3 3 3 6 3 2" xfId="14913" xr:uid="{928EE164-A1F5-4124-AF23-FDB1FDAE0765}"/>
    <cellStyle name="Normal 5 3 3 3 6 4" xfId="10695" xr:uid="{0AA179B1-B499-4FFD-A2C5-A5ED77C03BAB}"/>
    <cellStyle name="Normal 5 3 3 3 7" xfId="2600" xr:uid="{00000000-0005-0000-0000-0000EB190000}"/>
    <cellStyle name="Normal 5 3 3 3 7 2" xfId="6884" xr:uid="{00000000-0005-0000-0000-0000EC190000}"/>
    <cellStyle name="Normal 5 3 3 3 7 2 2" xfId="15326" xr:uid="{DC9D3FC4-074D-4817-870B-CF692BE60DE1}"/>
    <cellStyle name="Normal 5 3 3 3 7 3" xfId="11108" xr:uid="{CFFA5574-7E7B-49A2-9B6C-9D15EAA48D64}"/>
    <cellStyle name="Normal 5 3 3 3 8" xfId="4819" xr:uid="{00000000-0005-0000-0000-0000ED190000}"/>
    <cellStyle name="Normal 5 3 3 3 8 2" xfId="13261" xr:uid="{53979741-35C1-4D92-A176-89CE20E4AEA3}"/>
    <cellStyle name="Normal 5 3 3 3 9" xfId="9043" xr:uid="{F35C6893-7924-48B0-B75A-1F13DDF1289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ABDB971E-1D4E-420F-AC03-BF4C04C17BF1}"/>
    <cellStyle name="Normal 5 3 3 4 2 2 3" xfId="11603" xr:uid="{31ED9FFA-17BC-4498-81BA-718BCEDD61F7}"/>
    <cellStyle name="Normal 5 3 3 4 2 3" xfId="5234" xr:uid="{00000000-0005-0000-0000-0000F2190000}"/>
    <cellStyle name="Normal 5 3 3 4 2 3 2" xfId="13676" xr:uid="{D3A5A039-84A3-44F7-8342-B8459B7BF9E0}"/>
    <cellStyle name="Normal 5 3 3 4 2 4" xfId="9458" xr:uid="{FA03C232-F910-4BFD-AFAF-AF5F7EC6EC67}"/>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B7D36952-C362-4A0B-96DF-3783BB6FD6DC}"/>
    <cellStyle name="Normal 5 3 3 4 3 2 3" xfId="12016" xr:uid="{2B364C76-9B34-4F64-B5FD-A1D2ADC2A07F}"/>
    <cellStyle name="Normal 5 3 3 4 3 3" xfId="5647" xr:uid="{00000000-0005-0000-0000-0000F6190000}"/>
    <cellStyle name="Normal 5 3 3 4 3 3 2" xfId="14089" xr:uid="{D2252DB7-4FE5-44C2-A87D-57227C6F86F3}"/>
    <cellStyle name="Normal 5 3 3 4 3 4" xfId="9871" xr:uid="{E0D8B920-F8C8-4831-8133-9A04A0A4358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8EBE88AF-D2A5-49A3-8FFC-E1AC53C9CE5A}"/>
    <cellStyle name="Normal 5 3 3 4 4 2 3" xfId="12429" xr:uid="{9D643A03-C908-4F3E-ABD7-8D455A4EF33B}"/>
    <cellStyle name="Normal 5 3 3 4 4 3" xfId="6060" xr:uid="{00000000-0005-0000-0000-0000FA190000}"/>
    <cellStyle name="Normal 5 3 3 4 4 3 2" xfId="14502" xr:uid="{654FD0AB-6C51-4B55-994C-F99F1BDD32EF}"/>
    <cellStyle name="Normal 5 3 3 4 4 4" xfId="10284" xr:uid="{8E784F07-666A-40F9-9CCD-8127ABA893F4}"/>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AB038E1F-663B-44C5-AB37-4C10D3C01DE7}"/>
    <cellStyle name="Normal 5 3 3 4 5 2 3" xfId="12842" xr:uid="{6DC9869B-8562-4414-84BD-BA058BFCBB8E}"/>
    <cellStyle name="Normal 5 3 3 4 5 3" xfId="6473" xr:uid="{00000000-0005-0000-0000-0000FE190000}"/>
    <cellStyle name="Normal 5 3 3 4 5 3 2" xfId="14915" xr:uid="{A0B88A78-0722-4F54-AE6B-5135DF5CEB1E}"/>
    <cellStyle name="Normal 5 3 3 4 5 4" xfId="10697" xr:uid="{0B9A89E9-11A2-417E-80C2-F0B3AED2F52D}"/>
    <cellStyle name="Normal 5 3 3 4 6" xfId="2602" xr:uid="{00000000-0005-0000-0000-0000FF190000}"/>
    <cellStyle name="Normal 5 3 3 4 6 2" xfId="6886" xr:uid="{00000000-0005-0000-0000-0000001A0000}"/>
    <cellStyle name="Normal 5 3 3 4 6 2 2" xfId="15328" xr:uid="{E4D3F551-F3DF-480C-BAB0-1E0C66CAC7EB}"/>
    <cellStyle name="Normal 5 3 3 4 6 3" xfId="11110" xr:uid="{0A8F51C7-4498-4753-A3D7-E2BBDE344BBF}"/>
    <cellStyle name="Normal 5 3 3 4 7" xfId="4821" xr:uid="{00000000-0005-0000-0000-0000011A0000}"/>
    <cellStyle name="Normal 5 3 3 4 7 2" xfId="13263" xr:uid="{6DB2E1F8-FDF7-4214-998D-673DB062A8F5}"/>
    <cellStyle name="Normal 5 3 3 4 8" xfId="9045" xr:uid="{2E06EBE2-4744-4968-B79D-884764D5F231}"/>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63C3C5FC-6B6F-443C-AC8C-4EB26526F2C3}"/>
    <cellStyle name="Normal 5 3 3 5 2 3" xfId="11596" xr:uid="{F37D0BDC-A3D9-4AFB-A4D0-80A544555CFF}"/>
    <cellStyle name="Normal 5 3 3 5 3" xfId="5227" xr:uid="{00000000-0005-0000-0000-0000051A0000}"/>
    <cellStyle name="Normal 5 3 3 5 3 2" xfId="13669" xr:uid="{5A5B0161-B82F-4E44-806E-CB1EB93A6834}"/>
    <cellStyle name="Normal 5 3 3 5 4" xfId="9451" xr:uid="{239CC8CF-6E86-4577-B62E-B5B4792857C1}"/>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ADA96EE4-F5ED-443E-A381-4915282AFCE9}"/>
    <cellStyle name="Normal 5 3 3 6 2 3" xfId="12009" xr:uid="{5A4EC047-7A0D-4CDD-8C7A-7BCA46C866AF}"/>
    <cellStyle name="Normal 5 3 3 6 3" xfId="5640" xr:uid="{00000000-0005-0000-0000-0000091A0000}"/>
    <cellStyle name="Normal 5 3 3 6 3 2" xfId="14082" xr:uid="{F3D994BE-5CF9-454E-9DAA-C2CD16342571}"/>
    <cellStyle name="Normal 5 3 3 6 4" xfId="9864" xr:uid="{E65FA0A7-B60C-4DB3-B5F3-B5CA9FC27A92}"/>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33B8C68B-8049-45AA-9261-71D43ABC2D0C}"/>
    <cellStyle name="Normal 5 3 3 7 2 3" xfId="12422" xr:uid="{16A78FCA-2313-41F8-82BD-5A124596303A}"/>
    <cellStyle name="Normal 5 3 3 7 3" xfId="6053" xr:uid="{00000000-0005-0000-0000-00000D1A0000}"/>
    <cellStyle name="Normal 5 3 3 7 3 2" xfId="14495" xr:uid="{63279981-2536-4F12-AC25-71056524B2FE}"/>
    <cellStyle name="Normal 5 3 3 7 4" xfId="10277" xr:uid="{E1CDF31F-AC5C-4131-A4CE-4BB4F4D86026}"/>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351253DA-03DA-403E-98F1-9F4577B74B35}"/>
    <cellStyle name="Normal 5 3 3 8 2 3" xfId="12835" xr:uid="{41039A62-C871-4789-B133-4BCC9EE1AD8C}"/>
    <cellStyle name="Normal 5 3 3 8 3" xfId="6466" xr:uid="{00000000-0005-0000-0000-0000111A0000}"/>
    <cellStyle name="Normal 5 3 3 8 3 2" xfId="14908" xr:uid="{1ECC50DD-1D63-4891-872B-A99FA151CA24}"/>
    <cellStyle name="Normal 5 3 3 8 4" xfId="10690" xr:uid="{4748CF42-E7C9-4116-9F43-FB702E2659CF}"/>
    <cellStyle name="Normal 5 3 3 9" xfId="2595" xr:uid="{00000000-0005-0000-0000-0000121A0000}"/>
    <cellStyle name="Normal 5 3 3 9 2" xfId="6879" xr:uid="{00000000-0005-0000-0000-0000131A0000}"/>
    <cellStyle name="Normal 5 3 3 9 2 2" xfId="15321" xr:uid="{8EC6CCF3-F96A-4415-AE29-C2254592A354}"/>
    <cellStyle name="Normal 5 3 3 9 3" xfId="11103" xr:uid="{1E6EEEEC-8E6F-4364-B7F2-4FBA5D474B6B}"/>
    <cellStyle name="Normal 5 3 4" xfId="449" xr:uid="{00000000-0005-0000-0000-0000141A0000}"/>
    <cellStyle name="Normal 5 3 4 10" xfId="9046" xr:uid="{ECA74465-20F5-4BAF-A4C1-2249F8BC7DD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0B2D5604-7CAB-4BAC-BDA9-6A7F834DE36E}"/>
    <cellStyle name="Normal 5 3 4 2 2 2 2 3" xfId="11606" xr:uid="{C1AF9D0A-0604-42AD-8104-F23B89677948}"/>
    <cellStyle name="Normal 5 3 4 2 2 2 3" xfId="5237" xr:uid="{00000000-0005-0000-0000-00001A1A0000}"/>
    <cellStyle name="Normal 5 3 4 2 2 2 3 2" xfId="13679" xr:uid="{3ABDDACE-7968-4886-9614-6CD4235807C1}"/>
    <cellStyle name="Normal 5 3 4 2 2 2 4" xfId="9461" xr:uid="{7E026CDC-EB4D-467E-B7ED-9A3A83F55845}"/>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E03E1D80-223B-4C1B-8BBF-E3B87EBE3937}"/>
    <cellStyle name="Normal 5 3 4 2 2 3 2 3" xfId="12019" xr:uid="{A7B2642E-EFE3-4DFF-8980-624420352404}"/>
    <cellStyle name="Normal 5 3 4 2 2 3 3" xfId="5650" xr:uid="{00000000-0005-0000-0000-00001E1A0000}"/>
    <cellStyle name="Normal 5 3 4 2 2 3 3 2" xfId="14092" xr:uid="{1A72FD1A-61C8-4AC0-8B62-94FDF90F5889}"/>
    <cellStyle name="Normal 5 3 4 2 2 3 4" xfId="9874" xr:uid="{AA03D409-F4C7-42EB-9E9A-0C52E5BC7A0B}"/>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E92AE32C-C69F-4910-B6B1-3C9F0FA745FB}"/>
    <cellStyle name="Normal 5 3 4 2 2 4 2 3" xfId="12432" xr:uid="{1655018F-0D54-4CA0-8C4F-BD5EDA9DD2BF}"/>
    <cellStyle name="Normal 5 3 4 2 2 4 3" xfId="6063" xr:uid="{00000000-0005-0000-0000-0000221A0000}"/>
    <cellStyle name="Normal 5 3 4 2 2 4 3 2" xfId="14505" xr:uid="{E05738A4-B7A4-4E1D-B8BC-B30CA39D0940}"/>
    <cellStyle name="Normal 5 3 4 2 2 4 4" xfId="10287" xr:uid="{933C240C-26AF-4705-B797-91C44FB9D80A}"/>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9C54F7CE-172C-4742-9135-DEC8BA1A0996}"/>
    <cellStyle name="Normal 5 3 4 2 2 5 2 3" xfId="12845" xr:uid="{E33C6B4E-B495-4B74-972B-D48CFEAA6FE8}"/>
    <cellStyle name="Normal 5 3 4 2 2 5 3" xfId="6476" xr:uid="{00000000-0005-0000-0000-0000261A0000}"/>
    <cellStyle name="Normal 5 3 4 2 2 5 3 2" xfId="14918" xr:uid="{C5041FD0-382F-42E5-BDB8-36368FB83148}"/>
    <cellStyle name="Normal 5 3 4 2 2 5 4" xfId="10700" xr:uid="{FB8442CB-C8F6-431E-B9DA-47CCEA48AD5E}"/>
    <cellStyle name="Normal 5 3 4 2 2 6" xfId="2605" xr:uid="{00000000-0005-0000-0000-0000271A0000}"/>
    <cellStyle name="Normal 5 3 4 2 2 6 2" xfId="6889" xr:uid="{00000000-0005-0000-0000-0000281A0000}"/>
    <cellStyle name="Normal 5 3 4 2 2 6 2 2" xfId="15331" xr:uid="{8890C36C-9E79-45FE-ADDA-AE9C516E232F}"/>
    <cellStyle name="Normal 5 3 4 2 2 6 3" xfId="11113" xr:uid="{7149C361-00BE-4A96-AFF0-D632EC058C7C}"/>
    <cellStyle name="Normal 5 3 4 2 2 7" xfId="4824" xr:uid="{00000000-0005-0000-0000-0000291A0000}"/>
    <cellStyle name="Normal 5 3 4 2 2 7 2" xfId="13266" xr:uid="{028D61C2-0902-4F47-A014-20125CD71570}"/>
    <cellStyle name="Normal 5 3 4 2 2 8" xfId="9048" xr:uid="{5B0887F5-81B8-4784-BFCB-8D91CDC78E56}"/>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13143700-D032-430B-87CC-5AA43B55A90F}"/>
    <cellStyle name="Normal 5 3 4 2 3 2 3" xfId="11605" xr:uid="{C300970A-9876-4B50-85BE-58BE3A19C4E7}"/>
    <cellStyle name="Normal 5 3 4 2 3 3" xfId="5236" xr:uid="{00000000-0005-0000-0000-00002D1A0000}"/>
    <cellStyle name="Normal 5 3 4 2 3 3 2" xfId="13678" xr:uid="{158AF9C7-510B-4625-AF12-5A5AB46937E9}"/>
    <cellStyle name="Normal 5 3 4 2 3 4" xfId="9460" xr:uid="{31A613B2-0183-46D0-BDC8-0131A3463E66}"/>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3A124F84-473E-404C-B318-BA54578F0F8A}"/>
    <cellStyle name="Normal 5 3 4 2 4 2 3" xfId="12018" xr:uid="{89718D43-B9CB-4900-9B9E-BA714B3B79B1}"/>
    <cellStyle name="Normal 5 3 4 2 4 3" xfId="5649" xr:uid="{00000000-0005-0000-0000-0000311A0000}"/>
    <cellStyle name="Normal 5 3 4 2 4 3 2" xfId="14091" xr:uid="{4EAB310A-7892-43BB-92C3-9C09BEC6577D}"/>
    <cellStyle name="Normal 5 3 4 2 4 4" xfId="9873" xr:uid="{629F9522-4609-4076-9A0B-8F522A3E7A01}"/>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0260D58F-6973-49DC-8FFB-81E083E23F91}"/>
    <cellStyle name="Normal 5 3 4 2 5 2 3" xfId="12431" xr:uid="{D3FD7976-75B4-44EE-9A9B-4752AEA62155}"/>
    <cellStyle name="Normal 5 3 4 2 5 3" xfId="6062" xr:uid="{00000000-0005-0000-0000-0000351A0000}"/>
    <cellStyle name="Normal 5 3 4 2 5 3 2" xfId="14504" xr:uid="{257C4C69-2A78-4FD8-A851-E6347E152126}"/>
    <cellStyle name="Normal 5 3 4 2 5 4" xfId="10286" xr:uid="{C98A554B-64F3-4846-A177-72A18E09BE6F}"/>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AFA25E49-C27A-4A1F-917E-4A7A84E18D63}"/>
    <cellStyle name="Normal 5 3 4 2 6 2 3" xfId="12844" xr:uid="{989B8F47-02E2-4B9A-925A-D670B32AA034}"/>
    <cellStyle name="Normal 5 3 4 2 6 3" xfId="6475" xr:uid="{00000000-0005-0000-0000-0000391A0000}"/>
    <cellStyle name="Normal 5 3 4 2 6 3 2" xfId="14917" xr:uid="{6E383478-3107-46C5-8BF7-0EF737D84556}"/>
    <cellStyle name="Normal 5 3 4 2 6 4" xfId="10699" xr:uid="{010EC3F0-283B-42AB-B16B-B1987F5398D3}"/>
    <cellStyle name="Normal 5 3 4 2 7" xfId="2604" xr:uid="{00000000-0005-0000-0000-00003A1A0000}"/>
    <cellStyle name="Normal 5 3 4 2 7 2" xfId="6888" xr:uid="{00000000-0005-0000-0000-00003B1A0000}"/>
    <cellStyle name="Normal 5 3 4 2 7 2 2" xfId="15330" xr:uid="{BB8622EE-6178-4D82-BEC3-5FEE0B59E57C}"/>
    <cellStyle name="Normal 5 3 4 2 7 3" xfId="11112" xr:uid="{FBA42A30-0CAD-445C-87FC-B5013118E227}"/>
    <cellStyle name="Normal 5 3 4 2 8" xfId="4823" xr:uid="{00000000-0005-0000-0000-00003C1A0000}"/>
    <cellStyle name="Normal 5 3 4 2 8 2" xfId="13265" xr:uid="{6E93DFA6-3E70-4521-9DDC-5602E4952530}"/>
    <cellStyle name="Normal 5 3 4 2 9" xfId="9047" xr:uid="{F0F53EDF-7326-45D0-8868-3130214CF85F}"/>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28DCE6B4-35BD-44AF-82FE-04A767B7A1A8}"/>
    <cellStyle name="Normal 5 3 4 3 2 2 3" xfId="11607" xr:uid="{E3368101-CF7C-46B9-8E25-078F0BDC8B61}"/>
    <cellStyle name="Normal 5 3 4 3 2 3" xfId="5238" xr:uid="{00000000-0005-0000-0000-0000411A0000}"/>
    <cellStyle name="Normal 5 3 4 3 2 3 2" xfId="13680" xr:uid="{3B9D55DD-7C23-4E72-845B-B71434E965B5}"/>
    <cellStyle name="Normal 5 3 4 3 2 4" xfId="9462" xr:uid="{A19933CA-2574-463E-8E1E-66446321187C}"/>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78C1DA50-6AFB-4298-845F-B0DF93703C28}"/>
    <cellStyle name="Normal 5 3 4 3 3 2 3" xfId="12020" xr:uid="{5A8EC06D-5CA4-41E5-A655-B954C99FFE96}"/>
    <cellStyle name="Normal 5 3 4 3 3 3" xfId="5651" xr:uid="{00000000-0005-0000-0000-0000451A0000}"/>
    <cellStyle name="Normal 5 3 4 3 3 3 2" xfId="14093" xr:uid="{9B7185CB-2DAD-48B6-B820-E3BC04CB6306}"/>
    <cellStyle name="Normal 5 3 4 3 3 4" xfId="9875" xr:uid="{1A5953F2-F667-4172-9182-B0C8A0FDF45C}"/>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C2CAD540-36AD-4A13-A6A1-E54DD882531B}"/>
    <cellStyle name="Normal 5 3 4 3 4 2 3" xfId="12433" xr:uid="{0FD1950D-2683-4C15-89BF-41AE92156A59}"/>
    <cellStyle name="Normal 5 3 4 3 4 3" xfId="6064" xr:uid="{00000000-0005-0000-0000-0000491A0000}"/>
    <cellStyle name="Normal 5 3 4 3 4 3 2" xfId="14506" xr:uid="{F14F771A-F5AB-4A5F-9494-5026968278C1}"/>
    <cellStyle name="Normal 5 3 4 3 4 4" xfId="10288" xr:uid="{703F30C2-F336-48F6-B9D5-BDCE97EF2387}"/>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71511DAE-C2DB-4ED3-B41A-90049B5F341A}"/>
    <cellStyle name="Normal 5 3 4 3 5 2 3" xfId="12846" xr:uid="{99101F07-406F-4EDF-8CA8-FAD28F6D2774}"/>
    <cellStyle name="Normal 5 3 4 3 5 3" xfId="6477" xr:uid="{00000000-0005-0000-0000-00004D1A0000}"/>
    <cellStyle name="Normal 5 3 4 3 5 3 2" xfId="14919" xr:uid="{752AB3E0-44FC-4087-BDDF-F5675B284F48}"/>
    <cellStyle name="Normal 5 3 4 3 5 4" xfId="10701" xr:uid="{11594EED-4CE5-4A27-B5D4-F179E52F71B7}"/>
    <cellStyle name="Normal 5 3 4 3 6" xfId="2606" xr:uid="{00000000-0005-0000-0000-00004E1A0000}"/>
    <cellStyle name="Normal 5 3 4 3 6 2" xfId="6890" xr:uid="{00000000-0005-0000-0000-00004F1A0000}"/>
    <cellStyle name="Normal 5 3 4 3 6 2 2" xfId="15332" xr:uid="{E64E2993-D4C8-49AF-935A-EC94BF271BD8}"/>
    <cellStyle name="Normal 5 3 4 3 6 3" xfId="11114" xr:uid="{B2BB54D2-2484-4708-ABE1-B01D5F617C5D}"/>
    <cellStyle name="Normal 5 3 4 3 7" xfId="4825" xr:uid="{00000000-0005-0000-0000-0000501A0000}"/>
    <cellStyle name="Normal 5 3 4 3 7 2" xfId="13267" xr:uid="{C3C875E4-6AB1-400F-AAF6-32E6C0FC242C}"/>
    <cellStyle name="Normal 5 3 4 3 8" xfId="9049" xr:uid="{B60AA30E-EDDC-4D84-B6CB-4CA1692F324D}"/>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12C272F9-3AEB-4DFC-BA46-094F0154C00B}"/>
    <cellStyle name="Normal 5 3 4 4 2 3" xfId="11604" xr:uid="{282B9773-9DC8-40C7-B07B-2601822D6C39}"/>
    <cellStyle name="Normal 5 3 4 4 3" xfId="5235" xr:uid="{00000000-0005-0000-0000-0000541A0000}"/>
    <cellStyle name="Normal 5 3 4 4 3 2" xfId="13677" xr:uid="{91F68582-16BB-4AAF-BE5E-40215FED76B2}"/>
    <cellStyle name="Normal 5 3 4 4 4" xfId="9459" xr:uid="{E3BFEC76-0A66-46D4-8ED8-05D3E2BF5FA9}"/>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0FDD89D1-D723-4C29-A229-C63927E67AFD}"/>
    <cellStyle name="Normal 5 3 4 5 2 3" xfId="12017" xr:uid="{5B5ED248-3641-47E6-98B7-5BEE5F6743B0}"/>
    <cellStyle name="Normal 5 3 4 5 3" xfId="5648" xr:uid="{00000000-0005-0000-0000-0000581A0000}"/>
    <cellStyle name="Normal 5 3 4 5 3 2" xfId="14090" xr:uid="{ED7CE06B-109E-4219-BFEF-ED563A9EA7AE}"/>
    <cellStyle name="Normal 5 3 4 5 4" xfId="9872" xr:uid="{E93F66C9-048A-482E-BD0F-92E15BDAD743}"/>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18EDCEEE-6BE4-42A5-A650-AA8FBCA3CFD3}"/>
    <cellStyle name="Normal 5 3 4 6 2 3" xfId="12430" xr:uid="{8326B350-14D9-452B-8A2A-A24AFA317144}"/>
    <cellStyle name="Normal 5 3 4 6 3" xfId="6061" xr:uid="{00000000-0005-0000-0000-00005C1A0000}"/>
    <cellStyle name="Normal 5 3 4 6 3 2" xfId="14503" xr:uid="{92413778-A705-44A7-9E0A-7980DD574C55}"/>
    <cellStyle name="Normal 5 3 4 6 4" xfId="10285" xr:uid="{4BD75140-723D-4F2C-B308-A07C79B5E998}"/>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4A7F18ED-803F-4769-B5F2-C4F911D1C2AF}"/>
    <cellStyle name="Normal 5 3 4 7 2 3" xfId="12843" xr:uid="{FD880144-4A82-4767-91D7-35815C44E9DF}"/>
    <cellStyle name="Normal 5 3 4 7 3" xfId="6474" xr:uid="{00000000-0005-0000-0000-0000601A0000}"/>
    <cellStyle name="Normal 5 3 4 7 3 2" xfId="14916" xr:uid="{5A2D0C46-F62C-4646-B0AF-D3FA24975D6A}"/>
    <cellStyle name="Normal 5 3 4 7 4" xfId="10698" xr:uid="{C9FC68D9-8ACF-4476-B13A-B7E0397A52E7}"/>
    <cellStyle name="Normal 5 3 4 8" xfId="2603" xr:uid="{00000000-0005-0000-0000-0000611A0000}"/>
    <cellStyle name="Normal 5 3 4 8 2" xfId="6887" xr:uid="{00000000-0005-0000-0000-0000621A0000}"/>
    <cellStyle name="Normal 5 3 4 8 2 2" xfId="15329" xr:uid="{5D8C8623-876D-4285-89DC-84AE59EA8BB4}"/>
    <cellStyle name="Normal 5 3 4 8 3" xfId="11111" xr:uid="{4DD022EE-0600-4163-9652-F4C0670DF0CE}"/>
    <cellStyle name="Normal 5 3 4 9" xfId="4822" xr:uid="{00000000-0005-0000-0000-0000631A0000}"/>
    <cellStyle name="Normal 5 3 4 9 2" xfId="13264" xr:uid="{8AB8FA3D-5D93-446F-86D1-29E6E682EC5A}"/>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69C77695-F3FC-449C-8C4F-0278F514873A}"/>
    <cellStyle name="Normal 5 3 5 2 2 2 3" xfId="11609" xr:uid="{29F26B1F-E7F4-4D88-B3B0-B5DDA346C300}"/>
    <cellStyle name="Normal 5 3 5 2 2 3" xfId="5240" xr:uid="{00000000-0005-0000-0000-0000691A0000}"/>
    <cellStyle name="Normal 5 3 5 2 2 3 2" xfId="13682" xr:uid="{0E936A62-B710-4094-84F5-1C21EEC23852}"/>
    <cellStyle name="Normal 5 3 5 2 2 4" xfId="9464" xr:uid="{5820651F-DE63-47FC-A54A-662D41F4BC36}"/>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89950E3D-4ABC-462B-8E52-E65B4508BE31}"/>
    <cellStyle name="Normal 5 3 5 2 3 2 3" xfId="12022" xr:uid="{E92ED428-4B0B-451D-BD34-4AE7E279F909}"/>
    <cellStyle name="Normal 5 3 5 2 3 3" xfId="5653" xr:uid="{00000000-0005-0000-0000-00006D1A0000}"/>
    <cellStyle name="Normal 5 3 5 2 3 3 2" xfId="14095" xr:uid="{E42ADD3D-551A-406E-B432-73AFDF5F1FA4}"/>
    <cellStyle name="Normal 5 3 5 2 3 4" xfId="9877" xr:uid="{E01A73FD-EBF7-4386-9EC7-F09BEAA87B49}"/>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2B2140BC-0667-49B9-B26A-D0CDD72FA145}"/>
    <cellStyle name="Normal 5 3 5 2 4 2 3" xfId="12435" xr:uid="{48670D36-8E3A-4E49-B0CA-79211B9D2CE3}"/>
    <cellStyle name="Normal 5 3 5 2 4 3" xfId="6066" xr:uid="{00000000-0005-0000-0000-0000711A0000}"/>
    <cellStyle name="Normal 5 3 5 2 4 3 2" xfId="14508" xr:uid="{D034FE54-E171-4E51-8970-AFA7CE98538D}"/>
    <cellStyle name="Normal 5 3 5 2 4 4" xfId="10290" xr:uid="{7D794C09-E508-4277-9B51-BD275681203E}"/>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10603638-AC12-46A6-A262-C875503B64D1}"/>
    <cellStyle name="Normal 5 3 5 2 5 2 3" xfId="12848" xr:uid="{FE52158F-E4EF-4944-8739-7915024315C2}"/>
    <cellStyle name="Normal 5 3 5 2 5 3" xfId="6479" xr:uid="{00000000-0005-0000-0000-0000751A0000}"/>
    <cellStyle name="Normal 5 3 5 2 5 3 2" xfId="14921" xr:uid="{58CCD164-1C8C-4458-B97B-8A4CDC3BCBCE}"/>
    <cellStyle name="Normal 5 3 5 2 5 4" xfId="10703" xr:uid="{66E5F122-AC12-46A9-A81E-0272574B80F5}"/>
    <cellStyle name="Normal 5 3 5 2 6" xfId="2608" xr:uid="{00000000-0005-0000-0000-0000761A0000}"/>
    <cellStyle name="Normal 5 3 5 2 6 2" xfId="6892" xr:uid="{00000000-0005-0000-0000-0000771A0000}"/>
    <cellStyle name="Normal 5 3 5 2 6 2 2" xfId="15334" xr:uid="{3132B265-733A-442A-ACB3-6A9946A96698}"/>
    <cellStyle name="Normal 5 3 5 2 6 3" xfId="11116" xr:uid="{4889B93B-C50F-4FA2-9372-1717A3CCE63F}"/>
    <cellStyle name="Normal 5 3 5 2 7" xfId="4827" xr:uid="{00000000-0005-0000-0000-0000781A0000}"/>
    <cellStyle name="Normal 5 3 5 2 7 2" xfId="13269" xr:uid="{DF300AC8-271B-4CE2-AFDC-918A0735BF95}"/>
    <cellStyle name="Normal 5 3 5 2 8" xfId="9051" xr:uid="{C9980DEB-C79A-4CDC-BEEB-9021BD0F45DC}"/>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5E8CB99C-82EE-46DE-A2A7-6696B0886921}"/>
    <cellStyle name="Normal 5 3 5 3 2 3" xfId="11608" xr:uid="{10F36EC9-9CCE-4E85-96B4-24EA39778FD5}"/>
    <cellStyle name="Normal 5 3 5 3 3" xfId="5239" xr:uid="{00000000-0005-0000-0000-00007C1A0000}"/>
    <cellStyle name="Normal 5 3 5 3 3 2" xfId="13681" xr:uid="{FD934535-8A2F-4D62-AC12-795030B7345A}"/>
    <cellStyle name="Normal 5 3 5 3 4" xfId="9463" xr:uid="{3842C778-E0D2-4F0E-B215-4E0D4599ED31}"/>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34512A94-6149-41D0-99A5-AD7D6F800009}"/>
    <cellStyle name="Normal 5 3 5 4 2 3" xfId="12021" xr:uid="{30B62555-F809-452A-B113-A5F63236C2B1}"/>
    <cellStyle name="Normal 5 3 5 4 3" xfId="5652" xr:uid="{00000000-0005-0000-0000-0000801A0000}"/>
    <cellStyle name="Normal 5 3 5 4 3 2" xfId="14094" xr:uid="{7777283F-8308-4963-8095-E488A975FC34}"/>
    <cellStyle name="Normal 5 3 5 4 4" xfId="9876" xr:uid="{C418962E-83A7-4260-86A5-F58342388762}"/>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EBA5C636-C12D-46E0-9F36-7E6A9C9EE5F7}"/>
    <cellStyle name="Normal 5 3 5 5 2 3" xfId="12434" xr:uid="{A7DDFA9A-7428-41D1-B1F6-BB6C3D28E0DB}"/>
    <cellStyle name="Normal 5 3 5 5 3" xfId="6065" xr:uid="{00000000-0005-0000-0000-0000841A0000}"/>
    <cellStyle name="Normal 5 3 5 5 3 2" xfId="14507" xr:uid="{98BFFCD2-9932-45C4-B14B-1C2E219E6EFC}"/>
    <cellStyle name="Normal 5 3 5 5 4" xfId="10289" xr:uid="{A89DDE3E-C1B8-4AB3-94E6-74620FA066B5}"/>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7435C748-AEE8-416C-8249-75984376F4AA}"/>
    <cellStyle name="Normal 5 3 5 6 2 3" xfId="12847" xr:uid="{AD7D512B-14BD-4B70-B105-A84A269A0449}"/>
    <cellStyle name="Normal 5 3 5 6 3" xfId="6478" xr:uid="{00000000-0005-0000-0000-0000881A0000}"/>
    <cellStyle name="Normal 5 3 5 6 3 2" xfId="14920" xr:uid="{4F1F98AE-5270-41ED-9D8F-F9CD89C4AA1C}"/>
    <cellStyle name="Normal 5 3 5 6 4" xfId="10702" xr:uid="{6C37CB9A-0849-493E-87EC-49637B47D51A}"/>
    <cellStyle name="Normal 5 3 5 7" xfId="2607" xr:uid="{00000000-0005-0000-0000-0000891A0000}"/>
    <cellStyle name="Normal 5 3 5 7 2" xfId="6891" xr:uid="{00000000-0005-0000-0000-00008A1A0000}"/>
    <cellStyle name="Normal 5 3 5 7 2 2" xfId="15333" xr:uid="{AEC220EE-10DC-4036-B111-F3DF529BEC4E}"/>
    <cellStyle name="Normal 5 3 5 7 3" xfId="11115" xr:uid="{7F9D45DF-253B-43ED-B587-72B278FAB300}"/>
    <cellStyle name="Normal 5 3 5 8" xfId="4826" xr:uid="{00000000-0005-0000-0000-00008B1A0000}"/>
    <cellStyle name="Normal 5 3 5 8 2" xfId="13268" xr:uid="{7A6430E7-9DAA-43AD-BC0F-18A9722B8BD3}"/>
    <cellStyle name="Normal 5 3 5 9" xfId="9050" xr:uid="{DFB1093F-A3E6-4C0D-88C3-DD5C137CD788}"/>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BAFDA21B-0CB3-49EA-8EC5-B3C6CA35289D}"/>
    <cellStyle name="Normal 5 3 6 2 2 3" xfId="11610" xr:uid="{7E8563D3-FF7A-4979-AC71-0D57AA05935F}"/>
    <cellStyle name="Normal 5 3 6 2 3" xfId="5241" xr:uid="{00000000-0005-0000-0000-0000901A0000}"/>
    <cellStyle name="Normal 5 3 6 2 3 2" xfId="13683" xr:uid="{3C0422A4-EF45-46F8-B840-6EA8145FAF04}"/>
    <cellStyle name="Normal 5 3 6 2 4" xfId="9465" xr:uid="{9C146300-B937-4B13-B3D1-C21DC545B91E}"/>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77A12C14-9953-448C-A61C-2F2DB4B2CAE4}"/>
    <cellStyle name="Normal 5 3 6 3 2 3" xfId="12023" xr:uid="{13374356-6466-44EC-B157-368C9E842BA9}"/>
    <cellStyle name="Normal 5 3 6 3 3" xfId="5654" xr:uid="{00000000-0005-0000-0000-0000941A0000}"/>
    <cellStyle name="Normal 5 3 6 3 3 2" xfId="14096" xr:uid="{97E50BED-3AB9-4270-A980-8534D25AD2B5}"/>
    <cellStyle name="Normal 5 3 6 3 4" xfId="9878" xr:uid="{7917CC52-71CD-45FA-8A19-0C06805E1B4C}"/>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CD6C9235-5F1F-4DF1-85B4-AAB378E9E3B3}"/>
    <cellStyle name="Normal 5 3 6 4 2 3" xfId="12436" xr:uid="{7F03B7C3-5BE5-4CC2-9AE1-556A32CC39B3}"/>
    <cellStyle name="Normal 5 3 6 4 3" xfId="6067" xr:uid="{00000000-0005-0000-0000-0000981A0000}"/>
    <cellStyle name="Normal 5 3 6 4 3 2" xfId="14509" xr:uid="{EDD338B5-7707-4C04-9D3B-CC1C4B38EF11}"/>
    <cellStyle name="Normal 5 3 6 4 4" xfId="10291" xr:uid="{DB7101DD-CB68-4B27-BC5B-8BB8BB27C2A9}"/>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458C4104-EC38-4E3D-9DCC-50321870EE70}"/>
    <cellStyle name="Normal 5 3 6 5 2 3" xfId="12849" xr:uid="{C6F157A0-2AFC-40AF-B396-DE7FA2AF0E8B}"/>
    <cellStyle name="Normal 5 3 6 5 3" xfId="6480" xr:uid="{00000000-0005-0000-0000-00009C1A0000}"/>
    <cellStyle name="Normal 5 3 6 5 3 2" xfId="14922" xr:uid="{B8C155BE-3B7D-401D-BAD3-29AD1F5A6044}"/>
    <cellStyle name="Normal 5 3 6 5 4" xfId="10704" xr:uid="{419688E0-A52D-4CC5-9E3C-9DF85DF08C61}"/>
    <cellStyle name="Normal 5 3 6 6" xfId="2609" xr:uid="{00000000-0005-0000-0000-00009D1A0000}"/>
    <cellStyle name="Normal 5 3 6 6 2" xfId="6893" xr:uid="{00000000-0005-0000-0000-00009E1A0000}"/>
    <cellStyle name="Normal 5 3 6 6 2 2" xfId="15335" xr:uid="{610EFF5F-1C65-45C7-96D3-B4AAB413E03A}"/>
    <cellStyle name="Normal 5 3 6 6 3" xfId="11117" xr:uid="{66286AFE-9EB5-4F07-966F-0F1AE0B7D605}"/>
    <cellStyle name="Normal 5 3 6 7" xfId="4828" xr:uid="{00000000-0005-0000-0000-00009F1A0000}"/>
    <cellStyle name="Normal 5 3 6 7 2" xfId="13270" xr:uid="{6F15BD9A-1144-4805-A1C1-E60965943019}"/>
    <cellStyle name="Normal 5 3 6 8" xfId="9052" xr:uid="{52B15D6A-FE54-44F1-8267-0F794F876171}"/>
    <cellStyle name="Normal 5 3 7" xfId="913" xr:uid="{00000000-0005-0000-0000-0000A01A0000}"/>
    <cellStyle name="Normal 5 3 7 2" xfId="3148" xr:uid="{00000000-0005-0000-0000-0000A11A0000}"/>
    <cellStyle name="Normal 5 3 7 2 2" xfId="7371" xr:uid="{00000000-0005-0000-0000-0000A21A0000}"/>
    <cellStyle name="Normal 5 3 7 2 2 2" xfId="15813" xr:uid="{35C841B7-FBD1-43F8-BC2D-69BA6D4C47C4}"/>
    <cellStyle name="Normal 5 3 7 2 3" xfId="11595" xr:uid="{29B4F4A2-D26A-46B3-BD3D-D47CA336304C}"/>
    <cellStyle name="Normal 5 3 7 3" xfId="5226" xr:uid="{00000000-0005-0000-0000-0000A31A0000}"/>
    <cellStyle name="Normal 5 3 7 3 2" xfId="13668" xr:uid="{81BE7561-8463-4B8D-8510-4223812ACDEF}"/>
    <cellStyle name="Normal 5 3 7 4" xfId="9450" xr:uid="{75844DE2-C047-47DA-913D-BF0B5AB9FE13}"/>
    <cellStyle name="Normal 5 3 8" xfId="1331" xr:uid="{00000000-0005-0000-0000-0000A41A0000}"/>
    <cellStyle name="Normal 5 3 8 2" xfId="3561" xr:uid="{00000000-0005-0000-0000-0000A51A0000}"/>
    <cellStyle name="Normal 5 3 8 2 2" xfId="7784" xr:uid="{00000000-0005-0000-0000-0000A61A0000}"/>
    <cellStyle name="Normal 5 3 8 2 2 2" xfId="16226" xr:uid="{1A95F2E7-6AB8-4009-9829-C89273394069}"/>
    <cellStyle name="Normal 5 3 8 2 3" xfId="12008" xr:uid="{2D8D9098-42CC-484E-8CE5-5608440C9AA3}"/>
    <cellStyle name="Normal 5 3 8 3" xfId="5639" xr:uid="{00000000-0005-0000-0000-0000A71A0000}"/>
    <cellStyle name="Normal 5 3 8 3 2" xfId="14081" xr:uid="{F805D78E-A367-48B0-BDF6-6521CD241DBB}"/>
    <cellStyle name="Normal 5 3 8 4" xfId="9863" xr:uid="{2A02175F-B5CD-4AF6-A47F-B8D5BBE99D9E}"/>
    <cellStyle name="Normal 5 3 9" xfId="1744" xr:uid="{00000000-0005-0000-0000-0000A81A0000}"/>
    <cellStyle name="Normal 5 3 9 2" xfId="3974" xr:uid="{00000000-0005-0000-0000-0000A91A0000}"/>
    <cellStyle name="Normal 5 3 9 2 2" xfId="8197" xr:uid="{00000000-0005-0000-0000-0000AA1A0000}"/>
    <cellStyle name="Normal 5 3 9 2 2 2" xfId="16639" xr:uid="{DD77D5BE-D977-4289-83A2-8AAD044F0C2E}"/>
    <cellStyle name="Normal 5 3 9 2 3" xfId="12421" xr:uid="{6024DFF4-B76A-45A5-BDC9-AE1160BB856F}"/>
    <cellStyle name="Normal 5 3 9 3" xfId="6052" xr:uid="{00000000-0005-0000-0000-0000AB1A0000}"/>
    <cellStyle name="Normal 5 3 9 3 2" xfId="14494" xr:uid="{7B4F5561-8754-4429-8D9F-4412034DEC4B}"/>
    <cellStyle name="Normal 5 3 9 4" xfId="10276" xr:uid="{5476E5AE-6335-42F7-AD0C-BB2DA07F7419}"/>
    <cellStyle name="Normal 5 4" xfId="456" xr:uid="{00000000-0005-0000-0000-0000AC1A0000}"/>
    <cellStyle name="Normal 5 4 10" xfId="4829" xr:uid="{00000000-0005-0000-0000-0000AD1A0000}"/>
    <cellStyle name="Normal 5 4 10 2" xfId="13271" xr:uid="{80240A1F-9DF9-419F-A9D8-75B97F02F5FC}"/>
    <cellStyle name="Normal 5 4 11" xfId="9053" xr:uid="{FBC9F0C0-83DB-4877-98FD-55AF54CAE298}"/>
    <cellStyle name="Normal 5 4 2" xfId="457" xr:uid="{00000000-0005-0000-0000-0000AE1A0000}"/>
    <cellStyle name="Normal 5 4 2 10" xfId="9054" xr:uid="{09744CEA-BFEE-4F4A-9EE1-76238252EFC6}"/>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1280A49C-5FEE-481F-A1E6-4BAC80A93F45}"/>
    <cellStyle name="Normal 5 4 2 2 2 2 2 3" xfId="11614" xr:uid="{217ED2B3-A7AF-4A08-B4A8-31DAC0F547EE}"/>
    <cellStyle name="Normal 5 4 2 2 2 2 3" xfId="5245" xr:uid="{00000000-0005-0000-0000-0000B41A0000}"/>
    <cellStyle name="Normal 5 4 2 2 2 2 3 2" xfId="13687" xr:uid="{BD202C2E-40FA-4E96-9119-752D7B6D84C4}"/>
    <cellStyle name="Normal 5 4 2 2 2 2 4" xfId="9469" xr:uid="{F0DEF847-D2DC-440F-A3A0-92F9F8144419}"/>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54DA8CB2-F840-4D15-9F5B-4E86D32578B2}"/>
    <cellStyle name="Normal 5 4 2 2 2 3 2 3" xfId="12027" xr:uid="{312BA1C5-3778-41D6-941F-2345B64C5ECB}"/>
    <cellStyle name="Normal 5 4 2 2 2 3 3" xfId="5658" xr:uid="{00000000-0005-0000-0000-0000B81A0000}"/>
    <cellStyle name="Normal 5 4 2 2 2 3 3 2" xfId="14100" xr:uid="{E083AD01-EE63-4E27-AE77-E67EC9BCBBDC}"/>
    <cellStyle name="Normal 5 4 2 2 2 3 4" xfId="9882" xr:uid="{F250A862-5FC6-4D9E-8E63-628C1D8CFA72}"/>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3926BD50-E703-44CA-A0D0-6D981D6E2DB0}"/>
    <cellStyle name="Normal 5 4 2 2 2 4 2 3" xfId="12440" xr:uid="{6275837B-1948-4F2F-B3A6-AD0150E69709}"/>
    <cellStyle name="Normal 5 4 2 2 2 4 3" xfId="6071" xr:uid="{00000000-0005-0000-0000-0000BC1A0000}"/>
    <cellStyle name="Normal 5 4 2 2 2 4 3 2" xfId="14513" xr:uid="{53B2597F-9455-4A89-A198-3F5465C57692}"/>
    <cellStyle name="Normal 5 4 2 2 2 4 4" xfId="10295" xr:uid="{025DC54F-48DE-45D0-B57D-CC217C8C2906}"/>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09D054C4-57F8-4193-B536-F7614037D30D}"/>
    <cellStyle name="Normal 5 4 2 2 2 5 2 3" xfId="12853" xr:uid="{87084496-52C6-446C-8D16-A86CD015B060}"/>
    <cellStyle name="Normal 5 4 2 2 2 5 3" xfId="6484" xr:uid="{00000000-0005-0000-0000-0000C01A0000}"/>
    <cellStyle name="Normal 5 4 2 2 2 5 3 2" xfId="14926" xr:uid="{DF02B915-FF4A-488D-AE23-F8320E9095D4}"/>
    <cellStyle name="Normal 5 4 2 2 2 5 4" xfId="10708" xr:uid="{50EE142F-E7CB-432A-AC00-B185F089C3BA}"/>
    <cellStyle name="Normal 5 4 2 2 2 6" xfId="2613" xr:uid="{00000000-0005-0000-0000-0000C11A0000}"/>
    <cellStyle name="Normal 5 4 2 2 2 6 2" xfId="6897" xr:uid="{00000000-0005-0000-0000-0000C21A0000}"/>
    <cellStyle name="Normal 5 4 2 2 2 6 2 2" xfId="15339" xr:uid="{13BC48C4-518E-43AF-9B93-CC5184051F4C}"/>
    <cellStyle name="Normal 5 4 2 2 2 6 3" xfId="11121" xr:uid="{D552488C-E7AC-4160-AC14-7376E883DA57}"/>
    <cellStyle name="Normal 5 4 2 2 2 7" xfId="4832" xr:uid="{00000000-0005-0000-0000-0000C31A0000}"/>
    <cellStyle name="Normal 5 4 2 2 2 7 2" xfId="13274" xr:uid="{54CFD610-E5CA-4C46-AD3F-26E8F286FE9E}"/>
    <cellStyle name="Normal 5 4 2 2 2 8" xfId="9056" xr:uid="{D68C4F5A-CA25-4D51-B463-049B90934A03}"/>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CEA3A16E-7F86-4B3C-B157-7B44339C4E40}"/>
    <cellStyle name="Normal 5 4 2 2 3 2 3" xfId="11613" xr:uid="{66D1BE51-D058-451B-A601-0389C70A351E}"/>
    <cellStyle name="Normal 5 4 2 2 3 3" xfId="5244" xr:uid="{00000000-0005-0000-0000-0000C71A0000}"/>
    <cellStyle name="Normal 5 4 2 2 3 3 2" xfId="13686" xr:uid="{6CEC6963-EE26-4ED4-8E2E-420BE0615072}"/>
    <cellStyle name="Normal 5 4 2 2 3 4" xfId="9468" xr:uid="{1076FA4E-B4B8-41CE-982C-3BEF1B622969}"/>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16380060-7C60-44E7-8B53-1E08F84618E3}"/>
    <cellStyle name="Normal 5 4 2 2 4 2 3" xfId="12026" xr:uid="{018BD64E-5AA6-4F1C-8E9A-6CC2D2985645}"/>
    <cellStyle name="Normal 5 4 2 2 4 3" xfId="5657" xr:uid="{00000000-0005-0000-0000-0000CB1A0000}"/>
    <cellStyle name="Normal 5 4 2 2 4 3 2" xfId="14099" xr:uid="{460C566E-2092-418E-B222-E134C1A320F6}"/>
    <cellStyle name="Normal 5 4 2 2 4 4" xfId="9881" xr:uid="{883BDAD7-692B-472C-8D13-113006B1DD63}"/>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64130C64-776E-42FB-9529-459A6D30239C}"/>
    <cellStyle name="Normal 5 4 2 2 5 2 3" xfId="12439" xr:uid="{4C5BA5A8-C9BC-4F0A-BF45-F30DD24D6DC5}"/>
    <cellStyle name="Normal 5 4 2 2 5 3" xfId="6070" xr:uid="{00000000-0005-0000-0000-0000CF1A0000}"/>
    <cellStyle name="Normal 5 4 2 2 5 3 2" xfId="14512" xr:uid="{3135D3CC-65BA-4534-BCEF-0B9195CBC2E7}"/>
    <cellStyle name="Normal 5 4 2 2 5 4" xfId="10294" xr:uid="{BA65F6AB-E81B-49CA-B4E4-380971D82B47}"/>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4C82822-374C-4E58-97D7-C3A1E0BFC0BF}"/>
    <cellStyle name="Normal 5 4 2 2 6 2 3" xfId="12852" xr:uid="{62A196F9-026A-434A-B5F7-9F9EC7330BCF}"/>
    <cellStyle name="Normal 5 4 2 2 6 3" xfId="6483" xr:uid="{00000000-0005-0000-0000-0000D31A0000}"/>
    <cellStyle name="Normal 5 4 2 2 6 3 2" xfId="14925" xr:uid="{B49445FF-4DCE-4091-8CD5-724A1FFC1CF4}"/>
    <cellStyle name="Normal 5 4 2 2 6 4" xfId="10707" xr:uid="{15D39B4F-9A99-4C20-A219-E4696BDE7DC3}"/>
    <cellStyle name="Normal 5 4 2 2 7" xfId="2612" xr:uid="{00000000-0005-0000-0000-0000D41A0000}"/>
    <cellStyle name="Normal 5 4 2 2 7 2" xfId="6896" xr:uid="{00000000-0005-0000-0000-0000D51A0000}"/>
    <cellStyle name="Normal 5 4 2 2 7 2 2" xfId="15338" xr:uid="{CF868B92-5412-460A-9097-1538146DDEC2}"/>
    <cellStyle name="Normal 5 4 2 2 7 3" xfId="11120" xr:uid="{0A3F893B-BABD-4AC2-A341-893A7A963E24}"/>
    <cellStyle name="Normal 5 4 2 2 8" xfId="4831" xr:uid="{00000000-0005-0000-0000-0000D61A0000}"/>
    <cellStyle name="Normal 5 4 2 2 8 2" xfId="13273" xr:uid="{839E398A-56C7-4469-9993-15ED79913234}"/>
    <cellStyle name="Normal 5 4 2 2 9" xfId="9055" xr:uid="{BAC9044D-37E6-49A2-BC7D-F46CDE19306B}"/>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D956C608-DE22-4719-AA8E-38C170E293A6}"/>
    <cellStyle name="Normal 5 4 2 3 2 2 3" xfId="11615" xr:uid="{D4DC6561-9FDA-4CC5-B2E3-9884365618E6}"/>
    <cellStyle name="Normal 5 4 2 3 2 3" xfId="5246" xr:uid="{00000000-0005-0000-0000-0000DB1A0000}"/>
    <cellStyle name="Normal 5 4 2 3 2 3 2" xfId="13688" xr:uid="{3463C6F4-70CA-410D-9DA4-5F4821A5738B}"/>
    <cellStyle name="Normal 5 4 2 3 2 4" xfId="9470" xr:uid="{A14D8E3C-035C-4320-BC42-08913E2684AA}"/>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E95C56AB-CF9C-415D-A66A-D060E8F64FAC}"/>
    <cellStyle name="Normal 5 4 2 3 3 2 3" xfId="12028" xr:uid="{9B959F45-4B19-49FD-8F32-722FA6CC6DC8}"/>
    <cellStyle name="Normal 5 4 2 3 3 3" xfId="5659" xr:uid="{00000000-0005-0000-0000-0000DF1A0000}"/>
    <cellStyle name="Normal 5 4 2 3 3 3 2" xfId="14101" xr:uid="{A5329A84-0848-4736-AC38-F31E1BFB2319}"/>
    <cellStyle name="Normal 5 4 2 3 3 4" xfId="9883" xr:uid="{3893FE80-FFC1-4D3C-A300-F7FC350C9571}"/>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7132FBD4-FB0B-40AA-A406-BBE0F935A63E}"/>
    <cellStyle name="Normal 5 4 2 3 4 2 3" xfId="12441" xr:uid="{1CCD011D-C4AB-4859-9882-579239048C10}"/>
    <cellStyle name="Normal 5 4 2 3 4 3" xfId="6072" xr:uid="{00000000-0005-0000-0000-0000E31A0000}"/>
    <cellStyle name="Normal 5 4 2 3 4 3 2" xfId="14514" xr:uid="{0B390A9A-4DA4-4F9A-B737-1EC8140E38AE}"/>
    <cellStyle name="Normal 5 4 2 3 4 4" xfId="10296" xr:uid="{E8E38391-E0C5-45DC-9747-AEBCB47577C6}"/>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7D51FF4A-A56C-4053-B187-0486F9F3BFEF}"/>
    <cellStyle name="Normal 5 4 2 3 5 2 3" xfId="12854" xr:uid="{4EA4CFD6-3BC5-4B72-AD19-EE7258AE2E8D}"/>
    <cellStyle name="Normal 5 4 2 3 5 3" xfId="6485" xr:uid="{00000000-0005-0000-0000-0000E71A0000}"/>
    <cellStyle name="Normal 5 4 2 3 5 3 2" xfId="14927" xr:uid="{073A6D27-448A-4E22-9EEF-5E9CF303D861}"/>
    <cellStyle name="Normal 5 4 2 3 5 4" xfId="10709" xr:uid="{418676D8-0967-4383-BEDC-CC659A9D34FA}"/>
    <cellStyle name="Normal 5 4 2 3 6" xfId="2614" xr:uid="{00000000-0005-0000-0000-0000E81A0000}"/>
    <cellStyle name="Normal 5 4 2 3 6 2" xfId="6898" xr:uid="{00000000-0005-0000-0000-0000E91A0000}"/>
    <cellStyle name="Normal 5 4 2 3 6 2 2" xfId="15340" xr:uid="{905C4084-84CA-459C-8E34-C899ED62FF6D}"/>
    <cellStyle name="Normal 5 4 2 3 6 3" xfId="11122" xr:uid="{9AA88598-C4DC-4F58-A29F-8B1C042554EC}"/>
    <cellStyle name="Normal 5 4 2 3 7" xfId="4833" xr:uid="{00000000-0005-0000-0000-0000EA1A0000}"/>
    <cellStyle name="Normal 5 4 2 3 7 2" xfId="13275" xr:uid="{F8CAA215-9288-465C-A70D-F635E5A3B3D8}"/>
    <cellStyle name="Normal 5 4 2 3 8" xfId="9057" xr:uid="{E6EF71A3-B214-49DC-8F6A-3ECF89E5FFAB}"/>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A373F667-D28A-411D-BE7E-55F04085FCF2}"/>
    <cellStyle name="Normal 5 4 2 4 2 3" xfId="11612" xr:uid="{54E5088A-8C5D-4DC9-AE11-4F0CF1BF09B9}"/>
    <cellStyle name="Normal 5 4 2 4 3" xfId="5243" xr:uid="{00000000-0005-0000-0000-0000EE1A0000}"/>
    <cellStyle name="Normal 5 4 2 4 3 2" xfId="13685" xr:uid="{CBEC9A74-F7B7-45D3-9301-E901EE9AED6F}"/>
    <cellStyle name="Normal 5 4 2 4 4" xfId="9467" xr:uid="{9BE358D3-39CC-45CE-93AA-A3B5D624826D}"/>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45A4D96F-09AB-4B02-AC0B-37B4154C9F81}"/>
    <cellStyle name="Normal 5 4 2 5 2 3" xfId="12025" xr:uid="{061EA5A1-6453-4CDF-B808-8CF4C37EEC64}"/>
    <cellStyle name="Normal 5 4 2 5 3" xfId="5656" xr:uid="{00000000-0005-0000-0000-0000F21A0000}"/>
    <cellStyle name="Normal 5 4 2 5 3 2" xfId="14098" xr:uid="{95D554D9-7998-4CDC-AAFC-9363FC880257}"/>
    <cellStyle name="Normal 5 4 2 5 4" xfId="9880" xr:uid="{AEBE3708-FFE7-4806-A1C3-E70B8275AA22}"/>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BB35710F-EC2E-4257-A8E1-40F6DC9826F8}"/>
    <cellStyle name="Normal 5 4 2 6 2 3" xfId="12438" xr:uid="{ADFF484A-0D2B-4025-A849-21EEBFAD5B7D}"/>
    <cellStyle name="Normal 5 4 2 6 3" xfId="6069" xr:uid="{00000000-0005-0000-0000-0000F61A0000}"/>
    <cellStyle name="Normal 5 4 2 6 3 2" xfId="14511" xr:uid="{614C5879-7721-4FF4-A60D-E9657FBF365F}"/>
    <cellStyle name="Normal 5 4 2 6 4" xfId="10293" xr:uid="{F9A5CBCF-986F-48C4-9690-F0F8DE1DD73A}"/>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311F560D-6B3F-450A-A660-65C231591986}"/>
    <cellStyle name="Normal 5 4 2 7 2 3" xfId="12851" xr:uid="{12979E9E-2689-4279-A849-48CB07C7D59B}"/>
    <cellStyle name="Normal 5 4 2 7 3" xfId="6482" xr:uid="{00000000-0005-0000-0000-0000FA1A0000}"/>
    <cellStyle name="Normal 5 4 2 7 3 2" xfId="14924" xr:uid="{41026809-FD1C-4803-BD01-0BA56BF7D73A}"/>
    <cellStyle name="Normal 5 4 2 7 4" xfId="10706" xr:uid="{E8577C02-7E68-49D9-B644-3E5AD668A761}"/>
    <cellStyle name="Normal 5 4 2 8" xfId="2611" xr:uid="{00000000-0005-0000-0000-0000FB1A0000}"/>
    <cellStyle name="Normal 5 4 2 8 2" xfId="6895" xr:uid="{00000000-0005-0000-0000-0000FC1A0000}"/>
    <cellStyle name="Normal 5 4 2 8 2 2" xfId="15337" xr:uid="{DA54D342-710D-43E4-A5FB-C0EF38605AFD}"/>
    <cellStyle name="Normal 5 4 2 8 3" xfId="11119" xr:uid="{F953EB25-1F06-4DEE-95E8-8F021B43FFD0}"/>
    <cellStyle name="Normal 5 4 2 9" xfId="4830" xr:uid="{00000000-0005-0000-0000-0000FD1A0000}"/>
    <cellStyle name="Normal 5 4 2 9 2" xfId="13272" xr:uid="{C6BD730F-E75C-4D4C-8B7C-5B31F2C9AFFB}"/>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A5051FA1-251C-489B-9194-AD89CDA46691}"/>
    <cellStyle name="Normal 5 4 3 2 2 2 3" xfId="11617" xr:uid="{BF15ACB7-4C3D-405A-8E69-ED3F628195DB}"/>
    <cellStyle name="Normal 5 4 3 2 2 3" xfId="5248" xr:uid="{00000000-0005-0000-0000-0000031B0000}"/>
    <cellStyle name="Normal 5 4 3 2 2 3 2" xfId="13690" xr:uid="{428C5E31-162C-4F66-9404-3DAE19317E78}"/>
    <cellStyle name="Normal 5 4 3 2 2 4" xfId="9472" xr:uid="{B93B2769-780A-4AF0-AFA9-EE27B44EDB32}"/>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184FCABB-3FE5-4400-AF5D-83BCA0BA32E1}"/>
    <cellStyle name="Normal 5 4 3 2 3 2 3" xfId="12030" xr:uid="{9CAE0F71-345C-4C85-98BD-E5DDCA467E6B}"/>
    <cellStyle name="Normal 5 4 3 2 3 3" xfId="5661" xr:uid="{00000000-0005-0000-0000-0000071B0000}"/>
    <cellStyle name="Normal 5 4 3 2 3 3 2" xfId="14103" xr:uid="{38B99710-9AC3-4270-9CD4-21DE6525C47E}"/>
    <cellStyle name="Normal 5 4 3 2 3 4" xfId="9885" xr:uid="{EC8BD599-3633-49BE-AB5B-B751B5C9600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66B167D7-706C-4214-825E-EADF29F86C78}"/>
    <cellStyle name="Normal 5 4 3 2 4 2 3" xfId="12443" xr:uid="{B6AF0082-5498-4AC9-BE59-C66D6E66B27F}"/>
    <cellStyle name="Normal 5 4 3 2 4 3" xfId="6074" xr:uid="{00000000-0005-0000-0000-00000B1B0000}"/>
    <cellStyle name="Normal 5 4 3 2 4 3 2" xfId="14516" xr:uid="{37A94A74-BCE4-4D1C-9BED-D3A557E67663}"/>
    <cellStyle name="Normal 5 4 3 2 4 4" xfId="10298" xr:uid="{690FF494-3AC3-4FF5-9002-C2E821D3B51F}"/>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D61504B0-9B97-41DF-BB0D-56610AA1A024}"/>
    <cellStyle name="Normal 5 4 3 2 5 2 3" xfId="12856" xr:uid="{92107F37-651E-477A-8172-169A6775C465}"/>
    <cellStyle name="Normal 5 4 3 2 5 3" xfId="6487" xr:uid="{00000000-0005-0000-0000-00000F1B0000}"/>
    <cellStyle name="Normal 5 4 3 2 5 3 2" xfId="14929" xr:uid="{F2903949-B91C-4585-9EE3-A274CF037B5B}"/>
    <cellStyle name="Normal 5 4 3 2 5 4" xfId="10711" xr:uid="{46860EB9-92B4-43EB-A210-E2E2D5E82F0A}"/>
    <cellStyle name="Normal 5 4 3 2 6" xfId="2616" xr:uid="{00000000-0005-0000-0000-0000101B0000}"/>
    <cellStyle name="Normal 5 4 3 2 6 2" xfId="6900" xr:uid="{00000000-0005-0000-0000-0000111B0000}"/>
    <cellStyle name="Normal 5 4 3 2 6 2 2" xfId="15342" xr:uid="{7ECBD81E-5EE4-46DA-8CDA-2EEA1631EE35}"/>
    <cellStyle name="Normal 5 4 3 2 6 3" xfId="11124" xr:uid="{67611DF6-C4A6-4AC2-9700-86659D252129}"/>
    <cellStyle name="Normal 5 4 3 2 7" xfId="4835" xr:uid="{00000000-0005-0000-0000-0000121B0000}"/>
    <cellStyle name="Normal 5 4 3 2 7 2" xfId="13277" xr:uid="{7CA2542C-8574-4F2E-9468-582EBBC42351}"/>
    <cellStyle name="Normal 5 4 3 2 8" xfId="9059" xr:uid="{1E204E32-6550-4E4F-BD4B-AA16C0D10872}"/>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C1E60FFE-4BB3-4A12-99D8-8C190ADFF428}"/>
    <cellStyle name="Normal 5 4 3 3 2 3" xfId="11616" xr:uid="{BA933C7C-02C9-4FE9-90EB-8F08C5E5CA11}"/>
    <cellStyle name="Normal 5 4 3 3 3" xfId="5247" xr:uid="{00000000-0005-0000-0000-0000161B0000}"/>
    <cellStyle name="Normal 5 4 3 3 3 2" xfId="13689" xr:uid="{DB6BB5ED-0D1F-4A78-9DE2-A315BDC092BC}"/>
    <cellStyle name="Normal 5 4 3 3 4" xfId="9471" xr:uid="{371E93A5-7727-4A09-AC9A-533085DB4B83}"/>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50BA0425-E804-4E53-8FF2-D60E2E03737D}"/>
    <cellStyle name="Normal 5 4 3 4 2 3" xfId="12029" xr:uid="{DF82BC4F-DBDC-4B5E-BD3D-89A936858541}"/>
    <cellStyle name="Normal 5 4 3 4 3" xfId="5660" xr:uid="{00000000-0005-0000-0000-00001A1B0000}"/>
    <cellStyle name="Normal 5 4 3 4 3 2" xfId="14102" xr:uid="{995B8E9E-6A8B-4AB1-9D78-816C991ED8A1}"/>
    <cellStyle name="Normal 5 4 3 4 4" xfId="9884" xr:uid="{EAD61115-24F5-454F-9605-B159133B7231}"/>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B6DD4720-ABF7-49AE-8C6B-F5BB188B4FA0}"/>
    <cellStyle name="Normal 5 4 3 5 2 3" xfId="12442" xr:uid="{CB794B51-EFDB-41B5-A54E-C520782377BE}"/>
    <cellStyle name="Normal 5 4 3 5 3" xfId="6073" xr:uid="{00000000-0005-0000-0000-00001E1B0000}"/>
    <cellStyle name="Normal 5 4 3 5 3 2" xfId="14515" xr:uid="{1F698D8C-AA64-4918-8220-0B0B0BC800F6}"/>
    <cellStyle name="Normal 5 4 3 5 4" xfId="10297" xr:uid="{58CCF6B4-E408-4C35-9B26-734EC2A67335}"/>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08D9E106-676C-4BEC-9B48-E2424E5CC11D}"/>
    <cellStyle name="Normal 5 4 3 6 2 3" xfId="12855" xr:uid="{C7100A2C-4394-448F-B994-E9B9463D422F}"/>
    <cellStyle name="Normal 5 4 3 6 3" xfId="6486" xr:uid="{00000000-0005-0000-0000-0000221B0000}"/>
    <cellStyle name="Normal 5 4 3 6 3 2" xfId="14928" xr:uid="{84906A3A-645B-493F-A00A-13559DD91C15}"/>
    <cellStyle name="Normal 5 4 3 6 4" xfId="10710" xr:uid="{FD565867-5A2E-4D5E-B570-A8C47BDC95FD}"/>
    <cellStyle name="Normal 5 4 3 7" xfId="2615" xr:uid="{00000000-0005-0000-0000-0000231B0000}"/>
    <cellStyle name="Normal 5 4 3 7 2" xfId="6899" xr:uid="{00000000-0005-0000-0000-0000241B0000}"/>
    <cellStyle name="Normal 5 4 3 7 2 2" xfId="15341" xr:uid="{02979364-F600-4CBD-B070-D75B401B7EB7}"/>
    <cellStyle name="Normal 5 4 3 7 3" xfId="11123" xr:uid="{A3B9940F-B6DA-4181-9DE2-643CE92DEA2B}"/>
    <cellStyle name="Normal 5 4 3 8" xfId="4834" xr:uid="{00000000-0005-0000-0000-0000251B0000}"/>
    <cellStyle name="Normal 5 4 3 8 2" xfId="13276" xr:uid="{72E6111B-3BA6-48AA-8D1A-13A2E90756C0}"/>
    <cellStyle name="Normal 5 4 3 9" xfId="9058" xr:uid="{F3BD4963-27F2-4AE7-A1BF-7A24B1DA4769}"/>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F55476F5-2248-4DA7-A25A-B4D30DAE8C30}"/>
    <cellStyle name="Normal 5 4 4 2 2 3" xfId="11618" xr:uid="{3F81D5A5-30EC-4F40-A0ED-EEF4922D6B94}"/>
    <cellStyle name="Normal 5 4 4 2 3" xfId="5249" xr:uid="{00000000-0005-0000-0000-00002A1B0000}"/>
    <cellStyle name="Normal 5 4 4 2 3 2" xfId="13691" xr:uid="{426BD0C9-43FC-461B-A0A3-116FA5AAF5DB}"/>
    <cellStyle name="Normal 5 4 4 2 4" xfId="9473" xr:uid="{45BC98FC-A6B5-4EE2-935A-C4B2231256D0}"/>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1E2C8057-2507-4664-90BC-368296DACA45}"/>
    <cellStyle name="Normal 5 4 4 3 2 3" xfId="12031" xr:uid="{7FF5574F-D5D3-4836-A401-D3348031CEE1}"/>
    <cellStyle name="Normal 5 4 4 3 3" xfId="5662" xr:uid="{00000000-0005-0000-0000-00002E1B0000}"/>
    <cellStyle name="Normal 5 4 4 3 3 2" xfId="14104" xr:uid="{50A9D49E-391C-4465-9799-FFE00C6DB0A7}"/>
    <cellStyle name="Normal 5 4 4 3 4" xfId="9886" xr:uid="{A3AEBF66-DA4F-48CD-884F-CF9CDD0A7484}"/>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DC985B0F-CD5A-40C3-9484-141F8D432810}"/>
    <cellStyle name="Normal 5 4 4 4 2 3" xfId="12444" xr:uid="{28E7EA9A-EAC8-4B6C-9906-95FF5240DC3B}"/>
    <cellStyle name="Normal 5 4 4 4 3" xfId="6075" xr:uid="{00000000-0005-0000-0000-0000321B0000}"/>
    <cellStyle name="Normal 5 4 4 4 3 2" xfId="14517" xr:uid="{5272B2F8-BC80-45E5-91B0-CA2C47718342}"/>
    <cellStyle name="Normal 5 4 4 4 4" xfId="10299" xr:uid="{DEA491A8-0C55-4308-8A9B-E54EA87B9799}"/>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5622304B-6CB7-40B4-8FD4-BA0C78AC934B}"/>
    <cellStyle name="Normal 5 4 4 5 2 3" xfId="12857" xr:uid="{61AD7DF0-BF1F-4F75-BB9A-CF9F064E9478}"/>
    <cellStyle name="Normal 5 4 4 5 3" xfId="6488" xr:uid="{00000000-0005-0000-0000-0000361B0000}"/>
    <cellStyle name="Normal 5 4 4 5 3 2" xfId="14930" xr:uid="{53F97E05-35B2-4C5C-A407-83FAC6B75DD6}"/>
    <cellStyle name="Normal 5 4 4 5 4" xfId="10712" xr:uid="{040E2B0A-124B-47DD-9EF4-DD7F21DA3C14}"/>
    <cellStyle name="Normal 5 4 4 6" xfId="2617" xr:uid="{00000000-0005-0000-0000-0000371B0000}"/>
    <cellStyle name="Normal 5 4 4 6 2" xfId="6901" xr:uid="{00000000-0005-0000-0000-0000381B0000}"/>
    <cellStyle name="Normal 5 4 4 6 2 2" xfId="15343" xr:uid="{412EB73D-4A18-4E76-A75A-88C0430EA920}"/>
    <cellStyle name="Normal 5 4 4 6 3" xfId="11125" xr:uid="{BDB5EC14-A343-4A19-A28E-9C6E8E31ADE1}"/>
    <cellStyle name="Normal 5 4 4 7" xfId="4836" xr:uid="{00000000-0005-0000-0000-0000391B0000}"/>
    <cellStyle name="Normal 5 4 4 7 2" xfId="13278" xr:uid="{390211D8-A28D-4A7F-A616-A212D0AC8A99}"/>
    <cellStyle name="Normal 5 4 4 8" xfId="9060" xr:uid="{5DF4F831-4FCC-4960-ADAB-E7A80C4616C2}"/>
    <cellStyle name="Normal 5 4 5" xfId="930" xr:uid="{00000000-0005-0000-0000-00003A1B0000}"/>
    <cellStyle name="Normal 5 4 5 2" xfId="3164" xr:uid="{00000000-0005-0000-0000-00003B1B0000}"/>
    <cellStyle name="Normal 5 4 5 2 2" xfId="7387" xr:uid="{00000000-0005-0000-0000-00003C1B0000}"/>
    <cellStyle name="Normal 5 4 5 2 2 2" xfId="15829" xr:uid="{99302006-78CA-4793-B8C5-1C42ED107038}"/>
    <cellStyle name="Normal 5 4 5 2 3" xfId="11611" xr:uid="{F3709519-1413-46C8-8EBE-F5FE67BE3629}"/>
    <cellStyle name="Normal 5 4 5 3" xfId="5242" xr:uid="{00000000-0005-0000-0000-00003D1B0000}"/>
    <cellStyle name="Normal 5 4 5 3 2" xfId="13684" xr:uid="{2ED9FEFE-B261-4D59-94BC-34B503644476}"/>
    <cellStyle name="Normal 5 4 5 4" xfId="9466" xr:uid="{0F604168-0734-4D0D-BB85-08490BF2F07F}"/>
    <cellStyle name="Normal 5 4 6" xfId="1347" xr:uid="{00000000-0005-0000-0000-00003E1B0000}"/>
    <cellStyle name="Normal 5 4 6 2" xfId="3577" xr:uid="{00000000-0005-0000-0000-00003F1B0000}"/>
    <cellStyle name="Normal 5 4 6 2 2" xfId="7800" xr:uid="{00000000-0005-0000-0000-0000401B0000}"/>
    <cellStyle name="Normal 5 4 6 2 2 2" xfId="16242" xr:uid="{4622CEA8-D883-4D2C-BBAB-1B7663B2161B}"/>
    <cellStyle name="Normal 5 4 6 2 3" xfId="12024" xr:uid="{B24F1B80-D430-497C-B6F4-C9D961F840A4}"/>
    <cellStyle name="Normal 5 4 6 3" xfId="5655" xr:uid="{00000000-0005-0000-0000-0000411B0000}"/>
    <cellStyle name="Normal 5 4 6 3 2" xfId="14097" xr:uid="{A7657623-BF8A-4AE1-B603-36629A586C2F}"/>
    <cellStyle name="Normal 5 4 6 4" xfId="9879" xr:uid="{0C5C5F2C-7D6E-46E4-B28A-A278AADA5367}"/>
    <cellStyle name="Normal 5 4 7" xfId="1760" xr:uid="{00000000-0005-0000-0000-0000421B0000}"/>
    <cellStyle name="Normal 5 4 7 2" xfId="3990" xr:uid="{00000000-0005-0000-0000-0000431B0000}"/>
    <cellStyle name="Normal 5 4 7 2 2" xfId="8213" xr:uid="{00000000-0005-0000-0000-0000441B0000}"/>
    <cellStyle name="Normal 5 4 7 2 2 2" xfId="16655" xr:uid="{6E678E5F-3082-4ED2-935B-3108213A8A82}"/>
    <cellStyle name="Normal 5 4 7 2 3" xfId="12437" xr:uid="{25A53292-5FFF-4A57-985F-E7C42BA2E244}"/>
    <cellStyle name="Normal 5 4 7 3" xfId="6068" xr:uid="{00000000-0005-0000-0000-0000451B0000}"/>
    <cellStyle name="Normal 5 4 7 3 2" xfId="14510" xr:uid="{643D46C6-541C-4423-8F05-FD4A5F20788B}"/>
    <cellStyle name="Normal 5 4 7 4" xfId="10292" xr:uid="{57A25628-1C96-41B5-9CBF-F4E1B49C4697}"/>
    <cellStyle name="Normal 5 4 8" xfId="2174" xr:uid="{00000000-0005-0000-0000-0000461B0000}"/>
    <cellStyle name="Normal 5 4 8 2" xfId="4403" xr:uid="{00000000-0005-0000-0000-0000471B0000}"/>
    <cellStyle name="Normal 5 4 8 2 2" xfId="8626" xr:uid="{00000000-0005-0000-0000-0000481B0000}"/>
    <cellStyle name="Normal 5 4 8 2 2 2" xfId="17068" xr:uid="{E05718B9-B242-4214-825F-4A9D73082458}"/>
    <cellStyle name="Normal 5 4 8 2 3" xfId="12850" xr:uid="{3CF56399-264B-4EED-8C55-65AB7258D4AD}"/>
    <cellStyle name="Normal 5 4 8 3" xfId="6481" xr:uid="{00000000-0005-0000-0000-0000491B0000}"/>
    <cellStyle name="Normal 5 4 8 3 2" xfId="14923" xr:uid="{B9473847-871F-41AD-BAD1-CBDADAED3784}"/>
    <cellStyle name="Normal 5 4 8 4" xfId="10705" xr:uid="{419B6E3A-4B35-4D87-A0F5-1F81B7DF5DE3}"/>
    <cellStyle name="Normal 5 4 9" xfId="2610" xr:uid="{00000000-0005-0000-0000-00004A1B0000}"/>
    <cellStyle name="Normal 5 4 9 2" xfId="6894" xr:uid="{00000000-0005-0000-0000-00004B1B0000}"/>
    <cellStyle name="Normal 5 4 9 2 2" xfId="15336" xr:uid="{E5A76EE5-C012-439B-8607-C0662455AD10}"/>
    <cellStyle name="Normal 5 4 9 3" xfId="11118" xr:uid="{AABB60BF-931F-48F5-9014-E6F358AA2658}"/>
    <cellStyle name="Normal 5 5" xfId="464" xr:uid="{00000000-0005-0000-0000-00004C1B0000}"/>
    <cellStyle name="Normal 5 5 10" xfId="9061" xr:uid="{75D483BF-D7EF-4775-AC96-1F2BCE2C1155}"/>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8572188B-A1C5-402F-8C22-A5FD4100A935}"/>
    <cellStyle name="Normal 5 5 2 2 2 2 3" xfId="11621" xr:uid="{C47B7C74-464F-47E8-9873-B01A6BFFDBCB}"/>
    <cellStyle name="Normal 5 5 2 2 2 3" xfId="5252" xr:uid="{00000000-0005-0000-0000-0000521B0000}"/>
    <cellStyle name="Normal 5 5 2 2 2 3 2" xfId="13694" xr:uid="{7BF1E2DE-83F4-4E39-8A7B-80477BB3A6BA}"/>
    <cellStyle name="Normal 5 5 2 2 2 4" xfId="9476" xr:uid="{BE8CA265-B1E1-467C-AD9A-886BBC24D143}"/>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44FCD7C8-288B-4655-97AC-3AE72BE34C1C}"/>
    <cellStyle name="Normal 5 5 2 2 3 2 3" xfId="12034" xr:uid="{C30BB190-EA72-48BC-A2AC-E70D6BED267A}"/>
    <cellStyle name="Normal 5 5 2 2 3 3" xfId="5665" xr:uid="{00000000-0005-0000-0000-0000561B0000}"/>
    <cellStyle name="Normal 5 5 2 2 3 3 2" xfId="14107" xr:uid="{E97B4AAF-3A83-4D2A-865D-00CA526CB53E}"/>
    <cellStyle name="Normal 5 5 2 2 3 4" xfId="9889" xr:uid="{ED559CC3-F413-446D-81A1-09118AE6457B}"/>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A39E8E6C-B01B-42C8-9428-C769AA5BBC67}"/>
    <cellStyle name="Normal 5 5 2 2 4 2 3" xfId="12447" xr:uid="{711DC62C-C4EF-4B22-87FF-8E36E59D3F90}"/>
    <cellStyle name="Normal 5 5 2 2 4 3" xfId="6078" xr:uid="{00000000-0005-0000-0000-00005A1B0000}"/>
    <cellStyle name="Normal 5 5 2 2 4 3 2" xfId="14520" xr:uid="{0C8100AD-B091-49EE-8AD2-7B6031B3825B}"/>
    <cellStyle name="Normal 5 5 2 2 4 4" xfId="10302" xr:uid="{61368157-6644-4AF1-ABCB-03DF0C875F83}"/>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BC07E76C-70BA-478C-85BC-D9D1B3C93FAA}"/>
    <cellStyle name="Normal 5 5 2 2 5 2 3" xfId="12860" xr:uid="{AC219FC6-96B9-4EBE-9F28-B1D9D6247583}"/>
    <cellStyle name="Normal 5 5 2 2 5 3" xfId="6491" xr:uid="{00000000-0005-0000-0000-00005E1B0000}"/>
    <cellStyle name="Normal 5 5 2 2 5 3 2" xfId="14933" xr:uid="{1F0CFC1D-929E-4F7B-864B-4E327F890DD2}"/>
    <cellStyle name="Normal 5 5 2 2 5 4" xfId="10715" xr:uid="{25D5A612-ABB5-460D-9534-2B087A4D926C}"/>
    <cellStyle name="Normal 5 5 2 2 6" xfId="2620" xr:uid="{00000000-0005-0000-0000-00005F1B0000}"/>
    <cellStyle name="Normal 5 5 2 2 6 2" xfId="6904" xr:uid="{00000000-0005-0000-0000-0000601B0000}"/>
    <cellStyle name="Normal 5 5 2 2 6 2 2" xfId="15346" xr:uid="{1D15FD8A-ACEB-45F1-AFEC-3B8824D30E8E}"/>
    <cellStyle name="Normal 5 5 2 2 6 3" xfId="11128" xr:uid="{9CC6979F-EB99-40C0-B989-515CF5FAF130}"/>
    <cellStyle name="Normal 5 5 2 2 7" xfId="4839" xr:uid="{00000000-0005-0000-0000-0000611B0000}"/>
    <cellStyle name="Normal 5 5 2 2 7 2" xfId="13281" xr:uid="{1294048F-D5BB-458B-915F-3075DD2151EE}"/>
    <cellStyle name="Normal 5 5 2 2 8" xfId="9063" xr:uid="{A26B717D-4F43-492C-945B-A7B97B1077BD}"/>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54090F73-DD4B-4D76-A80F-6F2037C5DAEC}"/>
    <cellStyle name="Normal 5 5 2 3 2 3" xfId="11620" xr:uid="{78B54103-BB64-433F-8C4E-D765CDA00882}"/>
    <cellStyle name="Normal 5 5 2 3 3" xfId="5251" xr:uid="{00000000-0005-0000-0000-0000651B0000}"/>
    <cellStyle name="Normal 5 5 2 3 3 2" xfId="13693" xr:uid="{7176E4AB-1EDE-452D-B1A8-FD7C2736AFBA}"/>
    <cellStyle name="Normal 5 5 2 3 4" xfId="9475" xr:uid="{A11581FE-4C6C-4BBB-9056-ADE7C9FC36FA}"/>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9C3DFF1D-46D4-424B-ADFE-3103F7F6DC65}"/>
    <cellStyle name="Normal 5 5 2 4 2 3" xfId="12033" xr:uid="{86036794-24B5-4C80-A09A-DEC5F5C60A48}"/>
    <cellStyle name="Normal 5 5 2 4 3" xfId="5664" xr:uid="{00000000-0005-0000-0000-0000691B0000}"/>
    <cellStyle name="Normal 5 5 2 4 3 2" xfId="14106" xr:uid="{C8F2EF98-E439-43EC-A851-D952550D3ED1}"/>
    <cellStyle name="Normal 5 5 2 4 4" xfId="9888" xr:uid="{194B9582-9D67-4CFF-A109-7AB19E65095B}"/>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8AB1AD86-7255-4062-A0B5-A649A2588D7C}"/>
    <cellStyle name="Normal 5 5 2 5 2 3" xfId="12446" xr:uid="{2A0AA815-0A66-42E3-ACC0-D3DA0D0C93BD}"/>
    <cellStyle name="Normal 5 5 2 5 3" xfId="6077" xr:uid="{00000000-0005-0000-0000-00006D1B0000}"/>
    <cellStyle name="Normal 5 5 2 5 3 2" xfId="14519" xr:uid="{2B271985-D248-48C6-80A5-BA32C397D952}"/>
    <cellStyle name="Normal 5 5 2 5 4" xfId="10301" xr:uid="{5A11AC0B-D86D-4EF3-9D07-0850FA688F42}"/>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B5E0E0E2-4DE3-41C8-8473-CFBE8539717A}"/>
    <cellStyle name="Normal 5 5 2 6 2 3" xfId="12859" xr:uid="{1CDDBE6D-866C-4FFC-BA7A-CDB9B78BE139}"/>
    <cellStyle name="Normal 5 5 2 6 3" xfId="6490" xr:uid="{00000000-0005-0000-0000-0000711B0000}"/>
    <cellStyle name="Normal 5 5 2 6 3 2" xfId="14932" xr:uid="{4D20CDBC-1528-46DD-AC6C-088094978888}"/>
    <cellStyle name="Normal 5 5 2 6 4" xfId="10714" xr:uid="{8BADF190-4FC9-439E-AF78-4D6E460DACBA}"/>
    <cellStyle name="Normal 5 5 2 7" xfId="2619" xr:uid="{00000000-0005-0000-0000-0000721B0000}"/>
    <cellStyle name="Normal 5 5 2 7 2" xfId="6903" xr:uid="{00000000-0005-0000-0000-0000731B0000}"/>
    <cellStyle name="Normal 5 5 2 7 2 2" xfId="15345" xr:uid="{F0B87C81-1505-4C85-8410-36015879098F}"/>
    <cellStyle name="Normal 5 5 2 7 3" xfId="11127" xr:uid="{CAC53478-61AF-4AC4-B55B-FB631177C6EA}"/>
    <cellStyle name="Normal 5 5 2 8" xfId="4838" xr:uid="{00000000-0005-0000-0000-0000741B0000}"/>
    <cellStyle name="Normal 5 5 2 8 2" xfId="13280" xr:uid="{C1A042E2-8392-4134-B961-1AFB0543D83C}"/>
    <cellStyle name="Normal 5 5 2 9" xfId="9062" xr:uid="{ECEFD219-8DC1-4533-BF86-B0B7D0A4129E}"/>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723ACC54-C3E1-48ED-A088-7423DF20BA82}"/>
    <cellStyle name="Normal 5 5 3 2 2 3" xfId="11622" xr:uid="{FBB3B97A-C9B3-4757-ACE4-B3F7170DBF3D}"/>
    <cellStyle name="Normal 5 5 3 2 3" xfId="5253" xr:uid="{00000000-0005-0000-0000-0000791B0000}"/>
    <cellStyle name="Normal 5 5 3 2 3 2" xfId="13695" xr:uid="{387FACF3-267B-4761-ACDB-9679C00F7576}"/>
    <cellStyle name="Normal 5 5 3 2 4" xfId="9477" xr:uid="{4FC92E28-9725-493E-B97C-8B4786193FD6}"/>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52801FFD-DD0C-4228-A45D-166A645F6115}"/>
    <cellStyle name="Normal 5 5 3 3 2 3" xfId="12035" xr:uid="{CDDCF954-3F6B-4563-B561-3C4E5845C897}"/>
    <cellStyle name="Normal 5 5 3 3 3" xfId="5666" xr:uid="{00000000-0005-0000-0000-00007D1B0000}"/>
    <cellStyle name="Normal 5 5 3 3 3 2" xfId="14108" xr:uid="{ED6287DA-DDA4-4CB7-9A5C-7974F4034919}"/>
    <cellStyle name="Normal 5 5 3 3 4" xfId="9890" xr:uid="{52CAF30F-3120-42FD-BF75-2570FDA371E6}"/>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629B43FE-432A-4ABF-A809-7888DF354F40}"/>
    <cellStyle name="Normal 5 5 3 4 2 3" xfId="12448" xr:uid="{FCBD5AF5-1A3D-4AE6-93F8-50BAA0D9B39C}"/>
    <cellStyle name="Normal 5 5 3 4 3" xfId="6079" xr:uid="{00000000-0005-0000-0000-0000811B0000}"/>
    <cellStyle name="Normal 5 5 3 4 3 2" xfId="14521" xr:uid="{D88958FF-8171-40B3-A761-7E100A8F4726}"/>
    <cellStyle name="Normal 5 5 3 4 4" xfId="10303" xr:uid="{5BC9E59A-7481-4A53-A882-44FACEEB06DA}"/>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3EBCED77-E548-4054-AC87-AE17C11C9AAC}"/>
    <cellStyle name="Normal 5 5 3 5 2 3" xfId="12861" xr:uid="{FE5C8EDB-38D2-4DC9-9910-ED25BDE745FB}"/>
    <cellStyle name="Normal 5 5 3 5 3" xfId="6492" xr:uid="{00000000-0005-0000-0000-0000851B0000}"/>
    <cellStyle name="Normal 5 5 3 5 3 2" xfId="14934" xr:uid="{105F92CC-4ADC-4367-B2C6-BE9367EDEA47}"/>
    <cellStyle name="Normal 5 5 3 5 4" xfId="10716" xr:uid="{3B7EAE4B-6044-479C-A599-7E277E587E4E}"/>
    <cellStyle name="Normal 5 5 3 6" xfId="2621" xr:uid="{00000000-0005-0000-0000-0000861B0000}"/>
    <cellStyle name="Normal 5 5 3 6 2" xfId="6905" xr:uid="{00000000-0005-0000-0000-0000871B0000}"/>
    <cellStyle name="Normal 5 5 3 6 2 2" xfId="15347" xr:uid="{C48BA132-AE74-40B8-B827-910BD1E12C34}"/>
    <cellStyle name="Normal 5 5 3 6 3" xfId="11129" xr:uid="{783625D2-DFF2-4AD7-91B0-58BF360FB41D}"/>
    <cellStyle name="Normal 5 5 3 7" xfId="4840" xr:uid="{00000000-0005-0000-0000-0000881B0000}"/>
    <cellStyle name="Normal 5 5 3 7 2" xfId="13282" xr:uid="{2E5543C7-E59C-4F66-8D10-F0980088CE25}"/>
    <cellStyle name="Normal 5 5 3 8" xfId="9064" xr:uid="{597DC2C8-4129-476D-8CD2-5C82FA1F5DC4}"/>
    <cellStyle name="Normal 5 5 4" xfId="938" xr:uid="{00000000-0005-0000-0000-0000891B0000}"/>
    <cellStyle name="Normal 5 5 4 2" xfId="3172" xr:uid="{00000000-0005-0000-0000-00008A1B0000}"/>
    <cellStyle name="Normal 5 5 4 2 2" xfId="7395" xr:uid="{00000000-0005-0000-0000-00008B1B0000}"/>
    <cellStyle name="Normal 5 5 4 2 2 2" xfId="15837" xr:uid="{ABA999AA-88CE-40C9-AB3C-E14F654D3B03}"/>
    <cellStyle name="Normal 5 5 4 2 3" xfId="11619" xr:uid="{271B952B-D265-44BB-A5F5-5D8CC4DCFD93}"/>
    <cellStyle name="Normal 5 5 4 3" xfId="5250" xr:uid="{00000000-0005-0000-0000-00008C1B0000}"/>
    <cellStyle name="Normal 5 5 4 3 2" xfId="13692" xr:uid="{82E84509-F28B-43F8-BA5E-754AB1C6F3BA}"/>
    <cellStyle name="Normal 5 5 4 4" xfId="9474" xr:uid="{8B203DBC-53AE-42D2-8637-C271E9615B8E}"/>
    <cellStyle name="Normal 5 5 5" xfId="1355" xr:uid="{00000000-0005-0000-0000-00008D1B0000}"/>
    <cellStyle name="Normal 5 5 5 2" xfId="3585" xr:uid="{00000000-0005-0000-0000-00008E1B0000}"/>
    <cellStyle name="Normal 5 5 5 2 2" xfId="7808" xr:uid="{00000000-0005-0000-0000-00008F1B0000}"/>
    <cellStyle name="Normal 5 5 5 2 2 2" xfId="16250" xr:uid="{FC5D38FB-C0AE-4F18-BAB2-6E4BEA976BA1}"/>
    <cellStyle name="Normal 5 5 5 2 3" xfId="12032" xr:uid="{C7EA9238-CC22-46FE-9C7E-30B5F120C0B9}"/>
    <cellStyle name="Normal 5 5 5 3" xfId="5663" xr:uid="{00000000-0005-0000-0000-0000901B0000}"/>
    <cellStyle name="Normal 5 5 5 3 2" xfId="14105" xr:uid="{CF1856A4-1DF4-4807-90B5-EEDE15030FBE}"/>
    <cellStyle name="Normal 5 5 5 4" xfId="9887" xr:uid="{E78004C3-AD9E-4535-ADCD-414EC46EB34C}"/>
    <cellStyle name="Normal 5 5 6" xfId="1768" xr:uid="{00000000-0005-0000-0000-0000911B0000}"/>
    <cellStyle name="Normal 5 5 6 2" xfId="3998" xr:uid="{00000000-0005-0000-0000-0000921B0000}"/>
    <cellStyle name="Normal 5 5 6 2 2" xfId="8221" xr:uid="{00000000-0005-0000-0000-0000931B0000}"/>
    <cellStyle name="Normal 5 5 6 2 2 2" xfId="16663" xr:uid="{1D4EA723-4CFC-4111-8558-1E9A7FD14D1D}"/>
    <cellStyle name="Normal 5 5 6 2 3" xfId="12445" xr:uid="{41B6AD4B-561A-4BD2-B838-05009725BB83}"/>
    <cellStyle name="Normal 5 5 6 3" xfId="6076" xr:uid="{00000000-0005-0000-0000-0000941B0000}"/>
    <cellStyle name="Normal 5 5 6 3 2" xfId="14518" xr:uid="{DF637FAB-68E1-4FA3-9FED-F1B06B8AFABA}"/>
    <cellStyle name="Normal 5 5 6 4" xfId="10300" xr:uid="{801D2A2D-8199-4EAA-881D-0EC99B947A4A}"/>
    <cellStyle name="Normal 5 5 7" xfId="2182" xr:uid="{00000000-0005-0000-0000-0000951B0000}"/>
    <cellStyle name="Normal 5 5 7 2" xfId="4411" xr:uid="{00000000-0005-0000-0000-0000961B0000}"/>
    <cellStyle name="Normal 5 5 7 2 2" xfId="8634" xr:uid="{00000000-0005-0000-0000-0000971B0000}"/>
    <cellStyle name="Normal 5 5 7 2 2 2" xfId="17076" xr:uid="{39332B11-368A-4D1D-9C2D-288BCC9B9BF7}"/>
    <cellStyle name="Normal 5 5 7 2 3" xfId="12858" xr:uid="{C0428928-7224-461C-A91B-410B2F637D81}"/>
    <cellStyle name="Normal 5 5 7 3" xfId="6489" xr:uid="{00000000-0005-0000-0000-0000981B0000}"/>
    <cellStyle name="Normal 5 5 7 3 2" xfId="14931" xr:uid="{9E276CA5-5F47-4A63-B8E4-DD0E7058D3F8}"/>
    <cellStyle name="Normal 5 5 7 4" xfId="10713" xr:uid="{3A40EA29-77A9-4596-8058-A285180804C3}"/>
    <cellStyle name="Normal 5 5 8" xfId="2618" xr:uid="{00000000-0005-0000-0000-0000991B0000}"/>
    <cellStyle name="Normal 5 5 8 2" xfId="6902" xr:uid="{00000000-0005-0000-0000-00009A1B0000}"/>
    <cellStyle name="Normal 5 5 8 2 2" xfId="15344" xr:uid="{06253CC9-E15A-48F5-9971-0F08C9CF05F8}"/>
    <cellStyle name="Normal 5 5 8 3" xfId="11126" xr:uid="{B61F840F-2827-4049-B10B-06BE0E91D873}"/>
    <cellStyle name="Normal 5 5 9" xfId="4837" xr:uid="{00000000-0005-0000-0000-00009B1B0000}"/>
    <cellStyle name="Normal 5 5 9 2" xfId="13279" xr:uid="{AF838DA0-023A-43D8-9051-F43B851D77BD}"/>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65CABE82-91EB-4CCB-A1F2-D1C9FA40E365}"/>
    <cellStyle name="Normal 5 6 2 2 2 3" xfId="11624" xr:uid="{43E5DFBD-1401-429B-8C76-6C316B1FB559}"/>
    <cellStyle name="Normal 5 6 2 2 3" xfId="5255" xr:uid="{00000000-0005-0000-0000-0000A11B0000}"/>
    <cellStyle name="Normal 5 6 2 2 3 2" xfId="13697" xr:uid="{232EC7DB-84B1-4A71-9273-03FEFA37C9AE}"/>
    <cellStyle name="Normal 5 6 2 2 4" xfId="9479" xr:uid="{75E03D78-6B6F-45BE-8FD9-8CC4FDF2B3D1}"/>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3BB941A-D1F2-4AD9-B258-0BF588F28B21}"/>
    <cellStyle name="Normal 5 6 2 3 2 3" xfId="12037" xr:uid="{6CCEB8B9-CB46-473A-B915-CAFEF02BCA5B}"/>
    <cellStyle name="Normal 5 6 2 3 3" xfId="5668" xr:uid="{00000000-0005-0000-0000-0000A51B0000}"/>
    <cellStyle name="Normal 5 6 2 3 3 2" xfId="14110" xr:uid="{5E6698CE-BE46-452F-B7B4-F80C73685044}"/>
    <cellStyle name="Normal 5 6 2 3 4" xfId="9892" xr:uid="{7532904F-5282-4D35-9713-6F8F1D8C8FCF}"/>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38DC2A0F-0153-4F72-9D8D-9844DCA9628C}"/>
    <cellStyle name="Normal 5 6 2 4 2 3" xfId="12450" xr:uid="{0F4F917A-9A31-4306-A305-E73894191F5C}"/>
    <cellStyle name="Normal 5 6 2 4 3" xfId="6081" xr:uid="{00000000-0005-0000-0000-0000A91B0000}"/>
    <cellStyle name="Normal 5 6 2 4 3 2" xfId="14523" xr:uid="{455F1931-9E4A-4567-AD2E-D2005F316290}"/>
    <cellStyle name="Normal 5 6 2 4 4" xfId="10305" xr:uid="{6EA0C96D-E736-4F4C-AD30-557DAA8812A0}"/>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B5040DBB-3E57-45EE-A7C6-8978754DFABA}"/>
    <cellStyle name="Normal 5 6 2 5 2 3" xfId="12863" xr:uid="{B3E54D79-1C7F-42ED-887C-EF3B5B3A4698}"/>
    <cellStyle name="Normal 5 6 2 5 3" xfId="6494" xr:uid="{00000000-0005-0000-0000-0000AD1B0000}"/>
    <cellStyle name="Normal 5 6 2 5 3 2" xfId="14936" xr:uid="{E43790B7-0479-4747-9BE9-68F9513C8C33}"/>
    <cellStyle name="Normal 5 6 2 5 4" xfId="10718" xr:uid="{7D6E3406-CF90-450D-9BFE-D59C2901224B}"/>
    <cellStyle name="Normal 5 6 2 6" xfId="2623" xr:uid="{00000000-0005-0000-0000-0000AE1B0000}"/>
    <cellStyle name="Normal 5 6 2 6 2" xfId="6907" xr:uid="{00000000-0005-0000-0000-0000AF1B0000}"/>
    <cellStyle name="Normal 5 6 2 6 2 2" xfId="15349" xr:uid="{CF386DFD-2FA2-4088-9473-19F94B887599}"/>
    <cellStyle name="Normal 5 6 2 6 3" xfId="11131" xr:uid="{8ED1471F-78FD-4CFA-9BF0-B1FADF7D572C}"/>
    <cellStyle name="Normal 5 6 2 7" xfId="4842" xr:uid="{00000000-0005-0000-0000-0000B01B0000}"/>
    <cellStyle name="Normal 5 6 2 7 2" xfId="13284" xr:uid="{97AF2C5C-8BB2-4AAC-9FFB-FFB18F8691EE}"/>
    <cellStyle name="Normal 5 6 2 8" xfId="9066" xr:uid="{FF4D4696-D94F-403B-AA5C-0939D540A4B5}"/>
    <cellStyle name="Normal 5 6 3" xfId="942" xr:uid="{00000000-0005-0000-0000-0000B11B0000}"/>
    <cellStyle name="Normal 5 6 3 2" xfId="3176" xr:uid="{00000000-0005-0000-0000-0000B21B0000}"/>
    <cellStyle name="Normal 5 6 3 2 2" xfId="7399" xr:uid="{00000000-0005-0000-0000-0000B31B0000}"/>
    <cellStyle name="Normal 5 6 3 2 2 2" xfId="15841" xr:uid="{0661DB25-0F7D-4E11-A939-9528C7AE452B}"/>
    <cellStyle name="Normal 5 6 3 2 3" xfId="11623" xr:uid="{6C9A17ED-34BB-448C-AC32-4BD005BA4FC3}"/>
    <cellStyle name="Normal 5 6 3 3" xfId="5254" xr:uid="{00000000-0005-0000-0000-0000B41B0000}"/>
    <cellStyle name="Normal 5 6 3 3 2" xfId="13696" xr:uid="{024954B8-44F6-45B1-8CA4-6117D5596895}"/>
    <cellStyle name="Normal 5 6 3 4" xfId="9478" xr:uid="{E640FBF0-F795-4206-BA44-6BB5513A5597}"/>
    <cellStyle name="Normal 5 6 4" xfId="1359" xr:uid="{00000000-0005-0000-0000-0000B51B0000}"/>
    <cellStyle name="Normal 5 6 4 2" xfId="3589" xr:uid="{00000000-0005-0000-0000-0000B61B0000}"/>
    <cellStyle name="Normal 5 6 4 2 2" xfId="7812" xr:uid="{00000000-0005-0000-0000-0000B71B0000}"/>
    <cellStyle name="Normal 5 6 4 2 2 2" xfId="16254" xr:uid="{3D500620-FCFE-476D-8493-A8564C64405F}"/>
    <cellStyle name="Normal 5 6 4 2 3" xfId="12036" xr:uid="{1FC34508-B620-40C1-890C-EC556A0CE70D}"/>
    <cellStyle name="Normal 5 6 4 3" xfId="5667" xr:uid="{00000000-0005-0000-0000-0000B81B0000}"/>
    <cellStyle name="Normal 5 6 4 3 2" xfId="14109" xr:uid="{E2380D74-7583-47F5-A5EC-45747BE8E2EB}"/>
    <cellStyle name="Normal 5 6 4 4" xfId="9891" xr:uid="{C82B7669-DFA6-4D93-A75C-7E512DA58206}"/>
    <cellStyle name="Normal 5 6 5" xfId="1772" xr:uid="{00000000-0005-0000-0000-0000B91B0000}"/>
    <cellStyle name="Normal 5 6 5 2" xfId="4002" xr:uid="{00000000-0005-0000-0000-0000BA1B0000}"/>
    <cellStyle name="Normal 5 6 5 2 2" xfId="8225" xr:uid="{00000000-0005-0000-0000-0000BB1B0000}"/>
    <cellStyle name="Normal 5 6 5 2 2 2" xfId="16667" xr:uid="{618447F8-C57B-46C8-9941-B0885EBA8C8C}"/>
    <cellStyle name="Normal 5 6 5 2 3" xfId="12449" xr:uid="{66AF0750-1441-468C-BE75-362942F7FC18}"/>
    <cellStyle name="Normal 5 6 5 3" xfId="6080" xr:uid="{00000000-0005-0000-0000-0000BC1B0000}"/>
    <cellStyle name="Normal 5 6 5 3 2" xfId="14522" xr:uid="{B60990BB-0C97-4B23-8251-22DACCEBB29C}"/>
    <cellStyle name="Normal 5 6 5 4" xfId="10304" xr:uid="{3952135C-D741-4F6F-B40F-94871E97BB58}"/>
    <cellStyle name="Normal 5 6 6" xfId="2186" xr:uid="{00000000-0005-0000-0000-0000BD1B0000}"/>
    <cellStyle name="Normal 5 6 6 2" xfId="4415" xr:uid="{00000000-0005-0000-0000-0000BE1B0000}"/>
    <cellStyle name="Normal 5 6 6 2 2" xfId="8638" xr:uid="{00000000-0005-0000-0000-0000BF1B0000}"/>
    <cellStyle name="Normal 5 6 6 2 2 2" xfId="17080" xr:uid="{880ED72C-EA0A-4635-AAB1-C4E3A513CBD4}"/>
    <cellStyle name="Normal 5 6 6 2 3" xfId="12862" xr:uid="{670245DD-32C7-48F2-A888-740671B20607}"/>
    <cellStyle name="Normal 5 6 6 3" xfId="6493" xr:uid="{00000000-0005-0000-0000-0000C01B0000}"/>
    <cellStyle name="Normal 5 6 6 3 2" xfId="14935" xr:uid="{7F046E72-19BD-4666-A3B1-2DFFE735E14C}"/>
    <cellStyle name="Normal 5 6 6 4" xfId="10717" xr:uid="{9E1B4401-B596-48C6-9866-64C84E4D8391}"/>
    <cellStyle name="Normal 5 6 7" xfId="2622" xr:uid="{00000000-0005-0000-0000-0000C11B0000}"/>
    <cellStyle name="Normal 5 6 7 2" xfId="6906" xr:uid="{00000000-0005-0000-0000-0000C21B0000}"/>
    <cellStyle name="Normal 5 6 7 2 2" xfId="15348" xr:uid="{E5C4CFE0-8D65-45FC-8310-C45F9D043F7C}"/>
    <cellStyle name="Normal 5 6 7 3" xfId="11130" xr:uid="{22D73A10-49C8-40CB-B4FE-AC3B4DCD1890}"/>
    <cellStyle name="Normal 5 6 8" xfId="4841" xr:uid="{00000000-0005-0000-0000-0000C31B0000}"/>
    <cellStyle name="Normal 5 6 8 2" xfId="13283" xr:uid="{B5B1CB16-6BE4-4A56-BB60-40D77B35D001}"/>
    <cellStyle name="Normal 5 6 9" xfId="9065" xr:uid="{DA142676-C19E-4E8F-B887-3EB62DAE499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05683314-F24E-4B6D-A509-9CB87449C08C}"/>
    <cellStyle name="Normal 5 7 2 2 3" xfId="11625" xr:uid="{DB30FAE2-F4B5-492E-8545-196B24604037}"/>
    <cellStyle name="Normal 5 7 2 3" xfId="5256" xr:uid="{00000000-0005-0000-0000-0000C81B0000}"/>
    <cellStyle name="Normal 5 7 2 3 2" xfId="13698" xr:uid="{3F2259E2-E3E6-4A9C-8CC7-6063D8FEF4E5}"/>
    <cellStyle name="Normal 5 7 2 4" xfId="9480" xr:uid="{CDA27B20-9751-42C7-B2B9-558BB66D81CA}"/>
    <cellStyle name="Normal 5 7 3" xfId="1361" xr:uid="{00000000-0005-0000-0000-0000C91B0000}"/>
    <cellStyle name="Normal 5 7 3 2" xfId="3591" xr:uid="{00000000-0005-0000-0000-0000CA1B0000}"/>
    <cellStyle name="Normal 5 7 3 2 2" xfId="7814" xr:uid="{00000000-0005-0000-0000-0000CB1B0000}"/>
    <cellStyle name="Normal 5 7 3 2 2 2" xfId="16256" xr:uid="{A051A54C-4F1B-4963-BCAD-6A23A1532B60}"/>
    <cellStyle name="Normal 5 7 3 2 3" xfId="12038" xr:uid="{74B5FD23-C45E-4998-B522-A96D8D38820B}"/>
    <cellStyle name="Normal 5 7 3 3" xfId="5669" xr:uid="{00000000-0005-0000-0000-0000CC1B0000}"/>
    <cellStyle name="Normal 5 7 3 3 2" xfId="14111" xr:uid="{BBC89FB8-E4AF-4799-8525-C5ABE053ADD1}"/>
    <cellStyle name="Normal 5 7 3 4" xfId="9893" xr:uid="{EA4B3BA0-9AD6-4B23-B606-312F4A3ADB9E}"/>
    <cellStyle name="Normal 5 7 4" xfId="1774" xr:uid="{00000000-0005-0000-0000-0000CD1B0000}"/>
    <cellStyle name="Normal 5 7 4 2" xfId="4004" xr:uid="{00000000-0005-0000-0000-0000CE1B0000}"/>
    <cellStyle name="Normal 5 7 4 2 2" xfId="8227" xr:uid="{00000000-0005-0000-0000-0000CF1B0000}"/>
    <cellStyle name="Normal 5 7 4 2 2 2" xfId="16669" xr:uid="{9A02B5B8-1CB3-42D0-8E7B-1ACB0E2C6DC8}"/>
    <cellStyle name="Normal 5 7 4 2 3" xfId="12451" xr:uid="{30E62AB8-9D4B-4593-BEF3-218108CBB7CB}"/>
    <cellStyle name="Normal 5 7 4 3" xfId="6082" xr:uid="{00000000-0005-0000-0000-0000D01B0000}"/>
    <cellStyle name="Normal 5 7 4 3 2" xfId="14524" xr:uid="{E1EE91D0-639C-44D9-92B2-7C38FBB3EBD8}"/>
    <cellStyle name="Normal 5 7 4 4" xfId="10306" xr:uid="{5CF4031F-6DD6-43F4-BFB4-C22E9BA00494}"/>
    <cellStyle name="Normal 5 7 5" xfId="2188" xr:uid="{00000000-0005-0000-0000-0000D11B0000}"/>
    <cellStyle name="Normal 5 7 5 2" xfId="4417" xr:uid="{00000000-0005-0000-0000-0000D21B0000}"/>
    <cellStyle name="Normal 5 7 5 2 2" xfId="8640" xr:uid="{00000000-0005-0000-0000-0000D31B0000}"/>
    <cellStyle name="Normal 5 7 5 2 2 2" xfId="17082" xr:uid="{6BE0AF5F-BFD5-4FA9-A60D-316220A74F81}"/>
    <cellStyle name="Normal 5 7 5 2 3" xfId="12864" xr:uid="{A99C0337-AF87-48E7-A0BA-4BBF86EEADCF}"/>
    <cellStyle name="Normal 5 7 5 3" xfId="6495" xr:uid="{00000000-0005-0000-0000-0000D41B0000}"/>
    <cellStyle name="Normal 5 7 5 3 2" xfId="14937" xr:uid="{9D5DDA5F-3A4E-41DB-B1A0-6212076EC349}"/>
    <cellStyle name="Normal 5 7 5 4" xfId="10719" xr:uid="{3D84A330-AA4E-46B1-89BD-019F52B60238}"/>
    <cellStyle name="Normal 5 7 6" xfId="2624" xr:uid="{00000000-0005-0000-0000-0000D51B0000}"/>
    <cellStyle name="Normal 5 7 6 2" xfId="6908" xr:uid="{00000000-0005-0000-0000-0000D61B0000}"/>
    <cellStyle name="Normal 5 7 6 2 2" xfId="15350" xr:uid="{3C5D9CAC-4974-4186-A63F-ED9AA117C8D7}"/>
    <cellStyle name="Normal 5 7 6 3" xfId="11132" xr:uid="{7D7FC060-C5A0-4C6F-B7C7-1DA2C7D402B1}"/>
    <cellStyle name="Normal 5 7 7" xfId="4843" xr:uid="{00000000-0005-0000-0000-0000D71B0000}"/>
    <cellStyle name="Normal 5 7 7 2" xfId="13285" xr:uid="{2A8128BF-D76B-442A-90E1-31E240ECDE72}"/>
    <cellStyle name="Normal 5 7 8" xfId="9067" xr:uid="{C3269AE7-82BB-4865-8ACD-076215179C9D}"/>
    <cellStyle name="Normal 5 8" xfId="880" xr:uid="{00000000-0005-0000-0000-0000D81B0000}"/>
    <cellStyle name="Normal 5 8 2" xfId="3115" xr:uid="{00000000-0005-0000-0000-0000D91B0000}"/>
    <cellStyle name="Normal 5 8 2 2" xfId="7338" xr:uid="{00000000-0005-0000-0000-0000DA1B0000}"/>
    <cellStyle name="Normal 5 8 2 2 2" xfId="15780" xr:uid="{A5D03E2C-2508-4FB5-93B7-C80C54CAC42A}"/>
    <cellStyle name="Normal 5 8 2 3" xfId="11562" xr:uid="{EED45384-EC68-45B3-9A8D-05920D6D1A7F}"/>
    <cellStyle name="Normal 5 8 3" xfId="5193" xr:uid="{00000000-0005-0000-0000-0000DB1B0000}"/>
    <cellStyle name="Normal 5 8 3 2" xfId="13635" xr:uid="{0E9726B9-1FE2-43DD-B748-B7409E3EC291}"/>
    <cellStyle name="Normal 5 8 4" xfId="9417" xr:uid="{F7A80203-A0F0-4129-8A1F-412A92A0B00D}"/>
    <cellStyle name="Normal 5 9" xfId="1298" xr:uid="{00000000-0005-0000-0000-0000DC1B0000}"/>
    <cellStyle name="Normal 5 9 2" xfId="3528" xr:uid="{00000000-0005-0000-0000-0000DD1B0000}"/>
    <cellStyle name="Normal 5 9 2 2" xfId="7751" xr:uid="{00000000-0005-0000-0000-0000DE1B0000}"/>
    <cellStyle name="Normal 5 9 2 2 2" xfId="16193" xr:uid="{E31E3568-C4BD-4B81-B499-D374A95C6CC2}"/>
    <cellStyle name="Normal 5 9 2 3" xfId="11975" xr:uid="{016017F9-E4F0-41EA-9EED-8084BC2D6115}"/>
    <cellStyle name="Normal 5 9 3" xfId="5606" xr:uid="{00000000-0005-0000-0000-0000DF1B0000}"/>
    <cellStyle name="Normal 5 9 3 2" xfId="14048" xr:uid="{27BDFD3B-D963-4513-8AE1-23AF177F3154}"/>
    <cellStyle name="Normal 5 9 4" xfId="9830" xr:uid="{A24537CA-6DF0-43FD-8AAC-E392C0B4BB3F}"/>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C8C79F5C-C9BE-4152-9830-CF7228993199}"/>
    <cellStyle name="Normal 8 10 2 3" xfId="12865" xr:uid="{4BD71D33-51E5-45E8-865E-F90181D9A9A7}"/>
    <cellStyle name="Normal 8 10 3" xfId="6496" xr:uid="{00000000-0005-0000-0000-0000EB1B0000}"/>
    <cellStyle name="Normal 8 10 3 2" xfId="14938" xr:uid="{E0EB4BA2-86F8-4672-93AD-D676DDE83A0A}"/>
    <cellStyle name="Normal 8 10 4" xfId="10720" xr:uid="{BCD54FA7-DB3B-43D5-9500-07609B71816E}"/>
    <cellStyle name="Normal 8 11" xfId="2625" xr:uid="{00000000-0005-0000-0000-0000EC1B0000}"/>
    <cellStyle name="Normal 8 11 2" xfId="6909" xr:uid="{00000000-0005-0000-0000-0000ED1B0000}"/>
    <cellStyle name="Normal 8 11 2 2" xfId="15351" xr:uid="{C4F9051C-9F88-4273-9EBF-E3DFDC781362}"/>
    <cellStyle name="Normal 8 11 3" xfId="11133" xr:uid="{B83E3F41-D740-44A3-B8EC-7A3E84C92F53}"/>
    <cellStyle name="Normal 8 12" xfId="4844" xr:uid="{00000000-0005-0000-0000-0000EE1B0000}"/>
    <cellStyle name="Normal 8 12 2" xfId="13286" xr:uid="{F13C41C1-1647-469B-9CC7-1CFA0BD6790E}"/>
    <cellStyle name="Normal 8 13" xfId="9068" xr:uid="{46009FA9-8F3A-49DE-AD97-692080E3D2DC}"/>
    <cellStyle name="Normal 8 2" xfId="479" xr:uid="{00000000-0005-0000-0000-0000EF1B0000}"/>
    <cellStyle name="Normal 8 2 10" xfId="2626" xr:uid="{00000000-0005-0000-0000-0000F01B0000}"/>
    <cellStyle name="Normal 8 2 10 2" xfId="6910" xr:uid="{00000000-0005-0000-0000-0000F11B0000}"/>
    <cellStyle name="Normal 8 2 10 2 2" xfId="15352" xr:uid="{468D1C6F-7369-4715-8D30-BB1DC41A7EC4}"/>
    <cellStyle name="Normal 8 2 10 3" xfId="11134" xr:uid="{7C02CB47-E9D9-4F03-B534-C449886097E6}"/>
    <cellStyle name="Normal 8 2 11" xfId="4845" xr:uid="{00000000-0005-0000-0000-0000F21B0000}"/>
    <cellStyle name="Normal 8 2 11 2" xfId="13287" xr:uid="{DA0AEAEF-8212-44CD-9320-CDA848AA97AE}"/>
    <cellStyle name="Normal 8 2 12" xfId="9069" xr:uid="{704C59EC-8F20-4644-A5CC-604E306F6BBA}"/>
    <cellStyle name="Normal 8 2 2" xfId="480" xr:uid="{00000000-0005-0000-0000-0000F31B0000}"/>
    <cellStyle name="Normal 8 2 2 10" xfId="4846" xr:uid="{00000000-0005-0000-0000-0000F41B0000}"/>
    <cellStyle name="Normal 8 2 2 10 2" xfId="13288" xr:uid="{6DF4ADC4-78AE-4831-9652-181703CB7126}"/>
    <cellStyle name="Normal 8 2 2 11" xfId="9070" xr:uid="{88B5D038-5DFE-4359-B596-A32499F401BB}"/>
    <cellStyle name="Normal 8 2 2 2" xfId="481" xr:uid="{00000000-0005-0000-0000-0000F51B0000}"/>
    <cellStyle name="Normal 8 2 2 2 10" xfId="9071" xr:uid="{AC5BA655-9C8C-478C-9BC4-AA5A343BB60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4266225B-F5CD-49C1-8A3E-EC99A72B65C9}"/>
    <cellStyle name="Normal 8 2 2 2 2 2 2 2 3" xfId="11631" xr:uid="{9BBF6DE1-7F93-49D4-AEBD-414117C3FD6C}"/>
    <cellStyle name="Normal 8 2 2 2 2 2 2 3" xfId="5262" xr:uid="{00000000-0005-0000-0000-0000FB1B0000}"/>
    <cellStyle name="Normal 8 2 2 2 2 2 2 3 2" xfId="13704" xr:uid="{849819A2-67D4-4AFD-A570-5A93B76EFAC5}"/>
    <cellStyle name="Normal 8 2 2 2 2 2 2 4" xfId="9486" xr:uid="{05FBBC86-85CA-4AAF-92CE-861496BD4587}"/>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8F43F26C-BE62-41F7-92ED-FB27899E4D45}"/>
    <cellStyle name="Normal 8 2 2 2 2 2 3 2 3" xfId="12044" xr:uid="{EDC989B8-B36B-4588-B7B0-89639CF5E959}"/>
    <cellStyle name="Normal 8 2 2 2 2 2 3 3" xfId="5675" xr:uid="{00000000-0005-0000-0000-0000FF1B0000}"/>
    <cellStyle name="Normal 8 2 2 2 2 2 3 3 2" xfId="14117" xr:uid="{EFC0E510-D2BE-4B44-B5E2-651E83E7D32C}"/>
    <cellStyle name="Normal 8 2 2 2 2 2 3 4" xfId="9899" xr:uid="{0876C995-1D3F-45B9-9B1F-4692C6A5B8C9}"/>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B006E51F-E1F1-46BA-9787-6C41C14F85BB}"/>
    <cellStyle name="Normal 8 2 2 2 2 2 4 2 3" xfId="12457" xr:uid="{A6FC0394-B9B6-416A-ABB7-780CA0DF76A2}"/>
    <cellStyle name="Normal 8 2 2 2 2 2 4 3" xfId="6088" xr:uid="{00000000-0005-0000-0000-0000031C0000}"/>
    <cellStyle name="Normal 8 2 2 2 2 2 4 3 2" xfId="14530" xr:uid="{81178D18-30A1-4081-B20C-E67879B8A48D}"/>
    <cellStyle name="Normal 8 2 2 2 2 2 4 4" xfId="10312" xr:uid="{C917B240-3F17-49C4-AA2D-CAB75661408B}"/>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55DF7871-93FA-4285-88F1-F38039CCBC65}"/>
    <cellStyle name="Normal 8 2 2 2 2 2 5 2 3" xfId="12870" xr:uid="{956FB017-18A0-49D4-B7E9-103F8906C226}"/>
    <cellStyle name="Normal 8 2 2 2 2 2 5 3" xfId="6501" xr:uid="{00000000-0005-0000-0000-0000071C0000}"/>
    <cellStyle name="Normal 8 2 2 2 2 2 5 3 2" xfId="14943" xr:uid="{EE117B2A-683F-4E2C-B285-1FBB5F4A1588}"/>
    <cellStyle name="Normal 8 2 2 2 2 2 5 4" xfId="10725" xr:uid="{AACE3526-D36C-4134-BCC1-1CD886078773}"/>
    <cellStyle name="Normal 8 2 2 2 2 2 6" xfId="2630" xr:uid="{00000000-0005-0000-0000-0000081C0000}"/>
    <cellStyle name="Normal 8 2 2 2 2 2 6 2" xfId="6914" xr:uid="{00000000-0005-0000-0000-0000091C0000}"/>
    <cellStyle name="Normal 8 2 2 2 2 2 6 2 2" xfId="15356" xr:uid="{137885F6-B592-4B8F-9E2D-1790C604F0B1}"/>
    <cellStyle name="Normal 8 2 2 2 2 2 6 3" xfId="11138" xr:uid="{495C058E-B5A6-47FC-88F7-C9C2AE795AF7}"/>
    <cellStyle name="Normal 8 2 2 2 2 2 7" xfId="4849" xr:uid="{00000000-0005-0000-0000-00000A1C0000}"/>
    <cellStyle name="Normal 8 2 2 2 2 2 7 2" xfId="13291" xr:uid="{C014CE1C-245D-465F-914A-D38D73FFD830}"/>
    <cellStyle name="Normal 8 2 2 2 2 2 8" xfId="9073" xr:uid="{AA2087FC-DB80-482A-B19E-92DE38D2A57F}"/>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A7F77076-0815-4A39-B238-C64365F1F55C}"/>
    <cellStyle name="Normal 8 2 2 2 2 3 2 3" xfId="11630" xr:uid="{10572617-CFA8-46B8-BE5E-B2BA1CEDA617}"/>
    <cellStyle name="Normal 8 2 2 2 2 3 3" xfId="5261" xr:uid="{00000000-0005-0000-0000-00000E1C0000}"/>
    <cellStyle name="Normal 8 2 2 2 2 3 3 2" xfId="13703" xr:uid="{F57042C2-AEC3-4FB9-909E-DB7EC0BAFB2A}"/>
    <cellStyle name="Normal 8 2 2 2 2 3 4" xfId="9485" xr:uid="{B9E8F1A4-CC53-4DBB-9B5B-FC8AABAAF1C3}"/>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A800BEE8-A90A-42D3-99DA-297CF3CE111F}"/>
    <cellStyle name="Normal 8 2 2 2 2 4 2 3" xfId="12043" xr:uid="{9F12B0F8-9736-4466-8731-95C3D20F4424}"/>
    <cellStyle name="Normal 8 2 2 2 2 4 3" xfId="5674" xr:uid="{00000000-0005-0000-0000-0000121C0000}"/>
    <cellStyle name="Normal 8 2 2 2 2 4 3 2" xfId="14116" xr:uid="{DA724AC1-BC77-43EA-BAF2-B177AE0AC481}"/>
    <cellStyle name="Normal 8 2 2 2 2 4 4" xfId="9898" xr:uid="{15621506-BC57-4129-8DC2-DEB3D7E06E31}"/>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C444093C-FCCF-4883-8FEC-7058093FCA43}"/>
    <cellStyle name="Normal 8 2 2 2 2 5 2 3" xfId="12456" xr:uid="{3C1C0347-6DBC-456B-A656-8A034382D93E}"/>
    <cellStyle name="Normal 8 2 2 2 2 5 3" xfId="6087" xr:uid="{00000000-0005-0000-0000-0000161C0000}"/>
    <cellStyle name="Normal 8 2 2 2 2 5 3 2" xfId="14529" xr:uid="{00CA0713-6C6F-4927-B1BD-F2AD14AB351B}"/>
    <cellStyle name="Normal 8 2 2 2 2 5 4" xfId="10311" xr:uid="{7CB109A1-B4A4-4CB0-937B-50A757BFFC6E}"/>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43D1FA03-01B8-4503-B4B7-8EC8FFCF257B}"/>
    <cellStyle name="Normal 8 2 2 2 2 6 2 3" xfId="12869" xr:uid="{F040314B-3BF8-4E1A-8C01-DE4EC88D2EBE}"/>
    <cellStyle name="Normal 8 2 2 2 2 6 3" xfId="6500" xr:uid="{00000000-0005-0000-0000-00001A1C0000}"/>
    <cellStyle name="Normal 8 2 2 2 2 6 3 2" xfId="14942" xr:uid="{6AC21182-6070-4C27-8DA5-41222A535DE2}"/>
    <cellStyle name="Normal 8 2 2 2 2 6 4" xfId="10724" xr:uid="{A2D6F01E-E231-4834-9247-D5319EE697F9}"/>
    <cellStyle name="Normal 8 2 2 2 2 7" xfId="2629" xr:uid="{00000000-0005-0000-0000-00001B1C0000}"/>
    <cellStyle name="Normal 8 2 2 2 2 7 2" xfId="6913" xr:uid="{00000000-0005-0000-0000-00001C1C0000}"/>
    <cellStyle name="Normal 8 2 2 2 2 7 2 2" xfId="15355" xr:uid="{348FDDD7-1277-4024-9AD4-F8E952157A2D}"/>
    <cellStyle name="Normal 8 2 2 2 2 7 3" xfId="11137" xr:uid="{0FF0FBC2-974E-4E2E-AEF9-5FC0A97CCDE2}"/>
    <cellStyle name="Normal 8 2 2 2 2 8" xfId="4848" xr:uid="{00000000-0005-0000-0000-00001D1C0000}"/>
    <cellStyle name="Normal 8 2 2 2 2 8 2" xfId="13290" xr:uid="{EB7DE439-B895-4735-B5E6-B28D3F12ED8F}"/>
    <cellStyle name="Normal 8 2 2 2 2 9" xfId="9072" xr:uid="{551489CF-5468-4157-97C3-F2022730A6D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6BF9EA69-1805-4F99-AF19-531FF3DB4AD9}"/>
    <cellStyle name="Normal 8 2 2 2 3 2 2 3" xfId="11632" xr:uid="{4593BBCB-8488-4E8B-AA9B-9D199E98EFB1}"/>
    <cellStyle name="Normal 8 2 2 2 3 2 3" xfId="5263" xr:uid="{00000000-0005-0000-0000-0000221C0000}"/>
    <cellStyle name="Normal 8 2 2 2 3 2 3 2" xfId="13705" xr:uid="{380D1C0A-E0D3-4F25-90AC-3C34A9A21E56}"/>
    <cellStyle name="Normal 8 2 2 2 3 2 4" xfId="9487" xr:uid="{CAD73953-6CEA-41FF-9B49-D8772DDD84DD}"/>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A58C863E-20B2-4C1B-93B5-39974A8F587F}"/>
    <cellStyle name="Normal 8 2 2 2 3 3 2 3" xfId="12045" xr:uid="{0877EE64-8FAB-495B-B8D8-79D6B6282F50}"/>
    <cellStyle name="Normal 8 2 2 2 3 3 3" xfId="5676" xr:uid="{00000000-0005-0000-0000-0000261C0000}"/>
    <cellStyle name="Normal 8 2 2 2 3 3 3 2" xfId="14118" xr:uid="{54D43BBC-681D-4F73-8C5C-E29BF3DFAE70}"/>
    <cellStyle name="Normal 8 2 2 2 3 3 4" xfId="9900" xr:uid="{71A253ED-F9E7-4AD9-89E6-44AD7F05C4CC}"/>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2BAC0259-62FF-4092-8430-25EBDBBB6037}"/>
    <cellStyle name="Normal 8 2 2 2 3 4 2 3" xfId="12458" xr:uid="{553E6A60-0018-4332-8080-1A58271141E6}"/>
    <cellStyle name="Normal 8 2 2 2 3 4 3" xfId="6089" xr:uid="{00000000-0005-0000-0000-00002A1C0000}"/>
    <cellStyle name="Normal 8 2 2 2 3 4 3 2" xfId="14531" xr:uid="{C236B2CE-C211-4D98-84A1-C8E02077C56D}"/>
    <cellStyle name="Normal 8 2 2 2 3 4 4" xfId="10313" xr:uid="{267A45B5-362F-43AD-9C89-9C81A192BF48}"/>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877EB19F-023F-479A-8705-DDBD9F74607D}"/>
    <cellStyle name="Normal 8 2 2 2 3 5 2 3" xfId="12871" xr:uid="{92C4B5ED-EC70-4AEC-8014-DC137D9B9D23}"/>
    <cellStyle name="Normal 8 2 2 2 3 5 3" xfId="6502" xr:uid="{00000000-0005-0000-0000-00002E1C0000}"/>
    <cellStyle name="Normal 8 2 2 2 3 5 3 2" xfId="14944" xr:uid="{B11518F0-D99F-4C31-A146-E114FB698B30}"/>
    <cellStyle name="Normal 8 2 2 2 3 5 4" xfId="10726" xr:uid="{1C4C1836-8036-4DDB-BE6D-5B4C98AFABEA}"/>
    <cellStyle name="Normal 8 2 2 2 3 6" xfId="2631" xr:uid="{00000000-0005-0000-0000-00002F1C0000}"/>
    <cellStyle name="Normal 8 2 2 2 3 6 2" xfId="6915" xr:uid="{00000000-0005-0000-0000-0000301C0000}"/>
    <cellStyle name="Normal 8 2 2 2 3 6 2 2" xfId="15357" xr:uid="{FFA688DE-B0BE-4B69-BFEF-7E1BB5C16111}"/>
    <cellStyle name="Normal 8 2 2 2 3 6 3" xfId="11139" xr:uid="{1EE72473-CC28-4257-94DC-71D89A09D1B0}"/>
    <cellStyle name="Normal 8 2 2 2 3 7" xfId="4850" xr:uid="{00000000-0005-0000-0000-0000311C0000}"/>
    <cellStyle name="Normal 8 2 2 2 3 7 2" xfId="13292" xr:uid="{21BBFD0A-6075-4540-83F4-A4DFCA7E4A59}"/>
    <cellStyle name="Normal 8 2 2 2 3 8" xfId="9074" xr:uid="{274D263A-7C7B-405E-B5B5-F41D42BF2898}"/>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1905D1B7-2FC3-4E4C-A127-2CB0DC88B4E3}"/>
    <cellStyle name="Normal 8 2 2 2 4 2 3" xfId="11629" xr:uid="{F15CFA82-1D7A-4B5B-A0F3-B6863BA5BE15}"/>
    <cellStyle name="Normal 8 2 2 2 4 3" xfId="5260" xr:uid="{00000000-0005-0000-0000-0000351C0000}"/>
    <cellStyle name="Normal 8 2 2 2 4 3 2" xfId="13702" xr:uid="{E21FD7F9-700F-4640-95D7-667B9A4AE918}"/>
    <cellStyle name="Normal 8 2 2 2 4 4" xfId="9484" xr:uid="{71729302-FB74-4398-A892-C8E64BE2B602}"/>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ECD8F94D-8A91-4F5C-9EB3-B7F0FEA601C6}"/>
    <cellStyle name="Normal 8 2 2 2 5 2 3" xfId="12042" xr:uid="{50BF039F-2CBF-4F17-8155-75C8CB8C16CC}"/>
    <cellStyle name="Normal 8 2 2 2 5 3" xfId="5673" xr:uid="{00000000-0005-0000-0000-0000391C0000}"/>
    <cellStyle name="Normal 8 2 2 2 5 3 2" xfId="14115" xr:uid="{91DDBD71-88D6-46BC-BBB4-3F82A4507089}"/>
    <cellStyle name="Normal 8 2 2 2 5 4" xfId="9897" xr:uid="{63F48571-2B1F-49E9-8B84-C2898B2DA12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70B4EB2A-BBE7-46ED-B6EF-B401B1FD39C9}"/>
    <cellStyle name="Normal 8 2 2 2 6 2 3" xfId="12455" xr:uid="{AEC3CFFF-A598-497B-A09A-D1853D1ECF46}"/>
    <cellStyle name="Normal 8 2 2 2 6 3" xfId="6086" xr:uid="{00000000-0005-0000-0000-00003D1C0000}"/>
    <cellStyle name="Normal 8 2 2 2 6 3 2" xfId="14528" xr:uid="{086967CE-C7D1-4701-BA22-D8B06AB5EA14}"/>
    <cellStyle name="Normal 8 2 2 2 6 4" xfId="10310" xr:uid="{D1BD851C-66D9-4A06-9DE3-4446D895EDBD}"/>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5C09F1A9-8282-41AF-A589-9ED5661BCE6F}"/>
    <cellStyle name="Normal 8 2 2 2 7 2 3" xfId="12868" xr:uid="{725A9E93-95CA-40DC-B937-EB6DE6B20366}"/>
    <cellStyle name="Normal 8 2 2 2 7 3" xfId="6499" xr:uid="{00000000-0005-0000-0000-0000411C0000}"/>
    <cellStyle name="Normal 8 2 2 2 7 3 2" xfId="14941" xr:uid="{DEEF722A-38A2-43DF-9DF3-758C4A4BCD43}"/>
    <cellStyle name="Normal 8 2 2 2 7 4" xfId="10723" xr:uid="{6B4BAD0C-552A-49E8-9B8B-CE4C10BACB17}"/>
    <cellStyle name="Normal 8 2 2 2 8" xfId="2628" xr:uid="{00000000-0005-0000-0000-0000421C0000}"/>
    <cellStyle name="Normal 8 2 2 2 8 2" xfId="6912" xr:uid="{00000000-0005-0000-0000-0000431C0000}"/>
    <cellStyle name="Normal 8 2 2 2 8 2 2" xfId="15354" xr:uid="{3C04286D-F8A7-4CA2-B26A-F445B8EE1D73}"/>
    <cellStyle name="Normal 8 2 2 2 8 3" xfId="11136" xr:uid="{05B13370-C050-41F7-AD0E-AA11FF4C68F1}"/>
    <cellStyle name="Normal 8 2 2 2 9" xfId="4847" xr:uid="{00000000-0005-0000-0000-0000441C0000}"/>
    <cellStyle name="Normal 8 2 2 2 9 2" xfId="13289" xr:uid="{06B48793-8E79-4887-8E3C-999A87798064}"/>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33FB638A-0469-4F88-A39D-BAB9C624E318}"/>
    <cellStyle name="Normal 8 2 2 3 2 2 2 3" xfId="11634" xr:uid="{DB018788-2907-4D48-BAC8-271124774269}"/>
    <cellStyle name="Normal 8 2 2 3 2 2 3" xfId="5265" xr:uid="{00000000-0005-0000-0000-00004A1C0000}"/>
    <cellStyle name="Normal 8 2 2 3 2 2 3 2" xfId="13707" xr:uid="{4A460FCA-C62C-4199-9E1A-0E55374B1CD5}"/>
    <cellStyle name="Normal 8 2 2 3 2 2 4" xfId="9489" xr:uid="{93EE60CC-F546-4A1A-9847-537BE8338EA7}"/>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AAD847A0-3494-4151-8F56-F82E9BB86B68}"/>
    <cellStyle name="Normal 8 2 2 3 2 3 2 3" xfId="12047" xr:uid="{1BAC0957-83B0-4477-AAB1-F5C889CBF9A4}"/>
    <cellStyle name="Normal 8 2 2 3 2 3 3" xfId="5678" xr:uid="{00000000-0005-0000-0000-00004E1C0000}"/>
    <cellStyle name="Normal 8 2 2 3 2 3 3 2" xfId="14120" xr:uid="{68F5878B-D3BC-49D1-96EE-1D66F122EB0C}"/>
    <cellStyle name="Normal 8 2 2 3 2 3 4" xfId="9902" xr:uid="{0B54FE4B-5A85-476D-B31B-DAB5C4873365}"/>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9A739FEB-377D-4FCA-8D34-40F100A7C088}"/>
    <cellStyle name="Normal 8 2 2 3 2 4 2 3" xfId="12460" xr:uid="{EADF3803-39E6-4A65-965A-B4EEFF1A8455}"/>
    <cellStyle name="Normal 8 2 2 3 2 4 3" xfId="6091" xr:uid="{00000000-0005-0000-0000-0000521C0000}"/>
    <cellStyle name="Normal 8 2 2 3 2 4 3 2" xfId="14533" xr:uid="{DB925C1C-5E4D-46ED-9B54-6E8918955F87}"/>
    <cellStyle name="Normal 8 2 2 3 2 4 4" xfId="10315" xr:uid="{F59A40F3-0595-4166-8D4E-039275BFF39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6967DF37-848F-4BAA-87A9-7AC993D0B77F}"/>
    <cellStyle name="Normal 8 2 2 3 2 5 2 3" xfId="12873" xr:uid="{DE030450-063E-407E-916A-7AB283E4EE32}"/>
    <cellStyle name="Normal 8 2 2 3 2 5 3" xfId="6504" xr:uid="{00000000-0005-0000-0000-0000561C0000}"/>
    <cellStyle name="Normal 8 2 2 3 2 5 3 2" xfId="14946" xr:uid="{388EF7A3-82D4-41C7-94C0-E7F4EDF4BE32}"/>
    <cellStyle name="Normal 8 2 2 3 2 5 4" xfId="10728" xr:uid="{92221811-A22A-42B1-8366-53011F3DFD7F}"/>
    <cellStyle name="Normal 8 2 2 3 2 6" xfId="2633" xr:uid="{00000000-0005-0000-0000-0000571C0000}"/>
    <cellStyle name="Normal 8 2 2 3 2 6 2" xfId="6917" xr:uid="{00000000-0005-0000-0000-0000581C0000}"/>
    <cellStyle name="Normal 8 2 2 3 2 6 2 2" xfId="15359" xr:uid="{C804A5A9-205E-4706-937E-EDA1C1F6E692}"/>
    <cellStyle name="Normal 8 2 2 3 2 6 3" xfId="11141" xr:uid="{F8088416-8D81-4597-A9CE-5384D9CC9B03}"/>
    <cellStyle name="Normal 8 2 2 3 2 7" xfId="4852" xr:uid="{00000000-0005-0000-0000-0000591C0000}"/>
    <cellStyle name="Normal 8 2 2 3 2 7 2" xfId="13294" xr:uid="{3C6F3340-FAD9-43CC-AB25-A180BFF35060}"/>
    <cellStyle name="Normal 8 2 2 3 2 8" xfId="9076" xr:uid="{D16C0FEA-577B-4EEE-A481-C2E81CC1087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2BB48054-B238-4489-BB9C-75735212EABD}"/>
    <cellStyle name="Normal 8 2 2 3 3 2 3" xfId="11633" xr:uid="{ABEA421E-16B1-4EEE-B3AF-B63BD230CA0D}"/>
    <cellStyle name="Normal 8 2 2 3 3 3" xfId="5264" xr:uid="{00000000-0005-0000-0000-00005D1C0000}"/>
    <cellStyle name="Normal 8 2 2 3 3 3 2" xfId="13706" xr:uid="{67D4BE3B-09C0-4E4B-A998-773670094CCA}"/>
    <cellStyle name="Normal 8 2 2 3 3 4" xfId="9488" xr:uid="{99F9BEA9-8895-453E-BEF0-8A7A0CDBFBD9}"/>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6675AD7A-91E8-4055-978D-11036CC74D3D}"/>
    <cellStyle name="Normal 8 2 2 3 4 2 3" xfId="12046" xr:uid="{50F40F7D-0ED4-46A8-B3E4-8363E6617404}"/>
    <cellStyle name="Normal 8 2 2 3 4 3" xfId="5677" xr:uid="{00000000-0005-0000-0000-0000611C0000}"/>
    <cellStyle name="Normal 8 2 2 3 4 3 2" xfId="14119" xr:uid="{D4F7D6C2-654D-48F8-9577-467EA06E242D}"/>
    <cellStyle name="Normal 8 2 2 3 4 4" xfId="9901" xr:uid="{6F467721-7AC4-4CC5-961E-6E0897B0D6BC}"/>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EB662334-40CE-47CF-B285-960EA5C0AC6B}"/>
    <cellStyle name="Normal 8 2 2 3 5 2 3" xfId="12459" xr:uid="{F2E356D0-FA82-4753-B2A5-056F16C22D9D}"/>
    <cellStyle name="Normal 8 2 2 3 5 3" xfId="6090" xr:uid="{00000000-0005-0000-0000-0000651C0000}"/>
    <cellStyle name="Normal 8 2 2 3 5 3 2" xfId="14532" xr:uid="{3BE5B345-3815-4850-86E6-CC17CCFDAD12}"/>
    <cellStyle name="Normal 8 2 2 3 5 4" xfId="10314" xr:uid="{36B785AA-5252-4FA6-B473-563A424EF3E6}"/>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442FFFA6-EA49-4EFF-8DA9-76E6B8B11157}"/>
    <cellStyle name="Normal 8 2 2 3 6 2 3" xfId="12872" xr:uid="{DBA2E825-089F-4407-BD61-1B468CCA4015}"/>
    <cellStyle name="Normal 8 2 2 3 6 3" xfId="6503" xr:uid="{00000000-0005-0000-0000-0000691C0000}"/>
    <cellStyle name="Normal 8 2 2 3 6 3 2" xfId="14945" xr:uid="{4D352A03-60B5-4488-9CF0-09A234CC64A8}"/>
    <cellStyle name="Normal 8 2 2 3 6 4" xfId="10727" xr:uid="{4A1AE80E-CB3B-4D58-A4DC-4985F2C45C88}"/>
    <cellStyle name="Normal 8 2 2 3 7" xfId="2632" xr:uid="{00000000-0005-0000-0000-00006A1C0000}"/>
    <cellStyle name="Normal 8 2 2 3 7 2" xfId="6916" xr:uid="{00000000-0005-0000-0000-00006B1C0000}"/>
    <cellStyle name="Normal 8 2 2 3 7 2 2" xfId="15358" xr:uid="{FD99F8DC-055E-4392-9FBB-0965936469C2}"/>
    <cellStyle name="Normal 8 2 2 3 7 3" xfId="11140" xr:uid="{677CD28B-3E60-42EC-B6CD-6F0A9E770B65}"/>
    <cellStyle name="Normal 8 2 2 3 8" xfId="4851" xr:uid="{00000000-0005-0000-0000-00006C1C0000}"/>
    <cellStyle name="Normal 8 2 2 3 8 2" xfId="13293" xr:uid="{73FD2024-B65B-4766-B46A-94B09E730F7E}"/>
    <cellStyle name="Normal 8 2 2 3 9" xfId="9075" xr:uid="{C3161108-F2CE-49AC-A18C-4694FFF7C41E}"/>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E5AEFE51-28E3-49A5-96D9-C7542D51AF10}"/>
    <cellStyle name="Normal 8 2 2 4 2 2 3" xfId="11635" xr:uid="{E2B5BF51-AEE9-4239-BACA-506F80A266AD}"/>
    <cellStyle name="Normal 8 2 2 4 2 3" xfId="5266" xr:uid="{00000000-0005-0000-0000-0000711C0000}"/>
    <cellStyle name="Normal 8 2 2 4 2 3 2" xfId="13708" xr:uid="{862C7279-E2F3-461E-8D53-A0B3A84B8813}"/>
    <cellStyle name="Normal 8 2 2 4 2 4" xfId="9490" xr:uid="{194B49CF-D85B-4B18-9A64-9F5120ABF39E}"/>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A0B8A7BE-3036-4F72-8706-838A42E48EE4}"/>
    <cellStyle name="Normal 8 2 2 4 3 2 3" xfId="12048" xr:uid="{FE438B47-52DF-40FC-802A-26D273DB553B}"/>
    <cellStyle name="Normal 8 2 2 4 3 3" xfId="5679" xr:uid="{00000000-0005-0000-0000-0000751C0000}"/>
    <cellStyle name="Normal 8 2 2 4 3 3 2" xfId="14121" xr:uid="{BE0BFE40-50A2-4161-9797-CA869F4AA170}"/>
    <cellStyle name="Normal 8 2 2 4 3 4" xfId="9903" xr:uid="{23D5953F-2A69-42AE-B3B9-4F1FC3EDF349}"/>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AAEA389E-2721-4A32-9EB2-2E6DC92D55A2}"/>
    <cellStyle name="Normal 8 2 2 4 4 2 3" xfId="12461" xr:uid="{B4FD2071-9157-4A33-BC1F-8D62029BEC41}"/>
    <cellStyle name="Normal 8 2 2 4 4 3" xfId="6092" xr:uid="{00000000-0005-0000-0000-0000791C0000}"/>
    <cellStyle name="Normal 8 2 2 4 4 3 2" xfId="14534" xr:uid="{91CC499F-F28B-4B05-A0EE-AFB4286E8990}"/>
    <cellStyle name="Normal 8 2 2 4 4 4" xfId="10316" xr:uid="{DACAC552-62B2-467B-AFAA-B4BAFC886456}"/>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A70BE28C-921D-42D8-952C-290EC84778F0}"/>
    <cellStyle name="Normal 8 2 2 4 5 2 3" xfId="12874" xr:uid="{B4D8B2C1-B9F7-4CB5-BFDB-2BE25DBA6DE8}"/>
    <cellStyle name="Normal 8 2 2 4 5 3" xfId="6505" xr:uid="{00000000-0005-0000-0000-00007D1C0000}"/>
    <cellStyle name="Normal 8 2 2 4 5 3 2" xfId="14947" xr:uid="{50F6781C-EE09-47B3-8F1D-266965D8D21E}"/>
    <cellStyle name="Normal 8 2 2 4 5 4" xfId="10729" xr:uid="{813B3CCA-69C3-4C5D-A45D-70B0646A99C9}"/>
    <cellStyle name="Normal 8 2 2 4 6" xfId="2634" xr:uid="{00000000-0005-0000-0000-00007E1C0000}"/>
    <cellStyle name="Normal 8 2 2 4 6 2" xfId="6918" xr:uid="{00000000-0005-0000-0000-00007F1C0000}"/>
    <cellStyle name="Normal 8 2 2 4 6 2 2" xfId="15360" xr:uid="{155C50C1-A8C2-4F13-9966-63F3442F1F6A}"/>
    <cellStyle name="Normal 8 2 2 4 6 3" xfId="11142" xr:uid="{8C53D65C-BD76-4782-81AD-AA09D1B4AB0E}"/>
    <cellStyle name="Normal 8 2 2 4 7" xfId="4853" xr:uid="{00000000-0005-0000-0000-0000801C0000}"/>
    <cellStyle name="Normal 8 2 2 4 7 2" xfId="13295" xr:uid="{1594EEF2-30C9-4E33-845F-6295A2B35EF8}"/>
    <cellStyle name="Normal 8 2 2 4 8" xfId="9077" xr:uid="{65650D74-056B-49DB-BADB-5E76751FC067}"/>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F3AF08A7-B944-47EA-B5C6-C3458238528B}"/>
    <cellStyle name="Normal 8 2 2 5 2 3" xfId="11628" xr:uid="{D1BDAFE3-584A-47A8-9212-484B294A6C36}"/>
    <cellStyle name="Normal 8 2 2 5 3" xfId="5259" xr:uid="{00000000-0005-0000-0000-0000841C0000}"/>
    <cellStyle name="Normal 8 2 2 5 3 2" xfId="13701" xr:uid="{A6E953AD-FBAF-43D1-B755-806ACD93AA2C}"/>
    <cellStyle name="Normal 8 2 2 5 4" xfId="9483" xr:uid="{60BA7152-A5A4-4183-8A40-71BE9FD732A6}"/>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A94ED8F9-39AD-4E67-BB4A-2C0410CF65D6}"/>
    <cellStyle name="Normal 8 2 2 6 2 3" xfId="12041" xr:uid="{A33ECFF0-65F4-461C-913E-A3010EB10756}"/>
    <cellStyle name="Normal 8 2 2 6 3" xfId="5672" xr:uid="{00000000-0005-0000-0000-0000881C0000}"/>
    <cellStyle name="Normal 8 2 2 6 3 2" xfId="14114" xr:uid="{6A279B95-170D-4B35-889F-0DD2B865BF4F}"/>
    <cellStyle name="Normal 8 2 2 6 4" xfId="9896" xr:uid="{4520953D-D7BD-4064-BF7F-22553E95804B}"/>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7FF3ACC1-B682-42C4-8243-8D4EC6235567}"/>
    <cellStyle name="Normal 8 2 2 7 2 3" xfId="12454" xr:uid="{8C6FFF6B-FF75-4B08-B38B-F98EFD0F0472}"/>
    <cellStyle name="Normal 8 2 2 7 3" xfId="6085" xr:uid="{00000000-0005-0000-0000-00008C1C0000}"/>
    <cellStyle name="Normal 8 2 2 7 3 2" xfId="14527" xr:uid="{039799A2-0BAB-4310-A22D-C940A5215765}"/>
    <cellStyle name="Normal 8 2 2 7 4" xfId="10309" xr:uid="{318D7D7D-4657-4EB2-9A10-A5916EA9ABE1}"/>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478304F6-F8F0-462A-A7E8-839F770182CA}"/>
    <cellStyle name="Normal 8 2 2 8 2 3" xfId="12867" xr:uid="{256BBA7C-D168-4296-9B5E-DF8FB104F7B4}"/>
    <cellStyle name="Normal 8 2 2 8 3" xfId="6498" xr:uid="{00000000-0005-0000-0000-0000901C0000}"/>
    <cellStyle name="Normal 8 2 2 8 3 2" xfId="14940" xr:uid="{30D184E6-8661-408A-8BBD-26164DC44BF3}"/>
    <cellStyle name="Normal 8 2 2 8 4" xfId="10722" xr:uid="{31D08219-44CF-4841-848B-7071AA6E0FA0}"/>
    <cellStyle name="Normal 8 2 2 9" xfId="2627" xr:uid="{00000000-0005-0000-0000-0000911C0000}"/>
    <cellStyle name="Normal 8 2 2 9 2" xfId="6911" xr:uid="{00000000-0005-0000-0000-0000921C0000}"/>
    <cellStyle name="Normal 8 2 2 9 2 2" xfId="15353" xr:uid="{89653AAC-7E89-4EE9-9CAD-F67A73CC605B}"/>
    <cellStyle name="Normal 8 2 2 9 3" xfId="11135" xr:uid="{2F365EAD-7ABE-48F8-95EE-1B7FFB666B99}"/>
    <cellStyle name="Normal 8 2 3" xfId="488" xr:uid="{00000000-0005-0000-0000-0000931C0000}"/>
    <cellStyle name="Normal 8 2 3 10" xfId="9078" xr:uid="{6AC3848A-2611-45B1-8A09-0C378193295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C4070235-0400-4AEF-8E3B-3469F62681A3}"/>
    <cellStyle name="Normal 8 2 3 2 2 2 2 3" xfId="11638" xr:uid="{5A7AD9BD-9925-4CE6-8CCB-472DDFCCCA70}"/>
    <cellStyle name="Normal 8 2 3 2 2 2 3" xfId="5269" xr:uid="{00000000-0005-0000-0000-0000991C0000}"/>
    <cellStyle name="Normal 8 2 3 2 2 2 3 2" xfId="13711" xr:uid="{CAC7C205-6D49-4C3F-950F-E38509BE04F0}"/>
    <cellStyle name="Normal 8 2 3 2 2 2 4" xfId="9493" xr:uid="{65556F6A-3F52-4B7C-B197-C749DD997AE8}"/>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408022B7-68A7-40CC-BF02-12FED7AC8E60}"/>
    <cellStyle name="Normal 8 2 3 2 2 3 2 3" xfId="12051" xr:uid="{E3113180-F9C2-4EE3-B69C-76748EE35C7D}"/>
    <cellStyle name="Normal 8 2 3 2 2 3 3" xfId="5682" xr:uid="{00000000-0005-0000-0000-00009D1C0000}"/>
    <cellStyle name="Normal 8 2 3 2 2 3 3 2" xfId="14124" xr:uid="{E474408C-9C5D-49B9-BEA2-0F081913C186}"/>
    <cellStyle name="Normal 8 2 3 2 2 3 4" xfId="9906" xr:uid="{B913BE5C-7EEB-4B02-8555-44649E63F045}"/>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6AA445DB-F9BF-447A-B8ED-DCA17FCB4738}"/>
    <cellStyle name="Normal 8 2 3 2 2 4 2 3" xfId="12464" xr:uid="{FC26E4CB-1FF6-4359-A687-2DDDEEC5B4CA}"/>
    <cellStyle name="Normal 8 2 3 2 2 4 3" xfId="6095" xr:uid="{00000000-0005-0000-0000-0000A11C0000}"/>
    <cellStyle name="Normal 8 2 3 2 2 4 3 2" xfId="14537" xr:uid="{03A8AC5D-FAC7-4E3E-A827-A26DB648F971}"/>
    <cellStyle name="Normal 8 2 3 2 2 4 4" xfId="10319" xr:uid="{41E19061-0CAF-4A54-8B34-A3FDF9BA3E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3D0F320C-CA0D-4F1D-8DE4-1C48E797BE19}"/>
    <cellStyle name="Normal 8 2 3 2 2 5 2 3" xfId="12877" xr:uid="{74676673-3B43-4601-BA50-A78678688F6E}"/>
    <cellStyle name="Normal 8 2 3 2 2 5 3" xfId="6508" xr:uid="{00000000-0005-0000-0000-0000A51C0000}"/>
    <cellStyle name="Normal 8 2 3 2 2 5 3 2" xfId="14950" xr:uid="{0ADF52F2-F64D-4E90-B988-526E443A3789}"/>
    <cellStyle name="Normal 8 2 3 2 2 5 4" xfId="10732" xr:uid="{9E9F0A63-F3D7-4316-834D-906FB03F3A5D}"/>
    <cellStyle name="Normal 8 2 3 2 2 6" xfId="2637" xr:uid="{00000000-0005-0000-0000-0000A61C0000}"/>
    <cellStyle name="Normal 8 2 3 2 2 6 2" xfId="6921" xr:uid="{00000000-0005-0000-0000-0000A71C0000}"/>
    <cellStyle name="Normal 8 2 3 2 2 6 2 2" xfId="15363" xr:uid="{492C9F1E-1DC9-491A-8BC9-54271995FE64}"/>
    <cellStyle name="Normal 8 2 3 2 2 6 3" xfId="11145" xr:uid="{CEA3376C-284E-4B9A-B55A-15E2C0507B57}"/>
    <cellStyle name="Normal 8 2 3 2 2 7" xfId="4856" xr:uid="{00000000-0005-0000-0000-0000A81C0000}"/>
    <cellStyle name="Normal 8 2 3 2 2 7 2" xfId="13298" xr:uid="{77CD557C-73D1-4896-9093-65BD6501F559}"/>
    <cellStyle name="Normal 8 2 3 2 2 8" xfId="9080" xr:uid="{B1C5FCBD-C09B-4A17-89DA-4DFAB2C4556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EFC03567-DE60-43DB-A911-BB4802CFC761}"/>
    <cellStyle name="Normal 8 2 3 2 3 2 3" xfId="11637" xr:uid="{AD1D165E-4F76-48ED-AEC2-F78944EDADA5}"/>
    <cellStyle name="Normal 8 2 3 2 3 3" xfId="5268" xr:uid="{00000000-0005-0000-0000-0000AC1C0000}"/>
    <cellStyle name="Normal 8 2 3 2 3 3 2" xfId="13710" xr:uid="{3A5AB990-3DDA-43AD-908C-CA6B863A337F}"/>
    <cellStyle name="Normal 8 2 3 2 3 4" xfId="9492" xr:uid="{ADFF3E93-CC7F-4FC9-8922-B1D33FF92DE4}"/>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89576F82-7020-4FB1-8267-5F1885329E7E}"/>
    <cellStyle name="Normal 8 2 3 2 4 2 3" xfId="12050" xr:uid="{8B541151-8DAB-412D-B815-F28CAEE8B713}"/>
    <cellStyle name="Normal 8 2 3 2 4 3" xfId="5681" xr:uid="{00000000-0005-0000-0000-0000B01C0000}"/>
    <cellStyle name="Normal 8 2 3 2 4 3 2" xfId="14123" xr:uid="{1FC60241-EBE0-458F-9F9B-5F908DAC3EFA}"/>
    <cellStyle name="Normal 8 2 3 2 4 4" xfId="9905" xr:uid="{CD6D5EAE-E8AC-46CE-A952-069BFE0CD35B}"/>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91AFC4BA-2A9D-40AE-8E39-5FF8746455B5}"/>
    <cellStyle name="Normal 8 2 3 2 5 2 3" xfId="12463" xr:uid="{E6F9A27B-62BB-474D-AD27-7A2CD4365BBC}"/>
    <cellStyle name="Normal 8 2 3 2 5 3" xfId="6094" xr:uid="{00000000-0005-0000-0000-0000B41C0000}"/>
    <cellStyle name="Normal 8 2 3 2 5 3 2" xfId="14536" xr:uid="{3AE7C8DD-4912-49B8-BCA3-145D084294B1}"/>
    <cellStyle name="Normal 8 2 3 2 5 4" xfId="10318" xr:uid="{E2CCC954-84EA-4F79-934D-ADC53A956219}"/>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0D915B76-F43A-411E-B1A7-EF9D9AFC0F53}"/>
    <cellStyle name="Normal 8 2 3 2 6 2 3" xfId="12876" xr:uid="{44DA7755-234D-48FE-A384-C0ED71F15436}"/>
    <cellStyle name="Normal 8 2 3 2 6 3" xfId="6507" xr:uid="{00000000-0005-0000-0000-0000B81C0000}"/>
    <cellStyle name="Normal 8 2 3 2 6 3 2" xfId="14949" xr:uid="{3A56454B-151A-4066-AF6C-8CC47D6F651B}"/>
    <cellStyle name="Normal 8 2 3 2 6 4" xfId="10731" xr:uid="{E264634B-2539-4F14-BDC0-1ACA806B34E0}"/>
    <cellStyle name="Normal 8 2 3 2 7" xfId="2636" xr:uid="{00000000-0005-0000-0000-0000B91C0000}"/>
    <cellStyle name="Normal 8 2 3 2 7 2" xfId="6920" xr:uid="{00000000-0005-0000-0000-0000BA1C0000}"/>
    <cellStyle name="Normal 8 2 3 2 7 2 2" xfId="15362" xr:uid="{D5E76F3C-F2C6-4F1B-8504-7DB2D93EB0A1}"/>
    <cellStyle name="Normal 8 2 3 2 7 3" xfId="11144" xr:uid="{CCADFD8E-A3F7-4134-B19F-7D683F340608}"/>
    <cellStyle name="Normal 8 2 3 2 8" xfId="4855" xr:uid="{00000000-0005-0000-0000-0000BB1C0000}"/>
    <cellStyle name="Normal 8 2 3 2 8 2" xfId="13297" xr:uid="{64B70757-4CC4-440A-9DC5-C3F74C15A4D5}"/>
    <cellStyle name="Normal 8 2 3 2 9" xfId="9079" xr:uid="{D56FAF0E-81C8-4774-85B5-97627369C59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E00531E4-EF09-4B29-971C-851DFD99BD24}"/>
    <cellStyle name="Normal 8 2 3 3 2 2 3" xfId="11639" xr:uid="{927397D9-349F-43C0-8326-BA101482CAB8}"/>
    <cellStyle name="Normal 8 2 3 3 2 3" xfId="5270" xr:uid="{00000000-0005-0000-0000-0000C01C0000}"/>
    <cellStyle name="Normal 8 2 3 3 2 3 2" xfId="13712" xr:uid="{04146477-B4FF-4160-A654-6E11FD51D668}"/>
    <cellStyle name="Normal 8 2 3 3 2 4" xfId="9494" xr:uid="{A727627D-7E3A-422E-926B-3E3687A847B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2E0C8D8B-495D-4039-A615-079541FB1AE6}"/>
    <cellStyle name="Normal 8 2 3 3 3 2 3" xfId="12052" xr:uid="{939681E7-AAE8-46FD-B547-AB47D66B8F01}"/>
    <cellStyle name="Normal 8 2 3 3 3 3" xfId="5683" xr:uid="{00000000-0005-0000-0000-0000C41C0000}"/>
    <cellStyle name="Normal 8 2 3 3 3 3 2" xfId="14125" xr:uid="{479A9624-313C-4A44-8EFC-FC8D934CB327}"/>
    <cellStyle name="Normal 8 2 3 3 3 4" xfId="9907" xr:uid="{E065A1CA-724F-44DB-9FE6-ADB5C6C43BAC}"/>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CCC6BB10-1424-4AF2-B034-847A5D20C9A0}"/>
    <cellStyle name="Normal 8 2 3 3 4 2 3" xfId="12465" xr:uid="{0685BFEF-C6E3-4214-BD60-2728FE4995C0}"/>
    <cellStyle name="Normal 8 2 3 3 4 3" xfId="6096" xr:uid="{00000000-0005-0000-0000-0000C81C0000}"/>
    <cellStyle name="Normal 8 2 3 3 4 3 2" xfId="14538" xr:uid="{7F559F01-A908-4570-B370-662F84919613}"/>
    <cellStyle name="Normal 8 2 3 3 4 4" xfId="10320" xr:uid="{B0B903E8-E5DA-4500-8706-AB3E1BBCB064}"/>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7E6416A9-0F92-4C45-8F3A-45F6D532AD8D}"/>
    <cellStyle name="Normal 8 2 3 3 5 2 3" xfId="12878" xr:uid="{95DE4156-0A86-438F-8FB3-CA8076CE2B31}"/>
    <cellStyle name="Normal 8 2 3 3 5 3" xfId="6509" xr:uid="{00000000-0005-0000-0000-0000CC1C0000}"/>
    <cellStyle name="Normal 8 2 3 3 5 3 2" xfId="14951" xr:uid="{0DF80703-AD11-4192-B496-3BC35E17D2DB}"/>
    <cellStyle name="Normal 8 2 3 3 5 4" xfId="10733" xr:uid="{B47D817C-0A8E-4378-B8FB-508C088D8ACA}"/>
    <cellStyle name="Normal 8 2 3 3 6" xfId="2638" xr:uid="{00000000-0005-0000-0000-0000CD1C0000}"/>
    <cellStyle name="Normal 8 2 3 3 6 2" xfId="6922" xr:uid="{00000000-0005-0000-0000-0000CE1C0000}"/>
    <cellStyle name="Normal 8 2 3 3 6 2 2" xfId="15364" xr:uid="{E73F3368-EEEA-418E-88DF-B10E87176F5A}"/>
    <cellStyle name="Normal 8 2 3 3 6 3" xfId="11146" xr:uid="{55799BC2-2E60-4342-A423-635126E11FF8}"/>
    <cellStyle name="Normal 8 2 3 3 7" xfId="4857" xr:uid="{00000000-0005-0000-0000-0000CF1C0000}"/>
    <cellStyle name="Normal 8 2 3 3 7 2" xfId="13299" xr:uid="{2F07A445-1780-42F6-9BBA-E3F5E7C21800}"/>
    <cellStyle name="Normal 8 2 3 3 8" xfId="9081" xr:uid="{EF4F01CA-6B30-43F8-951E-FF26AFAADB39}"/>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69FE219-A50E-4796-B71B-4C15C6C6292B}"/>
    <cellStyle name="Normal 8 2 3 4 2 3" xfId="11636" xr:uid="{89EE3FFA-87EA-45C2-B1F1-BEA3F854CF38}"/>
    <cellStyle name="Normal 8 2 3 4 3" xfId="5267" xr:uid="{00000000-0005-0000-0000-0000D31C0000}"/>
    <cellStyle name="Normal 8 2 3 4 3 2" xfId="13709" xr:uid="{0671424F-9583-4E7F-B70A-4D0CD6518FC7}"/>
    <cellStyle name="Normal 8 2 3 4 4" xfId="9491" xr:uid="{CD6516E2-1EF8-4403-AC7F-E607F3199048}"/>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934F1C7E-A956-4F24-A07B-2B373B430D2C}"/>
    <cellStyle name="Normal 8 2 3 5 2 3" xfId="12049" xr:uid="{A301AEAD-BE1E-4F2F-84FB-8771B818340F}"/>
    <cellStyle name="Normal 8 2 3 5 3" xfId="5680" xr:uid="{00000000-0005-0000-0000-0000D71C0000}"/>
    <cellStyle name="Normal 8 2 3 5 3 2" xfId="14122" xr:uid="{A964479D-9044-4296-8C86-E30AB40A9A5B}"/>
    <cellStyle name="Normal 8 2 3 5 4" xfId="9904" xr:uid="{338C1C99-4635-404B-B86B-CDE01F752E19}"/>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1529622E-E7C5-499F-8775-BED9CDE49EBD}"/>
    <cellStyle name="Normal 8 2 3 6 2 3" xfId="12462" xr:uid="{96159FC5-1234-4846-A880-49C377D4C5F9}"/>
    <cellStyle name="Normal 8 2 3 6 3" xfId="6093" xr:uid="{00000000-0005-0000-0000-0000DB1C0000}"/>
    <cellStyle name="Normal 8 2 3 6 3 2" xfId="14535" xr:uid="{F9EBEE85-879F-4167-BA89-04AB126B7663}"/>
    <cellStyle name="Normal 8 2 3 6 4" xfId="10317" xr:uid="{AE06B6B9-A4DF-4617-ADEB-CCFA9CAC357A}"/>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B71BFDF7-D589-49FC-BF0B-E495A8BC6BCD}"/>
    <cellStyle name="Normal 8 2 3 7 2 3" xfId="12875" xr:uid="{40638114-0ACC-43F2-8906-531F121C101F}"/>
    <cellStyle name="Normal 8 2 3 7 3" xfId="6506" xr:uid="{00000000-0005-0000-0000-0000DF1C0000}"/>
    <cellStyle name="Normal 8 2 3 7 3 2" xfId="14948" xr:uid="{63F4FFF3-7594-4402-A921-2DE00E8F3967}"/>
    <cellStyle name="Normal 8 2 3 7 4" xfId="10730" xr:uid="{EB3185D9-26C7-47C3-90E5-FAD81CEEA088}"/>
    <cellStyle name="Normal 8 2 3 8" xfId="2635" xr:uid="{00000000-0005-0000-0000-0000E01C0000}"/>
    <cellStyle name="Normal 8 2 3 8 2" xfId="6919" xr:uid="{00000000-0005-0000-0000-0000E11C0000}"/>
    <cellStyle name="Normal 8 2 3 8 2 2" xfId="15361" xr:uid="{18280E18-A390-4340-A107-B76609F29037}"/>
    <cellStyle name="Normal 8 2 3 8 3" xfId="11143" xr:uid="{C5C20D43-FC16-45F2-81C6-0D5C7055BA88}"/>
    <cellStyle name="Normal 8 2 3 9" xfId="4854" xr:uid="{00000000-0005-0000-0000-0000E21C0000}"/>
    <cellStyle name="Normal 8 2 3 9 2" xfId="13296" xr:uid="{0AA87CAD-5023-471E-8796-9C6B221F9A8A}"/>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D66B78DD-51F7-49F5-A129-8A67A79A42E2}"/>
    <cellStyle name="Normal 8 2 4 2 2 2 3" xfId="11641" xr:uid="{FCBD022B-7E3C-42F7-8445-1831A551EFA0}"/>
    <cellStyle name="Normal 8 2 4 2 2 3" xfId="5272" xr:uid="{00000000-0005-0000-0000-0000E81C0000}"/>
    <cellStyle name="Normal 8 2 4 2 2 3 2" xfId="13714" xr:uid="{D907DA4F-EC50-424C-A0B7-149C27CC1C24}"/>
    <cellStyle name="Normal 8 2 4 2 2 4" xfId="9496" xr:uid="{71DCD4B8-972D-4EB6-819D-E3328A586B87}"/>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311A2051-CC45-4300-AAFB-476A4E15B3C8}"/>
    <cellStyle name="Normal 8 2 4 2 3 2 3" xfId="12054" xr:uid="{13E10C04-42AC-457C-9E60-90CE84103E6E}"/>
    <cellStyle name="Normal 8 2 4 2 3 3" xfId="5685" xr:uid="{00000000-0005-0000-0000-0000EC1C0000}"/>
    <cellStyle name="Normal 8 2 4 2 3 3 2" xfId="14127" xr:uid="{B2B780B4-15FD-4942-B47C-93C972D53353}"/>
    <cellStyle name="Normal 8 2 4 2 3 4" xfId="9909" xr:uid="{1018B24B-4984-49BD-9AAF-1AD2E2BB8E0F}"/>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442FC41B-ABCC-4BC7-9206-8694565506C0}"/>
    <cellStyle name="Normal 8 2 4 2 4 2 3" xfId="12467" xr:uid="{72216C87-3E39-4762-A6BD-486EDBA44988}"/>
    <cellStyle name="Normal 8 2 4 2 4 3" xfId="6098" xr:uid="{00000000-0005-0000-0000-0000F01C0000}"/>
    <cellStyle name="Normal 8 2 4 2 4 3 2" xfId="14540" xr:uid="{6E8BFFA7-330C-473B-8FAC-24CD21260C04}"/>
    <cellStyle name="Normal 8 2 4 2 4 4" xfId="10322" xr:uid="{AE40BFB3-B05F-4A94-9AD3-6322C58FB980}"/>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B62D8495-C60D-4A1B-B685-1C1CF41B51F5}"/>
    <cellStyle name="Normal 8 2 4 2 5 2 3" xfId="12880" xr:uid="{19A4A9CB-49BB-4FFB-B518-3FF9B2EA09ED}"/>
    <cellStyle name="Normal 8 2 4 2 5 3" xfId="6511" xr:uid="{00000000-0005-0000-0000-0000F41C0000}"/>
    <cellStyle name="Normal 8 2 4 2 5 3 2" xfId="14953" xr:uid="{ADF8EEDE-2E24-4E9A-BF15-42B5E60E9333}"/>
    <cellStyle name="Normal 8 2 4 2 5 4" xfId="10735" xr:uid="{2054C83A-1FA2-495D-83A2-2870381565D2}"/>
    <cellStyle name="Normal 8 2 4 2 6" xfId="2640" xr:uid="{00000000-0005-0000-0000-0000F51C0000}"/>
    <cellStyle name="Normal 8 2 4 2 6 2" xfId="6924" xr:uid="{00000000-0005-0000-0000-0000F61C0000}"/>
    <cellStyle name="Normal 8 2 4 2 6 2 2" xfId="15366" xr:uid="{7424F73E-9B8C-4BDE-BA4A-A6E614CDBDFB}"/>
    <cellStyle name="Normal 8 2 4 2 6 3" xfId="11148" xr:uid="{2E7288A9-0230-4F33-93B5-DCEE629651F7}"/>
    <cellStyle name="Normal 8 2 4 2 7" xfId="4859" xr:uid="{00000000-0005-0000-0000-0000F71C0000}"/>
    <cellStyle name="Normal 8 2 4 2 7 2" xfId="13301" xr:uid="{57EA1DD1-DCE2-4406-A2F4-B58A443FCA55}"/>
    <cellStyle name="Normal 8 2 4 2 8" xfId="9083" xr:uid="{CB61A464-5392-4F0E-B6E4-A512B32F70F3}"/>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988506DD-2B6D-4C1A-B9B4-27BACD31BAFB}"/>
    <cellStyle name="Normal 8 2 4 3 2 3" xfId="11640" xr:uid="{D3FF7A47-8C9F-4BDF-BACA-33E95C1BBAE0}"/>
    <cellStyle name="Normal 8 2 4 3 3" xfId="5271" xr:uid="{00000000-0005-0000-0000-0000FB1C0000}"/>
    <cellStyle name="Normal 8 2 4 3 3 2" xfId="13713" xr:uid="{53C51024-E173-4585-B144-E721CDFE69E0}"/>
    <cellStyle name="Normal 8 2 4 3 4" xfId="9495" xr:uid="{5B383404-66FF-4600-84B7-022B8FDBADDB}"/>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DFF10BD9-CCBA-41E3-9B0B-89D4C7036A76}"/>
    <cellStyle name="Normal 8 2 4 4 2 3" xfId="12053" xr:uid="{6DA1FA4F-4CE4-49DF-8C5C-01604B1EA28A}"/>
    <cellStyle name="Normal 8 2 4 4 3" xfId="5684" xr:uid="{00000000-0005-0000-0000-0000FF1C0000}"/>
    <cellStyle name="Normal 8 2 4 4 3 2" xfId="14126" xr:uid="{8A31BBA1-3CAD-440B-860A-8E5EC3F6DFD7}"/>
    <cellStyle name="Normal 8 2 4 4 4" xfId="9908" xr:uid="{1152FA2F-571B-48FC-B537-C57F24475295}"/>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BDF36DE2-C802-4AB6-AFB4-BB876252E00C}"/>
    <cellStyle name="Normal 8 2 4 5 2 3" xfId="12466" xr:uid="{F3FBD3AF-A8D6-40A2-8703-FD93A66E8EF6}"/>
    <cellStyle name="Normal 8 2 4 5 3" xfId="6097" xr:uid="{00000000-0005-0000-0000-0000031D0000}"/>
    <cellStyle name="Normal 8 2 4 5 3 2" xfId="14539" xr:uid="{4AA58272-9A9E-4BF7-974E-1213E5E5467E}"/>
    <cellStyle name="Normal 8 2 4 5 4" xfId="10321" xr:uid="{9DF25F4E-4A05-4690-8EC0-9640EB471752}"/>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5FD1E5D2-EB9A-481F-A64C-4DD922FF43BB}"/>
    <cellStyle name="Normal 8 2 4 6 2 3" xfId="12879" xr:uid="{7F099FE3-DCF0-4AE9-ADE1-5A47EB799A76}"/>
    <cellStyle name="Normal 8 2 4 6 3" xfId="6510" xr:uid="{00000000-0005-0000-0000-0000071D0000}"/>
    <cellStyle name="Normal 8 2 4 6 3 2" xfId="14952" xr:uid="{C9D9B4BC-D44A-4542-A28D-1AF2AD5B9BF2}"/>
    <cellStyle name="Normal 8 2 4 6 4" xfId="10734" xr:uid="{EFB051BB-FCCE-437B-82AD-5793EC71573E}"/>
    <cellStyle name="Normal 8 2 4 7" xfId="2639" xr:uid="{00000000-0005-0000-0000-0000081D0000}"/>
    <cellStyle name="Normal 8 2 4 7 2" xfId="6923" xr:uid="{00000000-0005-0000-0000-0000091D0000}"/>
    <cellStyle name="Normal 8 2 4 7 2 2" xfId="15365" xr:uid="{CC75E32B-153F-4E8A-8A5A-B5114DFFBC1A}"/>
    <cellStyle name="Normal 8 2 4 7 3" xfId="11147" xr:uid="{2869D5E0-94A1-440C-8FF0-FEE3D44C1650}"/>
    <cellStyle name="Normal 8 2 4 8" xfId="4858" xr:uid="{00000000-0005-0000-0000-00000A1D0000}"/>
    <cellStyle name="Normal 8 2 4 8 2" xfId="13300" xr:uid="{D188ED2F-4FD7-4321-9D2D-B50556F34ED9}"/>
    <cellStyle name="Normal 8 2 4 9" xfId="9082" xr:uid="{69F1C013-C097-4F10-9DB8-1BDCB7455F16}"/>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0C09E0F5-9606-4B4B-85FA-D5BD1F1D5427}"/>
    <cellStyle name="Normal 8 2 5 2 2 3" xfId="11642" xr:uid="{09E1F786-A075-460F-ABDD-E7F17D3E9A5A}"/>
    <cellStyle name="Normal 8 2 5 2 3" xfId="5273" xr:uid="{00000000-0005-0000-0000-00000F1D0000}"/>
    <cellStyle name="Normal 8 2 5 2 3 2" xfId="13715" xr:uid="{205E66B3-3B32-4D2D-B393-1C7E4C4400C3}"/>
    <cellStyle name="Normal 8 2 5 2 4" xfId="9497" xr:uid="{A36BC208-9899-46C4-864E-F37CBAD2732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27E0BA4C-5C7A-47D7-880E-934665CE37D7}"/>
    <cellStyle name="Normal 8 2 5 3 2 3" xfId="12055" xr:uid="{903AF88E-629C-4B01-942B-DD2D7ED0D140}"/>
    <cellStyle name="Normal 8 2 5 3 3" xfId="5686" xr:uid="{00000000-0005-0000-0000-0000131D0000}"/>
    <cellStyle name="Normal 8 2 5 3 3 2" xfId="14128" xr:uid="{94142C7F-9ED0-432E-9C18-05A6821BAD58}"/>
    <cellStyle name="Normal 8 2 5 3 4" xfId="9910" xr:uid="{E2845AF1-20AB-4A0B-BC89-B47BF0893731}"/>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CD12EFE3-7494-4EBB-AFD9-F4B62D41C869}"/>
    <cellStyle name="Normal 8 2 5 4 2 3" xfId="12468" xr:uid="{726BF6D4-ADC7-4BB6-B13C-D02B23ECCCFA}"/>
    <cellStyle name="Normal 8 2 5 4 3" xfId="6099" xr:uid="{00000000-0005-0000-0000-0000171D0000}"/>
    <cellStyle name="Normal 8 2 5 4 3 2" xfId="14541" xr:uid="{D62D62B0-7A7A-4915-B2CD-4D87C44491D2}"/>
    <cellStyle name="Normal 8 2 5 4 4" xfId="10323" xr:uid="{4E59580A-236B-44E5-8997-3C0AC99460A7}"/>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5A20EEF4-0DC2-40D0-BC9E-58CE55203DC5}"/>
    <cellStyle name="Normal 8 2 5 5 2 3" xfId="12881" xr:uid="{DE4AA5D3-37FC-4639-AC12-C5B343F84844}"/>
    <cellStyle name="Normal 8 2 5 5 3" xfId="6512" xr:uid="{00000000-0005-0000-0000-00001B1D0000}"/>
    <cellStyle name="Normal 8 2 5 5 3 2" xfId="14954" xr:uid="{645B0CAE-A935-44DC-81D2-F5EEEC62D649}"/>
    <cellStyle name="Normal 8 2 5 5 4" xfId="10736" xr:uid="{064BDF81-8F80-417F-B7C7-3F17418DDD11}"/>
    <cellStyle name="Normal 8 2 5 6" xfId="2641" xr:uid="{00000000-0005-0000-0000-00001C1D0000}"/>
    <cellStyle name="Normal 8 2 5 6 2" xfId="6925" xr:uid="{00000000-0005-0000-0000-00001D1D0000}"/>
    <cellStyle name="Normal 8 2 5 6 2 2" xfId="15367" xr:uid="{9F76E183-F30D-4825-9204-66974B4D3933}"/>
    <cellStyle name="Normal 8 2 5 6 3" xfId="11149" xr:uid="{EDB5A5AA-56D4-40DE-9029-3A8EC39D20BE}"/>
    <cellStyle name="Normal 8 2 5 7" xfId="4860" xr:uid="{00000000-0005-0000-0000-00001E1D0000}"/>
    <cellStyle name="Normal 8 2 5 7 2" xfId="13302" xr:uid="{157067C1-1587-4B19-B2C7-2F3E5BD96989}"/>
    <cellStyle name="Normal 8 2 5 8" xfId="9084" xr:uid="{BEAE258E-75CB-4EC2-9A23-B006A1D30D4E}"/>
    <cellStyle name="Normal 8 2 6" xfId="946" xr:uid="{00000000-0005-0000-0000-00001F1D0000}"/>
    <cellStyle name="Normal 8 2 6 2" xfId="3180" xr:uid="{00000000-0005-0000-0000-0000201D0000}"/>
    <cellStyle name="Normal 8 2 6 2 2" xfId="7403" xr:uid="{00000000-0005-0000-0000-0000211D0000}"/>
    <cellStyle name="Normal 8 2 6 2 2 2" xfId="15845" xr:uid="{45EDD160-63F6-48FC-AD01-7E43BFC65EA9}"/>
    <cellStyle name="Normal 8 2 6 2 3" xfId="11627" xr:uid="{CE87F3CF-37A1-4D52-B531-57EAF1307AA2}"/>
    <cellStyle name="Normal 8 2 6 3" xfId="5258" xr:uid="{00000000-0005-0000-0000-0000221D0000}"/>
    <cellStyle name="Normal 8 2 6 3 2" xfId="13700" xr:uid="{C741ADDC-999F-44E9-B4FF-A29A7D6373CC}"/>
    <cellStyle name="Normal 8 2 6 4" xfId="9482" xr:uid="{4169DD48-DC6C-4589-94A1-6DC5603D54A7}"/>
    <cellStyle name="Normal 8 2 7" xfId="1363" xr:uid="{00000000-0005-0000-0000-0000231D0000}"/>
    <cellStyle name="Normal 8 2 7 2" xfId="3593" xr:uid="{00000000-0005-0000-0000-0000241D0000}"/>
    <cellStyle name="Normal 8 2 7 2 2" xfId="7816" xr:uid="{00000000-0005-0000-0000-0000251D0000}"/>
    <cellStyle name="Normal 8 2 7 2 2 2" xfId="16258" xr:uid="{1703CFE8-884C-4C52-BC15-8B5F7590A039}"/>
    <cellStyle name="Normal 8 2 7 2 3" xfId="12040" xr:uid="{5F3B742C-E522-4DE2-A546-9CD3BD684D8E}"/>
    <cellStyle name="Normal 8 2 7 3" xfId="5671" xr:uid="{00000000-0005-0000-0000-0000261D0000}"/>
    <cellStyle name="Normal 8 2 7 3 2" xfId="14113" xr:uid="{FAE0EA37-C0FC-4931-9DA5-704FC971E60C}"/>
    <cellStyle name="Normal 8 2 7 4" xfId="9895" xr:uid="{AA8CBE2D-9742-4270-B2E4-009F55CC64B6}"/>
    <cellStyle name="Normal 8 2 8" xfId="1776" xr:uid="{00000000-0005-0000-0000-0000271D0000}"/>
    <cellStyle name="Normal 8 2 8 2" xfId="4006" xr:uid="{00000000-0005-0000-0000-0000281D0000}"/>
    <cellStyle name="Normal 8 2 8 2 2" xfId="8229" xr:uid="{00000000-0005-0000-0000-0000291D0000}"/>
    <cellStyle name="Normal 8 2 8 2 2 2" xfId="16671" xr:uid="{AEBCED64-AB57-41F4-BD9A-FE403B3110D7}"/>
    <cellStyle name="Normal 8 2 8 2 3" xfId="12453" xr:uid="{D6E6A38C-3F72-40B1-9976-7739AB6C61CA}"/>
    <cellStyle name="Normal 8 2 8 3" xfId="6084" xr:uid="{00000000-0005-0000-0000-00002A1D0000}"/>
    <cellStyle name="Normal 8 2 8 3 2" xfId="14526" xr:uid="{0674E094-F393-46B1-B611-B9BE53A8EEA3}"/>
    <cellStyle name="Normal 8 2 8 4" xfId="10308" xr:uid="{FD6712EC-0F1D-42E1-A790-52F73ABA9777}"/>
    <cellStyle name="Normal 8 2 9" xfId="2190" xr:uid="{00000000-0005-0000-0000-00002B1D0000}"/>
    <cellStyle name="Normal 8 2 9 2" xfId="4419" xr:uid="{00000000-0005-0000-0000-00002C1D0000}"/>
    <cellStyle name="Normal 8 2 9 2 2" xfId="8642" xr:uid="{00000000-0005-0000-0000-00002D1D0000}"/>
    <cellStyle name="Normal 8 2 9 2 2 2" xfId="17084" xr:uid="{447908B9-6C8A-4D6C-AC5F-2C8DEBCAEF94}"/>
    <cellStyle name="Normal 8 2 9 2 3" xfId="12866" xr:uid="{A6BAC4FE-F3E7-4F13-80A3-726674D8DDBC}"/>
    <cellStyle name="Normal 8 2 9 3" xfId="6497" xr:uid="{00000000-0005-0000-0000-00002E1D0000}"/>
    <cellStyle name="Normal 8 2 9 3 2" xfId="14939" xr:uid="{7CBE0293-9C7F-44D2-A443-FBBE4C37CBC0}"/>
    <cellStyle name="Normal 8 2 9 4" xfId="10721" xr:uid="{C75983AC-3E93-4444-A478-E92CA354DC05}"/>
    <cellStyle name="Normal 8 3" xfId="495" xr:uid="{00000000-0005-0000-0000-00002F1D0000}"/>
    <cellStyle name="Normal 8 3 10" xfId="4861" xr:uid="{00000000-0005-0000-0000-0000301D0000}"/>
    <cellStyle name="Normal 8 3 10 2" xfId="13303" xr:uid="{C5E97FF6-9571-4B43-AAA3-49EB93D239B6}"/>
    <cellStyle name="Normal 8 3 11" xfId="9085" xr:uid="{3581414B-3CA4-4FFE-9A51-5168185DA145}"/>
    <cellStyle name="Normal 8 3 2" xfId="496" xr:uid="{00000000-0005-0000-0000-0000311D0000}"/>
    <cellStyle name="Normal 8 3 2 10" xfId="9086" xr:uid="{94240339-0EF5-49A5-A2EB-42EAB6B5D951}"/>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FE0AEE39-31CD-4E57-BFC7-905C80CB5469}"/>
    <cellStyle name="Normal 8 3 2 2 2 2 2 3" xfId="11646" xr:uid="{5E66033A-0BDE-4473-B22C-0AC7BB8AF350}"/>
    <cellStyle name="Normal 8 3 2 2 2 2 3" xfId="5277" xr:uid="{00000000-0005-0000-0000-0000371D0000}"/>
    <cellStyle name="Normal 8 3 2 2 2 2 3 2" xfId="13719" xr:uid="{3B8CCBD2-6335-4FF5-A680-D2386F4131EC}"/>
    <cellStyle name="Normal 8 3 2 2 2 2 4" xfId="9501" xr:uid="{350BF0C2-6B4A-4307-B931-85E3CED6070C}"/>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BB37A546-6A9E-4EE8-A676-437A8A287F8B}"/>
    <cellStyle name="Normal 8 3 2 2 2 3 2 3" xfId="12059" xr:uid="{22237AF6-B76F-4DD8-BA45-E2A4857E8C1F}"/>
    <cellStyle name="Normal 8 3 2 2 2 3 3" xfId="5690" xr:uid="{00000000-0005-0000-0000-00003B1D0000}"/>
    <cellStyle name="Normal 8 3 2 2 2 3 3 2" xfId="14132" xr:uid="{49F3F0CA-8EF9-4078-A0A5-037649C6143F}"/>
    <cellStyle name="Normal 8 3 2 2 2 3 4" xfId="9914" xr:uid="{6FE0C620-7334-4A12-9200-3DDE90B76AD7}"/>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FC4D6111-DC0D-4D2A-9BA2-AB9C27374461}"/>
    <cellStyle name="Normal 8 3 2 2 2 4 2 3" xfId="12472" xr:uid="{345D726E-F6A0-46AA-A137-D47C93E4460F}"/>
    <cellStyle name="Normal 8 3 2 2 2 4 3" xfId="6103" xr:uid="{00000000-0005-0000-0000-00003F1D0000}"/>
    <cellStyle name="Normal 8 3 2 2 2 4 3 2" xfId="14545" xr:uid="{883F6CA5-022A-48E1-B664-7EDD9AFEB08E}"/>
    <cellStyle name="Normal 8 3 2 2 2 4 4" xfId="10327" xr:uid="{FF40266F-81AC-419B-AF72-A82BF36F0993}"/>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FA71AF2A-74EE-4334-8C1E-9F5A7F1B48D9}"/>
    <cellStyle name="Normal 8 3 2 2 2 5 2 3" xfId="12885" xr:uid="{B66BBABD-8F52-41F9-972B-FFE95532EFE8}"/>
    <cellStyle name="Normal 8 3 2 2 2 5 3" xfId="6516" xr:uid="{00000000-0005-0000-0000-0000431D0000}"/>
    <cellStyle name="Normal 8 3 2 2 2 5 3 2" xfId="14958" xr:uid="{C7C2A570-8888-4136-9AAD-6FE5BF5BA019}"/>
    <cellStyle name="Normal 8 3 2 2 2 5 4" xfId="10740" xr:uid="{B536094C-E618-49D7-AB68-62F162EE68C6}"/>
    <cellStyle name="Normal 8 3 2 2 2 6" xfId="2645" xr:uid="{00000000-0005-0000-0000-0000441D0000}"/>
    <cellStyle name="Normal 8 3 2 2 2 6 2" xfId="6929" xr:uid="{00000000-0005-0000-0000-0000451D0000}"/>
    <cellStyle name="Normal 8 3 2 2 2 6 2 2" xfId="15371" xr:uid="{48788305-9999-413A-914D-A4318EE59DD6}"/>
    <cellStyle name="Normal 8 3 2 2 2 6 3" xfId="11153" xr:uid="{782963EC-EEE1-40D2-8859-16F78759C8A6}"/>
    <cellStyle name="Normal 8 3 2 2 2 7" xfId="4864" xr:uid="{00000000-0005-0000-0000-0000461D0000}"/>
    <cellStyle name="Normal 8 3 2 2 2 7 2" xfId="13306" xr:uid="{9794D227-7FB9-497D-A286-1405229EA0FA}"/>
    <cellStyle name="Normal 8 3 2 2 2 8" xfId="9088" xr:uid="{C96B2781-FE7A-442D-AC20-973ED260B53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5B86DECE-F1B0-4F83-B8C2-1C793A054D85}"/>
    <cellStyle name="Normal 8 3 2 2 3 2 3" xfId="11645" xr:uid="{3AC342D4-1284-421E-AE3E-A387E254B586}"/>
    <cellStyle name="Normal 8 3 2 2 3 3" xfId="5276" xr:uid="{00000000-0005-0000-0000-00004A1D0000}"/>
    <cellStyle name="Normal 8 3 2 2 3 3 2" xfId="13718" xr:uid="{66B4B40D-ECEE-4ED5-8D40-DCA589420772}"/>
    <cellStyle name="Normal 8 3 2 2 3 4" xfId="9500" xr:uid="{F17F7F7F-B964-4845-BE74-6D1D97633154}"/>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F7203CDC-1019-4CC8-8CD0-56DDFE6F15EF}"/>
    <cellStyle name="Normal 8 3 2 2 4 2 3" xfId="12058" xr:uid="{BDEE4D55-E37E-4A82-9686-83D89290375C}"/>
    <cellStyle name="Normal 8 3 2 2 4 3" xfId="5689" xr:uid="{00000000-0005-0000-0000-00004E1D0000}"/>
    <cellStyle name="Normal 8 3 2 2 4 3 2" xfId="14131" xr:uid="{F128222F-3631-4133-A945-454066C3DEAF}"/>
    <cellStyle name="Normal 8 3 2 2 4 4" xfId="9913" xr:uid="{9D688B83-0494-4F19-B974-EBB5516D99DD}"/>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A53BB71E-1731-4390-967D-D8BC5048F837}"/>
    <cellStyle name="Normal 8 3 2 2 5 2 3" xfId="12471" xr:uid="{D8354289-9CF2-4C24-83E3-BCB524AF6301}"/>
    <cellStyle name="Normal 8 3 2 2 5 3" xfId="6102" xr:uid="{00000000-0005-0000-0000-0000521D0000}"/>
    <cellStyle name="Normal 8 3 2 2 5 3 2" xfId="14544" xr:uid="{2ACB1ED0-09AD-4822-A772-BE1504D53B46}"/>
    <cellStyle name="Normal 8 3 2 2 5 4" xfId="10326" xr:uid="{046ADD3D-ABED-4A72-98C3-57EBC9944FC5}"/>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AFBB0400-54D3-4782-AF44-810F7CBA5E28}"/>
    <cellStyle name="Normal 8 3 2 2 6 2 3" xfId="12884" xr:uid="{73F8880F-7DEC-4371-89E9-C935427688E5}"/>
    <cellStyle name="Normal 8 3 2 2 6 3" xfId="6515" xr:uid="{00000000-0005-0000-0000-0000561D0000}"/>
    <cellStyle name="Normal 8 3 2 2 6 3 2" xfId="14957" xr:uid="{FE0387EA-6AAE-4207-BCDF-8D7D8E436AB9}"/>
    <cellStyle name="Normal 8 3 2 2 6 4" xfId="10739" xr:uid="{13B51867-42E0-48DA-8A81-8F7B1A9C9348}"/>
    <cellStyle name="Normal 8 3 2 2 7" xfId="2644" xr:uid="{00000000-0005-0000-0000-0000571D0000}"/>
    <cellStyle name="Normal 8 3 2 2 7 2" xfId="6928" xr:uid="{00000000-0005-0000-0000-0000581D0000}"/>
    <cellStyle name="Normal 8 3 2 2 7 2 2" xfId="15370" xr:uid="{338C519A-C3B8-478D-B457-6BE897762459}"/>
    <cellStyle name="Normal 8 3 2 2 7 3" xfId="11152" xr:uid="{95F5AC9B-F0AA-4D5E-AE26-5EFDDFA02F45}"/>
    <cellStyle name="Normal 8 3 2 2 8" xfId="4863" xr:uid="{00000000-0005-0000-0000-0000591D0000}"/>
    <cellStyle name="Normal 8 3 2 2 8 2" xfId="13305" xr:uid="{A0B38963-9F86-4EB2-990F-7F5F85886B4C}"/>
    <cellStyle name="Normal 8 3 2 2 9" xfId="9087" xr:uid="{9CFED956-DACA-45F4-ABCA-D7AED9940392}"/>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FD750B64-A948-45FD-9A95-63376E556D9A}"/>
    <cellStyle name="Normal 8 3 2 3 2 2 3" xfId="11647" xr:uid="{4C865EAA-C896-4EEB-B4B5-33DA8D25FA0E}"/>
    <cellStyle name="Normal 8 3 2 3 2 3" xfId="5278" xr:uid="{00000000-0005-0000-0000-00005E1D0000}"/>
    <cellStyle name="Normal 8 3 2 3 2 3 2" xfId="13720" xr:uid="{174DAAA4-CD93-433D-A08C-FA88759908A3}"/>
    <cellStyle name="Normal 8 3 2 3 2 4" xfId="9502" xr:uid="{43267EB1-E7C0-4233-87CE-65EC5914608E}"/>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A5BDAA3B-227E-41B1-8AB7-C852901BEF2A}"/>
    <cellStyle name="Normal 8 3 2 3 3 2 3" xfId="12060" xr:uid="{AE881494-96D5-48A7-B686-C882A98D258D}"/>
    <cellStyle name="Normal 8 3 2 3 3 3" xfId="5691" xr:uid="{00000000-0005-0000-0000-0000621D0000}"/>
    <cellStyle name="Normal 8 3 2 3 3 3 2" xfId="14133" xr:uid="{48905447-8CED-4DE0-BA79-67E7CA27B9A4}"/>
    <cellStyle name="Normal 8 3 2 3 3 4" xfId="9915" xr:uid="{A4657FFC-62F2-4131-9603-F8E265D78249}"/>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3C2F4079-B65E-43AD-9B8D-F13D8431BE3A}"/>
    <cellStyle name="Normal 8 3 2 3 4 2 3" xfId="12473" xr:uid="{0847B4A9-B4A3-483A-BC85-1D4DF3EC8459}"/>
    <cellStyle name="Normal 8 3 2 3 4 3" xfId="6104" xr:uid="{00000000-0005-0000-0000-0000661D0000}"/>
    <cellStyle name="Normal 8 3 2 3 4 3 2" xfId="14546" xr:uid="{55BF00EC-429E-4B2A-A4BA-F4300BDCC5A0}"/>
    <cellStyle name="Normal 8 3 2 3 4 4" xfId="10328" xr:uid="{B3834357-5673-43D3-AD03-78EF917C3D93}"/>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168723A5-F094-4AF9-8265-B7F5B5803708}"/>
    <cellStyle name="Normal 8 3 2 3 5 2 3" xfId="12886" xr:uid="{4FF9F9BA-F44F-4DAB-8F76-CD70CBA7E2E0}"/>
    <cellStyle name="Normal 8 3 2 3 5 3" xfId="6517" xr:uid="{00000000-0005-0000-0000-00006A1D0000}"/>
    <cellStyle name="Normal 8 3 2 3 5 3 2" xfId="14959" xr:uid="{8AC04C7C-50E2-45A8-BC22-B246D8B1D7A9}"/>
    <cellStyle name="Normal 8 3 2 3 5 4" xfId="10741" xr:uid="{3B6D06BC-0E49-46C1-8E2F-F876846A2980}"/>
    <cellStyle name="Normal 8 3 2 3 6" xfId="2646" xr:uid="{00000000-0005-0000-0000-00006B1D0000}"/>
    <cellStyle name="Normal 8 3 2 3 6 2" xfId="6930" xr:uid="{00000000-0005-0000-0000-00006C1D0000}"/>
    <cellStyle name="Normal 8 3 2 3 6 2 2" xfId="15372" xr:uid="{557E04B6-9AC2-4A3E-8F38-BC48DF366D24}"/>
    <cellStyle name="Normal 8 3 2 3 6 3" xfId="11154" xr:uid="{C5CE8D92-B86F-4935-9148-79A49726896C}"/>
    <cellStyle name="Normal 8 3 2 3 7" xfId="4865" xr:uid="{00000000-0005-0000-0000-00006D1D0000}"/>
    <cellStyle name="Normal 8 3 2 3 7 2" xfId="13307" xr:uid="{18413C31-5111-4104-B556-57B4C3FE3E9B}"/>
    <cellStyle name="Normal 8 3 2 3 8" xfId="9089" xr:uid="{6D6F9C45-C4C4-497A-8FCF-A773C6A93428}"/>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F593A749-F4F0-4B8D-BA99-43060717253D}"/>
    <cellStyle name="Normal 8 3 2 4 2 3" xfId="11644" xr:uid="{5AD61957-228F-4F13-BB13-30BE739D21E4}"/>
    <cellStyle name="Normal 8 3 2 4 3" xfId="5275" xr:uid="{00000000-0005-0000-0000-0000711D0000}"/>
    <cellStyle name="Normal 8 3 2 4 3 2" xfId="13717" xr:uid="{6038411D-F82B-40C4-BBB4-EC774C7ADD16}"/>
    <cellStyle name="Normal 8 3 2 4 4" xfId="9499" xr:uid="{F2F079E4-8A64-4B8F-8F49-95F5AD1DFB34}"/>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3012DE0D-3828-4711-A567-A890974BDB69}"/>
    <cellStyle name="Normal 8 3 2 5 2 3" xfId="12057" xr:uid="{2E7C9C78-5847-46C3-BB34-58AECC2DB2D5}"/>
    <cellStyle name="Normal 8 3 2 5 3" xfId="5688" xr:uid="{00000000-0005-0000-0000-0000751D0000}"/>
    <cellStyle name="Normal 8 3 2 5 3 2" xfId="14130" xr:uid="{AC7331BA-35B3-4AA6-9C13-2890E0D42FB8}"/>
    <cellStyle name="Normal 8 3 2 5 4" xfId="9912" xr:uid="{099DDF3F-856E-48EC-AA5F-002E019C7009}"/>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BA317E9A-17D0-4F93-956E-B5F416ACB5B3}"/>
    <cellStyle name="Normal 8 3 2 6 2 3" xfId="12470" xr:uid="{48186275-AC79-4FA2-A7E9-EE16DDC6D5E1}"/>
    <cellStyle name="Normal 8 3 2 6 3" xfId="6101" xr:uid="{00000000-0005-0000-0000-0000791D0000}"/>
    <cellStyle name="Normal 8 3 2 6 3 2" xfId="14543" xr:uid="{7C639053-CC39-4F34-897E-74C3B8364BA4}"/>
    <cellStyle name="Normal 8 3 2 6 4" xfId="10325" xr:uid="{502FB0D7-ACF3-4506-AE9A-47C850A9124D}"/>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63493D90-B799-4598-BAEA-CAD52F3957B2}"/>
    <cellStyle name="Normal 8 3 2 7 2 3" xfId="12883" xr:uid="{001D051A-3F21-4E88-ACC3-CC5CB119F165}"/>
    <cellStyle name="Normal 8 3 2 7 3" xfId="6514" xr:uid="{00000000-0005-0000-0000-00007D1D0000}"/>
    <cellStyle name="Normal 8 3 2 7 3 2" xfId="14956" xr:uid="{148486A3-3D6C-4672-B043-96A265C4D51D}"/>
    <cellStyle name="Normal 8 3 2 7 4" xfId="10738" xr:uid="{CC4CB57A-50CE-4968-B4C3-3AACF3B33D1D}"/>
    <cellStyle name="Normal 8 3 2 8" xfId="2643" xr:uid="{00000000-0005-0000-0000-00007E1D0000}"/>
    <cellStyle name="Normal 8 3 2 8 2" xfId="6927" xr:uid="{00000000-0005-0000-0000-00007F1D0000}"/>
    <cellStyle name="Normal 8 3 2 8 2 2" xfId="15369" xr:uid="{F6A172AB-88D8-4857-B144-C1233CCE9587}"/>
    <cellStyle name="Normal 8 3 2 8 3" xfId="11151" xr:uid="{29166D9E-ED1E-4314-88E8-EA94224EE0E8}"/>
    <cellStyle name="Normal 8 3 2 9" xfId="4862" xr:uid="{00000000-0005-0000-0000-0000801D0000}"/>
    <cellStyle name="Normal 8 3 2 9 2" xfId="13304" xr:uid="{18439C3A-2261-4DB9-A091-A7B5712A307B}"/>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B2025A6D-BAE2-4B28-BEBD-FA854D8BC4E1}"/>
    <cellStyle name="Normal 8 3 3 2 2 2 3" xfId="11649" xr:uid="{E5C8D058-4E1E-4CCB-9527-622F0D872DAD}"/>
    <cellStyle name="Normal 8 3 3 2 2 3" xfId="5280" xr:uid="{00000000-0005-0000-0000-0000861D0000}"/>
    <cellStyle name="Normal 8 3 3 2 2 3 2" xfId="13722" xr:uid="{BB3D9554-ABA6-479F-8197-9ABF07DCBA4C}"/>
    <cellStyle name="Normal 8 3 3 2 2 4" xfId="9504" xr:uid="{57565111-745C-4685-AF93-616F40ECB32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9B852E7C-8226-44C2-A5B3-B60DA81F0BA2}"/>
    <cellStyle name="Normal 8 3 3 2 3 2 3" xfId="12062" xr:uid="{754962D0-6791-49C4-AAC6-B5E0CE1BBB02}"/>
    <cellStyle name="Normal 8 3 3 2 3 3" xfId="5693" xr:uid="{00000000-0005-0000-0000-00008A1D0000}"/>
    <cellStyle name="Normal 8 3 3 2 3 3 2" xfId="14135" xr:uid="{8281E4A7-6202-4910-8A8B-34DF44E00459}"/>
    <cellStyle name="Normal 8 3 3 2 3 4" xfId="9917" xr:uid="{BF6913A5-A9F5-4DC6-9224-506AA16EEE81}"/>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B65FC2CC-6494-4E0F-942E-5489D94223B8}"/>
    <cellStyle name="Normal 8 3 3 2 4 2 3" xfId="12475" xr:uid="{5E0D6E01-09AC-47FF-89F7-D5719021AF92}"/>
    <cellStyle name="Normal 8 3 3 2 4 3" xfId="6106" xr:uid="{00000000-0005-0000-0000-00008E1D0000}"/>
    <cellStyle name="Normal 8 3 3 2 4 3 2" xfId="14548" xr:uid="{549EB042-9601-4005-BF22-009549E03564}"/>
    <cellStyle name="Normal 8 3 3 2 4 4" xfId="10330" xr:uid="{F19A1381-C39B-4846-873F-73A31DB9770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8E40AE91-2312-4C71-82FE-F86FBBE2868C}"/>
    <cellStyle name="Normal 8 3 3 2 5 2 3" xfId="12888" xr:uid="{656C7D6D-3A14-4428-A044-F152BBEF05C5}"/>
    <cellStyle name="Normal 8 3 3 2 5 3" xfId="6519" xr:uid="{00000000-0005-0000-0000-0000921D0000}"/>
    <cellStyle name="Normal 8 3 3 2 5 3 2" xfId="14961" xr:uid="{A77BB26D-8F85-478E-A707-48404BCE0FB6}"/>
    <cellStyle name="Normal 8 3 3 2 5 4" xfId="10743" xr:uid="{06571422-D1D4-480A-863F-41C95395493E}"/>
    <cellStyle name="Normal 8 3 3 2 6" xfId="2648" xr:uid="{00000000-0005-0000-0000-0000931D0000}"/>
    <cellStyle name="Normal 8 3 3 2 6 2" xfId="6932" xr:uid="{00000000-0005-0000-0000-0000941D0000}"/>
    <cellStyle name="Normal 8 3 3 2 6 2 2" xfId="15374" xr:uid="{FA07985E-31EE-4E12-ACC2-05ECC107266F}"/>
    <cellStyle name="Normal 8 3 3 2 6 3" xfId="11156" xr:uid="{C137A6F9-3114-483B-B56C-AEFA725752BA}"/>
    <cellStyle name="Normal 8 3 3 2 7" xfId="4867" xr:uid="{00000000-0005-0000-0000-0000951D0000}"/>
    <cellStyle name="Normal 8 3 3 2 7 2" xfId="13309" xr:uid="{3B17D195-6017-4BC3-AD5E-9648BD59514F}"/>
    <cellStyle name="Normal 8 3 3 2 8" xfId="9091" xr:uid="{75257DA3-3E0A-4584-B6E9-42AF8512E4BB}"/>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D077D74F-2BAD-41BA-9FCE-56AF60FFCD7F}"/>
    <cellStyle name="Normal 8 3 3 3 2 3" xfId="11648" xr:uid="{3B82619B-4864-4359-8FA6-7267DD74AE42}"/>
    <cellStyle name="Normal 8 3 3 3 3" xfId="5279" xr:uid="{00000000-0005-0000-0000-0000991D0000}"/>
    <cellStyle name="Normal 8 3 3 3 3 2" xfId="13721" xr:uid="{DDCA5039-95E1-4854-AAA8-07102F050302}"/>
    <cellStyle name="Normal 8 3 3 3 4" xfId="9503" xr:uid="{4087FE56-1F4D-424C-A218-1DB8A5EEFFC1}"/>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1145185B-F58A-47F1-9F56-C87C72135581}"/>
    <cellStyle name="Normal 8 3 3 4 2 3" xfId="12061" xr:uid="{3E8DBBB7-5F3B-4575-9D06-C2221BB5F5A4}"/>
    <cellStyle name="Normal 8 3 3 4 3" xfId="5692" xr:uid="{00000000-0005-0000-0000-00009D1D0000}"/>
    <cellStyle name="Normal 8 3 3 4 3 2" xfId="14134" xr:uid="{6377C507-60B7-4D82-9E2B-292109ADB3C0}"/>
    <cellStyle name="Normal 8 3 3 4 4" xfId="9916" xr:uid="{DB1E65EE-EFDA-43D7-A4F5-67F51AF64DBE}"/>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99AE3392-A23E-4451-8392-B4ED4BC27A83}"/>
    <cellStyle name="Normal 8 3 3 5 2 3" xfId="12474" xr:uid="{05534379-8EF7-499F-99A7-CD275D73923E}"/>
    <cellStyle name="Normal 8 3 3 5 3" xfId="6105" xr:uid="{00000000-0005-0000-0000-0000A11D0000}"/>
    <cellStyle name="Normal 8 3 3 5 3 2" xfId="14547" xr:uid="{AFAD1E47-EA14-455B-944A-C057A1CB8338}"/>
    <cellStyle name="Normal 8 3 3 5 4" xfId="10329" xr:uid="{4F0A9E4B-B1C8-4AE8-B483-9AC71D4C4F1A}"/>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C7498548-3679-4D48-A956-CC473C8943D4}"/>
    <cellStyle name="Normal 8 3 3 6 2 3" xfId="12887" xr:uid="{0CA80A08-35E9-4912-8F39-9000D5E563F0}"/>
    <cellStyle name="Normal 8 3 3 6 3" xfId="6518" xr:uid="{00000000-0005-0000-0000-0000A51D0000}"/>
    <cellStyle name="Normal 8 3 3 6 3 2" xfId="14960" xr:uid="{74D41CA3-1E1F-46A7-AABB-8602BB438B91}"/>
    <cellStyle name="Normal 8 3 3 6 4" xfId="10742" xr:uid="{1ADDF3EA-EC3D-4AB9-9A32-F651D19AE49A}"/>
    <cellStyle name="Normal 8 3 3 7" xfId="2647" xr:uid="{00000000-0005-0000-0000-0000A61D0000}"/>
    <cellStyle name="Normal 8 3 3 7 2" xfId="6931" xr:uid="{00000000-0005-0000-0000-0000A71D0000}"/>
    <cellStyle name="Normal 8 3 3 7 2 2" xfId="15373" xr:uid="{D6FBEF78-7029-4D74-B4E3-3D61C40D7647}"/>
    <cellStyle name="Normal 8 3 3 7 3" xfId="11155" xr:uid="{78BBAAA4-02D1-42AB-8C52-36095B280117}"/>
    <cellStyle name="Normal 8 3 3 8" xfId="4866" xr:uid="{00000000-0005-0000-0000-0000A81D0000}"/>
    <cellStyle name="Normal 8 3 3 8 2" xfId="13308" xr:uid="{A0FF9714-48D8-4AF2-B5CB-5D01250CC004}"/>
    <cellStyle name="Normal 8 3 3 9" xfId="9090" xr:uid="{E84BDFC9-83B5-4488-BD03-C8641DCB350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4D30B67E-5B71-4F79-AEA2-90D1200648E8}"/>
    <cellStyle name="Normal 8 3 4 2 2 3" xfId="11650" xr:uid="{F796048C-DDCC-488A-A4B4-E652D4D0A5A4}"/>
    <cellStyle name="Normal 8 3 4 2 3" xfId="5281" xr:uid="{00000000-0005-0000-0000-0000AD1D0000}"/>
    <cellStyle name="Normal 8 3 4 2 3 2" xfId="13723" xr:uid="{E35439CC-9C22-4DC8-8790-1D548328C779}"/>
    <cellStyle name="Normal 8 3 4 2 4" xfId="9505" xr:uid="{419B5A61-13FC-4F9B-BA21-9F0B0C67F058}"/>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6F67B306-9979-42F6-B6E1-0C236F9A8E76}"/>
    <cellStyle name="Normal 8 3 4 3 2 3" xfId="12063" xr:uid="{6A3C627F-1CB2-4FEF-8F7F-7958521531A0}"/>
    <cellStyle name="Normal 8 3 4 3 3" xfId="5694" xr:uid="{00000000-0005-0000-0000-0000B11D0000}"/>
    <cellStyle name="Normal 8 3 4 3 3 2" xfId="14136" xr:uid="{E1E64B72-B82C-49AF-9B9A-1F6C38DAB537}"/>
    <cellStyle name="Normal 8 3 4 3 4" xfId="9918" xr:uid="{583BBB28-550E-4B45-870B-615A1BCB46D0}"/>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A07A0993-DA45-4E95-AD2B-9C4DA54E5600}"/>
    <cellStyle name="Normal 8 3 4 4 2 3" xfId="12476" xr:uid="{DCF7105E-1EE6-4369-874C-64A488B9A64B}"/>
    <cellStyle name="Normal 8 3 4 4 3" xfId="6107" xr:uid="{00000000-0005-0000-0000-0000B51D0000}"/>
    <cellStyle name="Normal 8 3 4 4 3 2" xfId="14549" xr:uid="{EA0C9A91-FB4F-44F6-BD7B-A138773EFDC2}"/>
    <cellStyle name="Normal 8 3 4 4 4" xfId="10331" xr:uid="{1FABC577-D696-48BC-9E68-B1B46431D70D}"/>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2DBBE42D-FF9B-4442-8CF6-C9A07C0C0407}"/>
    <cellStyle name="Normal 8 3 4 5 2 3" xfId="12889" xr:uid="{54D16C7A-9A5E-4261-BC60-AD9F4EB8B4AD}"/>
    <cellStyle name="Normal 8 3 4 5 3" xfId="6520" xr:uid="{00000000-0005-0000-0000-0000B91D0000}"/>
    <cellStyle name="Normal 8 3 4 5 3 2" xfId="14962" xr:uid="{94A06F64-6131-4206-B227-D9CDB9E53B15}"/>
    <cellStyle name="Normal 8 3 4 5 4" xfId="10744" xr:uid="{EBF749FB-F104-4B3E-B225-D14046A89FA6}"/>
    <cellStyle name="Normal 8 3 4 6" xfId="2649" xr:uid="{00000000-0005-0000-0000-0000BA1D0000}"/>
    <cellStyle name="Normal 8 3 4 6 2" xfId="6933" xr:uid="{00000000-0005-0000-0000-0000BB1D0000}"/>
    <cellStyle name="Normal 8 3 4 6 2 2" xfId="15375" xr:uid="{21114B9D-DF52-4B68-B6B7-2C1064F2C065}"/>
    <cellStyle name="Normal 8 3 4 6 3" xfId="11157" xr:uid="{A604AC7C-BB5E-4501-B5B0-CA52E89A1BE6}"/>
    <cellStyle name="Normal 8 3 4 7" xfId="4868" xr:uid="{00000000-0005-0000-0000-0000BC1D0000}"/>
    <cellStyle name="Normal 8 3 4 7 2" xfId="13310" xr:uid="{DD13CB63-B153-47D1-955F-8EF8F125BDE7}"/>
    <cellStyle name="Normal 8 3 4 8" xfId="9092" xr:uid="{CE60D5E3-1980-4016-81BA-66A230F0835D}"/>
    <cellStyle name="Normal 8 3 5" xfId="962" xr:uid="{00000000-0005-0000-0000-0000BD1D0000}"/>
    <cellStyle name="Normal 8 3 5 2" xfId="3196" xr:uid="{00000000-0005-0000-0000-0000BE1D0000}"/>
    <cellStyle name="Normal 8 3 5 2 2" xfId="7419" xr:uid="{00000000-0005-0000-0000-0000BF1D0000}"/>
    <cellStyle name="Normal 8 3 5 2 2 2" xfId="15861" xr:uid="{5EEE1727-1A71-4BCF-8540-B780A7B98B14}"/>
    <cellStyle name="Normal 8 3 5 2 3" xfId="11643" xr:uid="{91FAFC54-F913-43C0-B677-528A2706F7F2}"/>
    <cellStyle name="Normal 8 3 5 3" xfId="5274" xr:uid="{00000000-0005-0000-0000-0000C01D0000}"/>
    <cellStyle name="Normal 8 3 5 3 2" xfId="13716" xr:uid="{FA7536E3-BC70-4A59-AC5E-B1A7D55A77F7}"/>
    <cellStyle name="Normal 8 3 5 4" xfId="9498" xr:uid="{6D2EBA67-47AF-4390-B5A6-C3D2F0CEFF3B}"/>
    <cellStyle name="Normal 8 3 6" xfId="1379" xr:uid="{00000000-0005-0000-0000-0000C11D0000}"/>
    <cellStyle name="Normal 8 3 6 2" xfId="3609" xr:uid="{00000000-0005-0000-0000-0000C21D0000}"/>
    <cellStyle name="Normal 8 3 6 2 2" xfId="7832" xr:uid="{00000000-0005-0000-0000-0000C31D0000}"/>
    <cellStyle name="Normal 8 3 6 2 2 2" xfId="16274" xr:uid="{7C39CC12-0C08-4B93-B175-38EC4CC99448}"/>
    <cellStyle name="Normal 8 3 6 2 3" xfId="12056" xr:uid="{C450C018-3863-4BC9-AC5D-34E745F639A3}"/>
    <cellStyle name="Normal 8 3 6 3" xfId="5687" xr:uid="{00000000-0005-0000-0000-0000C41D0000}"/>
    <cellStyle name="Normal 8 3 6 3 2" xfId="14129" xr:uid="{27340D11-A92E-4DF8-A039-A95BB8924955}"/>
    <cellStyle name="Normal 8 3 6 4" xfId="9911" xr:uid="{1982BF97-BE98-4C32-89C8-D6218F651888}"/>
    <cellStyle name="Normal 8 3 7" xfId="1792" xr:uid="{00000000-0005-0000-0000-0000C51D0000}"/>
    <cellStyle name="Normal 8 3 7 2" xfId="4022" xr:uid="{00000000-0005-0000-0000-0000C61D0000}"/>
    <cellStyle name="Normal 8 3 7 2 2" xfId="8245" xr:uid="{00000000-0005-0000-0000-0000C71D0000}"/>
    <cellStyle name="Normal 8 3 7 2 2 2" xfId="16687" xr:uid="{74F31597-F8F5-4F3C-9225-5DD2A1B304EB}"/>
    <cellStyle name="Normal 8 3 7 2 3" xfId="12469" xr:uid="{9A6768F6-D03F-4E50-9AF1-2CFBF756E849}"/>
    <cellStyle name="Normal 8 3 7 3" xfId="6100" xr:uid="{00000000-0005-0000-0000-0000C81D0000}"/>
    <cellStyle name="Normal 8 3 7 3 2" xfId="14542" xr:uid="{DE718CF3-2CF6-4D82-895E-39ECD65A96C5}"/>
    <cellStyle name="Normal 8 3 7 4" xfId="10324" xr:uid="{DFE4FCB8-D4D6-4C07-AF85-AFC13F5DA045}"/>
    <cellStyle name="Normal 8 3 8" xfId="2206" xr:uid="{00000000-0005-0000-0000-0000C91D0000}"/>
    <cellStyle name="Normal 8 3 8 2" xfId="4435" xr:uid="{00000000-0005-0000-0000-0000CA1D0000}"/>
    <cellStyle name="Normal 8 3 8 2 2" xfId="8658" xr:uid="{00000000-0005-0000-0000-0000CB1D0000}"/>
    <cellStyle name="Normal 8 3 8 2 2 2" xfId="17100" xr:uid="{E9BF8E9A-DCB5-45CC-BB94-103E956DC645}"/>
    <cellStyle name="Normal 8 3 8 2 3" xfId="12882" xr:uid="{A23800FB-7F17-4156-BC70-16FDA5B1E9FA}"/>
    <cellStyle name="Normal 8 3 8 3" xfId="6513" xr:uid="{00000000-0005-0000-0000-0000CC1D0000}"/>
    <cellStyle name="Normal 8 3 8 3 2" xfId="14955" xr:uid="{406897AB-0A55-4C68-A507-490D64C91419}"/>
    <cellStyle name="Normal 8 3 8 4" xfId="10737" xr:uid="{B7105B88-1167-4EBF-AE6C-BC362416C9F4}"/>
    <cellStyle name="Normal 8 3 9" xfId="2642" xr:uid="{00000000-0005-0000-0000-0000CD1D0000}"/>
    <cellStyle name="Normal 8 3 9 2" xfId="6926" xr:uid="{00000000-0005-0000-0000-0000CE1D0000}"/>
    <cellStyle name="Normal 8 3 9 2 2" xfId="15368" xr:uid="{EF96BF43-F730-4AE7-B8AC-E10B949AA387}"/>
    <cellStyle name="Normal 8 3 9 3" xfId="11150" xr:uid="{06A849BB-D4FD-44E3-ADBC-85D11BCCE9CF}"/>
    <cellStyle name="Normal 8 4" xfId="503" xr:uid="{00000000-0005-0000-0000-0000CF1D0000}"/>
    <cellStyle name="Normal 8 4 10" xfId="9093" xr:uid="{378346B1-66F4-45CA-88E1-1CA7BB5FF9E5}"/>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420F289F-7913-4B52-A547-7B235418D836}"/>
    <cellStyle name="Normal 8 4 2 2 2 2 3" xfId="11653" xr:uid="{50F266EE-1EED-468A-866F-B6F801672BC0}"/>
    <cellStyle name="Normal 8 4 2 2 2 3" xfId="5284" xr:uid="{00000000-0005-0000-0000-0000D51D0000}"/>
    <cellStyle name="Normal 8 4 2 2 2 3 2" xfId="13726" xr:uid="{FF539503-8D5A-42B1-B200-1267244B1DC1}"/>
    <cellStyle name="Normal 8 4 2 2 2 4" xfId="9508" xr:uid="{EC10EF98-AB75-48B4-BD7B-35878E8AF3EB}"/>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D380E4DA-4948-4EDE-A9CB-C3A9D2B14B35}"/>
    <cellStyle name="Normal 8 4 2 2 3 2 3" xfId="12066" xr:uid="{B4883C50-8FCF-4879-8661-32B0DF5AC8A1}"/>
    <cellStyle name="Normal 8 4 2 2 3 3" xfId="5697" xr:uid="{00000000-0005-0000-0000-0000D91D0000}"/>
    <cellStyle name="Normal 8 4 2 2 3 3 2" xfId="14139" xr:uid="{6519C3EF-F5B6-4D94-A8BE-13CA677F0289}"/>
    <cellStyle name="Normal 8 4 2 2 3 4" xfId="9921" xr:uid="{009C8C07-3C89-46F5-BB8D-8905C7655FD0}"/>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6D1B3B51-4AB2-4537-B29B-C55C34FBFCF7}"/>
    <cellStyle name="Normal 8 4 2 2 4 2 3" xfId="12479" xr:uid="{6D1B3A79-7B1A-442A-9F27-6700AF6BBB45}"/>
    <cellStyle name="Normal 8 4 2 2 4 3" xfId="6110" xr:uid="{00000000-0005-0000-0000-0000DD1D0000}"/>
    <cellStyle name="Normal 8 4 2 2 4 3 2" xfId="14552" xr:uid="{4E044F6E-30CF-4BA4-8658-FE87493B6D36}"/>
    <cellStyle name="Normal 8 4 2 2 4 4" xfId="10334" xr:uid="{14A78979-7A34-4A2E-9F30-37AC1BEE80EF}"/>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D2CCC4F2-DD7B-490B-9ED7-2CBAC788FB2E}"/>
    <cellStyle name="Normal 8 4 2 2 5 2 3" xfId="12892" xr:uid="{D7DAF532-7048-4A88-90D0-27629FB8DD1D}"/>
    <cellStyle name="Normal 8 4 2 2 5 3" xfId="6523" xr:uid="{00000000-0005-0000-0000-0000E11D0000}"/>
    <cellStyle name="Normal 8 4 2 2 5 3 2" xfId="14965" xr:uid="{BBBC3064-A1C3-47A9-8728-E397101198BE}"/>
    <cellStyle name="Normal 8 4 2 2 5 4" xfId="10747" xr:uid="{9FFD93F4-5CF6-4209-9D9C-C614C0063CEC}"/>
    <cellStyle name="Normal 8 4 2 2 6" xfId="2652" xr:uid="{00000000-0005-0000-0000-0000E21D0000}"/>
    <cellStyle name="Normal 8 4 2 2 6 2" xfId="6936" xr:uid="{00000000-0005-0000-0000-0000E31D0000}"/>
    <cellStyle name="Normal 8 4 2 2 6 2 2" xfId="15378" xr:uid="{6836151A-0295-4042-A018-8AF6F2CECF58}"/>
    <cellStyle name="Normal 8 4 2 2 6 3" xfId="11160" xr:uid="{6F636AB1-F69A-47AC-891D-B73DFFAD3871}"/>
    <cellStyle name="Normal 8 4 2 2 7" xfId="4871" xr:uid="{00000000-0005-0000-0000-0000E41D0000}"/>
    <cellStyle name="Normal 8 4 2 2 7 2" xfId="13313" xr:uid="{71478E67-DD08-47F0-865F-0FEE7562B638}"/>
    <cellStyle name="Normal 8 4 2 2 8" xfId="9095" xr:uid="{E6A1F5B4-6D1A-429B-AEA5-0FA419937F53}"/>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DC1FF98C-C8AE-4A46-AD33-AE9F385FB9D8}"/>
    <cellStyle name="Normal 8 4 2 3 2 3" xfId="11652" xr:uid="{A4DC1BAD-E841-4C5F-B148-AED1363CD28A}"/>
    <cellStyle name="Normal 8 4 2 3 3" xfId="5283" xr:uid="{00000000-0005-0000-0000-0000E81D0000}"/>
    <cellStyle name="Normal 8 4 2 3 3 2" xfId="13725" xr:uid="{A620ABE8-4E54-4930-947A-50A55CCD7A77}"/>
    <cellStyle name="Normal 8 4 2 3 4" xfId="9507" xr:uid="{89825617-F589-428F-A663-C3622F1FF110}"/>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56D2BDF3-7A7E-4741-9785-9D200ECAE103}"/>
    <cellStyle name="Normal 8 4 2 4 2 3" xfId="12065" xr:uid="{119E7D2B-5194-4573-B4E5-CB11CF773ADA}"/>
    <cellStyle name="Normal 8 4 2 4 3" xfId="5696" xr:uid="{00000000-0005-0000-0000-0000EC1D0000}"/>
    <cellStyle name="Normal 8 4 2 4 3 2" xfId="14138" xr:uid="{A3B555AB-FD06-4722-AD2E-B2491981705E}"/>
    <cellStyle name="Normal 8 4 2 4 4" xfId="9920" xr:uid="{882ACF99-DFE5-4A91-8437-94B2EF1FF4E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B7FCEF3B-EB89-486A-B3A9-D17EF4091EE9}"/>
    <cellStyle name="Normal 8 4 2 5 2 3" xfId="12478" xr:uid="{85D418F7-3841-4A06-BD8E-1B1024CFDB3A}"/>
    <cellStyle name="Normal 8 4 2 5 3" xfId="6109" xr:uid="{00000000-0005-0000-0000-0000F01D0000}"/>
    <cellStyle name="Normal 8 4 2 5 3 2" xfId="14551" xr:uid="{12062720-7555-433C-BDCB-61AB0D1E5FEC}"/>
    <cellStyle name="Normal 8 4 2 5 4" xfId="10333" xr:uid="{F9E44130-3B57-4A0E-8949-896EF4B4FFFC}"/>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DFFC75C-3091-4239-88B4-7E3CAE0FE3A5}"/>
    <cellStyle name="Normal 8 4 2 6 2 3" xfId="12891" xr:uid="{86BE12B0-6B9E-4F9A-A221-A16943A7A00C}"/>
    <cellStyle name="Normal 8 4 2 6 3" xfId="6522" xr:uid="{00000000-0005-0000-0000-0000F41D0000}"/>
    <cellStyle name="Normal 8 4 2 6 3 2" xfId="14964" xr:uid="{26DBA04A-DADE-4F9B-A588-B205EFB00D75}"/>
    <cellStyle name="Normal 8 4 2 6 4" xfId="10746" xr:uid="{24973E94-277D-40D8-BE82-AB348D86C92A}"/>
    <cellStyle name="Normal 8 4 2 7" xfId="2651" xr:uid="{00000000-0005-0000-0000-0000F51D0000}"/>
    <cellStyle name="Normal 8 4 2 7 2" xfId="6935" xr:uid="{00000000-0005-0000-0000-0000F61D0000}"/>
    <cellStyle name="Normal 8 4 2 7 2 2" xfId="15377" xr:uid="{5A999130-4E46-4044-97FD-42C91FD6C9DF}"/>
    <cellStyle name="Normal 8 4 2 7 3" xfId="11159" xr:uid="{F6DA3A0A-40FE-4AF4-8E89-9E51D5D295B0}"/>
    <cellStyle name="Normal 8 4 2 8" xfId="4870" xr:uid="{00000000-0005-0000-0000-0000F71D0000}"/>
    <cellStyle name="Normal 8 4 2 8 2" xfId="13312" xr:uid="{83D69AA2-9E06-472E-9621-6C7F38CB1BE5}"/>
    <cellStyle name="Normal 8 4 2 9" xfId="9094" xr:uid="{6666B960-CFB5-485E-904E-FCDE7C04393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63A45F41-14E8-4710-9FD5-29974926B8A0}"/>
    <cellStyle name="Normal 8 4 3 2 2 3" xfId="11654" xr:uid="{A4695A4C-62D4-4961-9B7E-BA088F953A43}"/>
    <cellStyle name="Normal 8 4 3 2 3" xfId="5285" xr:uid="{00000000-0005-0000-0000-0000FC1D0000}"/>
    <cellStyle name="Normal 8 4 3 2 3 2" xfId="13727" xr:uid="{D16362DB-3F52-4316-9E69-7604C5B75ED4}"/>
    <cellStyle name="Normal 8 4 3 2 4" xfId="9509" xr:uid="{4B5C46D9-F1EB-4B85-ADED-CC44CBE41870}"/>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C61C9BAC-BC8A-4F13-89C8-A936D8324090}"/>
    <cellStyle name="Normal 8 4 3 3 2 3" xfId="12067" xr:uid="{6C10B84C-7C87-4F40-806D-690CC417A791}"/>
    <cellStyle name="Normal 8 4 3 3 3" xfId="5698" xr:uid="{00000000-0005-0000-0000-0000001E0000}"/>
    <cellStyle name="Normal 8 4 3 3 3 2" xfId="14140" xr:uid="{2086914F-3E41-435C-894C-49F725BB57A3}"/>
    <cellStyle name="Normal 8 4 3 3 4" xfId="9922" xr:uid="{4D24C345-C10B-4E1B-BFF3-33FA6FF567C9}"/>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7489B5AF-07F5-4D0B-A871-03DE3A5DCC3E}"/>
    <cellStyle name="Normal 8 4 3 4 2 3" xfId="12480" xr:uid="{E96DC0A4-DD78-4768-8175-A721B89FD22A}"/>
    <cellStyle name="Normal 8 4 3 4 3" xfId="6111" xr:uid="{00000000-0005-0000-0000-0000041E0000}"/>
    <cellStyle name="Normal 8 4 3 4 3 2" xfId="14553" xr:uid="{33E63FEB-7948-4D8C-AAFD-0184314E476E}"/>
    <cellStyle name="Normal 8 4 3 4 4" xfId="10335" xr:uid="{BBE85E5F-D1BA-47BF-A425-A9A64D2E87A7}"/>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FDA8CDB-C750-43C9-BAE6-A87377769B27}"/>
    <cellStyle name="Normal 8 4 3 5 2 3" xfId="12893" xr:uid="{594F7E51-FB73-4F00-8093-98EC38EEE2CF}"/>
    <cellStyle name="Normal 8 4 3 5 3" xfId="6524" xr:uid="{00000000-0005-0000-0000-0000081E0000}"/>
    <cellStyle name="Normal 8 4 3 5 3 2" xfId="14966" xr:uid="{5DA592D6-AB96-44F8-9A27-C2C4198EEDD8}"/>
    <cellStyle name="Normal 8 4 3 5 4" xfId="10748" xr:uid="{D6CFF8B0-ABD8-4F9A-807F-73F55F93CD1B}"/>
    <cellStyle name="Normal 8 4 3 6" xfId="2653" xr:uid="{00000000-0005-0000-0000-0000091E0000}"/>
    <cellStyle name="Normal 8 4 3 6 2" xfId="6937" xr:uid="{00000000-0005-0000-0000-00000A1E0000}"/>
    <cellStyle name="Normal 8 4 3 6 2 2" xfId="15379" xr:uid="{0A4FE2AD-3C69-45E1-B33F-D51A6BBC8699}"/>
    <cellStyle name="Normal 8 4 3 6 3" xfId="11161" xr:uid="{512798A9-10EF-4971-BAC6-2C00E3998544}"/>
    <cellStyle name="Normal 8 4 3 7" xfId="4872" xr:uid="{00000000-0005-0000-0000-00000B1E0000}"/>
    <cellStyle name="Normal 8 4 3 7 2" xfId="13314" xr:uid="{0D7A0CFF-6F75-4C65-BD56-AD9AF5099FAA}"/>
    <cellStyle name="Normal 8 4 3 8" xfId="9096" xr:uid="{96EC671A-9F13-4871-9C2A-181B64AF48C9}"/>
    <cellStyle name="Normal 8 4 4" xfId="970" xr:uid="{00000000-0005-0000-0000-00000C1E0000}"/>
    <cellStyle name="Normal 8 4 4 2" xfId="3204" xr:uid="{00000000-0005-0000-0000-00000D1E0000}"/>
    <cellStyle name="Normal 8 4 4 2 2" xfId="7427" xr:uid="{00000000-0005-0000-0000-00000E1E0000}"/>
    <cellStyle name="Normal 8 4 4 2 2 2" xfId="15869" xr:uid="{542DB886-626B-439E-86B6-779DB5A495FD}"/>
    <cellStyle name="Normal 8 4 4 2 3" xfId="11651" xr:uid="{CD9E2A27-0C58-4B48-8025-948C30758B8D}"/>
    <cellStyle name="Normal 8 4 4 3" xfId="5282" xr:uid="{00000000-0005-0000-0000-00000F1E0000}"/>
    <cellStyle name="Normal 8 4 4 3 2" xfId="13724" xr:uid="{CF553698-7102-40B6-AF5E-81912470FA6D}"/>
    <cellStyle name="Normal 8 4 4 4" xfId="9506" xr:uid="{7BEAAAFC-85C6-4D72-8A92-F4B329A7AB57}"/>
    <cellStyle name="Normal 8 4 5" xfId="1387" xr:uid="{00000000-0005-0000-0000-0000101E0000}"/>
    <cellStyle name="Normal 8 4 5 2" xfId="3617" xr:uid="{00000000-0005-0000-0000-0000111E0000}"/>
    <cellStyle name="Normal 8 4 5 2 2" xfId="7840" xr:uid="{00000000-0005-0000-0000-0000121E0000}"/>
    <cellStyle name="Normal 8 4 5 2 2 2" xfId="16282" xr:uid="{8ED3C38A-64F5-4AE6-B857-88848FFA9603}"/>
    <cellStyle name="Normal 8 4 5 2 3" xfId="12064" xr:uid="{CC707A32-8526-44CC-ADA1-6C414DBEEEEE}"/>
    <cellStyle name="Normal 8 4 5 3" xfId="5695" xr:uid="{00000000-0005-0000-0000-0000131E0000}"/>
    <cellStyle name="Normal 8 4 5 3 2" xfId="14137" xr:uid="{AB10EBD3-8107-42CC-9BA0-0730A7B711A3}"/>
    <cellStyle name="Normal 8 4 5 4" xfId="9919" xr:uid="{18557A5C-5385-4789-8E95-4D0527A8DBB9}"/>
    <cellStyle name="Normal 8 4 6" xfId="1800" xr:uid="{00000000-0005-0000-0000-0000141E0000}"/>
    <cellStyle name="Normal 8 4 6 2" xfId="4030" xr:uid="{00000000-0005-0000-0000-0000151E0000}"/>
    <cellStyle name="Normal 8 4 6 2 2" xfId="8253" xr:uid="{00000000-0005-0000-0000-0000161E0000}"/>
    <cellStyle name="Normal 8 4 6 2 2 2" xfId="16695" xr:uid="{C9C5ACE7-2D8F-480C-A777-940CBD317146}"/>
    <cellStyle name="Normal 8 4 6 2 3" xfId="12477" xr:uid="{C3623A02-714B-4374-89C6-BC06ACD347EE}"/>
    <cellStyle name="Normal 8 4 6 3" xfId="6108" xr:uid="{00000000-0005-0000-0000-0000171E0000}"/>
    <cellStyle name="Normal 8 4 6 3 2" xfId="14550" xr:uid="{6A5A5090-0717-460A-8B25-2001211ECDA2}"/>
    <cellStyle name="Normal 8 4 6 4" xfId="10332" xr:uid="{79D92E87-ADE8-4173-B791-48B818D30745}"/>
    <cellStyle name="Normal 8 4 7" xfId="2214" xr:uid="{00000000-0005-0000-0000-0000181E0000}"/>
    <cellStyle name="Normal 8 4 7 2" xfId="4443" xr:uid="{00000000-0005-0000-0000-0000191E0000}"/>
    <cellStyle name="Normal 8 4 7 2 2" xfId="8666" xr:uid="{00000000-0005-0000-0000-00001A1E0000}"/>
    <cellStyle name="Normal 8 4 7 2 2 2" xfId="17108" xr:uid="{3840DBBF-4BD4-4525-9106-5027531DB493}"/>
    <cellStyle name="Normal 8 4 7 2 3" xfId="12890" xr:uid="{AC8534E8-9C47-43E9-86E8-41533F37AA88}"/>
    <cellStyle name="Normal 8 4 7 3" xfId="6521" xr:uid="{00000000-0005-0000-0000-00001B1E0000}"/>
    <cellStyle name="Normal 8 4 7 3 2" xfId="14963" xr:uid="{D2ACC18B-1736-4260-BE0B-1023DD10FD80}"/>
    <cellStyle name="Normal 8 4 7 4" xfId="10745" xr:uid="{ED2A1B13-BB6F-410C-9B33-B6FC4F0F75E6}"/>
    <cellStyle name="Normal 8 4 8" xfId="2650" xr:uid="{00000000-0005-0000-0000-00001C1E0000}"/>
    <cellStyle name="Normal 8 4 8 2" xfId="6934" xr:uid="{00000000-0005-0000-0000-00001D1E0000}"/>
    <cellStyle name="Normal 8 4 8 2 2" xfId="15376" xr:uid="{F11A3ADE-D1D1-4583-AF1D-4906567ADDED}"/>
    <cellStyle name="Normal 8 4 8 3" xfId="11158" xr:uid="{F955442D-3F8F-4798-A04D-7C2FA4D27C7A}"/>
    <cellStyle name="Normal 8 4 9" xfId="4869" xr:uid="{00000000-0005-0000-0000-00001E1E0000}"/>
    <cellStyle name="Normal 8 4 9 2" xfId="13311" xr:uid="{9EA9DC6F-15EC-46B9-8712-1AE8882E02C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1F6DB663-474D-48B6-9A03-370BB07BFAAD}"/>
    <cellStyle name="Normal 8 5 2 2 2 3" xfId="11656" xr:uid="{9905BAC9-96A6-4D95-B3D9-A72DDA29EF52}"/>
    <cellStyle name="Normal 8 5 2 2 3" xfId="5287" xr:uid="{00000000-0005-0000-0000-0000241E0000}"/>
    <cellStyle name="Normal 8 5 2 2 3 2" xfId="13729" xr:uid="{CC9CFADD-59A6-49A3-B897-D77A8A717D86}"/>
    <cellStyle name="Normal 8 5 2 2 4" xfId="9511" xr:uid="{4C763FCA-CDE4-4FAB-8BE5-E415EDF08519}"/>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8020056A-991F-4E46-8C52-9ACE4FC73BD1}"/>
    <cellStyle name="Normal 8 5 2 3 2 3" xfId="12069" xr:uid="{7D53DC9C-FF24-4E94-9242-17E57714C5B2}"/>
    <cellStyle name="Normal 8 5 2 3 3" xfId="5700" xr:uid="{00000000-0005-0000-0000-0000281E0000}"/>
    <cellStyle name="Normal 8 5 2 3 3 2" xfId="14142" xr:uid="{CED7BB6D-50B3-4968-9E96-1B720718EDB4}"/>
    <cellStyle name="Normal 8 5 2 3 4" xfId="9924" xr:uid="{EFE341A2-07C1-42BC-AA06-950D5A6033F1}"/>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9366A508-6D0F-4B66-8C14-1A2421B23A04}"/>
    <cellStyle name="Normal 8 5 2 4 2 3" xfId="12482" xr:uid="{4DF66CFD-DC4B-490E-9C27-47AD3CDA2ADF}"/>
    <cellStyle name="Normal 8 5 2 4 3" xfId="6113" xr:uid="{00000000-0005-0000-0000-00002C1E0000}"/>
    <cellStyle name="Normal 8 5 2 4 3 2" xfId="14555" xr:uid="{63DD036C-012A-4845-A470-2FE132E8DBD1}"/>
    <cellStyle name="Normal 8 5 2 4 4" xfId="10337" xr:uid="{DF6DA61A-C1FB-4076-A625-F4763DCF6204}"/>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A131649D-10AC-4638-8A14-E13476F55F8B}"/>
    <cellStyle name="Normal 8 5 2 5 2 3" xfId="12895" xr:uid="{E15B118E-B78D-4391-BE4F-E2FA5C3E2F92}"/>
    <cellStyle name="Normal 8 5 2 5 3" xfId="6526" xr:uid="{00000000-0005-0000-0000-0000301E0000}"/>
    <cellStyle name="Normal 8 5 2 5 3 2" xfId="14968" xr:uid="{60B215C8-1793-44D0-9CF2-54059DC1A8CD}"/>
    <cellStyle name="Normal 8 5 2 5 4" xfId="10750" xr:uid="{EA00F302-27C3-40DD-9F7F-BD78CE4DCDCC}"/>
    <cellStyle name="Normal 8 5 2 6" xfId="2655" xr:uid="{00000000-0005-0000-0000-0000311E0000}"/>
    <cellStyle name="Normal 8 5 2 6 2" xfId="6939" xr:uid="{00000000-0005-0000-0000-0000321E0000}"/>
    <cellStyle name="Normal 8 5 2 6 2 2" xfId="15381" xr:uid="{E8FA99D7-9A62-436C-81B1-65F5DD27692C}"/>
    <cellStyle name="Normal 8 5 2 6 3" xfId="11163" xr:uid="{1BF7FEAA-3D46-4853-819F-E42DCC4E0DF1}"/>
    <cellStyle name="Normal 8 5 2 7" xfId="4874" xr:uid="{00000000-0005-0000-0000-0000331E0000}"/>
    <cellStyle name="Normal 8 5 2 7 2" xfId="13316" xr:uid="{799B95E8-90F3-4722-8281-767578CD3295}"/>
    <cellStyle name="Normal 8 5 2 8" xfId="9098" xr:uid="{E1F73E7A-5034-4B29-84DE-AE12FD9ACD6F}"/>
    <cellStyle name="Normal 8 5 3" xfId="974" xr:uid="{00000000-0005-0000-0000-0000341E0000}"/>
    <cellStyle name="Normal 8 5 3 2" xfId="3208" xr:uid="{00000000-0005-0000-0000-0000351E0000}"/>
    <cellStyle name="Normal 8 5 3 2 2" xfId="7431" xr:uid="{00000000-0005-0000-0000-0000361E0000}"/>
    <cellStyle name="Normal 8 5 3 2 2 2" xfId="15873" xr:uid="{074D6BE4-36F3-40F8-9265-998CF1188004}"/>
    <cellStyle name="Normal 8 5 3 2 3" xfId="11655" xr:uid="{21593552-2D94-43B8-9214-E980953DBAB9}"/>
    <cellStyle name="Normal 8 5 3 3" xfId="5286" xr:uid="{00000000-0005-0000-0000-0000371E0000}"/>
    <cellStyle name="Normal 8 5 3 3 2" xfId="13728" xr:uid="{6179DD6C-640B-44F7-B95A-BDB8BB99DA3D}"/>
    <cellStyle name="Normal 8 5 3 4" xfId="9510" xr:uid="{F13CB32F-E201-481B-AA52-A3B2F96C2F3C}"/>
    <cellStyle name="Normal 8 5 4" xfId="1391" xr:uid="{00000000-0005-0000-0000-0000381E0000}"/>
    <cellStyle name="Normal 8 5 4 2" xfId="3621" xr:uid="{00000000-0005-0000-0000-0000391E0000}"/>
    <cellStyle name="Normal 8 5 4 2 2" xfId="7844" xr:uid="{00000000-0005-0000-0000-00003A1E0000}"/>
    <cellStyle name="Normal 8 5 4 2 2 2" xfId="16286" xr:uid="{E60031E1-C71B-4151-A4B7-FE290C662374}"/>
    <cellStyle name="Normal 8 5 4 2 3" xfId="12068" xr:uid="{936FAFF9-A7A2-49A8-A069-F0985ADE3E17}"/>
    <cellStyle name="Normal 8 5 4 3" xfId="5699" xr:uid="{00000000-0005-0000-0000-00003B1E0000}"/>
    <cellStyle name="Normal 8 5 4 3 2" xfId="14141" xr:uid="{310B8C15-B7BE-43E9-83F5-E75E9F28D197}"/>
    <cellStyle name="Normal 8 5 4 4" xfId="9923" xr:uid="{6395AEFF-E484-42D1-B0E4-5997EEFD00DF}"/>
    <cellStyle name="Normal 8 5 5" xfId="1804" xr:uid="{00000000-0005-0000-0000-00003C1E0000}"/>
    <cellStyle name="Normal 8 5 5 2" xfId="4034" xr:uid="{00000000-0005-0000-0000-00003D1E0000}"/>
    <cellStyle name="Normal 8 5 5 2 2" xfId="8257" xr:uid="{00000000-0005-0000-0000-00003E1E0000}"/>
    <cellStyle name="Normal 8 5 5 2 2 2" xfId="16699" xr:uid="{B6CBD56D-6B2B-42AD-BE59-18DE9371B2D4}"/>
    <cellStyle name="Normal 8 5 5 2 3" xfId="12481" xr:uid="{993EE32A-3F18-4309-ACA3-4C77A6A1C97C}"/>
    <cellStyle name="Normal 8 5 5 3" xfId="6112" xr:uid="{00000000-0005-0000-0000-00003F1E0000}"/>
    <cellStyle name="Normal 8 5 5 3 2" xfId="14554" xr:uid="{CB2187A5-7251-4B41-B3F4-4E714D340572}"/>
    <cellStyle name="Normal 8 5 5 4" xfId="10336" xr:uid="{C13F5881-60A5-4B0A-866D-2A80E256AA8A}"/>
    <cellStyle name="Normal 8 5 6" xfId="2218" xr:uid="{00000000-0005-0000-0000-0000401E0000}"/>
    <cellStyle name="Normal 8 5 6 2" xfId="4447" xr:uid="{00000000-0005-0000-0000-0000411E0000}"/>
    <cellStyle name="Normal 8 5 6 2 2" xfId="8670" xr:uid="{00000000-0005-0000-0000-0000421E0000}"/>
    <cellStyle name="Normal 8 5 6 2 2 2" xfId="17112" xr:uid="{0B1C1EA8-9D03-4916-A595-AC16B0E38E39}"/>
    <cellStyle name="Normal 8 5 6 2 3" xfId="12894" xr:uid="{DB20CDB4-8350-43A0-A60F-09304EC984DA}"/>
    <cellStyle name="Normal 8 5 6 3" xfId="6525" xr:uid="{00000000-0005-0000-0000-0000431E0000}"/>
    <cellStyle name="Normal 8 5 6 3 2" xfId="14967" xr:uid="{EA0BE657-3847-4522-9B6B-8295A3A9F3A2}"/>
    <cellStyle name="Normal 8 5 6 4" xfId="10749" xr:uid="{436EBA63-0655-4FD3-90AF-61D27CE098B1}"/>
    <cellStyle name="Normal 8 5 7" xfId="2654" xr:uid="{00000000-0005-0000-0000-0000441E0000}"/>
    <cellStyle name="Normal 8 5 7 2" xfId="6938" xr:uid="{00000000-0005-0000-0000-0000451E0000}"/>
    <cellStyle name="Normal 8 5 7 2 2" xfId="15380" xr:uid="{713ED52D-C132-42CA-A4D9-2C0877E35098}"/>
    <cellStyle name="Normal 8 5 7 3" xfId="11162" xr:uid="{678C66BE-6388-448F-B917-FC56B578D8D8}"/>
    <cellStyle name="Normal 8 5 8" xfId="4873" xr:uid="{00000000-0005-0000-0000-0000461E0000}"/>
    <cellStyle name="Normal 8 5 8 2" xfId="13315" xr:uid="{0025113B-3A5A-48F5-B1B1-DE1F6C5CB848}"/>
    <cellStyle name="Normal 8 5 9" xfId="9097" xr:uid="{32400F9D-648A-4EE8-A4DB-4C4AA51CA5B4}"/>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DF6BA12D-CA72-4ACF-A54C-9014A439562E}"/>
    <cellStyle name="Normal 8 6 2 2 3" xfId="11657" xr:uid="{0E7FA35F-ED95-4AD0-AEFC-556774CAF06F}"/>
    <cellStyle name="Normal 8 6 2 3" xfId="5288" xr:uid="{00000000-0005-0000-0000-00004B1E0000}"/>
    <cellStyle name="Normal 8 6 2 3 2" xfId="13730" xr:uid="{5711CD03-0DFF-4925-A236-32E50D579EF0}"/>
    <cellStyle name="Normal 8 6 2 4" xfId="9512" xr:uid="{81F82757-6BFA-4F35-86B0-0FBCAA8E892C}"/>
    <cellStyle name="Normal 8 6 3" xfId="1393" xr:uid="{00000000-0005-0000-0000-00004C1E0000}"/>
    <cellStyle name="Normal 8 6 3 2" xfId="3623" xr:uid="{00000000-0005-0000-0000-00004D1E0000}"/>
    <cellStyle name="Normal 8 6 3 2 2" xfId="7846" xr:uid="{00000000-0005-0000-0000-00004E1E0000}"/>
    <cellStyle name="Normal 8 6 3 2 2 2" xfId="16288" xr:uid="{AA122DF1-28A9-4EF5-8853-A8A6F9218348}"/>
    <cellStyle name="Normal 8 6 3 2 3" xfId="12070" xr:uid="{CD6561CC-A6F5-4DB8-AC45-7DF1DE16ED47}"/>
    <cellStyle name="Normal 8 6 3 3" xfId="5701" xr:uid="{00000000-0005-0000-0000-00004F1E0000}"/>
    <cellStyle name="Normal 8 6 3 3 2" xfId="14143" xr:uid="{489BDC6E-C5AC-4A57-9B1B-704FB07E67B0}"/>
    <cellStyle name="Normal 8 6 3 4" xfId="9925" xr:uid="{02C1968C-A664-4B25-86F7-3AD63652DD98}"/>
    <cellStyle name="Normal 8 6 4" xfId="1806" xr:uid="{00000000-0005-0000-0000-0000501E0000}"/>
    <cellStyle name="Normal 8 6 4 2" xfId="4036" xr:uid="{00000000-0005-0000-0000-0000511E0000}"/>
    <cellStyle name="Normal 8 6 4 2 2" xfId="8259" xr:uid="{00000000-0005-0000-0000-0000521E0000}"/>
    <cellStyle name="Normal 8 6 4 2 2 2" xfId="16701" xr:uid="{B7B568C3-94FB-43C2-A8AB-310C55E9D471}"/>
    <cellStyle name="Normal 8 6 4 2 3" xfId="12483" xr:uid="{13212356-6205-47CE-95DB-AC6CD9BCD1D3}"/>
    <cellStyle name="Normal 8 6 4 3" xfId="6114" xr:uid="{00000000-0005-0000-0000-0000531E0000}"/>
    <cellStyle name="Normal 8 6 4 3 2" xfId="14556" xr:uid="{2DAF8B7E-1407-4CE1-86C5-67D3CE3CB674}"/>
    <cellStyle name="Normal 8 6 4 4" xfId="10338" xr:uid="{7865CC5A-BC54-4AA5-8441-6E60A745A776}"/>
    <cellStyle name="Normal 8 6 5" xfId="2220" xr:uid="{00000000-0005-0000-0000-0000541E0000}"/>
    <cellStyle name="Normal 8 6 5 2" xfId="4449" xr:uid="{00000000-0005-0000-0000-0000551E0000}"/>
    <cellStyle name="Normal 8 6 5 2 2" xfId="8672" xr:uid="{00000000-0005-0000-0000-0000561E0000}"/>
    <cellStyle name="Normal 8 6 5 2 2 2" xfId="17114" xr:uid="{94AEC10A-A6D3-4A2B-A2A2-FCEB7619D8F1}"/>
    <cellStyle name="Normal 8 6 5 2 3" xfId="12896" xr:uid="{DF2E7F6D-F9AE-41A0-8CA6-EEF641FFBAEC}"/>
    <cellStyle name="Normal 8 6 5 3" xfId="6527" xr:uid="{00000000-0005-0000-0000-0000571E0000}"/>
    <cellStyle name="Normal 8 6 5 3 2" xfId="14969" xr:uid="{951D3B0A-D010-4123-894E-21AEDA6EB476}"/>
    <cellStyle name="Normal 8 6 5 4" xfId="10751" xr:uid="{1EB1C8F1-863D-4C8B-805A-5E7935299179}"/>
    <cellStyle name="Normal 8 6 6" xfId="2656" xr:uid="{00000000-0005-0000-0000-0000581E0000}"/>
    <cellStyle name="Normal 8 6 6 2" xfId="6940" xr:uid="{00000000-0005-0000-0000-0000591E0000}"/>
    <cellStyle name="Normal 8 6 6 2 2" xfId="15382" xr:uid="{12E68367-CBE1-4117-94CC-4EF2B18718AE}"/>
    <cellStyle name="Normal 8 6 6 3" xfId="11164" xr:uid="{E46A6D91-90BE-4D02-8CDA-B7F571F71962}"/>
    <cellStyle name="Normal 8 6 7" xfId="4875" xr:uid="{00000000-0005-0000-0000-00005A1E0000}"/>
    <cellStyle name="Normal 8 6 7 2" xfId="13317" xr:uid="{3CED058B-08DC-4DB9-9D60-43CB602474C6}"/>
    <cellStyle name="Normal 8 6 8" xfId="9099" xr:uid="{D4133137-CAAE-4A78-99D3-53460D0B426D}"/>
    <cellStyle name="Normal 8 7" xfId="945" xr:uid="{00000000-0005-0000-0000-00005B1E0000}"/>
    <cellStyle name="Normal 8 7 2" xfId="3179" xr:uid="{00000000-0005-0000-0000-00005C1E0000}"/>
    <cellStyle name="Normal 8 7 2 2" xfId="7402" xr:uid="{00000000-0005-0000-0000-00005D1E0000}"/>
    <cellStyle name="Normal 8 7 2 2 2" xfId="15844" xr:uid="{C2EC1348-7A74-4A0F-820F-B1028B8EF91E}"/>
    <cellStyle name="Normal 8 7 2 3" xfId="11626" xr:uid="{B4A02E6E-17C5-452B-B128-374F9420B4BC}"/>
    <cellStyle name="Normal 8 7 3" xfId="5257" xr:uid="{00000000-0005-0000-0000-00005E1E0000}"/>
    <cellStyle name="Normal 8 7 3 2" xfId="13699" xr:uid="{CDD6C386-E9C4-44DD-AF5C-6AC27B5A0401}"/>
    <cellStyle name="Normal 8 7 4" xfId="9481" xr:uid="{FEFF71EE-7C04-4CE4-879D-7A4F6BAB2D70}"/>
    <cellStyle name="Normal 8 8" xfId="1362" xr:uid="{00000000-0005-0000-0000-00005F1E0000}"/>
    <cellStyle name="Normal 8 8 2" xfId="3592" xr:uid="{00000000-0005-0000-0000-0000601E0000}"/>
    <cellStyle name="Normal 8 8 2 2" xfId="7815" xr:uid="{00000000-0005-0000-0000-0000611E0000}"/>
    <cellStyle name="Normal 8 8 2 2 2" xfId="16257" xr:uid="{2CF6CE21-83BA-4D86-B2D2-95996909121C}"/>
    <cellStyle name="Normal 8 8 2 3" xfId="12039" xr:uid="{BBE0B461-D599-4AE7-AFE0-66F2FAD7C7E0}"/>
    <cellStyle name="Normal 8 8 3" xfId="5670" xr:uid="{00000000-0005-0000-0000-0000621E0000}"/>
    <cellStyle name="Normal 8 8 3 2" xfId="14112" xr:uid="{F0A2E62D-1822-4987-B14D-42A035D7951B}"/>
    <cellStyle name="Normal 8 8 4" xfId="9894" xr:uid="{176F5420-8719-47CB-B297-AF4047923352}"/>
    <cellStyle name="Normal 8 9" xfId="1775" xr:uid="{00000000-0005-0000-0000-0000631E0000}"/>
    <cellStyle name="Normal 8 9 2" xfId="4005" xr:uid="{00000000-0005-0000-0000-0000641E0000}"/>
    <cellStyle name="Normal 8 9 2 2" xfId="8228" xr:uid="{00000000-0005-0000-0000-0000651E0000}"/>
    <cellStyle name="Normal 8 9 2 2 2" xfId="16670" xr:uid="{45A5DF4D-9EDF-4A69-A545-282EC2455C85}"/>
    <cellStyle name="Normal 8 9 2 3" xfId="12452" xr:uid="{350BB405-AB44-41C9-A935-7F09D2AF64A3}"/>
    <cellStyle name="Normal 8 9 3" xfId="6083" xr:uid="{00000000-0005-0000-0000-0000661E0000}"/>
    <cellStyle name="Normal 8 9 3 2" xfId="14525" xr:uid="{FE88E2A4-8657-40F9-BC6C-8D9A0424F62D}"/>
    <cellStyle name="Normal 8 9 4" xfId="10307" xr:uid="{5AC47125-04AB-4473-8EC3-E3004E6B388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A2EC01BE-A22F-475F-A9DB-241296936938}"/>
    <cellStyle name="Normal 9 2 10 3" xfId="11165" xr:uid="{A238AD0D-3D28-464B-A61F-3682719A6264}"/>
    <cellStyle name="Normal 9 2 11" xfId="4876" xr:uid="{00000000-0005-0000-0000-00006B1E0000}"/>
    <cellStyle name="Normal 9 2 11 2" xfId="13318" xr:uid="{7ADB69CA-7B3E-479A-B2C5-A7897AD583A4}"/>
    <cellStyle name="Normal 9 2 12" xfId="9100" xr:uid="{0D661B88-33C8-455B-B5A5-CE63E2F8AA2F}"/>
    <cellStyle name="Normal 9 2 2" xfId="512" xr:uid="{00000000-0005-0000-0000-00006C1E0000}"/>
    <cellStyle name="Normal 9 2 2 10" xfId="4877" xr:uid="{00000000-0005-0000-0000-00006D1E0000}"/>
    <cellStyle name="Normal 9 2 2 10 2" xfId="13319" xr:uid="{60D59145-53DD-4DD6-B86E-C9B57D157DCB}"/>
    <cellStyle name="Normal 9 2 2 11" xfId="9101" xr:uid="{A2579341-112B-4784-990F-A77E08A50D42}"/>
    <cellStyle name="Normal 9 2 2 2" xfId="513" xr:uid="{00000000-0005-0000-0000-00006E1E0000}"/>
    <cellStyle name="Normal 9 2 2 2 10" xfId="9102" xr:uid="{3E9A4831-41EC-4828-BF05-373A196D26C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872323B0-9804-4C94-9B9A-3D10789137F4}"/>
    <cellStyle name="Normal 9 2 2 2 2 2 2 2 3" xfId="11662" xr:uid="{AA7BC4DE-164F-4FDC-87A4-1E61D76F51FB}"/>
    <cellStyle name="Normal 9 2 2 2 2 2 2 3" xfId="5293" xr:uid="{00000000-0005-0000-0000-0000741E0000}"/>
    <cellStyle name="Normal 9 2 2 2 2 2 2 3 2" xfId="13735" xr:uid="{278B841A-9DFC-466F-A3E6-8D5FD3085F9B}"/>
    <cellStyle name="Normal 9 2 2 2 2 2 2 4" xfId="9517" xr:uid="{ACEE4B69-BAF0-4FA7-AD0E-078B33F1549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E301F290-E08D-4F45-A110-874D11CCA3A1}"/>
    <cellStyle name="Normal 9 2 2 2 2 2 3 2 3" xfId="12075" xr:uid="{8C4E3B7E-63C3-41F6-AB75-35526A816095}"/>
    <cellStyle name="Normal 9 2 2 2 2 2 3 3" xfId="5706" xr:uid="{00000000-0005-0000-0000-0000781E0000}"/>
    <cellStyle name="Normal 9 2 2 2 2 2 3 3 2" xfId="14148" xr:uid="{FC7D4D8B-8DF2-4838-A23D-A7D503896156}"/>
    <cellStyle name="Normal 9 2 2 2 2 2 3 4" xfId="9930" xr:uid="{5C6CAF7F-C7B3-4191-9367-767E5AE67556}"/>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7680E832-DB56-4980-B68E-4B47C93549CA}"/>
    <cellStyle name="Normal 9 2 2 2 2 2 4 2 3" xfId="12488" xr:uid="{6CE0B63F-C84A-445C-BE2E-45E1B21CAA37}"/>
    <cellStyle name="Normal 9 2 2 2 2 2 4 3" xfId="6119" xr:uid="{00000000-0005-0000-0000-00007C1E0000}"/>
    <cellStyle name="Normal 9 2 2 2 2 2 4 3 2" xfId="14561" xr:uid="{B9370C83-ED2D-4A48-AED0-754C5599A8BA}"/>
    <cellStyle name="Normal 9 2 2 2 2 2 4 4" xfId="10343" xr:uid="{CCD3FD03-D78F-4807-BCB0-98695EBDAA9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F3206F1A-6691-4E3E-8936-CC9D5BDC2136}"/>
    <cellStyle name="Normal 9 2 2 2 2 2 5 2 3" xfId="12901" xr:uid="{D8B5CF21-2EB9-4660-80E8-D8D1585B7A43}"/>
    <cellStyle name="Normal 9 2 2 2 2 2 5 3" xfId="6532" xr:uid="{00000000-0005-0000-0000-0000801E0000}"/>
    <cellStyle name="Normal 9 2 2 2 2 2 5 3 2" xfId="14974" xr:uid="{DE8D9326-ED4A-4D23-8F16-7A85EE95531D}"/>
    <cellStyle name="Normal 9 2 2 2 2 2 5 4" xfId="10756" xr:uid="{DFAE5158-3C44-4F7B-97C5-E7E4B96841BD}"/>
    <cellStyle name="Normal 9 2 2 2 2 2 6" xfId="2661" xr:uid="{00000000-0005-0000-0000-0000811E0000}"/>
    <cellStyle name="Normal 9 2 2 2 2 2 6 2" xfId="6945" xr:uid="{00000000-0005-0000-0000-0000821E0000}"/>
    <cellStyle name="Normal 9 2 2 2 2 2 6 2 2" xfId="15387" xr:uid="{99BCC416-2161-48F1-9BB1-59C1ED01B208}"/>
    <cellStyle name="Normal 9 2 2 2 2 2 6 3" xfId="11169" xr:uid="{2405FDFD-B0AF-4563-9B7A-32DA7DB35A7F}"/>
    <cellStyle name="Normal 9 2 2 2 2 2 7" xfId="4880" xr:uid="{00000000-0005-0000-0000-0000831E0000}"/>
    <cellStyle name="Normal 9 2 2 2 2 2 7 2" xfId="13322" xr:uid="{126BBB4E-BA3D-4FA7-9F09-48BE553D2F76}"/>
    <cellStyle name="Normal 9 2 2 2 2 2 8" xfId="9104" xr:uid="{262FB7FC-E34C-4051-998B-0B9EDA10A4F7}"/>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F89D6DB6-14E4-4684-B3D1-8D3417647253}"/>
    <cellStyle name="Normal 9 2 2 2 2 3 2 3" xfId="11661" xr:uid="{38FCCFF4-58F3-420A-8B8D-6E47C7AF807E}"/>
    <cellStyle name="Normal 9 2 2 2 2 3 3" xfId="5292" xr:uid="{00000000-0005-0000-0000-0000871E0000}"/>
    <cellStyle name="Normal 9 2 2 2 2 3 3 2" xfId="13734" xr:uid="{1C4EE930-70C0-4D98-A5D3-E91A5EEE30AD}"/>
    <cellStyle name="Normal 9 2 2 2 2 3 4" xfId="9516" xr:uid="{FD939532-B707-42EE-81C8-A051594084A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C3239803-DB2F-4466-A03F-8F66BEEB244A}"/>
    <cellStyle name="Normal 9 2 2 2 2 4 2 3" xfId="12074" xr:uid="{A6A87977-39D9-40E5-A90F-A69536545481}"/>
    <cellStyle name="Normal 9 2 2 2 2 4 3" xfId="5705" xr:uid="{00000000-0005-0000-0000-00008B1E0000}"/>
    <cellStyle name="Normal 9 2 2 2 2 4 3 2" xfId="14147" xr:uid="{58527066-E5CD-405E-98C4-E7321F90F517}"/>
    <cellStyle name="Normal 9 2 2 2 2 4 4" xfId="9929" xr:uid="{8DB7A1B3-C624-44A0-98DD-24985F034C81}"/>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717E3F6E-E223-4B5A-90DA-F07AD02AE54C}"/>
    <cellStyle name="Normal 9 2 2 2 2 5 2 3" xfId="12487" xr:uid="{872E1336-0F57-4274-80A7-DDFA689D7172}"/>
    <cellStyle name="Normal 9 2 2 2 2 5 3" xfId="6118" xr:uid="{00000000-0005-0000-0000-00008F1E0000}"/>
    <cellStyle name="Normal 9 2 2 2 2 5 3 2" xfId="14560" xr:uid="{66714F28-886C-4C13-B3B3-C1E66EED9BF7}"/>
    <cellStyle name="Normal 9 2 2 2 2 5 4" xfId="10342" xr:uid="{AD4D58B1-FDF3-4199-9360-EB5BB6D8AA3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EFA782AA-FA84-4AD9-A576-26A282B8F08D}"/>
    <cellStyle name="Normal 9 2 2 2 2 6 2 3" xfId="12900" xr:uid="{0C9D8A42-2DE6-4BF8-8550-BF92828F67C0}"/>
    <cellStyle name="Normal 9 2 2 2 2 6 3" xfId="6531" xr:uid="{00000000-0005-0000-0000-0000931E0000}"/>
    <cellStyle name="Normal 9 2 2 2 2 6 3 2" xfId="14973" xr:uid="{E6BBDA2F-6406-428F-A658-4A7767CE229E}"/>
    <cellStyle name="Normal 9 2 2 2 2 6 4" xfId="10755" xr:uid="{C0A52A89-81F1-49B6-9141-EFCF53EB9334}"/>
    <cellStyle name="Normal 9 2 2 2 2 7" xfId="2660" xr:uid="{00000000-0005-0000-0000-0000941E0000}"/>
    <cellStyle name="Normal 9 2 2 2 2 7 2" xfId="6944" xr:uid="{00000000-0005-0000-0000-0000951E0000}"/>
    <cellStyle name="Normal 9 2 2 2 2 7 2 2" xfId="15386" xr:uid="{FAE59848-E5E4-4DEF-8B1A-80999FDB0166}"/>
    <cellStyle name="Normal 9 2 2 2 2 7 3" xfId="11168" xr:uid="{7A2190C8-D567-4B9A-AF42-633604515091}"/>
    <cellStyle name="Normal 9 2 2 2 2 8" xfId="4879" xr:uid="{00000000-0005-0000-0000-0000961E0000}"/>
    <cellStyle name="Normal 9 2 2 2 2 8 2" xfId="13321" xr:uid="{EF2C3C3A-070C-4F14-892B-AC1326318984}"/>
    <cellStyle name="Normal 9 2 2 2 2 9" xfId="9103" xr:uid="{B144A331-13DA-4057-8A85-3AEFF965AD89}"/>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57736CC4-7A89-49B6-9967-20AB358383B2}"/>
    <cellStyle name="Normal 9 2 2 2 3 2 2 3" xfId="11663" xr:uid="{0E5A675B-2D4D-4224-B1F8-D5E5ED86FEE1}"/>
    <cellStyle name="Normal 9 2 2 2 3 2 3" xfId="5294" xr:uid="{00000000-0005-0000-0000-00009B1E0000}"/>
    <cellStyle name="Normal 9 2 2 2 3 2 3 2" xfId="13736" xr:uid="{69CEFD96-82B8-472C-99D9-DD4B3E2C201A}"/>
    <cellStyle name="Normal 9 2 2 2 3 2 4" xfId="9518" xr:uid="{6157817A-9D19-4B4A-B400-B9711BE25F99}"/>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F02B3800-2C37-4B55-90EC-36B441B9C294}"/>
    <cellStyle name="Normal 9 2 2 2 3 3 2 3" xfId="12076" xr:uid="{A4D91328-E56E-44FE-A619-A258AC52C0B3}"/>
    <cellStyle name="Normal 9 2 2 2 3 3 3" xfId="5707" xr:uid="{00000000-0005-0000-0000-00009F1E0000}"/>
    <cellStyle name="Normal 9 2 2 2 3 3 3 2" xfId="14149" xr:uid="{9B9E8DB8-AE4D-470B-A325-B53E3F7167AA}"/>
    <cellStyle name="Normal 9 2 2 2 3 3 4" xfId="9931" xr:uid="{7A4DAAAE-6CFE-42D7-AE3D-8E3D6C99C4E8}"/>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29FCF8F9-A992-46FE-8CF2-7679E32D8B95}"/>
    <cellStyle name="Normal 9 2 2 2 3 4 2 3" xfId="12489" xr:uid="{B444FFD5-8F8D-43AC-AF13-359D233A7DF3}"/>
    <cellStyle name="Normal 9 2 2 2 3 4 3" xfId="6120" xr:uid="{00000000-0005-0000-0000-0000A31E0000}"/>
    <cellStyle name="Normal 9 2 2 2 3 4 3 2" xfId="14562" xr:uid="{8B718E50-2329-4FE5-B3E2-0A68FE137CB5}"/>
    <cellStyle name="Normal 9 2 2 2 3 4 4" xfId="10344" xr:uid="{1F76F905-C966-443F-B42A-9A6544494F41}"/>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4CE23A9B-7A7E-42CE-AD13-859B6E6B09A1}"/>
    <cellStyle name="Normal 9 2 2 2 3 5 2 3" xfId="12902" xr:uid="{E86D5F1C-8B43-41DB-B168-ABFCD7D6C7BE}"/>
    <cellStyle name="Normal 9 2 2 2 3 5 3" xfId="6533" xr:uid="{00000000-0005-0000-0000-0000A71E0000}"/>
    <cellStyle name="Normal 9 2 2 2 3 5 3 2" xfId="14975" xr:uid="{7B377967-8BA9-4C84-B681-E2F856316E8E}"/>
    <cellStyle name="Normal 9 2 2 2 3 5 4" xfId="10757" xr:uid="{185BDE86-7F3F-402A-8694-2D85127126F2}"/>
    <cellStyle name="Normal 9 2 2 2 3 6" xfId="2662" xr:uid="{00000000-0005-0000-0000-0000A81E0000}"/>
    <cellStyle name="Normal 9 2 2 2 3 6 2" xfId="6946" xr:uid="{00000000-0005-0000-0000-0000A91E0000}"/>
    <cellStyle name="Normal 9 2 2 2 3 6 2 2" xfId="15388" xr:uid="{9B2C3D51-B736-4EA3-B3B6-AD2502CE7794}"/>
    <cellStyle name="Normal 9 2 2 2 3 6 3" xfId="11170" xr:uid="{FD8DEC95-0B86-41AE-B792-0EE0B28F6FDE}"/>
    <cellStyle name="Normal 9 2 2 2 3 7" xfId="4881" xr:uid="{00000000-0005-0000-0000-0000AA1E0000}"/>
    <cellStyle name="Normal 9 2 2 2 3 7 2" xfId="13323" xr:uid="{E1B3CB33-BC92-4677-B374-CF1D9D57412D}"/>
    <cellStyle name="Normal 9 2 2 2 3 8" xfId="9105" xr:uid="{F32970B1-B79E-4B72-9413-CA2DD85FD374}"/>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7153165A-922E-46E9-B05C-D4E13BA3CA2C}"/>
    <cellStyle name="Normal 9 2 2 2 4 2 3" xfId="11660" xr:uid="{1E338872-2529-43DA-907F-29F2DF8ADA43}"/>
    <cellStyle name="Normal 9 2 2 2 4 3" xfId="5291" xr:uid="{00000000-0005-0000-0000-0000AE1E0000}"/>
    <cellStyle name="Normal 9 2 2 2 4 3 2" xfId="13733" xr:uid="{F52D1BE0-B4BF-4C13-8F76-0146B4457D16}"/>
    <cellStyle name="Normal 9 2 2 2 4 4" xfId="9515" xr:uid="{B21955D5-CD17-4173-9F09-9C293C124C11}"/>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969550CC-A3B2-491C-A239-39A179C0EEE2}"/>
    <cellStyle name="Normal 9 2 2 2 5 2 3" xfId="12073" xr:uid="{B31885E2-F672-4FEB-9E75-E754D76EEB14}"/>
    <cellStyle name="Normal 9 2 2 2 5 3" xfId="5704" xr:uid="{00000000-0005-0000-0000-0000B21E0000}"/>
    <cellStyle name="Normal 9 2 2 2 5 3 2" xfId="14146" xr:uid="{4CC7F568-5280-4C1C-B24A-171A0C58B640}"/>
    <cellStyle name="Normal 9 2 2 2 5 4" xfId="9928" xr:uid="{5AE76D52-58D4-4F03-8C77-584FCC5BE4E6}"/>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2F773247-41CE-4030-B4A6-B92F4BA07BF6}"/>
    <cellStyle name="Normal 9 2 2 2 6 2 3" xfId="12486" xr:uid="{665FD97A-6ACB-4D8A-A44C-F485C5C4BE8B}"/>
    <cellStyle name="Normal 9 2 2 2 6 3" xfId="6117" xr:uid="{00000000-0005-0000-0000-0000B61E0000}"/>
    <cellStyle name="Normal 9 2 2 2 6 3 2" xfId="14559" xr:uid="{27F9F74B-94BE-4D8F-86F7-CB2CDCC3D0D1}"/>
    <cellStyle name="Normal 9 2 2 2 6 4" xfId="10341" xr:uid="{4344E59A-7F99-4628-84CD-2D47D4C94DB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641CEB0E-BBE1-4C7E-93E9-2B146F4841E5}"/>
    <cellStyle name="Normal 9 2 2 2 7 2 3" xfId="12899" xr:uid="{C89823ED-0308-4BDB-9806-751BF7132DEA}"/>
    <cellStyle name="Normal 9 2 2 2 7 3" xfId="6530" xr:uid="{00000000-0005-0000-0000-0000BA1E0000}"/>
    <cellStyle name="Normal 9 2 2 2 7 3 2" xfId="14972" xr:uid="{58BE5AC9-2C34-45C1-8237-6012109B16C7}"/>
    <cellStyle name="Normal 9 2 2 2 7 4" xfId="10754" xr:uid="{C8EA0AE0-65BD-4EEC-BA45-8A45A67295D1}"/>
    <cellStyle name="Normal 9 2 2 2 8" xfId="2659" xr:uid="{00000000-0005-0000-0000-0000BB1E0000}"/>
    <cellStyle name="Normal 9 2 2 2 8 2" xfId="6943" xr:uid="{00000000-0005-0000-0000-0000BC1E0000}"/>
    <cellStyle name="Normal 9 2 2 2 8 2 2" xfId="15385" xr:uid="{B93D74E8-4848-46A4-8FDE-3A5DBA274041}"/>
    <cellStyle name="Normal 9 2 2 2 8 3" xfId="11167" xr:uid="{6EA4258A-BFDA-433E-8443-03800073EB40}"/>
    <cellStyle name="Normal 9 2 2 2 9" xfId="4878" xr:uid="{00000000-0005-0000-0000-0000BD1E0000}"/>
    <cellStyle name="Normal 9 2 2 2 9 2" xfId="13320" xr:uid="{3FFB6278-39C2-4C44-8F4E-592F9DB6E7EC}"/>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8B701872-0AD5-4EB6-9CEC-B288AF0FF2BB}"/>
    <cellStyle name="Normal 9 2 2 3 2 2 2 3" xfId="11665" xr:uid="{39B4A2CF-05E3-499B-A201-5DC0FFC85EEB}"/>
    <cellStyle name="Normal 9 2 2 3 2 2 3" xfId="5296" xr:uid="{00000000-0005-0000-0000-0000C31E0000}"/>
    <cellStyle name="Normal 9 2 2 3 2 2 3 2" xfId="13738" xr:uid="{342DE471-370D-47B2-BA44-2E2FCBBF156E}"/>
    <cellStyle name="Normal 9 2 2 3 2 2 4" xfId="9520" xr:uid="{813F7F9E-0B88-4F6C-A6F2-61D688C9BDFE}"/>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6D22E601-2421-4E52-A3E1-F8381E662414}"/>
    <cellStyle name="Normal 9 2 2 3 2 3 2 3" xfId="12078" xr:uid="{FEA0CB41-0F44-4478-B3C7-83DC6398D08E}"/>
    <cellStyle name="Normal 9 2 2 3 2 3 3" xfId="5709" xr:uid="{00000000-0005-0000-0000-0000C71E0000}"/>
    <cellStyle name="Normal 9 2 2 3 2 3 3 2" xfId="14151" xr:uid="{8D151ADA-A637-4ECA-92CB-63FEB2EA334D}"/>
    <cellStyle name="Normal 9 2 2 3 2 3 4" xfId="9933" xr:uid="{1BAEB74F-C796-4299-8AE7-9ECEDC6569AB}"/>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B6E22D1B-6120-486E-8D4F-A33A31418FF1}"/>
    <cellStyle name="Normal 9 2 2 3 2 4 2 3" xfId="12491" xr:uid="{05E084DC-6C31-455B-BA0A-020F54E9DEDE}"/>
    <cellStyle name="Normal 9 2 2 3 2 4 3" xfId="6122" xr:uid="{00000000-0005-0000-0000-0000CB1E0000}"/>
    <cellStyle name="Normal 9 2 2 3 2 4 3 2" xfId="14564" xr:uid="{5253EBEE-7FD0-4F07-9865-EDC856844023}"/>
    <cellStyle name="Normal 9 2 2 3 2 4 4" xfId="10346" xr:uid="{A71C04DF-C4EB-467B-A534-704B071FEF9F}"/>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D4EFBA96-64E7-4543-BF43-304EED1E353A}"/>
    <cellStyle name="Normal 9 2 2 3 2 5 2 3" xfId="12904" xr:uid="{AFCBABAD-45EA-43DB-9304-8B8E59A663AB}"/>
    <cellStyle name="Normal 9 2 2 3 2 5 3" xfId="6535" xr:uid="{00000000-0005-0000-0000-0000CF1E0000}"/>
    <cellStyle name="Normal 9 2 2 3 2 5 3 2" xfId="14977" xr:uid="{65694C43-1346-4941-B0EE-0C7D9D6DD5F7}"/>
    <cellStyle name="Normal 9 2 2 3 2 5 4" xfId="10759" xr:uid="{CDE59B57-65E9-41A6-A6AD-9736FD80CAC5}"/>
    <cellStyle name="Normal 9 2 2 3 2 6" xfId="2664" xr:uid="{00000000-0005-0000-0000-0000D01E0000}"/>
    <cellStyle name="Normal 9 2 2 3 2 6 2" xfId="6948" xr:uid="{00000000-0005-0000-0000-0000D11E0000}"/>
    <cellStyle name="Normal 9 2 2 3 2 6 2 2" xfId="15390" xr:uid="{0BE3B7B4-E882-4A0C-869A-1D03F79DB44A}"/>
    <cellStyle name="Normal 9 2 2 3 2 6 3" xfId="11172" xr:uid="{D12E0DB9-8875-4CA5-9857-17C3EA685F1D}"/>
    <cellStyle name="Normal 9 2 2 3 2 7" xfId="4883" xr:uid="{00000000-0005-0000-0000-0000D21E0000}"/>
    <cellStyle name="Normal 9 2 2 3 2 7 2" xfId="13325" xr:uid="{43E75193-2A45-4324-AF02-36EF40F3C49C}"/>
    <cellStyle name="Normal 9 2 2 3 2 8" xfId="9107" xr:uid="{CD0F0E22-15FE-4318-BA95-FC3FD00EDC23}"/>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3E2A75D0-213D-42E7-9DE0-48CABBBDB30D}"/>
    <cellStyle name="Normal 9 2 2 3 3 2 3" xfId="11664" xr:uid="{7E5000A5-CA66-44B8-8DB0-EAF97CEFCA2C}"/>
    <cellStyle name="Normal 9 2 2 3 3 3" xfId="5295" xr:uid="{00000000-0005-0000-0000-0000D61E0000}"/>
    <cellStyle name="Normal 9 2 2 3 3 3 2" xfId="13737" xr:uid="{10C348AD-7799-41C0-B615-328DBEBE8CD9}"/>
    <cellStyle name="Normal 9 2 2 3 3 4" xfId="9519" xr:uid="{7F5B63ED-B886-4565-8988-3A0AA097872A}"/>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57E08D3B-B8B9-49B0-A876-598BD466F118}"/>
    <cellStyle name="Normal 9 2 2 3 4 2 3" xfId="12077" xr:uid="{74CB8822-0D53-4431-811E-AC21DD19D0EB}"/>
    <cellStyle name="Normal 9 2 2 3 4 3" xfId="5708" xr:uid="{00000000-0005-0000-0000-0000DA1E0000}"/>
    <cellStyle name="Normal 9 2 2 3 4 3 2" xfId="14150" xr:uid="{60FAAE49-834D-490B-8882-A69B1476F00E}"/>
    <cellStyle name="Normal 9 2 2 3 4 4" xfId="9932" xr:uid="{3D640FEA-E328-4EE6-B419-B7C8214CEA04}"/>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B4B33C92-7112-4951-ADAF-346FB0F27887}"/>
    <cellStyle name="Normal 9 2 2 3 5 2 3" xfId="12490" xr:uid="{CB3BD65D-0728-47A6-868C-3740D7FC1918}"/>
    <cellStyle name="Normal 9 2 2 3 5 3" xfId="6121" xr:uid="{00000000-0005-0000-0000-0000DE1E0000}"/>
    <cellStyle name="Normal 9 2 2 3 5 3 2" xfId="14563" xr:uid="{2EAA4767-3F0B-4B88-B6EE-516E15959C55}"/>
    <cellStyle name="Normal 9 2 2 3 5 4" xfId="10345" xr:uid="{E2227770-FF0F-4978-B6D4-85EFEACEC916}"/>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81CC0A33-8B5E-4B7D-A292-DF924F4D1C0B}"/>
    <cellStyle name="Normal 9 2 2 3 6 2 3" xfId="12903" xr:uid="{6A8BB442-7328-4C7F-8CAD-289A31FBF1A2}"/>
    <cellStyle name="Normal 9 2 2 3 6 3" xfId="6534" xr:uid="{00000000-0005-0000-0000-0000E21E0000}"/>
    <cellStyle name="Normal 9 2 2 3 6 3 2" xfId="14976" xr:uid="{92581183-DAFD-4D7B-909A-A1F8DBDEB9BC}"/>
    <cellStyle name="Normal 9 2 2 3 6 4" xfId="10758" xr:uid="{E965253C-5501-43A0-8ED1-448A2CFD9CAC}"/>
    <cellStyle name="Normal 9 2 2 3 7" xfId="2663" xr:uid="{00000000-0005-0000-0000-0000E31E0000}"/>
    <cellStyle name="Normal 9 2 2 3 7 2" xfId="6947" xr:uid="{00000000-0005-0000-0000-0000E41E0000}"/>
    <cellStyle name="Normal 9 2 2 3 7 2 2" xfId="15389" xr:uid="{524A3410-665F-4A4A-A4A3-69FC78E94723}"/>
    <cellStyle name="Normal 9 2 2 3 7 3" xfId="11171" xr:uid="{EE93F7E3-5867-41A4-9FDE-E7CC764247F8}"/>
    <cellStyle name="Normal 9 2 2 3 8" xfId="4882" xr:uid="{00000000-0005-0000-0000-0000E51E0000}"/>
    <cellStyle name="Normal 9 2 2 3 8 2" xfId="13324" xr:uid="{E0425071-F84E-496C-B28F-ABDD7F4593EE}"/>
    <cellStyle name="Normal 9 2 2 3 9" xfId="9106" xr:uid="{1088BFD5-BD97-47A8-9464-2D9C5DDA8B0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2F0D3C8A-2F5B-415C-A8A6-0C77ACE06DF7}"/>
    <cellStyle name="Normal 9 2 2 4 2 2 3" xfId="11666" xr:uid="{8CB92C81-599C-47E5-81E5-8D979168564C}"/>
    <cellStyle name="Normal 9 2 2 4 2 3" xfId="5297" xr:uid="{00000000-0005-0000-0000-0000EA1E0000}"/>
    <cellStyle name="Normal 9 2 2 4 2 3 2" xfId="13739" xr:uid="{0C3C7468-C0B2-4F13-88CF-91AB3A742EC7}"/>
    <cellStyle name="Normal 9 2 2 4 2 4" xfId="9521" xr:uid="{D2953CCD-940D-41A5-B232-975E78EA5E3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1276028B-E0CD-4743-ABAC-8C318B15D2E2}"/>
    <cellStyle name="Normal 9 2 2 4 3 2 3" xfId="12079" xr:uid="{1F95C820-6EC2-48EB-A03B-41BB74DA80AA}"/>
    <cellStyle name="Normal 9 2 2 4 3 3" xfId="5710" xr:uid="{00000000-0005-0000-0000-0000EE1E0000}"/>
    <cellStyle name="Normal 9 2 2 4 3 3 2" xfId="14152" xr:uid="{27E9ED73-4906-4563-9671-4906762A97DC}"/>
    <cellStyle name="Normal 9 2 2 4 3 4" xfId="9934" xr:uid="{2A6A86AD-9E55-48D2-9383-C93A9765D615}"/>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0B788136-D169-49E3-B3CC-2135085EB579}"/>
    <cellStyle name="Normal 9 2 2 4 4 2 3" xfId="12492" xr:uid="{6EAAE469-6608-4F3F-AFAA-0B43E026C073}"/>
    <cellStyle name="Normal 9 2 2 4 4 3" xfId="6123" xr:uid="{00000000-0005-0000-0000-0000F21E0000}"/>
    <cellStyle name="Normal 9 2 2 4 4 3 2" xfId="14565" xr:uid="{FB5C2ADB-0408-4044-906E-6DBBA7C519BF}"/>
    <cellStyle name="Normal 9 2 2 4 4 4" xfId="10347" xr:uid="{FF547598-AD6F-4B98-9B10-62EE2CCDD987}"/>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188C3338-5EEC-4830-B5D2-C75895D55922}"/>
    <cellStyle name="Normal 9 2 2 4 5 2 3" xfId="12905" xr:uid="{18DBBEE0-E2EC-4AEA-BF7A-D5E538C93BC4}"/>
    <cellStyle name="Normal 9 2 2 4 5 3" xfId="6536" xr:uid="{00000000-0005-0000-0000-0000F61E0000}"/>
    <cellStyle name="Normal 9 2 2 4 5 3 2" xfId="14978" xr:uid="{9AE6190D-5B75-4520-A063-8CBD2E22E469}"/>
    <cellStyle name="Normal 9 2 2 4 5 4" xfId="10760" xr:uid="{2E2C4109-3586-4813-BF8C-07E6C58EF136}"/>
    <cellStyle name="Normal 9 2 2 4 6" xfId="2665" xr:uid="{00000000-0005-0000-0000-0000F71E0000}"/>
    <cellStyle name="Normal 9 2 2 4 6 2" xfId="6949" xr:uid="{00000000-0005-0000-0000-0000F81E0000}"/>
    <cellStyle name="Normal 9 2 2 4 6 2 2" xfId="15391" xr:uid="{70275A79-FC80-436C-9C8F-1CDA7DAE07F7}"/>
    <cellStyle name="Normal 9 2 2 4 6 3" xfId="11173" xr:uid="{06AC678D-8A21-41F8-9CE2-0DB9904048C2}"/>
    <cellStyle name="Normal 9 2 2 4 7" xfId="4884" xr:uid="{00000000-0005-0000-0000-0000F91E0000}"/>
    <cellStyle name="Normal 9 2 2 4 7 2" xfId="13326" xr:uid="{8CB8FE85-7C48-4AB7-B0D3-213BFF96C9DE}"/>
    <cellStyle name="Normal 9 2 2 4 8" xfId="9108" xr:uid="{65EF269B-16AB-4CBF-AA82-69D25A440F9E}"/>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6F96EB18-4B3F-4B5B-A5B6-97A8EEE05F6D}"/>
    <cellStyle name="Normal 9 2 2 5 2 3" xfId="11659" xr:uid="{D6AC235A-40CC-4D4C-8D44-AD66E3F267A1}"/>
    <cellStyle name="Normal 9 2 2 5 3" xfId="5290" xr:uid="{00000000-0005-0000-0000-0000FD1E0000}"/>
    <cellStyle name="Normal 9 2 2 5 3 2" xfId="13732" xr:uid="{25060817-356B-4904-A69C-8B19B93FD15D}"/>
    <cellStyle name="Normal 9 2 2 5 4" xfId="9514" xr:uid="{F84876DF-2870-43D8-9CFB-5DBA6CF2E962}"/>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5D3F8945-EC12-4465-8D65-1F90C9490518}"/>
    <cellStyle name="Normal 9 2 2 6 2 3" xfId="12072" xr:uid="{158C9F85-597B-4D06-909D-E6AE9597CA3C}"/>
    <cellStyle name="Normal 9 2 2 6 3" xfId="5703" xr:uid="{00000000-0005-0000-0000-0000011F0000}"/>
    <cellStyle name="Normal 9 2 2 6 3 2" xfId="14145" xr:uid="{FCF3FB7C-A320-424A-BA2E-F567657653FF}"/>
    <cellStyle name="Normal 9 2 2 6 4" xfId="9927" xr:uid="{2C7AFBF3-81FB-4747-9216-943E93195273}"/>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7893376D-A5C2-43E7-80E8-A4E97CE3E707}"/>
    <cellStyle name="Normal 9 2 2 7 2 3" xfId="12485" xr:uid="{53CE2602-D717-4DD7-A0A8-4494D60212E4}"/>
    <cellStyle name="Normal 9 2 2 7 3" xfId="6116" xr:uid="{00000000-0005-0000-0000-0000051F0000}"/>
    <cellStyle name="Normal 9 2 2 7 3 2" xfId="14558" xr:uid="{A0526016-AA26-4A02-BCFE-5107BF1C4C46}"/>
    <cellStyle name="Normal 9 2 2 7 4" xfId="10340" xr:uid="{C4808FE6-D221-406E-9E9C-F9BEE71C2658}"/>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35EBC2D1-9340-43ED-9A7E-F0E44DEB0C12}"/>
    <cellStyle name="Normal 9 2 2 8 2 3" xfId="12898" xr:uid="{F5F835AF-AC18-41DD-A62F-E2277292EA87}"/>
    <cellStyle name="Normal 9 2 2 8 3" xfId="6529" xr:uid="{00000000-0005-0000-0000-0000091F0000}"/>
    <cellStyle name="Normal 9 2 2 8 3 2" xfId="14971" xr:uid="{10BE062B-F187-418C-9F2A-CF4D88C6CF28}"/>
    <cellStyle name="Normal 9 2 2 8 4" xfId="10753" xr:uid="{24F023BC-9063-41E6-B5BA-5E529F109C36}"/>
    <cellStyle name="Normal 9 2 2 9" xfId="2658" xr:uid="{00000000-0005-0000-0000-00000A1F0000}"/>
    <cellStyle name="Normal 9 2 2 9 2" xfId="6942" xr:uid="{00000000-0005-0000-0000-00000B1F0000}"/>
    <cellStyle name="Normal 9 2 2 9 2 2" xfId="15384" xr:uid="{F6A97668-B728-4C8B-8A1C-29FA75078ACB}"/>
    <cellStyle name="Normal 9 2 2 9 3" xfId="11166" xr:uid="{43FAADB8-DEB5-4E94-8EAA-568874551198}"/>
    <cellStyle name="Normal 9 2 3" xfId="520" xr:uid="{00000000-0005-0000-0000-00000C1F0000}"/>
    <cellStyle name="Normal 9 2 3 10" xfId="9109" xr:uid="{2A7F5680-273B-48C1-8AF6-9D69EBD546AB}"/>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4AD80587-BF95-430B-A727-0CAFE1C7C32B}"/>
    <cellStyle name="Normal 9 2 3 2 2 2 2 3" xfId="11669" xr:uid="{AAFBC3BE-C24A-4061-A648-1F96A01E49DA}"/>
    <cellStyle name="Normal 9 2 3 2 2 2 3" xfId="5300" xr:uid="{00000000-0005-0000-0000-0000121F0000}"/>
    <cellStyle name="Normal 9 2 3 2 2 2 3 2" xfId="13742" xr:uid="{B00C8781-7910-42E9-BD19-6D9632463EC8}"/>
    <cellStyle name="Normal 9 2 3 2 2 2 4" xfId="9524" xr:uid="{C265E3CA-4D52-4B1F-9C17-CA7A720450C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7535B225-1824-4EF9-AB79-7AFF95D95E18}"/>
    <cellStyle name="Normal 9 2 3 2 2 3 2 3" xfId="12082" xr:uid="{B616AA9C-C6B7-4FBF-9BC6-8EC5740A0748}"/>
    <cellStyle name="Normal 9 2 3 2 2 3 3" xfId="5713" xr:uid="{00000000-0005-0000-0000-0000161F0000}"/>
    <cellStyle name="Normal 9 2 3 2 2 3 3 2" xfId="14155" xr:uid="{6815DF58-7AEB-44DD-A567-5B33FB66C687}"/>
    <cellStyle name="Normal 9 2 3 2 2 3 4" xfId="9937" xr:uid="{23A418B5-FCB0-4F48-8B4E-27EABB85130D}"/>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4F0C7F92-5FA4-49EE-8F98-EBFC8C5A0370}"/>
    <cellStyle name="Normal 9 2 3 2 2 4 2 3" xfId="12495" xr:uid="{8DE384AF-AAFD-40D0-A22F-B0BAAC93CA48}"/>
    <cellStyle name="Normal 9 2 3 2 2 4 3" xfId="6126" xr:uid="{00000000-0005-0000-0000-00001A1F0000}"/>
    <cellStyle name="Normal 9 2 3 2 2 4 3 2" xfId="14568" xr:uid="{4A81251D-AA42-45B9-9ED7-06BFB824A957}"/>
    <cellStyle name="Normal 9 2 3 2 2 4 4" xfId="10350" xr:uid="{8881B419-4CD1-4E2E-ADFA-E273D3E43585}"/>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72F660F9-037B-4C29-B59B-7681940913D4}"/>
    <cellStyle name="Normal 9 2 3 2 2 5 2 3" xfId="12908" xr:uid="{85AA7A87-A910-4330-8718-BD160445DCD1}"/>
    <cellStyle name="Normal 9 2 3 2 2 5 3" xfId="6539" xr:uid="{00000000-0005-0000-0000-00001E1F0000}"/>
    <cellStyle name="Normal 9 2 3 2 2 5 3 2" xfId="14981" xr:uid="{78F4006C-4F1E-400C-98C0-AE3C40CF76FA}"/>
    <cellStyle name="Normal 9 2 3 2 2 5 4" xfId="10763" xr:uid="{84A1E3A9-05F5-4950-AA57-8619761FBB8A}"/>
    <cellStyle name="Normal 9 2 3 2 2 6" xfId="2668" xr:uid="{00000000-0005-0000-0000-00001F1F0000}"/>
    <cellStyle name="Normal 9 2 3 2 2 6 2" xfId="6952" xr:uid="{00000000-0005-0000-0000-0000201F0000}"/>
    <cellStyle name="Normal 9 2 3 2 2 6 2 2" xfId="15394" xr:uid="{478F6E30-333D-4219-B5D3-ECAB2CE02B55}"/>
    <cellStyle name="Normal 9 2 3 2 2 6 3" xfId="11176" xr:uid="{4AF15DB6-7E92-46D1-BD1F-8F5CF2587806}"/>
    <cellStyle name="Normal 9 2 3 2 2 7" xfId="4887" xr:uid="{00000000-0005-0000-0000-0000211F0000}"/>
    <cellStyle name="Normal 9 2 3 2 2 7 2" xfId="13329" xr:uid="{09A90675-2740-442C-A3A0-7807C875B42D}"/>
    <cellStyle name="Normal 9 2 3 2 2 8" xfId="9111" xr:uid="{4EE76034-3C5F-4678-86C8-04459F8F3D3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B14EAF04-CDFD-486E-858E-9FBBFDC2E230}"/>
    <cellStyle name="Normal 9 2 3 2 3 2 3" xfId="11668" xr:uid="{3637A70A-C8A5-4DC9-A4AB-426DC3323A62}"/>
    <cellStyle name="Normal 9 2 3 2 3 3" xfId="5299" xr:uid="{00000000-0005-0000-0000-0000251F0000}"/>
    <cellStyle name="Normal 9 2 3 2 3 3 2" xfId="13741" xr:uid="{0490D260-E066-45CF-B1E6-FF9B3D0BAF7C}"/>
    <cellStyle name="Normal 9 2 3 2 3 4" xfId="9523" xr:uid="{96819666-EA5E-43AA-9B53-CFB0F3C44E7E}"/>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51725F78-94EB-4060-BE91-832EB391B425}"/>
    <cellStyle name="Normal 9 2 3 2 4 2 3" xfId="12081" xr:uid="{AA1C4EE0-A1E2-4883-8942-CEC408D4932F}"/>
    <cellStyle name="Normal 9 2 3 2 4 3" xfId="5712" xr:uid="{00000000-0005-0000-0000-0000291F0000}"/>
    <cellStyle name="Normal 9 2 3 2 4 3 2" xfId="14154" xr:uid="{1D6BCA40-63CB-44C8-A00C-08A7C6F3FD73}"/>
    <cellStyle name="Normal 9 2 3 2 4 4" xfId="9936" xr:uid="{9CE46CB6-34AD-43E7-96F2-DEF5178A6D48}"/>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638DC372-D220-4580-A881-6EFF067BE83D}"/>
    <cellStyle name="Normal 9 2 3 2 5 2 3" xfId="12494" xr:uid="{63B31FAA-57C1-4567-BCA5-4416CF16373C}"/>
    <cellStyle name="Normal 9 2 3 2 5 3" xfId="6125" xr:uid="{00000000-0005-0000-0000-00002D1F0000}"/>
    <cellStyle name="Normal 9 2 3 2 5 3 2" xfId="14567" xr:uid="{2AC1DEF8-8F7C-49CB-B807-4F6DFECAB160}"/>
    <cellStyle name="Normal 9 2 3 2 5 4" xfId="10349" xr:uid="{ADDD4AF0-A888-40AE-9EE4-25EF8933AFF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A63A8470-965A-419B-92D0-EB842AE28CF5}"/>
    <cellStyle name="Normal 9 2 3 2 6 2 3" xfId="12907" xr:uid="{65C2BBBC-3F6C-4552-A610-E10A1C52273E}"/>
    <cellStyle name="Normal 9 2 3 2 6 3" xfId="6538" xr:uid="{00000000-0005-0000-0000-0000311F0000}"/>
    <cellStyle name="Normal 9 2 3 2 6 3 2" xfId="14980" xr:uid="{C08F110C-DA4D-4F9C-9994-5FD5A94E7C94}"/>
    <cellStyle name="Normal 9 2 3 2 6 4" xfId="10762" xr:uid="{0872104E-9A7A-4ED2-91C8-4ACBCB33D484}"/>
    <cellStyle name="Normal 9 2 3 2 7" xfId="2667" xr:uid="{00000000-0005-0000-0000-0000321F0000}"/>
    <cellStyle name="Normal 9 2 3 2 7 2" xfId="6951" xr:uid="{00000000-0005-0000-0000-0000331F0000}"/>
    <cellStyle name="Normal 9 2 3 2 7 2 2" xfId="15393" xr:uid="{CA9DFE01-DE73-4990-B524-A887E8D2E352}"/>
    <cellStyle name="Normal 9 2 3 2 7 3" xfId="11175" xr:uid="{494946B9-FAE8-474F-BFAA-B153992C02F4}"/>
    <cellStyle name="Normal 9 2 3 2 8" xfId="4886" xr:uid="{00000000-0005-0000-0000-0000341F0000}"/>
    <cellStyle name="Normal 9 2 3 2 8 2" xfId="13328" xr:uid="{956F8EB0-70A1-4888-B7DB-CDD039FD0345}"/>
    <cellStyle name="Normal 9 2 3 2 9" xfId="9110" xr:uid="{AE6485AD-231B-4715-8006-158AA8819908}"/>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553826EB-5E89-4B48-B038-D6B4A8B5A6D1}"/>
    <cellStyle name="Normal 9 2 3 3 2 2 3" xfId="11670" xr:uid="{EF68A1AB-C13F-4572-9901-1BA98D11ADC9}"/>
    <cellStyle name="Normal 9 2 3 3 2 3" xfId="5301" xr:uid="{00000000-0005-0000-0000-0000391F0000}"/>
    <cellStyle name="Normal 9 2 3 3 2 3 2" xfId="13743" xr:uid="{ADC59071-F848-4977-BF15-0A4DE3B70992}"/>
    <cellStyle name="Normal 9 2 3 3 2 4" xfId="9525" xr:uid="{7F3E4568-D1CF-4F96-AA96-44DF86C8EA0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DC77B9A8-EA36-4646-AD36-0D6815C99612}"/>
    <cellStyle name="Normal 9 2 3 3 3 2 3" xfId="12083" xr:uid="{EC1585A9-DD4B-487E-A22A-F5DD104B2E07}"/>
    <cellStyle name="Normal 9 2 3 3 3 3" xfId="5714" xr:uid="{00000000-0005-0000-0000-00003D1F0000}"/>
    <cellStyle name="Normal 9 2 3 3 3 3 2" xfId="14156" xr:uid="{15DC5436-FD46-4113-9872-ED86D5C77CFA}"/>
    <cellStyle name="Normal 9 2 3 3 3 4" xfId="9938" xr:uid="{77A46683-F4DA-4581-B670-0912BC8AFD7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95D4FE3B-51F4-424A-B6DB-191EBAEF977C}"/>
    <cellStyle name="Normal 9 2 3 3 4 2 3" xfId="12496" xr:uid="{6FA7AE6C-0D0C-4D24-940B-D99B3B9C643C}"/>
    <cellStyle name="Normal 9 2 3 3 4 3" xfId="6127" xr:uid="{00000000-0005-0000-0000-0000411F0000}"/>
    <cellStyle name="Normal 9 2 3 3 4 3 2" xfId="14569" xr:uid="{03CAD677-D255-4F35-8ECD-0E80665A4C6C}"/>
    <cellStyle name="Normal 9 2 3 3 4 4" xfId="10351" xr:uid="{A431B59D-A932-4991-BDC5-33B78F6C5DC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79CF1D26-DE6A-46A3-ADDA-15DA2B0E96F4}"/>
    <cellStyle name="Normal 9 2 3 3 5 2 3" xfId="12909" xr:uid="{FC72736B-D2D3-4F44-986A-098FCBC5119F}"/>
    <cellStyle name="Normal 9 2 3 3 5 3" xfId="6540" xr:uid="{00000000-0005-0000-0000-0000451F0000}"/>
    <cellStyle name="Normal 9 2 3 3 5 3 2" xfId="14982" xr:uid="{C7959C21-CEC1-460C-9C13-1972F296338B}"/>
    <cellStyle name="Normal 9 2 3 3 5 4" xfId="10764" xr:uid="{331CA71E-CF56-4C8A-82A5-11AF106D4512}"/>
    <cellStyle name="Normal 9 2 3 3 6" xfId="2669" xr:uid="{00000000-0005-0000-0000-0000461F0000}"/>
    <cellStyle name="Normal 9 2 3 3 6 2" xfId="6953" xr:uid="{00000000-0005-0000-0000-0000471F0000}"/>
    <cellStyle name="Normal 9 2 3 3 6 2 2" xfId="15395" xr:uid="{E2D63D19-A467-45E4-BC05-533ECCBF864F}"/>
    <cellStyle name="Normal 9 2 3 3 6 3" xfId="11177" xr:uid="{8C05F066-888A-4790-8993-3AC8BB0983E4}"/>
    <cellStyle name="Normal 9 2 3 3 7" xfId="4888" xr:uid="{00000000-0005-0000-0000-0000481F0000}"/>
    <cellStyle name="Normal 9 2 3 3 7 2" xfId="13330" xr:uid="{28940FDD-AD1F-4D78-83CF-D63794379183}"/>
    <cellStyle name="Normal 9 2 3 3 8" xfId="9112" xr:uid="{DAB54D96-6D57-4ECF-B074-41DF86B5CA4E}"/>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88D274FF-7734-4062-8E45-CADC496D3E89}"/>
    <cellStyle name="Normal 9 2 3 4 2 3" xfId="11667" xr:uid="{E43C77BB-E325-4AC3-B307-2839FB70A701}"/>
    <cellStyle name="Normal 9 2 3 4 3" xfId="5298" xr:uid="{00000000-0005-0000-0000-00004C1F0000}"/>
    <cellStyle name="Normal 9 2 3 4 3 2" xfId="13740" xr:uid="{6F77CBD7-4A14-4A14-B230-C749175BA63B}"/>
    <cellStyle name="Normal 9 2 3 4 4" xfId="9522" xr:uid="{69719C31-5A2A-4FA5-B8F2-449E576F2885}"/>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AC3C70D8-4F17-4781-BA00-3741DC62CE94}"/>
    <cellStyle name="Normal 9 2 3 5 2 3" xfId="12080" xr:uid="{3C01CC77-3AF0-44AD-93DE-D7C0BEA7FF93}"/>
    <cellStyle name="Normal 9 2 3 5 3" xfId="5711" xr:uid="{00000000-0005-0000-0000-0000501F0000}"/>
    <cellStyle name="Normal 9 2 3 5 3 2" xfId="14153" xr:uid="{EF6BF99D-1033-4D76-9C2D-1140F2ED1598}"/>
    <cellStyle name="Normal 9 2 3 5 4" xfId="9935" xr:uid="{5EE9BEF9-CB25-431B-8CED-4CE5A6457705}"/>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53015212-B9A3-4F8A-B5B0-99FED4221974}"/>
    <cellStyle name="Normal 9 2 3 6 2 3" xfId="12493" xr:uid="{865971E2-A883-4A18-BFE7-21DF79441030}"/>
    <cellStyle name="Normal 9 2 3 6 3" xfId="6124" xr:uid="{00000000-0005-0000-0000-0000541F0000}"/>
    <cellStyle name="Normal 9 2 3 6 3 2" xfId="14566" xr:uid="{2B4E064D-F744-40E7-ADF6-1B95BB856F8C}"/>
    <cellStyle name="Normal 9 2 3 6 4" xfId="10348" xr:uid="{CAC89230-6C0A-4209-9B2D-46F6402398D9}"/>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38D69B53-EFCB-4009-95D1-3BD1DDA6F075}"/>
    <cellStyle name="Normal 9 2 3 7 2 3" xfId="12906" xr:uid="{754B9075-CCEC-4156-89B5-3C3C3CED041C}"/>
    <cellStyle name="Normal 9 2 3 7 3" xfId="6537" xr:uid="{00000000-0005-0000-0000-0000581F0000}"/>
    <cellStyle name="Normal 9 2 3 7 3 2" xfId="14979" xr:uid="{F17FFAC8-DFD6-4301-8185-6C5EDE31CA00}"/>
    <cellStyle name="Normal 9 2 3 7 4" xfId="10761" xr:uid="{F6D7B3E8-6522-486C-B949-FE97F1DDDF7E}"/>
    <cellStyle name="Normal 9 2 3 8" xfId="2666" xr:uid="{00000000-0005-0000-0000-0000591F0000}"/>
    <cellStyle name="Normal 9 2 3 8 2" xfId="6950" xr:uid="{00000000-0005-0000-0000-00005A1F0000}"/>
    <cellStyle name="Normal 9 2 3 8 2 2" xfId="15392" xr:uid="{5A9DD628-3F22-439A-882C-F0DE0F7103AB}"/>
    <cellStyle name="Normal 9 2 3 8 3" xfId="11174" xr:uid="{153A2AA2-591B-47B1-BD39-7DD91055402B}"/>
    <cellStyle name="Normal 9 2 3 9" xfId="4885" xr:uid="{00000000-0005-0000-0000-00005B1F0000}"/>
    <cellStyle name="Normal 9 2 3 9 2" xfId="13327" xr:uid="{B450AC6A-B3C8-4943-A2A6-60696E7A62E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A58C30CA-1949-4377-94EC-6EB10163B5A5}"/>
    <cellStyle name="Normal 9 2 4 2 2 2 3" xfId="11672" xr:uid="{25A3CF2B-8874-4DFA-8563-B9D76A2499A7}"/>
    <cellStyle name="Normal 9 2 4 2 2 3" xfId="5303" xr:uid="{00000000-0005-0000-0000-0000611F0000}"/>
    <cellStyle name="Normal 9 2 4 2 2 3 2" xfId="13745" xr:uid="{16E0D26D-B2D2-426E-A3E1-DC589EE82F58}"/>
    <cellStyle name="Normal 9 2 4 2 2 4" xfId="9527" xr:uid="{03E9208B-9B14-44EB-8F79-167F81B1FCBA}"/>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44117E72-81B0-461C-9DAE-2BE30A899036}"/>
    <cellStyle name="Normal 9 2 4 2 3 2 3" xfId="12085" xr:uid="{59E3F8B1-DDDD-44B7-8514-C058B40DA499}"/>
    <cellStyle name="Normal 9 2 4 2 3 3" xfId="5716" xr:uid="{00000000-0005-0000-0000-0000651F0000}"/>
    <cellStyle name="Normal 9 2 4 2 3 3 2" xfId="14158" xr:uid="{3A47033B-6A45-4D1E-907A-DA21D941BF4E}"/>
    <cellStyle name="Normal 9 2 4 2 3 4" xfId="9940" xr:uid="{7FAF9401-49BB-4DEC-86A8-57D144250FFB}"/>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0431EB7A-2B67-45FB-8C35-A67416AD6FB6}"/>
    <cellStyle name="Normal 9 2 4 2 4 2 3" xfId="12498" xr:uid="{E37B3536-B74B-4C52-BE47-E069CDDA202F}"/>
    <cellStyle name="Normal 9 2 4 2 4 3" xfId="6129" xr:uid="{00000000-0005-0000-0000-0000691F0000}"/>
    <cellStyle name="Normal 9 2 4 2 4 3 2" xfId="14571" xr:uid="{F0D146C3-C5EE-4C6A-B352-43AEF2BA501C}"/>
    <cellStyle name="Normal 9 2 4 2 4 4" xfId="10353" xr:uid="{2123ABDB-7675-4C53-8406-30C573D2E17A}"/>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7783E8D0-CDAF-4075-90FF-F81A0EA9BC3A}"/>
    <cellStyle name="Normal 9 2 4 2 5 2 3" xfId="12911" xr:uid="{F993416C-11D6-4316-AB3F-0184E412A3ED}"/>
    <cellStyle name="Normal 9 2 4 2 5 3" xfId="6542" xr:uid="{00000000-0005-0000-0000-00006D1F0000}"/>
    <cellStyle name="Normal 9 2 4 2 5 3 2" xfId="14984" xr:uid="{4202EECF-5D05-4FA8-8FD0-C5544041B5AB}"/>
    <cellStyle name="Normal 9 2 4 2 5 4" xfId="10766" xr:uid="{479E8131-2E4B-4041-A47E-7DD9008577AB}"/>
    <cellStyle name="Normal 9 2 4 2 6" xfId="2671" xr:uid="{00000000-0005-0000-0000-00006E1F0000}"/>
    <cellStyle name="Normal 9 2 4 2 6 2" xfId="6955" xr:uid="{00000000-0005-0000-0000-00006F1F0000}"/>
    <cellStyle name="Normal 9 2 4 2 6 2 2" xfId="15397" xr:uid="{CBCC7518-00BA-4E59-B944-7AE933479AF3}"/>
    <cellStyle name="Normal 9 2 4 2 6 3" xfId="11179" xr:uid="{3677DD66-ABE7-4D35-AEBD-AD3F770617B2}"/>
    <cellStyle name="Normal 9 2 4 2 7" xfId="4890" xr:uid="{00000000-0005-0000-0000-0000701F0000}"/>
    <cellStyle name="Normal 9 2 4 2 7 2" xfId="13332" xr:uid="{1997051E-1DFA-4106-8BE7-A65BDB968782}"/>
    <cellStyle name="Normal 9 2 4 2 8" xfId="9114" xr:uid="{1E3AC726-D54F-49CD-AF18-82A09342730F}"/>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B0B8326D-F42E-4AF5-AD62-246FD3AE6F5C}"/>
    <cellStyle name="Normal 9 2 4 3 2 3" xfId="11671" xr:uid="{3DE40AE5-4B99-4A4C-AA39-99ACB01D49FB}"/>
    <cellStyle name="Normal 9 2 4 3 3" xfId="5302" xr:uid="{00000000-0005-0000-0000-0000741F0000}"/>
    <cellStyle name="Normal 9 2 4 3 3 2" xfId="13744" xr:uid="{FA139807-CAD0-4B6B-92A8-E5312B847206}"/>
    <cellStyle name="Normal 9 2 4 3 4" xfId="9526" xr:uid="{5DD62AC3-CFB6-47D8-B734-3B350CB57A03}"/>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22EA71EB-0C84-468F-9FCC-2AD208BC5E90}"/>
    <cellStyle name="Normal 9 2 4 4 2 3" xfId="12084" xr:uid="{BE6086ED-1409-468E-B13E-537E27DEE5FD}"/>
    <cellStyle name="Normal 9 2 4 4 3" xfId="5715" xr:uid="{00000000-0005-0000-0000-0000781F0000}"/>
    <cellStyle name="Normal 9 2 4 4 3 2" xfId="14157" xr:uid="{226101DD-8434-4567-A6CC-9E819BE70C75}"/>
    <cellStyle name="Normal 9 2 4 4 4" xfId="9939" xr:uid="{149FED50-7B6F-49A0-8E68-922A89269529}"/>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050364AE-2CF9-44E2-836E-1BD0F31AD459}"/>
    <cellStyle name="Normal 9 2 4 5 2 3" xfId="12497" xr:uid="{3455641A-6C6E-4E71-BBD1-71B0510FA268}"/>
    <cellStyle name="Normal 9 2 4 5 3" xfId="6128" xr:uid="{00000000-0005-0000-0000-00007C1F0000}"/>
    <cellStyle name="Normal 9 2 4 5 3 2" xfId="14570" xr:uid="{74BE192F-3D36-4E7F-B5D5-18DE7A0F93EC}"/>
    <cellStyle name="Normal 9 2 4 5 4" xfId="10352" xr:uid="{F8EE24F4-35C9-4B16-A5FA-998DF73D06E5}"/>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C9DC4F40-78C1-4C75-8081-2979BEC669D6}"/>
    <cellStyle name="Normal 9 2 4 6 2 3" xfId="12910" xr:uid="{8046A193-FDBF-4157-B5A9-A14F46BDE026}"/>
    <cellStyle name="Normal 9 2 4 6 3" xfId="6541" xr:uid="{00000000-0005-0000-0000-0000801F0000}"/>
    <cellStyle name="Normal 9 2 4 6 3 2" xfId="14983" xr:uid="{900DFCEA-649A-4595-BD6F-69484A5DE77D}"/>
    <cellStyle name="Normal 9 2 4 6 4" xfId="10765" xr:uid="{9AB7B2A7-8F39-4A68-8FEE-E6F01C268E60}"/>
    <cellStyle name="Normal 9 2 4 7" xfId="2670" xr:uid="{00000000-0005-0000-0000-0000811F0000}"/>
    <cellStyle name="Normal 9 2 4 7 2" xfId="6954" xr:uid="{00000000-0005-0000-0000-0000821F0000}"/>
    <cellStyle name="Normal 9 2 4 7 2 2" xfId="15396" xr:uid="{BE8DF585-3C88-4AC1-AC6C-F8967AB310C6}"/>
    <cellStyle name="Normal 9 2 4 7 3" xfId="11178" xr:uid="{C914F426-52E2-4106-9B08-7E0DB14F6F73}"/>
    <cellStyle name="Normal 9 2 4 8" xfId="4889" xr:uid="{00000000-0005-0000-0000-0000831F0000}"/>
    <cellStyle name="Normal 9 2 4 8 2" xfId="13331" xr:uid="{697336B3-A0DB-48DA-82BF-B5C0D0C1B7FB}"/>
    <cellStyle name="Normal 9 2 4 9" xfId="9113" xr:uid="{66DB5BB9-C5C8-4960-A5EE-1423BCAF8EDC}"/>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5D0E1C96-F2BE-4881-8C92-31867CCEB2AE}"/>
    <cellStyle name="Normal 9 2 5 2 2 3" xfId="11673" xr:uid="{0AF9AE76-B5B8-4FA8-9C5D-5D47F1ED915D}"/>
    <cellStyle name="Normal 9 2 5 2 3" xfId="5304" xr:uid="{00000000-0005-0000-0000-0000881F0000}"/>
    <cellStyle name="Normal 9 2 5 2 3 2" xfId="13746" xr:uid="{EF092C67-9569-4F7D-B357-3401552F104D}"/>
    <cellStyle name="Normal 9 2 5 2 4" xfId="9528" xr:uid="{91C04E83-67AD-4F37-8300-4AB3B2CC81EF}"/>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E41B3C01-3527-4B33-B5A0-22D261C98E15}"/>
    <cellStyle name="Normal 9 2 5 3 2 3" xfId="12086" xr:uid="{0F12AE73-177C-4493-ADE7-4A01344EF83F}"/>
    <cellStyle name="Normal 9 2 5 3 3" xfId="5717" xr:uid="{00000000-0005-0000-0000-00008C1F0000}"/>
    <cellStyle name="Normal 9 2 5 3 3 2" xfId="14159" xr:uid="{02BC04DB-6CE0-4B29-940F-EEB09ECF55EE}"/>
    <cellStyle name="Normal 9 2 5 3 4" xfId="9941" xr:uid="{EBC009FD-2E16-4C0B-8A2F-9A0D57C54EE7}"/>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153480FE-6D63-41DA-8BE6-78936940071B}"/>
    <cellStyle name="Normal 9 2 5 4 2 3" xfId="12499" xr:uid="{43C18BCD-FA29-4681-9632-816FE97DD26A}"/>
    <cellStyle name="Normal 9 2 5 4 3" xfId="6130" xr:uid="{00000000-0005-0000-0000-0000901F0000}"/>
    <cellStyle name="Normal 9 2 5 4 3 2" xfId="14572" xr:uid="{A1926AEE-35D5-4E8A-96AC-310D0D5DD419}"/>
    <cellStyle name="Normal 9 2 5 4 4" xfId="10354" xr:uid="{3BFC687E-5D64-402E-8403-B54F39010281}"/>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F7CD8512-BF81-4887-B0FD-D39B865E1395}"/>
    <cellStyle name="Normal 9 2 5 5 2 3" xfId="12912" xr:uid="{30470893-5B4A-49A9-8410-CCABF80BF717}"/>
    <cellStyle name="Normal 9 2 5 5 3" xfId="6543" xr:uid="{00000000-0005-0000-0000-0000941F0000}"/>
    <cellStyle name="Normal 9 2 5 5 3 2" xfId="14985" xr:uid="{BB39B57F-1DDD-46F8-B5AF-2DDF014ED90C}"/>
    <cellStyle name="Normal 9 2 5 5 4" xfId="10767" xr:uid="{B7437863-2A50-4C89-B9F2-1F26E377F4FB}"/>
    <cellStyle name="Normal 9 2 5 6" xfId="2672" xr:uid="{00000000-0005-0000-0000-0000951F0000}"/>
    <cellStyle name="Normal 9 2 5 6 2" xfId="6956" xr:uid="{00000000-0005-0000-0000-0000961F0000}"/>
    <cellStyle name="Normal 9 2 5 6 2 2" xfId="15398" xr:uid="{6966BBF0-1813-4042-BFE5-8FDC3499D7FA}"/>
    <cellStyle name="Normal 9 2 5 6 3" xfId="11180" xr:uid="{2F44159C-44BA-4E61-9655-1BD504EBEE92}"/>
    <cellStyle name="Normal 9 2 5 7" xfId="4891" xr:uid="{00000000-0005-0000-0000-0000971F0000}"/>
    <cellStyle name="Normal 9 2 5 7 2" xfId="13333" xr:uid="{A4665481-F121-4946-B5CA-F55E8BA3F4C9}"/>
    <cellStyle name="Normal 9 2 5 8" xfId="9115" xr:uid="{332EEAD8-9A6E-4658-B00F-6D00FD582AA5}"/>
    <cellStyle name="Normal 9 2 6" xfId="978" xr:uid="{00000000-0005-0000-0000-0000981F0000}"/>
    <cellStyle name="Normal 9 2 6 2" xfId="3211" xr:uid="{00000000-0005-0000-0000-0000991F0000}"/>
    <cellStyle name="Normal 9 2 6 2 2" xfId="7434" xr:uid="{00000000-0005-0000-0000-00009A1F0000}"/>
    <cellStyle name="Normal 9 2 6 2 2 2" xfId="15876" xr:uid="{AB029E9D-F60D-44AD-AE4E-3A2F092F08F8}"/>
    <cellStyle name="Normal 9 2 6 2 3" xfId="11658" xr:uid="{8A8C4E47-68E1-4F3B-8A54-6C25F4F862B2}"/>
    <cellStyle name="Normal 9 2 6 3" xfId="5289" xr:uid="{00000000-0005-0000-0000-00009B1F0000}"/>
    <cellStyle name="Normal 9 2 6 3 2" xfId="13731" xr:uid="{A4ABF67C-FBA2-4250-8516-9A0AFBACB1D4}"/>
    <cellStyle name="Normal 9 2 6 4" xfId="9513" xr:uid="{803B6012-31AC-400D-BEA0-3E2D2553C39E}"/>
    <cellStyle name="Normal 9 2 7" xfId="1394" xr:uid="{00000000-0005-0000-0000-00009C1F0000}"/>
    <cellStyle name="Normal 9 2 7 2" xfId="3624" xr:uid="{00000000-0005-0000-0000-00009D1F0000}"/>
    <cellStyle name="Normal 9 2 7 2 2" xfId="7847" xr:uid="{00000000-0005-0000-0000-00009E1F0000}"/>
    <cellStyle name="Normal 9 2 7 2 2 2" xfId="16289" xr:uid="{77BEC11D-2D56-48D4-9002-1A33CB9289FC}"/>
    <cellStyle name="Normal 9 2 7 2 3" xfId="12071" xr:uid="{B19C5823-846F-418B-B46F-36570F77B9CC}"/>
    <cellStyle name="Normal 9 2 7 3" xfId="5702" xr:uid="{00000000-0005-0000-0000-00009F1F0000}"/>
    <cellStyle name="Normal 9 2 7 3 2" xfId="14144" xr:uid="{5D2B3716-BEF9-4351-84D2-2D025DBCBF13}"/>
    <cellStyle name="Normal 9 2 7 4" xfId="9926" xr:uid="{08366DDF-3554-426B-8511-63D72C0AAA45}"/>
    <cellStyle name="Normal 9 2 8" xfId="1807" xr:uid="{00000000-0005-0000-0000-0000A01F0000}"/>
    <cellStyle name="Normal 9 2 8 2" xfId="4037" xr:uid="{00000000-0005-0000-0000-0000A11F0000}"/>
    <cellStyle name="Normal 9 2 8 2 2" xfId="8260" xr:uid="{00000000-0005-0000-0000-0000A21F0000}"/>
    <cellStyle name="Normal 9 2 8 2 2 2" xfId="16702" xr:uid="{37C6A619-FAB1-44EA-B2C3-C4BBFACAF96C}"/>
    <cellStyle name="Normal 9 2 8 2 3" xfId="12484" xr:uid="{F4D38CA3-E9CB-4E78-B946-EB5DD2D7E638}"/>
    <cellStyle name="Normal 9 2 8 3" xfId="6115" xr:uid="{00000000-0005-0000-0000-0000A31F0000}"/>
    <cellStyle name="Normal 9 2 8 3 2" xfId="14557" xr:uid="{656649F3-62DB-4DFB-A0D4-954C280CBD6B}"/>
    <cellStyle name="Normal 9 2 8 4" xfId="10339" xr:uid="{30149F28-E45E-4618-B6C8-5ED2D4F38AE5}"/>
    <cellStyle name="Normal 9 2 9" xfId="2221" xr:uid="{00000000-0005-0000-0000-0000A41F0000}"/>
    <cellStyle name="Normal 9 2 9 2" xfId="4450" xr:uid="{00000000-0005-0000-0000-0000A51F0000}"/>
    <cellStyle name="Normal 9 2 9 2 2" xfId="8673" xr:uid="{00000000-0005-0000-0000-0000A61F0000}"/>
    <cellStyle name="Normal 9 2 9 2 2 2" xfId="17115" xr:uid="{7886E44C-198A-465F-8284-08ECAB30B1C0}"/>
    <cellStyle name="Normal 9 2 9 2 3" xfId="12897" xr:uid="{63E54DCE-A6B6-463C-9A30-AA9A09CA6EAB}"/>
    <cellStyle name="Normal 9 2 9 3" xfId="6528" xr:uid="{00000000-0005-0000-0000-0000A71F0000}"/>
    <cellStyle name="Normal 9 2 9 3 2" xfId="14970" xr:uid="{E910F3A4-EB99-4612-817E-56C07186AF02}"/>
    <cellStyle name="Normal 9 2 9 4" xfId="10752" xr:uid="{13A1C934-F6E2-471A-B1F8-060BDD4422EE}"/>
    <cellStyle name="Normal 9 3" xfId="527" xr:uid="{00000000-0005-0000-0000-0000A81F0000}"/>
    <cellStyle name="Normal 9 3 10" xfId="4892" xr:uid="{00000000-0005-0000-0000-0000A91F0000}"/>
    <cellStyle name="Normal 9 3 10 2" xfId="13334" xr:uid="{399358CB-F1FD-4493-8DC8-64A2B493FC38}"/>
    <cellStyle name="Normal 9 3 11" xfId="9116" xr:uid="{DEA67EA9-521F-4CC7-A5D8-A048D61DEBBD}"/>
    <cellStyle name="Normal 9 3 2" xfId="528" xr:uid="{00000000-0005-0000-0000-0000AA1F0000}"/>
    <cellStyle name="Normal 9 3 2 10" xfId="9117" xr:uid="{EAC1A193-6202-4999-8C5F-F4A9E938E875}"/>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D69A099D-3094-4304-B00C-3E6A9F34AA15}"/>
    <cellStyle name="Normal 9 3 2 2 2 2 2 3" xfId="11677" xr:uid="{BA08A689-FC1F-4E72-B4AD-9331B46DEDFB}"/>
    <cellStyle name="Normal 9 3 2 2 2 2 3" xfId="5308" xr:uid="{00000000-0005-0000-0000-0000B01F0000}"/>
    <cellStyle name="Normal 9 3 2 2 2 2 3 2" xfId="13750" xr:uid="{16A20A9C-1CC0-42DA-B6D1-1AE42A7D0134}"/>
    <cellStyle name="Normal 9 3 2 2 2 2 4" xfId="9532" xr:uid="{EF08154B-8826-41C8-859B-CE983985181F}"/>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07306AA8-4252-4BAB-99D5-5B2E653445E5}"/>
    <cellStyle name="Normal 9 3 2 2 2 3 2 3" xfId="12090" xr:uid="{097A7356-5C08-459B-84DA-092D6EB5FAB0}"/>
    <cellStyle name="Normal 9 3 2 2 2 3 3" xfId="5721" xr:uid="{00000000-0005-0000-0000-0000B41F0000}"/>
    <cellStyle name="Normal 9 3 2 2 2 3 3 2" xfId="14163" xr:uid="{470C6DB5-2AFD-4D8A-9DF2-7C6B169F9E50}"/>
    <cellStyle name="Normal 9 3 2 2 2 3 4" xfId="9945" xr:uid="{E3637CC8-6961-4453-B6F5-EC9A46FBD2D4}"/>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6C7405F8-5F82-48DB-B189-F0E66857B698}"/>
    <cellStyle name="Normal 9 3 2 2 2 4 2 3" xfId="12503" xr:uid="{4AB728E2-C46B-451C-B87C-D435ED84114F}"/>
    <cellStyle name="Normal 9 3 2 2 2 4 3" xfId="6134" xr:uid="{00000000-0005-0000-0000-0000B81F0000}"/>
    <cellStyle name="Normal 9 3 2 2 2 4 3 2" xfId="14576" xr:uid="{80B47B68-CAED-448A-A5FD-367E72F7E1FC}"/>
    <cellStyle name="Normal 9 3 2 2 2 4 4" xfId="10358" xr:uid="{14CAB51D-28F7-4B09-A6F9-C1D103E4E93B}"/>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EDEC475A-74F0-4B3A-A3FE-6DD9B95F1BDB}"/>
    <cellStyle name="Normal 9 3 2 2 2 5 2 3" xfId="12916" xr:uid="{AAF997DD-D82E-4672-A984-49682BB54825}"/>
    <cellStyle name="Normal 9 3 2 2 2 5 3" xfId="6547" xr:uid="{00000000-0005-0000-0000-0000BC1F0000}"/>
    <cellStyle name="Normal 9 3 2 2 2 5 3 2" xfId="14989" xr:uid="{138ED360-938D-498B-868C-44DE83EB79C0}"/>
    <cellStyle name="Normal 9 3 2 2 2 5 4" xfId="10771" xr:uid="{ED27793E-68EA-49B1-924A-D7B7D32BCD56}"/>
    <cellStyle name="Normal 9 3 2 2 2 6" xfId="2676" xr:uid="{00000000-0005-0000-0000-0000BD1F0000}"/>
    <cellStyle name="Normal 9 3 2 2 2 6 2" xfId="6960" xr:uid="{00000000-0005-0000-0000-0000BE1F0000}"/>
    <cellStyle name="Normal 9 3 2 2 2 6 2 2" xfId="15402" xr:uid="{CC7D8FAA-3BB7-4327-9BE3-9772BF288617}"/>
    <cellStyle name="Normal 9 3 2 2 2 6 3" xfId="11184" xr:uid="{B218B0E2-D177-45D4-952A-687297281DCC}"/>
    <cellStyle name="Normal 9 3 2 2 2 7" xfId="4895" xr:uid="{00000000-0005-0000-0000-0000BF1F0000}"/>
    <cellStyle name="Normal 9 3 2 2 2 7 2" xfId="13337" xr:uid="{5668D51A-643F-41F9-8BE5-75F69CB3D384}"/>
    <cellStyle name="Normal 9 3 2 2 2 8" xfId="9119" xr:uid="{80A29795-334E-47FC-AC2F-7AE348E2EDA4}"/>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8E9058A0-07B7-447D-8BC0-4B240A8C70ED}"/>
    <cellStyle name="Normal 9 3 2 2 3 2 3" xfId="11676" xr:uid="{422ECF19-273F-4006-A7A1-E6E036746B67}"/>
    <cellStyle name="Normal 9 3 2 2 3 3" xfId="5307" xr:uid="{00000000-0005-0000-0000-0000C31F0000}"/>
    <cellStyle name="Normal 9 3 2 2 3 3 2" xfId="13749" xr:uid="{645AD5BB-4DB8-4E6C-B0E1-7B188C2B5786}"/>
    <cellStyle name="Normal 9 3 2 2 3 4" xfId="9531" xr:uid="{8C7220F5-4462-4F71-BDF2-7305A79F30B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EE470C31-02B5-48F7-B239-1AF9F6844FC3}"/>
    <cellStyle name="Normal 9 3 2 2 4 2 3" xfId="12089" xr:uid="{2CA5A895-307F-488A-9FBC-4938976588D9}"/>
    <cellStyle name="Normal 9 3 2 2 4 3" xfId="5720" xr:uid="{00000000-0005-0000-0000-0000C71F0000}"/>
    <cellStyle name="Normal 9 3 2 2 4 3 2" xfId="14162" xr:uid="{A8717A33-A38C-4599-9805-ED1A2E477782}"/>
    <cellStyle name="Normal 9 3 2 2 4 4" xfId="9944" xr:uid="{90C91C73-D450-425B-AA48-41C8CC1F800F}"/>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E306A802-54E5-4D69-9034-3A72E620E55E}"/>
    <cellStyle name="Normal 9 3 2 2 5 2 3" xfId="12502" xr:uid="{A37F366D-E916-401B-856C-0612CE245370}"/>
    <cellStyle name="Normal 9 3 2 2 5 3" xfId="6133" xr:uid="{00000000-0005-0000-0000-0000CB1F0000}"/>
    <cellStyle name="Normal 9 3 2 2 5 3 2" xfId="14575" xr:uid="{C8636674-80E3-4B83-8C87-1FDC322E536B}"/>
    <cellStyle name="Normal 9 3 2 2 5 4" xfId="10357" xr:uid="{4078707E-E7B9-4CC3-909D-22291B176602}"/>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9E2F8D06-2394-456B-8A73-46B6F679EEE4}"/>
    <cellStyle name="Normal 9 3 2 2 6 2 3" xfId="12915" xr:uid="{82AD4A5A-D5E2-4DF9-878E-A27B1314613B}"/>
    <cellStyle name="Normal 9 3 2 2 6 3" xfId="6546" xr:uid="{00000000-0005-0000-0000-0000CF1F0000}"/>
    <cellStyle name="Normal 9 3 2 2 6 3 2" xfId="14988" xr:uid="{AD66FDC2-E27A-468A-B787-E6D16471EED7}"/>
    <cellStyle name="Normal 9 3 2 2 6 4" xfId="10770" xr:uid="{7135B858-E7EA-4290-80D7-F7C784B5C484}"/>
    <cellStyle name="Normal 9 3 2 2 7" xfId="2675" xr:uid="{00000000-0005-0000-0000-0000D01F0000}"/>
    <cellStyle name="Normal 9 3 2 2 7 2" xfId="6959" xr:uid="{00000000-0005-0000-0000-0000D11F0000}"/>
    <cellStyle name="Normal 9 3 2 2 7 2 2" xfId="15401" xr:uid="{F61C8941-BDE0-4DC9-9EF3-9DC17D60FAAE}"/>
    <cellStyle name="Normal 9 3 2 2 7 3" xfId="11183" xr:uid="{D4C2D4C3-F537-43AC-9D89-F3123E74A88C}"/>
    <cellStyle name="Normal 9 3 2 2 8" xfId="4894" xr:uid="{00000000-0005-0000-0000-0000D21F0000}"/>
    <cellStyle name="Normal 9 3 2 2 8 2" xfId="13336" xr:uid="{BF5B5CE5-EEA1-4DDA-878E-4C3C79D470E0}"/>
    <cellStyle name="Normal 9 3 2 2 9" xfId="9118" xr:uid="{9BC9F948-1EB6-4974-B4FB-322B6A8C62B9}"/>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D8FC4C08-143F-40A3-A0E5-53C911432082}"/>
    <cellStyle name="Normal 9 3 2 3 2 2 3" xfId="11678" xr:uid="{2FB6ECC6-B255-47DE-A32C-31921F47FF56}"/>
    <cellStyle name="Normal 9 3 2 3 2 3" xfId="5309" xr:uid="{00000000-0005-0000-0000-0000D71F0000}"/>
    <cellStyle name="Normal 9 3 2 3 2 3 2" xfId="13751" xr:uid="{55A76F0D-98C4-4A96-8059-09F9F1854AA3}"/>
    <cellStyle name="Normal 9 3 2 3 2 4" xfId="9533" xr:uid="{3494EEC5-E959-42FC-87B4-9BDB6962C163}"/>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DCAEE5B4-991C-46DA-A022-B30BFB801FA4}"/>
    <cellStyle name="Normal 9 3 2 3 3 2 3" xfId="12091" xr:uid="{748B6B5A-7AB1-4495-9E60-2474DC1B3EDE}"/>
    <cellStyle name="Normal 9 3 2 3 3 3" xfId="5722" xr:uid="{00000000-0005-0000-0000-0000DB1F0000}"/>
    <cellStyle name="Normal 9 3 2 3 3 3 2" xfId="14164" xr:uid="{F1DAE15E-240E-4909-949F-358747A036ED}"/>
    <cellStyle name="Normal 9 3 2 3 3 4" xfId="9946" xr:uid="{006AF609-744E-4685-9990-386E91AEAE7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6EBCE781-C905-41AC-B58D-FF7742D46EE5}"/>
    <cellStyle name="Normal 9 3 2 3 4 2 3" xfId="12504" xr:uid="{984C3E59-5904-4F3C-88B3-AD2F9677643F}"/>
    <cellStyle name="Normal 9 3 2 3 4 3" xfId="6135" xr:uid="{00000000-0005-0000-0000-0000DF1F0000}"/>
    <cellStyle name="Normal 9 3 2 3 4 3 2" xfId="14577" xr:uid="{FCE3531D-28A2-4324-B735-DC551F365594}"/>
    <cellStyle name="Normal 9 3 2 3 4 4" xfId="10359" xr:uid="{BF550ED8-24FA-4924-9BFE-99602A95797F}"/>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EABFB804-3BF3-45BF-870C-0D34B040ABAF}"/>
    <cellStyle name="Normal 9 3 2 3 5 2 3" xfId="12917" xr:uid="{D46553ED-006F-4D76-9D0A-1D0207B3FFC7}"/>
    <cellStyle name="Normal 9 3 2 3 5 3" xfId="6548" xr:uid="{00000000-0005-0000-0000-0000E31F0000}"/>
    <cellStyle name="Normal 9 3 2 3 5 3 2" xfId="14990" xr:uid="{75DB23DC-6CF2-496E-B2B4-F3EB640425DE}"/>
    <cellStyle name="Normal 9 3 2 3 5 4" xfId="10772" xr:uid="{0BB6B6DC-7905-4AAE-91B6-1C1C5DD1AD77}"/>
    <cellStyle name="Normal 9 3 2 3 6" xfId="2677" xr:uid="{00000000-0005-0000-0000-0000E41F0000}"/>
    <cellStyle name="Normal 9 3 2 3 6 2" xfId="6961" xr:uid="{00000000-0005-0000-0000-0000E51F0000}"/>
    <cellStyle name="Normal 9 3 2 3 6 2 2" xfId="15403" xr:uid="{4D2D2AB5-5AB5-40A1-B69F-2CF46429519C}"/>
    <cellStyle name="Normal 9 3 2 3 6 3" xfId="11185" xr:uid="{89AEF053-7F9E-4AD4-9F32-1CBD16DCE22F}"/>
    <cellStyle name="Normal 9 3 2 3 7" xfId="4896" xr:uid="{00000000-0005-0000-0000-0000E61F0000}"/>
    <cellStyle name="Normal 9 3 2 3 7 2" xfId="13338" xr:uid="{FBC2771F-41B0-4894-A30E-F0D8AFD57F98}"/>
    <cellStyle name="Normal 9 3 2 3 8" xfId="9120" xr:uid="{11B0B214-78DF-4797-B85E-0029CE38F159}"/>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BC3E9941-A100-4BE3-A489-A0ECD44C3EE9}"/>
    <cellStyle name="Normal 9 3 2 4 2 3" xfId="11675" xr:uid="{869943AC-EF9F-4AC3-B2B0-1CA6B5861B97}"/>
    <cellStyle name="Normal 9 3 2 4 3" xfId="5306" xr:uid="{00000000-0005-0000-0000-0000EA1F0000}"/>
    <cellStyle name="Normal 9 3 2 4 3 2" xfId="13748" xr:uid="{23CA5D5E-7DA0-432F-B2DD-2EAB5AA5C0F3}"/>
    <cellStyle name="Normal 9 3 2 4 4" xfId="9530" xr:uid="{BD1C8140-7730-4C08-8AA0-EBD29672715D}"/>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AD5A9C38-FFED-4E5E-BCA3-6FBAC57A8536}"/>
    <cellStyle name="Normal 9 3 2 5 2 3" xfId="12088" xr:uid="{B51ED7CA-BAE2-4901-B563-08458044768E}"/>
    <cellStyle name="Normal 9 3 2 5 3" xfId="5719" xr:uid="{00000000-0005-0000-0000-0000EE1F0000}"/>
    <cellStyle name="Normal 9 3 2 5 3 2" xfId="14161" xr:uid="{D7735C22-EAA0-4731-A311-41D00BEFD814}"/>
    <cellStyle name="Normal 9 3 2 5 4" xfId="9943" xr:uid="{F23B1D16-9C52-4F4A-B649-C082473E07B8}"/>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C74B2F05-6E01-4865-A26A-01D6217D73E8}"/>
    <cellStyle name="Normal 9 3 2 6 2 3" xfId="12501" xr:uid="{CDAC0C81-4370-496B-9C59-BB77ECD75201}"/>
    <cellStyle name="Normal 9 3 2 6 3" xfId="6132" xr:uid="{00000000-0005-0000-0000-0000F21F0000}"/>
    <cellStyle name="Normal 9 3 2 6 3 2" xfId="14574" xr:uid="{32D69BB5-288E-449F-9313-17A57C7767EA}"/>
    <cellStyle name="Normal 9 3 2 6 4" xfId="10356" xr:uid="{C091EA9A-FE27-4CB7-80AD-7A1B21AB8091}"/>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CCADAD2D-C07F-49DC-BE01-6C4323C7C1A1}"/>
    <cellStyle name="Normal 9 3 2 7 2 3" xfId="12914" xr:uid="{46947D31-DE80-4680-8260-CD25B1734092}"/>
    <cellStyle name="Normal 9 3 2 7 3" xfId="6545" xr:uid="{00000000-0005-0000-0000-0000F61F0000}"/>
    <cellStyle name="Normal 9 3 2 7 3 2" xfId="14987" xr:uid="{44EA87FB-D3BF-48D4-97C3-65A4DEF8D71C}"/>
    <cellStyle name="Normal 9 3 2 7 4" xfId="10769" xr:uid="{85C72D4B-F948-431C-834A-406F5CFB2161}"/>
    <cellStyle name="Normal 9 3 2 8" xfId="2674" xr:uid="{00000000-0005-0000-0000-0000F71F0000}"/>
    <cellStyle name="Normal 9 3 2 8 2" xfId="6958" xr:uid="{00000000-0005-0000-0000-0000F81F0000}"/>
    <cellStyle name="Normal 9 3 2 8 2 2" xfId="15400" xr:uid="{9662E6B4-D8E6-4497-A9CF-EBC6923ED98F}"/>
    <cellStyle name="Normal 9 3 2 8 3" xfId="11182" xr:uid="{2BA6A226-2978-483A-A138-30C0B81777C0}"/>
    <cellStyle name="Normal 9 3 2 9" xfId="4893" xr:uid="{00000000-0005-0000-0000-0000F91F0000}"/>
    <cellStyle name="Normal 9 3 2 9 2" xfId="13335" xr:uid="{7C4B7ABA-EE86-4CA5-A8EC-102E31319CE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D20769CB-A123-4B48-9FD1-AE325A42CE0E}"/>
    <cellStyle name="Normal 9 3 3 2 2 2 3" xfId="11680" xr:uid="{D2B3B2F9-951B-432B-BD67-049B62602C71}"/>
    <cellStyle name="Normal 9 3 3 2 2 3" xfId="5311" xr:uid="{00000000-0005-0000-0000-0000FF1F0000}"/>
    <cellStyle name="Normal 9 3 3 2 2 3 2" xfId="13753" xr:uid="{4C3C7532-C91E-4B5F-BC6F-733290C840FD}"/>
    <cellStyle name="Normal 9 3 3 2 2 4" xfId="9535" xr:uid="{FCB212CF-DE4E-45B5-90C4-B6AF71F23FC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B5E68AE3-14CD-450D-95C4-7BE283531DB0}"/>
    <cellStyle name="Normal 9 3 3 2 3 2 3" xfId="12093" xr:uid="{AC86EE76-6462-4094-801E-716AC1309273}"/>
    <cellStyle name="Normal 9 3 3 2 3 3" xfId="5724" xr:uid="{00000000-0005-0000-0000-000003200000}"/>
    <cellStyle name="Normal 9 3 3 2 3 3 2" xfId="14166" xr:uid="{0AEC7ADE-2D2D-451B-BA05-6F966E69E032}"/>
    <cellStyle name="Normal 9 3 3 2 3 4" xfId="9948" xr:uid="{D7BE8E63-187B-42E4-854B-B97ED4B1E843}"/>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9CF56B21-358F-45D5-B711-10AB0897AE20}"/>
    <cellStyle name="Normal 9 3 3 2 4 2 3" xfId="12506" xr:uid="{66D7CBE0-AF68-4080-A620-FFEDD0C36840}"/>
    <cellStyle name="Normal 9 3 3 2 4 3" xfId="6137" xr:uid="{00000000-0005-0000-0000-000007200000}"/>
    <cellStyle name="Normal 9 3 3 2 4 3 2" xfId="14579" xr:uid="{C7186BAA-EE99-4EF4-8E80-4F876196FC3B}"/>
    <cellStyle name="Normal 9 3 3 2 4 4" xfId="10361" xr:uid="{93C276F7-D43D-437D-9895-706B54928A72}"/>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27CE41FE-0545-4220-8AB1-8E8F8A6A115C}"/>
    <cellStyle name="Normal 9 3 3 2 5 2 3" xfId="12919" xr:uid="{6AF8AF68-9A7A-4A74-9024-99C38B6058E3}"/>
    <cellStyle name="Normal 9 3 3 2 5 3" xfId="6550" xr:uid="{00000000-0005-0000-0000-00000B200000}"/>
    <cellStyle name="Normal 9 3 3 2 5 3 2" xfId="14992" xr:uid="{A7EFE5C1-7EF6-40DD-AA14-8C1DBF42F9AE}"/>
    <cellStyle name="Normal 9 3 3 2 5 4" xfId="10774" xr:uid="{2C6D178F-F6AF-4838-8536-C7C458696318}"/>
    <cellStyle name="Normal 9 3 3 2 6" xfId="2679" xr:uid="{00000000-0005-0000-0000-00000C200000}"/>
    <cellStyle name="Normal 9 3 3 2 6 2" xfId="6963" xr:uid="{00000000-0005-0000-0000-00000D200000}"/>
    <cellStyle name="Normal 9 3 3 2 6 2 2" xfId="15405" xr:uid="{92AA0778-97C4-47DC-BE24-5A6F4AF686B8}"/>
    <cellStyle name="Normal 9 3 3 2 6 3" xfId="11187" xr:uid="{02EAE4E7-533D-42AA-B87D-39D29762771A}"/>
    <cellStyle name="Normal 9 3 3 2 7" xfId="4898" xr:uid="{00000000-0005-0000-0000-00000E200000}"/>
    <cellStyle name="Normal 9 3 3 2 7 2" xfId="13340" xr:uid="{0D11C8CE-0C90-4849-AA0C-F360BCA42DE4}"/>
    <cellStyle name="Normal 9 3 3 2 8" xfId="9122" xr:uid="{299CFE79-1BBD-4E92-8B08-2D8E0C53E613}"/>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7FE79676-4183-4938-AF1D-96F8367B4D72}"/>
    <cellStyle name="Normal 9 3 3 3 2 3" xfId="11679" xr:uid="{D57B476B-8C49-443B-8A3D-1B42D7543DAB}"/>
    <cellStyle name="Normal 9 3 3 3 3" xfId="5310" xr:uid="{00000000-0005-0000-0000-000012200000}"/>
    <cellStyle name="Normal 9 3 3 3 3 2" xfId="13752" xr:uid="{760E7A2C-67AC-410C-9A54-4B673A80C7C1}"/>
    <cellStyle name="Normal 9 3 3 3 4" xfId="9534" xr:uid="{D9B8B063-4FF3-4A3A-861C-925CC8E82A93}"/>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54C52C6C-C3EC-4078-BA77-81EED161B8D0}"/>
    <cellStyle name="Normal 9 3 3 4 2 3" xfId="12092" xr:uid="{545E6DB8-7205-4FB1-AA57-8DECB9312E28}"/>
    <cellStyle name="Normal 9 3 3 4 3" xfId="5723" xr:uid="{00000000-0005-0000-0000-000016200000}"/>
    <cellStyle name="Normal 9 3 3 4 3 2" xfId="14165" xr:uid="{E211C838-1528-45FA-AEA9-2208D783D008}"/>
    <cellStyle name="Normal 9 3 3 4 4" xfId="9947" xr:uid="{842B0FD7-AD28-4832-863C-3230B2427137}"/>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D9C51BDF-C54F-481A-A302-325C03D2C761}"/>
    <cellStyle name="Normal 9 3 3 5 2 3" xfId="12505" xr:uid="{291CDDC6-2CE5-40A3-BF1D-4D9991BCC5FF}"/>
    <cellStyle name="Normal 9 3 3 5 3" xfId="6136" xr:uid="{00000000-0005-0000-0000-00001A200000}"/>
    <cellStyle name="Normal 9 3 3 5 3 2" xfId="14578" xr:uid="{E84D71A9-5487-4842-8AC9-B18625EC6C82}"/>
    <cellStyle name="Normal 9 3 3 5 4" xfId="10360" xr:uid="{6B609947-FAAD-4B82-96D8-395D9F98DCAE}"/>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E149020-D097-4D3C-A9B7-23AC20291440}"/>
    <cellStyle name="Normal 9 3 3 6 2 3" xfId="12918" xr:uid="{872895FD-4B09-42C0-8B28-4583CE18DD37}"/>
    <cellStyle name="Normal 9 3 3 6 3" xfId="6549" xr:uid="{00000000-0005-0000-0000-00001E200000}"/>
    <cellStyle name="Normal 9 3 3 6 3 2" xfId="14991" xr:uid="{F8BB700A-6DFE-46F8-AA28-0D14F8B7D9D7}"/>
    <cellStyle name="Normal 9 3 3 6 4" xfId="10773" xr:uid="{00BB5A5A-F9BC-4F00-8487-5ECCC62701E0}"/>
    <cellStyle name="Normal 9 3 3 7" xfId="2678" xr:uid="{00000000-0005-0000-0000-00001F200000}"/>
    <cellStyle name="Normal 9 3 3 7 2" xfId="6962" xr:uid="{00000000-0005-0000-0000-000020200000}"/>
    <cellStyle name="Normal 9 3 3 7 2 2" xfId="15404" xr:uid="{CBEA90C5-5D44-4637-B2D5-7E8674DAC284}"/>
    <cellStyle name="Normal 9 3 3 7 3" xfId="11186" xr:uid="{BF7DBBC1-1A65-4E0D-9877-C2C3D170F25E}"/>
    <cellStyle name="Normal 9 3 3 8" xfId="4897" xr:uid="{00000000-0005-0000-0000-000021200000}"/>
    <cellStyle name="Normal 9 3 3 8 2" xfId="13339" xr:uid="{15DF955F-229F-40BC-AD07-EF27941E6C0A}"/>
    <cellStyle name="Normal 9 3 3 9" xfId="9121" xr:uid="{C94222DE-26A6-4E79-83A8-72C6917895CF}"/>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2C73C00D-5C84-4D18-93C2-8F04A0BC4D18}"/>
    <cellStyle name="Normal 9 3 4 2 2 3" xfId="11681" xr:uid="{28C05EB6-5EE1-4EC4-B8CC-91EFFD7CECAE}"/>
    <cellStyle name="Normal 9 3 4 2 3" xfId="5312" xr:uid="{00000000-0005-0000-0000-000026200000}"/>
    <cellStyle name="Normal 9 3 4 2 3 2" xfId="13754" xr:uid="{FF7304B3-9136-4CBA-9097-54879A724CCE}"/>
    <cellStyle name="Normal 9 3 4 2 4" xfId="9536" xr:uid="{A6882585-82CE-4303-BA79-1ED50269D307}"/>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B345C945-ECE1-4A78-826A-761C921DF1BE}"/>
    <cellStyle name="Normal 9 3 4 3 2 3" xfId="12094" xr:uid="{F0272B95-75A3-443A-A749-5B7E1766BB53}"/>
    <cellStyle name="Normal 9 3 4 3 3" xfId="5725" xr:uid="{00000000-0005-0000-0000-00002A200000}"/>
    <cellStyle name="Normal 9 3 4 3 3 2" xfId="14167" xr:uid="{A55D7627-0032-476F-9541-D7CDFE37DF13}"/>
    <cellStyle name="Normal 9 3 4 3 4" xfId="9949" xr:uid="{5A7FD641-5FA4-4C6B-BCC9-C0EADDDFD346}"/>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1D9C19E3-4FB1-4683-8F3F-E7169E489EBD}"/>
    <cellStyle name="Normal 9 3 4 4 2 3" xfId="12507" xr:uid="{C87A7A9C-1728-4363-ABFA-F586D21AE7A9}"/>
    <cellStyle name="Normal 9 3 4 4 3" xfId="6138" xr:uid="{00000000-0005-0000-0000-00002E200000}"/>
    <cellStyle name="Normal 9 3 4 4 3 2" xfId="14580" xr:uid="{76BC4D2A-610B-49A1-ACCA-691A4D86CF01}"/>
    <cellStyle name="Normal 9 3 4 4 4" xfId="10362" xr:uid="{1FEA5E0B-F780-4561-8FB7-CC3798A707E8}"/>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B8290FBE-3B4D-4827-9183-C30263FFA4A2}"/>
    <cellStyle name="Normal 9 3 4 5 2 3" xfId="12920" xr:uid="{E0107292-3180-4C84-89EC-D660A0EEF282}"/>
    <cellStyle name="Normal 9 3 4 5 3" xfId="6551" xr:uid="{00000000-0005-0000-0000-000032200000}"/>
    <cellStyle name="Normal 9 3 4 5 3 2" xfId="14993" xr:uid="{D2428A52-C57F-4873-A437-261ED096C865}"/>
    <cellStyle name="Normal 9 3 4 5 4" xfId="10775" xr:uid="{34583DAA-B2EC-4D8C-B97E-CA1FA4A13404}"/>
    <cellStyle name="Normal 9 3 4 6" xfId="2680" xr:uid="{00000000-0005-0000-0000-000033200000}"/>
    <cellStyle name="Normal 9 3 4 6 2" xfId="6964" xr:uid="{00000000-0005-0000-0000-000034200000}"/>
    <cellStyle name="Normal 9 3 4 6 2 2" xfId="15406" xr:uid="{8F9D8659-0919-4466-A9A9-72D94FDD2C7E}"/>
    <cellStyle name="Normal 9 3 4 6 3" xfId="11188" xr:uid="{14B2706F-13AF-485E-A123-F2ABCE4F5ECD}"/>
    <cellStyle name="Normal 9 3 4 7" xfId="4899" xr:uid="{00000000-0005-0000-0000-000035200000}"/>
    <cellStyle name="Normal 9 3 4 7 2" xfId="13341" xr:uid="{F0FFF317-4110-4E3F-9F2A-26E5FE65D532}"/>
    <cellStyle name="Normal 9 3 4 8" xfId="9123" xr:uid="{2D42C224-6ACE-4F77-956C-9A45A0FD183D}"/>
    <cellStyle name="Normal 9 3 5" xfId="994" xr:uid="{00000000-0005-0000-0000-000036200000}"/>
    <cellStyle name="Normal 9 3 5 2" xfId="3227" xr:uid="{00000000-0005-0000-0000-000037200000}"/>
    <cellStyle name="Normal 9 3 5 2 2" xfId="7450" xr:uid="{00000000-0005-0000-0000-000038200000}"/>
    <cellStyle name="Normal 9 3 5 2 2 2" xfId="15892" xr:uid="{53A44584-0E97-410E-9A23-6EB99D9EE52F}"/>
    <cellStyle name="Normal 9 3 5 2 3" xfId="11674" xr:uid="{8E85C460-B633-40B4-942A-6755229B23CE}"/>
    <cellStyle name="Normal 9 3 5 3" xfId="5305" xr:uid="{00000000-0005-0000-0000-000039200000}"/>
    <cellStyle name="Normal 9 3 5 3 2" xfId="13747" xr:uid="{2DCE9FBD-C351-4FB4-869A-33856357FE21}"/>
    <cellStyle name="Normal 9 3 5 4" xfId="9529" xr:uid="{30681C1E-1640-4515-9F11-F438BFA45F64}"/>
    <cellStyle name="Normal 9 3 6" xfId="1410" xr:uid="{00000000-0005-0000-0000-00003A200000}"/>
    <cellStyle name="Normal 9 3 6 2" xfId="3640" xr:uid="{00000000-0005-0000-0000-00003B200000}"/>
    <cellStyle name="Normal 9 3 6 2 2" xfId="7863" xr:uid="{00000000-0005-0000-0000-00003C200000}"/>
    <cellStyle name="Normal 9 3 6 2 2 2" xfId="16305" xr:uid="{9B267A07-756F-4A1F-9D94-F338DFBBB072}"/>
    <cellStyle name="Normal 9 3 6 2 3" xfId="12087" xr:uid="{62B4E94A-1B2D-4FC0-807B-C5D7603AA1AE}"/>
    <cellStyle name="Normal 9 3 6 3" xfId="5718" xr:uid="{00000000-0005-0000-0000-00003D200000}"/>
    <cellStyle name="Normal 9 3 6 3 2" xfId="14160" xr:uid="{0089878E-6B61-4739-9CED-E4C0DA5906D3}"/>
    <cellStyle name="Normal 9 3 6 4" xfId="9942" xr:uid="{66A4A953-3A4D-43CF-99D9-868C44F4D449}"/>
    <cellStyle name="Normal 9 3 7" xfId="1823" xr:uid="{00000000-0005-0000-0000-00003E200000}"/>
    <cellStyle name="Normal 9 3 7 2" xfId="4053" xr:uid="{00000000-0005-0000-0000-00003F200000}"/>
    <cellStyle name="Normal 9 3 7 2 2" xfId="8276" xr:uid="{00000000-0005-0000-0000-000040200000}"/>
    <cellStyle name="Normal 9 3 7 2 2 2" xfId="16718" xr:uid="{F063EA5C-DA44-4514-8B1A-ABCC13E7258E}"/>
    <cellStyle name="Normal 9 3 7 2 3" xfId="12500" xr:uid="{540AC074-A27C-4D48-BA07-C91ECE9D8DFE}"/>
    <cellStyle name="Normal 9 3 7 3" xfId="6131" xr:uid="{00000000-0005-0000-0000-000041200000}"/>
    <cellStyle name="Normal 9 3 7 3 2" xfId="14573" xr:uid="{21260CBF-79E7-4F73-87E7-D8EFA9111070}"/>
    <cellStyle name="Normal 9 3 7 4" xfId="10355" xr:uid="{D9671CD5-701C-4841-9D53-D5AE07E0C2C2}"/>
    <cellStyle name="Normal 9 3 8" xfId="2237" xr:uid="{00000000-0005-0000-0000-000042200000}"/>
    <cellStyle name="Normal 9 3 8 2" xfId="4466" xr:uid="{00000000-0005-0000-0000-000043200000}"/>
    <cellStyle name="Normal 9 3 8 2 2" xfId="8689" xr:uid="{00000000-0005-0000-0000-000044200000}"/>
    <cellStyle name="Normal 9 3 8 2 2 2" xfId="17131" xr:uid="{EF89B938-4FEA-4FD4-86DF-244C2A888E87}"/>
    <cellStyle name="Normal 9 3 8 2 3" xfId="12913" xr:uid="{C791FA3E-5DA7-41AB-B516-E31124FA8C87}"/>
    <cellStyle name="Normal 9 3 8 3" xfId="6544" xr:uid="{00000000-0005-0000-0000-000045200000}"/>
    <cellStyle name="Normal 9 3 8 3 2" xfId="14986" xr:uid="{2E1CAFC6-3DF4-45B5-BFF9-786A1A2A8608}"/>
    <cellStyle name="Normal 9 3 8 4" xfId="10768" xr:uid="{EA057BFF-904B-4CDE-9A3A-CD42D49F2DFF}"/>
    <cellStyle name="Normal 9 3 9" xfId="2673" xr:uid="{00000000-0005-0000-0000-000046200000}"/>
    <cellStyle name="Normal 9 3 9 2" xfId="6957" xr:uid="{00000000-0005-0000-0000-000047200000}"/>
    <cellStyle name="Normal 9 3 9 2 2" xfId="15399" xr:uid="{41898219-1222-4B68-AB36-DD2BC07478CE}"/>
    <cellStyle name="Normal 9 3 9 3" xfId="11181" xr:uid="{EF87E985-F624-46B2-89CA-5DF057E94E75}"/>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170AB895-2C06-4A28-A999-EE78D7F44008}"/>
    <cellStyle name="Normal 9 5 2 2 2 3" xfId="11683" xr:uid="{C16364C9-3E38-4E4A-9CFF-E5B62E30A159}"/>
    <cellStyle name="Normal 9 5 2 2 3" xfId="5314" xr:uid="{00000000-0005-0000-0000-00004F200000}"/>
    <cellStyle name="Normal 9 5 2 2 3 2" xfId="13756" xr:uid="{C18D9C1A-AC9F-4D2D-9E82-82CAB6302C7D}"/>
    <cellStyle name="Normal 9 5 2 2 4" xfId="9538" xr:uid="{2457D79F-1F0E-4C63-93A9-268C0AD8BE4F}"/>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1B6EDB75-B9A1-4886-B142-2D358BF5E857}"/>
    <cellStyle name="Normal 9 5 2 3 2 3" xfId="12096" xr:uid="{6A4A2313-8B08-4F59-995B-5E810BB280AA}"/>
    <cellStyle name="Normal 9 5 2 3 3" xfId="5727" xr:uid="{00000000-0005-0000-0000-000053200000}"/>
    <cellStyle name="Normal 9 5 2 3 3 2" xfId="14169" xr:uid="{D857D615-0726-4838-AFA2-8F756D1966AB}"/>
    <cellStyle name="Normal 9 5 2 3 4" xfId="9951" xr:uid="{0C2D5E43-84B6-4D75-A8C9-BC5A0A2F64D7}"/>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52E7B82A-8F82-4610-B4D6-BF3C7FE12A45}"/>
    <cellStyle name="Normal 9 5 2 4 2 3" xfId="12509" xr:uid="{BE0F6CBD-6A31-4D6A-BFB0-97E8CE7794E8}"/>
    <cellStyle name="Normal 9 5 2 4 3" xfId="6140" xr:uid="{00000000-0005-0000-0000-000057200000}"/>
    <cellStyle name="Normal 9 5 2 4 3 2" xfId="14582" xr:uid="{6ADDC92B-24A9-4A31-A357-8E6BDFA321F4}"/>
    <cellStyle name="Normal 9 5 2 4 4" xfId="10364" xr:uid="{79B08F59-7057-4DD2-9CCD-3A161E4CC8F5}"/>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50A4544B-63CE-4FD2-9871-D4BEEC6B75D2}"/>
    <cellStyle name="Normal 9 5 2 5 2 3" xfId="12922" xr:uid="{8A5A11D7-0ACC-45EE-9514-0A881775219B}"/>
    <cellStyle name="Normal 9 5 2 5 3" xfId="6553" xr:uid="{00000000-0005-0000-0000-00005B200000}"/>
    <cellStyle name="Normal 9 5 2 5 3 2" xfId="14995" xr:uid="{210C8A78-3835-4A1F-B4AE-A288CA9D245B}"/>
    <cellStyle name="Normal 9 5 2 5 4" xfId="10777" xr:uid="{150BD27C-CBB7-4B3B-B821-FAC343C931A1}"/>
    <cellStyle name="Normal 9 5 2 6" xfId="2682" xr:uid="{00000000-0005-0000-0000-00005C200000}"/>
    <cellStyle name="Normal 9 5 2 6 2" xfId="6966" xr:uid="{00000000-0005-0000-0000-00005D200000}"/>
    <cellStyle name="Normal 9 5 2 6 2 2" xfId="15408" xr:uid="{29E9EEB4-49F3-486F-9843-8EF84DCCBAF7}"/>
    <cellStyle name="Normal 9 5 2 6 3" xfId="11190" xr:uid="{76334896-17E4-4E39-A7E3-51AE83069BA3}"/>
    <cellStyle name="Normal 9 5 2 7" xfId="4901" xr:uid="{00000000-0005-0000-0000-00005E200000}"/>
    <cellStyle name="Normal 9 5 2 7 2" xfId="13343" xr:uid="{1EAE0E12-6F15-49F2-849E-D44062CF061D}"/>
    <cellStyle name="Normal 9 5 2 8" xfId="9125" xr:uid="{BE8ED269-7D9B-459C-B963-42A7BEA2DD6A}"/>
    <cellStyle name="Normal 9 5 3" xfId="1003" xr:uid="{00000000-0005-0000-0000-00005F200000}"/>
    <cellStyle name="Normal 9 5 3 2" xfId="3235" xr:uid="{00000000-0005-0000-0000-000060200000}"/>
    <cellStyle name="Normal 9 5 3 2 2" xfId="7458" xr:uid="{00000000-0005-0000-0000-000061200000}"/>
    <cellStyle name="Normal 9 5 3 2 2 2" xfId="15900" xr:uid="{4D661DF1-BA94-4D32-BC6E-9AF906D5F878}"/>
    <cellStyle name="Normal 9 5 3 2 3" xfId="11682" xr:uid="{2131ED33-D68D-4B0D-AB87-CA4AC1D415C1}"/>
    <cellStyle name="Normal 9 5 3 3" xfId="5313" xr:uid="{00000000-0005-0000-0000-000062200000}"/>
    <cellStyle name="Normal 9 5 3 3 2" xfId="13755" xr:uid="{B8169BCF-2C30-405B-A0FC-56B5CC0ED89F}"/>
    <cellStyle name="Normal 9 5 3 4" xfId="9537" xr:uid="{3829C3A3-B6C5-45C8-AF11-80A50559F1FE}"/>
    <cellStyle name="Normal 9 5 4" xfId="1418" xr:uid="{00000000-0005-0000-0000-000063200000}"/>
    <cellStyle name="Normal 9 5 4 2" xfId="3648" xr:uid="{00000000-0005-0000-0000-000064200000}"/>
    <cellStyle name="Normal 9 5 4 2 2" xfId="7871" xr:uid="{00000000-0005-0000-0000-000065200000}"/>
    <cellStyle name="Normal 9 5 4 2 2 2" xfId="16313" xr:uid="{77CAACB4-8491-46F7-9009-24BC731D5439}"/>
    <cellStyle name="Normal 9 5 4 2 3" xfId="12095" xr:uid="{3371732D-CF80-4AE3-8979-8656F4797A05}"/>
    <cellStyle name="Normal 9 5 4 3" xfId="5726" xr:uid="{00000000-0005-0000-0000-000066200000}"/>
    <cellStyle name="Normal 9 5 4 3 2" xfId="14168" xr:uid="{EB367EF7-CB56-41BC-8B44-349A56111324}"/>
    <cellStyle name="Normal 9 5 4 4" xfId="9950" xr:uid="{29EBB58B-AECD-4CB5-9381-6D1842D886F4}"/>
    <cellStyle name="Normal 9 5 5" xfId="1831" xr:uid="{00000000-0005-0000-0000-000067200000}"/>
    <cellStyle name="Normal 9 5 5 2" xfId="4061" xr:uid="{00000000-0005-0000-0000-000068200000}"/>
    <cellStyle name="Normal 9 5 5 2 2" xfId="8284" xr:uid="{00000000-0005-0000-0000-000069200000}"/>
    <cellStyle name="Normal 9 5 5 2 2 2" xfId="16726" xr:uid="{8886AADC-36B3-4DEC-918F-1E4C4BC597EE}"/>
    <cellStyle name="Normal 9 5 5 2 3" xfId="12508" xr:uid="{76F39794-503E-4458-A04D-A76D051FCB1B}"/>
    <cellStyle name="Normal 9 5 5 3" xfId="6139" xr:uid="{00000000-0005-0000-0000-00006A200000}"/>
    <cellStyle name="Normal 9 5 5 3 2" xfId="14581" xr:uid="{4CA10169-858E-4351-BB07-7CFEEB9BE01B}"/>
    <cellStyle name="Normal 9 5 5 4" xfId="10363" xr:uid="{56B9DD4D-B045-41A5-AAF0-36409965D81C}"/>
    <cellStyle name="Normal 9 5 6" xfId="2245" xr:uid="{00000000-0005-0000-0000-00006B200000}"/>
    <cellStyle name="Normal 9 5 6 2" xfId="4474" xr:uid="{00000000-0005-0000-0000-00006C200000}"/>
    <cellStyle name="Normal 9 5 6 2 2" xfId="8697" xr:uid="{00000000-0005-0000-0000-00006D200000}"/>
    <cellStyle name="Normal 9 5 6 2 2 2" xfId="17139" xr:uid="{32B2EAC5-E517-4E6E-94C8-87CBD9697E2B}"/>
    <cellStyle name="Normal 9 5 6 2 3" xfId="12921" xr:uid="{103C9AE2-1037-4B2F-9E2F-46DB63F720F4}"/>
    <cellStyle name="Normal 9 5 6 3" xfId="6552" xr:uid="{00000000-0005-0000-0000-00006E200000}"/>
    <cellStyle name="Normal 9 5 6 3 2" xfId="14994" xr:uid="{292A5015-13B8-447B-AFA1-8BD2BB619659}"/>
    <cellStyle name="Normal 9 5 6 4" xfId="10776" xr:uid="{11C68F59-D751-42F1-9F91-A37D29FC5F1C}"/>
    <cellStyle name="Normal 9 5 7" xfId="2681" xr:uid="{00000000-0005-0000-0000-00006F200000}"/>
    <cellStyle name="Normal 9 5 7 2" xfId="6965" xr:uid="{00000000-0005-0000-0000-000070200000}"/>
    <cellStyle name="Normal 9 5 7 2 2" xfId="15407" xr:uid="{ED064EAF-56AA-46E2-86F4-703461BCC4DA}"/>
    <cellStyle name="Normal 9 5 7 3" xfId="11189" xr:uid="{589373EF-098E-4520-AA75-BBDD61DF5535}"/>
    <cellStyle name="Normal 9 5 8" xfId="4900" xr:uid="{00000000-0005-0000-0000-000071200000}"/>
    <cellStyle name="Normal 9 5 8 2" xfId="13342" xr:uid="{554A1751-9970-461F-85A0-F7FECD73F70D}"/>
    <cellStyle name="Normal 9 5 9" xfId="9124" xr:uid="{0F4B2D92-8B76-4EFB-AD8C-6C5CA5A9B368}"/>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44ED42A4-49F3-4212-94B3-3C56E13BCB25}"/>
    <cellStyle name="Normal 9 6 2 2 3" xfId="11684" xr:uid="{5817787B-2D1F-4635-8B51-89E37420ADE1}"/>
    <cellStyle name="Normal 9 6 2 3" xfId="5315" xr:uid="{00000000-0005-0000-0000-000076200000}"/>
    <cellStyle name="Normal 9 6 2 3 2" xfId="13757" xr:uid="{31F2F68A-658A-4207-BF25-37C6A57509CF}"/>
    <cellStyle name="Normal 9 6 2 4" xfId="9539" xr:uid="{D9943BE0-165A-4B29-A2C6-6727BD545B21}"/>
    <cellStyle name="Normal 9 6 3" xfId="1420" xr:uid="{00000000-0005-0000-0000-000077200000}"/>
    <cellStyle name="Normal 9 6 3 2" xfId="3650" xr:uid="{00000000-0005-0000-0000-000078200000}"/>
    <cellStyle name="Normal 9 6 3 2 2" xfId="7873" xr:uid="{00000000-0005-0000-0000-000079200000}"/>
    <cellStyle name="Normal 9 6 3 2 2 2" xfId="16315" xr:uid="{D67B102F-C5A1-4C49-B6CF-A6D738FD577A}"/>
    <cellStyle name="Normal 9 6 3 2 3" xfId="12097" xr:uid="{0FD5AD46-0983-4B9E-9967-3E3389CD6848}"/>
    <cellStyle name="Normal 9 6 3 3" xfId="5728" xr:uid="{00000000-0005-0000-0000-00007A200000}"/>
    <cellStyle name="Normal 9 6 3 3 2" xfId="14170" xr:uid="{DE124CF2-4F90-481D-9A16-042C9EE45947}"/>
    <cellStyle name="Normal 9 6 3 4" xfId="9952" xr:uid="{297A82D6-DEE7-4631-9975-680E409C3DCB}"/>
    <cellStyle name="Normal 9 6 4" xfId="1833" xr:uid="{00000000-0005-0000-0000-00007B200000}"/>
    <cellStyle name="Normal 9 6 4 2" xfId="4063" xr:uid="{00000000-0005-0000-0000-00007C200000}"/>
    <cellStyle name="Normal 9 6 4 2 2" xfId="8286" xr:uid="{00000000-0005-0000-0000-00007D200000}"/>
    <cellStyle name="Normal 9 6 4 2 2 2" xfId="16728" xr:uid="{9029E93A-DA76-4E39-8647-61EDAD5D72EB}"/>
    <cellStyle name="Normal 9 6 4 2 3" xfId="12510" xr:uid="{17CB0C49-768C-41E3-91E8-4058FBD1A7E1}"/>
    <cellStyle name="Normal 9 6 4 3" xfId="6141" xr:uid="{00000000-0005-0000-0000-00007E200000}"/>
    <cellStyle name="Normal 9 6 4 3 2" xfId="14583" xr:uid="{DDE2D66F-1AB6-4C6A-8E04-2A2930B34B1A}"/>
    <cellStyle name="Normal 9 6 4 4" xfId="10365" xr:uid="{59B09415-8272-4405-AE57-F98485C4A9B6}"/>
    <cellStyle name="Normal 9 6 5" xfId="2247" xr:uid="{00000000-0005-0000-0000-00007F200000}"/>
    <cellStyle name="Normal 9 6 5 2" xfId="4476" xr:uid="{00000000-0005-0000-0000-000080200000}"/>
    <cellStyle name="Normal 9 6 5 2 2" xfId="8699" xr:uid="{00000000-0005-0000-0000-000081200000}"/>
    <cellStyle name="Normal 9 6 5 2 2 2" xfId="17141" xr:uid="{7F3C292C-12E4-42D6-A080-2A3B791176EE}"/>
    <cellStyle name="Normal 9 6 5 2 3" xfId="12923" xr:uid="{A1F7D7C1-C9B5-414B-ADB8-082025A9488F}"/>
    <cellStyle name="Normal 9 6 5 3" xfId="6554" xr:uid="{00000000-0005-0000-0000-000082200000}"/>
    <cellStyle name="Normal 9 6 5 3 2" xfId="14996" xr:uid="{E4B87893-654F-4E05-9C15-74D15436584F}"/>
    <cellStyle name="Normal 9 6 5 4" xfId="10778" xr:uid="{B0B112B0-96AD-4C3A-AFA4-FD573D0C3FA5}"/>
    <cellStyle name="Normal 9 6 6" xfId="2683" xr:uid="{00000000-0005-0000-0000-000083200000}"/>
    <cellStyle name="Normal 9 6 6 2" xfId="6967" xr:uid="{00000000-0005-0000-0000-000084200000}"/>
    <cellStyle name="Normal 9 6 6 2 2" xfId="15409" xr:uid="{C8D82013-DBAA-436A-BD08-AA4E69A9CC5B}"/>
    <cellStyle name="Normal 9 6 6 3" xfId="11191" xr:uid="{850690F0-AB26-41BB-A8B2-23FD26D38036}"/>
    <cellStyle name="Normal 9 6 7" xfId="4902" xr:uid="{00000000-0005-0000-0000-000085200000}"/>
    <cellStyle name="Normal 9 6 7 2" xfId="13344" xr:uid="{29A891F5-0F17-4896-84A6-505DEB822000}"/>
    <cellStyle name="Normal 9 6 8" xfId="9126" xr:uid="{D4B078DB-8DA7-476A-BB9A-AA73DAC3205C}"/>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0690CD74-D2AB-4DEE-B7FE-E9C73164C809}"/>
    <cellStyle name="Note 2 2 10 3" xfId="11272" xr:uid="{1F0F6E5E-7B8B-4B44-A6A1-6B3E455D9B21}"/>
    <cellStyle name="Note 2 2 11" xfId="4903" xr:uid="{00000000-0005-0000-0000-000094200000}"/>
    <cellStyle name="Note 2 2 11 2" xfId="13345" xr:uid="{DE18E961-9F65-4B70-8EB5-40DD0E258880}"/>
    <cellStyle name="Note 2 2 12" xfId="9127" xr:uid="{0B3B32D1-12F9-44ED-BBA5-9D6D993CE4BF}"/>
    <cellStyle name="Note 2 2 2" xfId="546" xr:uid="{00000000-0005-0000-0000-000095200000}"/>
    <cellStyle name="Note 2 2 2 10" xfId="4904" xr:uid="{00000000-0005-0000-0000-000096200000}"/>
    <cellStyle name="Note 2 2 2 10 2" xfId="13346" xr:uid="{E5C68741-BCEE-40E1-9950-E7787CA5C2D6}"/>
    <cellStyle name="Note 2 2 2 11" xfId="9128" xr:uid="{249CF84E-FD63-4C8E-BDF4-D1A942CF5D76}"/>
    <cellStyle name="Note 2 2 2 2" xfId="547" xr:uid="{00000000-0005-0000-0000-000097200000}"/>
    <cellStyle name="Note 2 2 2 2 10" xfId="9129" xr:uid="{2CEB851A-5A6A-4FFB-877D-FEFDCA6FF25C}"/>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6B46D159-84FF-4966-981E-8ED6EA063888}"/>
    <cellStyle name="Note 2 2 2 2 2 2 3" xfId="11687" xr:uid="{22D4C3F9-C550-446F-88AD-B3AD03695F2B}"/>
    <cellStyle name="Note 2 2 2 2 2 3" xfId="5318" xr:uid="{00000000-0005-0000-0000-00009B200000}"/>
    <cellStyle name="Note 2 2 2 2 2 3 2" xfId="13760" xr:uid="{C2D1033F-F456-4478-B3CC-0FBF4EE7F686}"/>
    <cellStyle name="Note 2 2 2 2 2 4" xfId="9542" xr:uid="{0F6B985B-CCF5-42DA-8FA8-857EB49A9C70}"/>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E81E8D10-192B-4029-BA78-EB2912898C6B}"/>
    <cellStyle name="Note 2 2 2 2 3 2 3" xfId="12100" xr:uid="{92A9BF7D-C7DC-4F4F-86E4-3D1819DFF12B}"/>
    <cellStyle name="Note 2 2 2 2 3 3" xfId="5731" xr:uid="{00000000-0005-0000-0000-00009F200000}"/>
    <cellStyle name="Note 2 2 2 2 3 3 2" xfId="14173" xr:uid="{01C1F136-A32C-4C80-A013-D675BE505D7F}"/>
    <cellStyle name="Note 2 2 2 2 3 4" xfId="9955" xr:uid="{74BB4E6F-5AD9-4546-9EE4-2FD507353647}"/>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2486D453-E56A-4107-854A-F5D5E09EBADA}"/>
    <cellStyle name="Note 2 2 2 2 4 2 3" xfId="12513" xr:uid="{0AEF03BD-F15B-446A-B9A9-FA1A03DEE168}"/>
    <cellStyle name="Note 2 2 2 2 4 3" xfId="6144" xr:uid="{00000000-0005-0000-0000-0000A3200000}"/>
    <cellStyle name="Note 2 2 2 2 4 3 2" xfId="14586" xr:uid="{1B863BB8-1BDD-4772-B93D-13C4E12EF19B}"/>
    <cellStyle name="Note 2 2 2 2 4 4" xfId="10368" xr:uid="{723DA0F5-F30C-4460-91F3-938B9A7FE77F}"/>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A189151B-93F9-41F1-9A6E-D7B4F9B0D0D1}"/>
    <cellStyle name="Note 2 2 2 2 5 2 3" xfId="12926" xr:uid="{9F9FAFD2-4C88-454E-B727-8DAA2F40632F}"/>
    <cellStyle name="Note 2 2 2 2 5 3" xfId="6557" xr:uid="{00000000-0005-0000-0000-0000A7200000}"/>
    <cellStyle name="Note 2 2 2 2 5 3 2" xfId="14999" xr:uid="{E73158E8-FFE4-4B70-85F1-2666EA9611E2}"/>
    <cellStyle name="Note 2 2 2 2 5 4" xfId="10781" xr:uid="{B88B1127-64FC-4804-8585-7335EDF23F50}"/>
    <cellStyle name="Note 2 2 2 2 6" xfId="2686" xr:uid="{00000000-0005-0000-0000-0000A8200000}"/>
    <cellStyle name="Note 2 2 2 2 6 2" xfId="6970" xr:uid="{00000000-0005-0000-0000-0000A9200000}"/>
    <cellStyle name="Note 2 2 2 2 6 2 2" xfId="15412" xr:uid="{D6AFF47F-2477-4283-996B-922CF27E70A5}"/>
    <cellStyle name="Note 2 2 2 2 6 3" xfId="11194" xr:uid="{B3758D64-5F0F-4E47-B911-FC7491342D8F}"/>
    <cellStyle name="Note 2 2 2 2 7" xfId="2745" xr:uid="{00000000-0005-0000-0000-0000AA200000}"/>
    <cellStyle name="Note 2 2 2 2 8" xfId="2826" xr:uid="{00000000-0005-0000-0000-0000AB200000}"/>
    <cellStyle name="Note 2 2 2 2 8 2" xfId="7050" xr:uid="{00000000-0005-0000-0000-0000AC200000}"/>
    <cellStyle name="Note 2 2 2 2 8 2 2" xfId="15492" xr:uid="{5DF49AFA-E066-4E73-962F-C412B0F26D1F}"/>
    <cellStyle name="Note 2 2 2 2 8 3" xfId="11274" xr:uid="{2B07749A-AFCE-4E60-BD85-33AD3D0603C2}"/>
    <cellStyle name="Note 2 2 2 2 9" xfId="4905" xr:uid="{00000000-0005-0000-0000-0000AD200000}"/>
    <cellStyle name="Note 2 2 2 2 9 2" xfId="13347" xr:uid="{2FAFA069-F800-46CF-859D-B9E9F112C1F0}"/>
    <cellStyle name="Note 2 2 2 3" xfId="1007" xr:uid="{00000000-0005-0000-0000-0000AE200000}"/>
    <cellStyle name="Note 2 2 2 3 2" xfId="3239" xr:uid="{00000000-0005-0000-0000-0000AF200000}"/>
    <cellStyle name="Note 2 2 2 3 2 2" xfId="7462" xr:uid="{00000000-0005-0000-0000-0000B0200000}"/>
    <cellStyle name="Note 2 2 2 3 2 2 2" xfId="15904" xr:uid="{97034EAF-D244-4836-B4D4-E852EDAD3C99}"/>
    <cellStyle name="Note 2 2 2 3 2 3" xfId="11686" xr:uid="{FEE3C117-A736-4BE9-9D16-E5B7BC434D9D}"/>
    <cellStyle name="Note 2 2 2 3 3" xfId="5317" xr:uid="{00000000-0005-0000-0000-0000B1200000}"/>
    <cellStyle name="Note 2 2 2 3 3 2" xfId="13759" xr:uid="{64F4F1A1-65ED-4A55-96A6-6FB48F1CDAF6}"/>
    <cellStyle name="Note 2 2 2 3 4" xfId="9541" xr:uid="{CF72A588-C97D-4EC7-9BDA-EB51967468A1}"/>
    <cellStyle name="Note 2 2 2 4" xfId="1422" xr:uid="{00000000-0005-0000-0000-0000B2200000}"/>
    <cellStyle name="Note 2 2 2 4 2" xfId="3652" xr:uid="{00000000-0005-0000-0000-0000B3200000}"/>
    <cellStyle name="Note 2 2 2 4 2 2" xfId="7875" xr:uid="{00000000-0005-0000-0000-0000B4200000}"/>
    <cellStyle name="Note 2 2 2 4 2 2 2" xfId="16317" xr:uid="{73CD82E3-8663-4B43-AA5F-1CA6FAB79206}"/>
    <cellStyle name="Note 2 2 2 4 2 3" xfId="12099" xr:uid="{CBD975B9-A03A-45B5-A3FD-83A72E189C5F}"/>
    <cellStyle name="Note 2 2 2 4 3" xfId="5730" xr:uid="{00000000-0005-0000-0000-0000B5200000}"/>
    <cellStyle name="Note 2 2 2 4 3 2" xfId="14172" xr:uid="{CB18CC40-E14F-47A4-8F94-CE97F7EA2C0E}"/>
    <cellStyle name="Note 2 2 2 4 4" xfId="9954" xr:uid="{A199AC97-B0CD-44AC-ACF0-CD15E407C010}"/>
    <cellStyle name="Note 2 2 2 5" xfId="1836" xr:uid="{00000000-0005-0000-0000-0000B6200000}"/>
    <cellStyle name="Note 2 2 2 5 2" xfId="4065" xr:uid="{00000000-0005-0000-0000-0000B7200000}"/>
    <cellStyle name="Note 2 2 2 5 2 2" xfId="8288" xr:uid="{00000000-0005-0000-0000-0000B8200000}"/>
    <cellStyle name="Note 2 2 2 5 2 2 2" xfId="16730" xr:uid="{C34A42A9-08BD-402E-89A0-3A3FC1C9AD5E}"/>
    <cellStyle name="Note 2 2 2 5 2 3" xfId="12512" xr:uid="{CF88F4C6-877A-4374-AA85-DE4C28B5F6CB}"/>
    <cellStyle name="Note 2 2 2 5 3" xfId="6143" xr:uid="{00000000-0005-0000-0000-0000B9200000}"/>
    <cellStyle name="Note 2 2 2 5 3 2" xfId="14585" xr:uid="{03A4BA04-8B68-4CAC-864E-ABABC76B8564}"/>
    <cellStyle name="Note 2 2 2 5 4" xfId="10367" xr:uid="{1A90CC14-BBC5-46C7-8DE1-14E83670992E}"/>
    <cellStyle name="Note 2 2 2 6" xfId="2249" xr:uid="{00000000-0005-0000-0000-0000BA200000}"/>
    <cellStyle name="Note 2 2 2 6 2" xfId="4478" xr:uid="{00000000-0005-0000-0000-0000BB200000}"/>
    <cellStyle name="Note 2 2 2 6 2 2" xfId="8701" xr:uid="{00000000-0005-0000-0000-0000BC200000}"/>
    <cellStyle name="Note 2 2 2 6 2 2 2" xfId="17143" xr:uid="{3E53EF19-C4AF-47F9-B83B-961DC29EC1EE}"/>
    <cellStyle name="Note 2 2 2 6 2 3" xfId="12925" xr:uid="{A305760C-D56F-4F2A-9104-E221172183C6}"/>
    <cellStyle name="Note 2 2 2 6 3" xfId="6556" xr:uid="{00000000-0005-0000-0000-0000BD200000}"/>
    <cellStyle name="Note 2 2 2 6 3 2" xfId="14998" xr:uid="{52382E4B-5ECE-4386-BD62-CE04F983E98F}"/>
    <cellStyle name="Note 2 2 2 6 4" xfId="10780" xr:uid="{BAD80256-FF5D-4E7C-BEBE-AFB444E4095F}"/>
    <cellStyle name="Note 2 2 2 7" xfId="2685" xr:uid="{00000000-0005-0000-0000-0000BE200000}"/>
    <cellStyle name="Note 2 2 2 7 2" xfId="6969" xr:uid="{00000000-0005-0000-0000-0000BF200000}"/>
    <cellStyle name="Note 2 2 2 7 2 2" xfId="15411" xr:uid="{2292A161-EC9F-4173-921E-AE0B8ABB0999}"/>
    <cellStyle name="Note 2 2 2 7 3" xfId="11193" xr:uid="{019EDE99-EDB2-48E4-A89C-295F7E0C1D80}"/>
    <cellStyle name="Note 2 2 2 8" xfId="2744" xr:uid="{00000000-0005-0000-0000-0000C0200000}"/>
    <cellStyle name="Note 2 2 2 9" xfId="2825" xr:uid="{00000000-0005-0000-0000-0000C1200000}"/>
    <cellStyle name="Note 2 2 2 9 2" xfId="7049" xr:uid="{00000000-0005-0000-0000-0000C2200000}"/>
    <cellStyle name="Note 2 2 2 9 2 2" xfId="15491" xr:uid="{758CE4E9-9ABC-4C0A-8936-FF47811E9BF7}"/>
    <cellStyle name="Note 2 2 2 9 3" xfId="11273" xr:uid="{00748D52-D0B2-4AB9-B6FD-457D4DE66EDD}"/>
    <cellStyle name="Note 2 2 3" xfId="548" xr:uid="{00000000-0005-0000-0000-0000C3200000}"/>
    <cellStyle name="Note 2 2 3 10" xfId="9130" xr:uid="{BA5C784C-EC44-4BC4-8ED8-8FB14C4A683A}"/>
    <cellStyle name="Note 2 2 3 2" xfId="1009" xr:uid="{00000000-0005-0000-0000-0000C4200000}"/>
    <cellStyle name="Note 2 2 3 2 2" xfId="3241" xr:uid="{00000000-0005-0000-0000-0000C5200000}"/>
    <cellStyle name="Note 2 2 3 2 2 2" xfId="7464" xr:uid="{00000000-0005-0000-0000-0000C6200000}"/>
    <cellStyle name="Note 2 2 3 2 2 2 2" xfId="15906" xr:uid="{3C63FB8D-F6D8-46E0-973C-FA8373389C2B}"/>
    <cellStyle name="Note 2 2 3 2 2 3" xfId="11688" xr:uid="{2E024A94-7D1F-4496-B347-C07B83AA9B04}"/>
    <cellStyle name="Note 2 2 3 2 3" xfId="5319" xr:uid="{00000000-0005-0000-0000-0000C7200000}"/>
    <cellStyle name="Note 2 2 3 2 3 2" xfId="13761" xr:uid="{A59C9EBF-C6FC-406F-A808-8FE193A4C639}"/>
    <cellStyle name="Note 2 2 3 2 4" xfId="9543" xr:uid="{07FF5F21-5592-4E71-AA4E-0EC60ADC3113}"/>
    <cellStyle name="Note 2 2 3 3" xfId="1424" xr:uid="{00000000-0005-0000-0000-0000C8200000}"/>
    <cellStyle name="Note 2 2 3 3 2" xfId="3654" xr:uid="{00000000-0005-0000-0000-0000C9200000}"/>
    <cellStyle name="Note 2 2 3 3 2 2" xfId="7877" xr:uid="{00000000-0005-0000-0000-0000CA200000}"/>
    <cellStyle name="Note 2 2 3 3 2 2 2" xfId="16319" xr:uid="{C4FDAE43-C3C4-413B-9F2B-BD4BD0C9F5FC}"/>
    <cellStyle name="Note 2 2 3 3 2 3" xfId="12101" xr:uid="{A6570A28-B79E-4DA2-A774-AC44D15CB172}"/>
    <cellStyle name="Note 2 2 3 3 3" xfId="5732" xr:uid="{00000000-0005-0000-0000-0000CB200000}"/>
    <cellStyle name="Note 2 2 3 3 3 2" xfId="14174" xr:uid="{139265EC-12CC-4EB6-8A4E-174B0A445022}"/>
    <cellStyle name="Note 2 2 3 3 4" xfId="9956" xr:uid="{9DBABF4F-7C65-4EA4-A584-E08269947AF2}"/>
    <cellStyle name="Note 2 2 3 4" xfId="1838" xr:uid="{00000000-0005-0000-0000-0000CC200000}"/>
    <cellStyle name="Note 2 2 3 4 2" xfId="4067" xr:uid="{00000000-0005-0000-0000-0000CD200000}"/>
    <cellStyle name="Note 2 2 3 4 2 2" xfId="8290" xr:uid="{00000000-0005-0000-0000-0000CE200000}"/>
    <cellStyle name="Note 2 2 3 4 2 2 2" xfId="16732" xr:uid="{D404AA8E-6809-4C0C-A01B-14F3355B9DCC}"/>
    <cellStyle name="Note 2 2 3 4 2 3" xfId="12514" xr:uid="{4ED00A9A-31E9-48C0-AC75-D35871D8B1DE}"/>
    <cellStyle name="Note 2 2 3 4 3" xfId="6145" xr:uid="{00000000-0005-0000-0000-0000CF200000}"/>
    <cellStyle name="Note 2 2 3 4 3 2" xfId="14587" xr:uid="{8A4F0638-D2BE-40F6-B957-6D2709F33FA0}"/>
    <cellStyle name="Note 2 2 3 4 4" xfId="10369" xr:uid="{630A0560-0962-4279-A36F-B6EB1F1B1672}"/>
    <cellStyle name="Note 2 2 3 5" xfId="2251" xr:uid="{00000000-0005-0000-0000-0000D0200000}"/>
    <cellStyle name="Note 2 2 3 5 2" xfId="4480" xr:uid="{00000000-0005-0000-0000-0000D1200000}"/>
    <cellStyle name="Note 2 2 3 5 2 2" xfId="8703" xr:uid="{00000000-0005-0000-0000-0000D2200000}"/>
    <cellStyle name="Note 2 2 3 5 2 2 2" xfId="17145" xr:uid="{852AF184-0E07-4641-9D34-6CD19053ECD5}"/>
    <cellStyle name="Note 2 2 3 5 2 3" xfId="12927" xr:uid="{77BDBF90-FF92-4587-A505-78305B6C7C8B}"/>
    <cellStyle name="Note 2 2 3 5 3" xfId="6558" xr:uid="{00000000-0005-0000-0000-0000D3200000}"/>
    <cellStyle name="Note 2 2 3 5 3 2" xfId="15000" xr:uid="{7D2BAF42-0A54-4874-BAEC-DCE64A712E9B}"/>
    <cellStyle name="Note 2 2 3 5 4" xfId="10782" xr:uid="{1D5720CE-8AEF-441A-9193-3CD41629CF98}"/>
    <cellStyle name="Note 2 2 3 6" xfId="2687" xr:uid="{00000000-0005-0000-0000-0000D4200000}"/>
    <cellStyle name="Note 2 2 3 6 2" xfId="6971" xr:uid="{00000000-0005-0000-0000-0000D5200000}"/>
    <cellStyle name="Note 2 2 3 6 2 2" xfId="15413" xr:uid="{FBEC301F-8C51-4E8A-A1C3-A14651899363}"/>
    <cellStyle name="Note 2 2 3 6 3" xfId="11195" xr:uid="{5A8A2687-86F5-4C78-AA06-F3BB770621F7}"/>
    <cellStyle name="Note 2 2 3 7" xfId="2746" xr:uid="{00000000-0005-0000-0000-0000D6200000}"/>
    <cellStyle name="Note 2 2 3 8" xfId="2827" xr:uid="{00000000-0005-0000-0000-0000D7200000}"/>
    <cellStyle name="Note 2 2 3 8 2" xfId="7051" xr:uid="{00000000-0005-0000-0000-0000D8200000}"/>
    <cellStyle name="Note 2 2 3 8 2 2" xfId="15493" xr:uid="{7A459D2B-3947-498C-AEAE-943FFA69E7A6}"/>
    <cellStyle name="Note 2 2 3 8 3" xfId="11275" xr:uid="{9DDB6F3A-E18C-4CB8-8A43-0EA0BB764292}"/>
    <cellStyle name="Note 2 2 3 9" xfId="4906" xr:uid="{00000000-0005-0000-0000-0000D9200000}"/>
    <cellStyle name="Note 2 2 3 9 2" xfId="13348" xr:uid="{55BF95FC-B1B3-4E14-BB86-57055AE94370}"/>
    <cellStyle name="Note 2 2 4" xfId="1006" xr:uid="{00000000-0005-0000-0000-0000DA200000}"/>
    <cellStyle name="Note 2 2 4 2" xfId="3238" xr:uid="{00000000-0005-0000-0000-0000DB200000}"/>
    <cellStyle name="Note 2 2 4 2 2" xfId="7461" xr:uid="{00000000-0005-0000-0000-0000DC200000}"/>
    <cellStyle name="Note 2 2 4 2 2 2" xfId="15903" xr:uid="{B8D53FBA-EB31-48F4-9AB5-87D6A49233EF}"/>
    <cellStyle name="Note 2 2 4 2 3" xfId="11685" xr:uid="{FF3EAD4A-4A2E-4428-A677-565B6D3B5E27}"/>
    <cellStyle name="Note 2 2 4 3" xfId="5316" xr:uid="{00000000-0005-0000-0000-0000DD200000}"/>
    <cellStyle name="Note 2 2 4 3 2" xfId="13758" xr:uid="{21EBB3FC-C50D-4EC3-9CA3-86D2D7E03AE5}"/>
    <cellStyle name="Note 2 2 4 4" xfId="9540" xr:uid="{8578E324-DC15-47B1-A602-1D157D545FDE}"/>
    <cellStyle name="Note 2 2 5" xfId="1421" xr:uid="{00000000-0005-0000-0000-0000DE200000}"/>
    <cellStyle name="Note 2 2 5 2" xfId="3651" xr:uid="{00000000-0005-0000-0000-0000DF200000}"/>
    <cellStyle name="Note 2 2 5 2 2" xfId="7874" xr:uid="{00000000-0005-0000-0000-0000E0200000}"/>
    <cellStyle name="Note 2 2 5 2 2 2" xfId="16316" xr:uid="{BBE44A06-BE1D-4C5B-9572-F866E413A3FC}"/>
    <cellStyle name="Note 2 2 5 2 3" xfId="12098" xr:uid="{EFAD5A1D-A70A-41C6-9987-97441F525283}"/>
    <cellStyle name="Note 2 2 5 3" xfId="5729" xr:uid="{00000000-0005-0000-0000-0000E1200000}"/>
    <cellStyle name="Note 2 2 5 3 2" xfId="14171" xr:uid="{C0C67E77-7944-4646-8DA9-F7D371CBDB1D}"/>
    <cellStyle name="Note 2 2 5 4" xfId="9953" xr:uid="{EE57B850-478E-426A-815C-2AB5CA0DC0DB}"/>
    <cellStyle name="Note 2 2 6" xfId="1835" xr:uid="{00000000-0005-0000-0000-0000E2200000}"/>
    <cellStyle name="Note 2 2 6 2" xfId="4064" xr:uid="{00000000-0005-0000-0000-0000E3200000}"/>
    <cellStyle name="Note 2 2 6 2 2" xfId="8287" xr:uid="{00000000-0005-0000-0000-0000E4200000}"/>
    <cellStyle name="Note 2 2 6 2 2 2" xfId="16729" xr:uid="{9740388A-D74B-48B8-8401-B744FD1E9C4D}"/>
    <cellStyle name="Note 2 2 6 2 3" xfId="12511" xr:uid="{2EE76FB1-A9EA-4646-A3C7-635E5D008C22}"/>
    <cellStyle name="Note 2 2 6 3" xfId="6142" xr:uid="{00000000-0005-0000-0000-0000E5200000}"/>
    <cellStyle name="Note 2 2 6 3 2" xfId="14584" xr:uid="{4815886E-6984-45FC-87BF-415362F7FD61}"/>
    <cellStyle name="Note 2 2 6 4" xfId="10366" xr:uid="{5259C124-C6D8-4F57-8670-1BE118779FF5}"/>
    <cellStyle name="Note 2 2 7" xfId="2248" xr:uid="{00000000-0005-0000-0000-0000E6200000}"/>
    <cellStyle name="Note 2 2 7 2" xfId="4477" xr:uid="{00000000-0005-0000-0000-0000E7200000}"/>
    <cellStyle name="Note 2 2 7 2 2" xfId="8700" xr:uid="{00000000-0005-0000-0000-0000E8200000}"/>
    <cellStyle name="Note 2 2 7 2 2 2" xfId="17142" xr:uid="{8E96FB4F-064D-4F36-B73C-F9EF18D9D89E}"/>
    <cellStyle name="Note 2 2 7 2 3" xfId="12924" xr:uid="{B093B4F4-A8D2-4076-ACB5-A032A942A82E}"/>
    <cellStyle name="Note 2 2 7 3" xfId="6555" xr:uid="{00000000-0005-0000-0000-0000E9200000}"/>
    <cellStyle name="Note 2 2 7 3 2" xfId="14997" xr:uid="{29304496-966B-4539-8297-D769238B2F4C}"/>
    <cellStyle name="Note 2 2 7 4" xfId="10779" xr:uid="{9F6B985B-2751-4358-AB5F-BD7B255ABDBE}"/>
    <cellStyle name="Note 2 2 8" xfId="2684" xr:uid="{00000000-0005-0000-0000-0000EA200000}"/>
    <cellStyle name="Note 2 2 8 2" xfId="6968" xr:uid="{00000000-0005-0000-0000-0000EB200000}"/>
    <cellStyle name="Note 2 2 8 2 2" xfId="15410" xr:uid="{9EC9495B-CD36-4A0D-9C6D-EF70B399A356}"/>
    <cellStyle name="Note 2 2 8 3" xfId="11192" xr:uid="{A7B901C3-FDB5-4220-87DA-3323D5045D5F}"/>
    <cellStyle name="Note 2 2 9" xfId="2743" xr:uid="{00000000-0005-0000-0000-0000EC200000}"/>
    <cellStyle name="Note 2 3" xfId="549" xr:uid="{00000000-0005-0000-0000-0000ED200000}"/>
    <cellStyle name="Note 2 3 10" xfId="4907" xr:uid="{00000000-0005-0000-0000-0000EE200000}"/>
    <cellStyle name="Note 2 3 10 2" xfId="13349" xr:uid="{A73BDFB8-F43A-41A0-8173-729070650D39}"/>
    <cellStyle name="Note 2 3 11" xfId="9131" xr:uid="{2D4E197E-2537-40A0-9939-4942F4C6F6B1}"/>
    <cellStyle name="Note 2 3 2" xfId="550" xr:uid="{00000000-0005-0000-0000-0000EF200000}"/>
    <cellStyle name="Note 2 3 2 10" xfId="9132" xr:uid="{29B01002-3544-46FE-9535-0A001675EEE5}"/>
    <cellStyle name="Note 2 3 2 2" xfId="1011" xr:uid="{00000000-0005-0000-0000-0000F0200000}"/>
    <cellStyle name="Note 2 3 2 2 2" xfId="3243" xr:uid="{00000000-0005-0000-0000-0000F1200000}"/>
    <cellStyle name="Note 2 3 2 2 2 2" xfId="7466" xr:uid="{00000000-0005-0000-0000-0000F2200000}"/>
    <cellStyle name="Note 2 3 2 2 2 2 2" xfId="15908" xr:uid="{03C6B43E-D33D-4DFE-A052-CD0C8E6284E1}"/>
    <cellStyle name="Note 2 3 2 2 2 3" xfId="11690" xr:uid="{E322CDA6-9FFD-4B6A-BC41-E57CC9E8C217}"/>
    <cellStyle name="Note 2 3 2 2 3" xfId="5321" xr:uid="{00000000-0005-0000-0000-0000F3200000}"/>
    <cellStyle name="Note 2 3 2 2 3 2" xfId="13763" xr:uid="{CCA4443A-4F08-4EDC-801B-CE841D748D58}"/>
    <cellStyle name="Note 2 3 2 2 4" xfId="9545" xr:uid="{38AEC08F-68D6-451C-A35F-E8ED432CF863}"/>
    <cellStyle name="Note 2 3 2 3" xfId="1426" xr:uid="{00000000-0005-0000-0000-0000F4200000}"/>
    <cellStyle name="Note 2 3 2 3 2" xfId="3656" xr:uid="{00000000-0005-0000-0000-0000F5200000}"/>
    <cellStyle name="Note 2 3 2 3 2 2" xfId="7879" xr:uid="{00000000-0005-0000-0000-0000F6200000}"/>
    <cellStyle name="Note 2 3 2 3 2 2 2" xfId="16321" xr:uid="{E6886888-C1DF-4EBC-9A4B-9DE184218580}"/>
    <cellStyle name="Note 2 3 2 3 2 3" xfId="12103" xr:uid="{050C3C84-925B-427C-AD5C-59A2596132B2}"/>
    <cellStyle name="Note 2 3 2 3 3" xfId="5734" xr:uid="{00000000-0005-0000-0000-0000F7200000}"/>
    <cellStyle name="Note 2 3 2 3 3 2" xfId="14176" xr:uid="{9C42CC58-25F2-4744-B6FE-3D0BE0592672}"/>
    <cellStyle name="Note 2 3 2 3 4" xfId="9958" xr:uid="{92E65248-4515-47AC-8712-8C235CDD64D5}"/>
    <cellStyle name="Note 2 3 2 4" xfId="1840" xr:uid="{00000000-0005-0000-0000-0000F8200000}"/>
    <cellStyle name="Note 2 3 2 4 2" xfId="4069" xr:uid="{00000000-0005-0000-0000-0000F9200000}"/>
    <cellStyle name="Note 2 3 2 4 2 2" xfId="8292" xr:uid="{00000000-0005-0000-0000-0000FA200000}"/>
    <cellStyle name="Note 2 3 2 4 2 2 2" xfId="16734" xr:uid="{75ECCF78-B61F-4584-9DA5-8C8FC3EA1F31}"/>
    <cellStyle name="Note 2 3 2 4 2 3" xfId="12516" xr:uid="{E5AF68B8-7EF5-4465-AA11-41DBD6BA26D6}"/>
    <cellStyle name="Note 2 3 2 4 3" xfId="6147" xr:uid="{00000000-0005-0000-0000-0000FB200000}"/>
    <cellStyle name="Note 2 3 2 4 3 2" xfId="14589" xr:uid="{BA4E08AA-008C-48ED-8A29-1587EAD0A35B}"/>
    <cellStyle name="Note 2 3 2 4 4" xfId="10371" xr:uid="{898C15D8-E493-42C6-A694-972DFF4B4964}"/>
    <cellStyle name="Note 2 3 2 5" xfId="2253" xr:uid="{00000000-0005-0000-0000-0000FC200000}"/>
    <cellStyle name="Note 2 3 2 5 2" xfId="4482" xr:uid="{00000000-0005-0000-0000-0000FD200000}"/>
    <cellStyle name="Note 2 3 2 5 2 2" xfId="8705" xr:uid="{00000000-0005-0000-0000-0000FE200000}"/>
    <cellStyle name="Note 2 3 2 5 2 2 2" xfId="17147" xr:uid="{3B4E9E59-E5AB-4C81-AB28-41F343E390F5}"/>
    <cellStyle name="Note 2 3 2 5 2 3" xfId="12929" xr:uid="{15F232C5-BEE8-450F-8E46-B50038A4CC08}"/>
    <cellStyle name="Note 2 3 2 5 3" xfId="6560" xr:uid="{00000000-0005-0000-0000-0000FF200000}"/>
    <cellStyle name="Note 2 3 2 5 3 2" xfId="15002" xr:uid="{86C74502-B765-4CAA-A7C3-F290DFDB69DE}"/>
    <cellStyle name="Note 2 3 2 5 4" xfId="10784" xr:uid="{19426668-A329-4389-98A3-F88B0BCDE07F}"/>
    <cellStyle name="Note 2 3 2 6" xfId="2689" xr:uid="{00000000-0005-0000-0000-000000210000}"/>
    <cellStyle name="Note 2 3 2 6 2" xfId="6973" xr:uid="{00000000-0005-0000-0000-000001210000}"/>
    <cellStyle name="Note 2 3 2 6 2 2" xfId="15415" xr:uid="{B86EBC8F-0D70-4BDE-A024-2F1C466AE120}"/>
    <cellStyle name="Note 2 3 2 6 3" xfId="11197" xr:uid="{B2344ED0-CFB1-435D-ADC4-A306E63366C2}"/>
    <cellStyle name="Note 2 3 2 7" xfId="2748" xr:uid="{00000000-0005-0000-0000-000002210000}"/>
    <cellStyle name="Note 2 3 2 8" xfId="2829" xr:uid="{00000000-0005-0000-0000-000003210000}"/>
    <cellStyle name="Note 2 3 2 8 2" xfId="7053" xr:uid="{00000000-0005-0000-0000-000004210000}"/>
    <cellStyle name="Note 2 3 2 8 2 2" xfId="15495" xr:uid="{33E08A8C-9A90-4ED1-84FE-DEBF02FD2304}"/>
    <cellStyle name="Note 2 3 2 8 3" xfId="11277" xr:uid="{BDB0906B-8109-4724-9093-2179F4A7A8DC}"/>
    <cellStyle name="Note 2 3 2 9" xfId="4908" xr:uid="{00000000-0005-0000-0000-000005210000}"/>
    <cellStyle name="Note 2 3 2 9 2" xfId="13350" xr:uid="{0EB20AE3-B2AC-44A4-AF86-597F9C6D643B}"/>
    <cellStyle name="Note 2 3 3" xfId="1010" xr:uid="{00000000-0005-0000-0000-000006210000}"/>
    <cellStyle name="Note 2 3 3 2" xfId="3242" xr:uid="{00000000-0005-0000-0000-000007210000}"/>
    <cellStyle name="Note 2 3 3 2 2" xfId="7465" xr:uid="{00000000-0005-0000-0000-000008210000}"/>
    <cellStyle name="Note 2 3 3 2 2 2" xfId="15907" xr:uid="{626CB29C-6C13-4B02-AC7C-25699E8F670B}"/>
    <cellStyle name="Note 2 3 3 2 3" xfId="11689" xr:uid="{2D8DFEB0-B766-4B10-A6B0-79FE67C6611C}"/>
    <cellStyle name="Note 2 3 3 3" xfId="5320" xr:uid="{00000000-0005-0000-0000-000009210000}"/>
    <cellStyle name="Note 2 3 3 3 2" xfId="13762" xr:uid="{43E0F6B0-2F50-42F7-A388-10E1B0E8EAE6}"/>
    <cellStyle name="Note 2 3 3 4" xfId="9544" xr:uid="{7A88FBB9-7B5C-4963-BF51-C3E4E61A57E8}"/>
    <cellStyle name="Note 2 3 4" xfId="1425" xr:uid="{00000000-0005-0000-0000-00000A210000}"/>
    <cellStyle name="Note 2 3 4 2" xfId="3655" xr:uid="{00000000-0005-0000-0000-00000B210000}"/>
    <cellStyle name="Note 2 3 4 2 2" xfId="7878" xr:uid="{00000000-0005-0000-0000-00000C210000}"/>
    <cellStyle name="Note 2 3 4 2 2 2" xfId="16320" xr:uid="{9CC32A1F-B1FE-49E3-91C1-1DC378D7F735}"/>
    <cellStyle name="Note 2 3 4 2 3" xfId="12102" xr:uid="{B77214E8-794A-48DA-A0A3-1F8F01532F30}"/>
    <cellStyle name="Note 2 3 4 3" xfId="5733" xr:uid="{00000000-0005-0000-0000-00000D210000}"/>
    <cellStyle name="Note 2 3 4 3 2" xfId="14175" xr:uid="{7377FD0D-16AC-4B8D-ABB5-EBA505F2BF3A}"/>
    <cellStyle name="Note 2 3 4 4" xfId="9957" xr:uid="{6BA220EC-172C-45E6-8F39-C9F6CBBD8108}"/>
    <cellStyle name="Note 2 3 5" xfId="1839" xr:uid="{00000000-0005-0000-0000-00000E210000}"/>
    <cellStyle name="Note 2 3 5 2" xfId="4068" xr:uid="{00000000-0005-0000-0000-00000F210000}"/>
    <cellStyle name="Note 2 3 5 2 2" xfId="8291" xr:uid="{00000000-0005-0000-0000-000010210000}"/>
    <cellStyle name="Note 2 3 5 2 2 2" xfId="16733" xr:uid="{8D11B977-0D7F-4E0F-A3BF-C3DCBFF8C343}"/>
    <cellStyle name="Note 2 3 5 2 3" xfId="12515" xr:uid="{C0645546-1552-437F-9D1D-68BD29B13102}"/>
    <cellStyle name="Note 2 3 5 3" xfId="6146" xr:uid="{00000000-0005-0000-0000-000011210000}"/>
    <cellStyle name="Note 2 3 5 3 2" xfId="14588" xr:uid="{148BE61C-80EC-428E-960B-AD5C6C8B50ED}"/>
    <cellStyle name="Note 2 3 5 4" xfId="10370" xr:uid="{847C4A3A-6D5B-41A9-9D4B-D72F06FD317C}"/>
    <cellStyle name="Note 2 3 6" xfId="2252" xr:uid="{00000000-0005-0000-0000-000012210000}"/>
    <cellStyle name="Note 2 3 6 2" xfId="4481" xr:uid="{00000000-0005-0000-0000-000013210000}"/>
    <cellStyle name="Note 2 3 6 2 2" xfId="8704" xr:uid="{00000000-0005-0000-0000-000014210000}"/>
    <cellStyle name="Note 2 3 6 2 2 2" xfId="17146" xr:uid="{05E38BFD-4497-4C43-86D4-556BBBBDBBF1}"/>
    <cellStyle name="Note 2 3 6 2 3" xfId="12928" xr:uid="{A1579E97-D4CA-4BEE-88E0-BCB8B52A2550}"/>
    <cellStyle name="Note 2 3 6 3" xfId="6559" xr:uid="{00000000-0005-0000-0000-000015210000}"/>
    <cellStyle name="Note 2 3 6 3 2" xfId="15001" xr:uid="{3F271926-EFC1-421D-BA62-289A4D6FBA4D}"/>
    <cellStyle name="Note 2 3 6 4" xfId="10783" xr:uid="{A81ED92F-12CB-42EA-9490-B3694B2D3E33}"/>
    <cellStyle name="Note 2 3 7" xfId="2688" xr:uid="{00000000-0005-0000-0000-000016210000}"/>
    <cellStyle name="Note 2 3 7 2" xfId="6972" xr:uid="{00000000-0005-0000-0000-000017210000}"/>
    <cellStyle name="Note 2 3 7 2 2" xfId="15414" xr:uid="{7997B1FA-FF6B-45BD-821D-6803EFE06695}"/>
    <cellStyle name="Note 2 3 7 3" xfId="11196" xr:uid="{B64FEEC9-7CFC-473B-870E-41F0E8AE41D1}"/>
    <cellStyle name="Note 2 3 8" xfId="2747" xr:uid="{00000000-0005-0000-0000-000018210000}"/>
    <cellStyle name="Note 2 3 9" xfId="2828" xr:uid="{00000000-0005-0000-0000-000019210000}"/>
    <cellStyle name="Note 2 3 9 2" xfId="7052" xr:uid="{00000000-0005-0000-0000-00001A210000}"/>
    <cellStyle name="Note 2 3 9 2 2" xfId="15494" xr:uid="{F3964DC0-0F9C-451A-8B85-BFAC3A41844D}"/>
    <cellStyle name="Note 2 3 9 3" xfId="11276" xr:uid="{993C7F6F-E705-4674-92D2-7F42862CD56A}"/>
    <cellStyle name="Note 2 4" xfId="551" xr:uid="{00000000-0005-0000-0000-00001B210000}"/>
    <cellStyle name="Note 2 4 10" xfId="9133" xr:uid="{3B9CA8AA-4DC6-4FCF-A75A-557BBBB4047F}"/>
    <cellStyle name="Note 2 4 2" xfId="1012" xr:uid="{00000000-0005-0000-0000-00001C210000}"/>
    <cellStyle name="Note 2 4 2 2" xfId="3244" xr:uid="{00000000-0005-0000-0000-00001D210000}"/>
    <cellStyle name="Note 2 4 2 2 2" xfId="7467" xr:uid="{00000000-0005-0000-0000-00001E210000}"/>
    <cellStyle name="Note 2 4 2 2 2 2" xfId="15909" xr:uid="{26261556-0124-4404-96F0-D473D5A04E76}"/>
    <cellStyle name="Note 2 4 2 2 3" xfId="11691" xr:uid="{931CEC0D-51FE-4661-A29A-8AAAF48A2DC4}"/>
    <cellStyle name="Note 2 4 2 3" xfId="5322" xr:uid="{00000000-0005-0000-0000-00001F210000}"/>
    <cellStyle name="Note 2 4 2 3 2" xfId="13764" xr:uid="{67BA606D-08A9-4EAE-9E5D-15EC9D8434BB}"/>
    <cellStyle name="Note 2 4 2 4" xfId="9546" xr:uid="{A5906F47-5966-4E1C-95EF-E6EE17EF593F}"/>
    <cellStyle name="Note 2 4 3" xfId="1427" xr:uid="{00000000-0005-0000-0000-000020210000}"/>
    <cellStyle name="Note 2 4 3 2" xfId="3657" xr:uid="{00000000-0005-0000-0000-000021210000}"/>
    <cellStyle name="Note 2 4 3 2 2" xfId="7880" xr:uid="{00000000-0005-0000-0000-000022210000}"/>
    <cellStyle name="Note 2 4 3 2 2 2" xfId="16322" xr:uid="{A5FCD454-75E4-4043-9F89-66252CCE34C5}"/>
    <cellStyle name="Note 2 4 3 2 3" xfId="12104" xr:uid="{D3D401A1-6C95-448B-8C48-648B2DF5B150}"/>
    <cellStyle name="Note 2 4 3 3" xfId="5735" xr:uid="{00000000-0005-0000-0000-000023210000}"/>
    <cellStyle name="Note 2 4 3 3 2" xfId="14177" xr:uid="{76DD291B-E89B-4625-8225-9A779AA9788F}"/>
    <cellStyle name="Note 2 4 3 4" xfId="9959" xr:uid="{3D9F7C4B-572A-4E05-9D46-0179D56DA82B}"/>
    <cellStyle name="Note 2 4 4" xfId="1841" xr:uid="{00000000-0005-0000-0000-000024210000}"/>
    <cellStyle name="Note 2 4 4 2" xfId="4070" xr:uid="{00000000-0005-0000-0000-000025210000}"/>
    <cellStyle name="Note 2 4 4 2 2" xfId="8293" xr:uid="{00000000-0005-0000-0000-000026210000}"/>
    <cellStyle name="Note 2 4 4 2 2 2" xfId="16735" xr:uid="{6ECF8441-AB3D-482A-8443-DFB3897BB6C3}"/>
    <cellStyle name="Note 2 4 4 2 3" xfId="12517" xr:uid="{3C2BEC61-9245-4F0C-96FE-C7A4E7E8DCB0}"/>
    <cellStyle name="Note 2 4 4 3" xfId="6148" xr:uid="{00000000-0005-0000-0000-000027210000}"/>
    <cellStyle name="Note 2 4 4 3 2" xfId="14590" xr:uid="{ABEF0A0B-BE4A-45E3-9AC7-67C89977E477}"/>
    <cellStyle name="Note 2 4 4 4" xfId="10372" xr:uid="{21E159A8-1343-492B-98C8-E23413EF864C}"/>
    <cellStyle name="Note 2 4 5" xfId="2254" xr:uid="{00000000-0005-0000-0000-000028210000}"/>
    <cellStyle name="Note 2 4 5 2" xfId="4483" xr:uid="{00000000-0005-0000-0000-000029210000}"/>
    <cellStyle name="Note 2 4 5 2 2" xfId="8706" xr:uid="{00000000-0005-0000-0000-00002A210000}"/>
    <cellStyle name="Note 2 4 5 2 2 2" xfId="17148" xr:uid="{CB695F94-B773-47FB-B632-6D9972E65FBE}"/>
    <cellStyle name="Note 2 4 5 2 3" xfId="12930" xr:uid="{F24022FF-304E-41FB-A47A-76F28EB73738}"/>
    <cellStyle name="Note 2 4 5 3" xfId="6561" xr:uid="{00000000-0005-0000-0000-00002B210000}"/>
    <cellStyle name="Note 2 4 5 3 2" xfId="15003" xr:uid="{21F7DCBA-9BAB-460B-BA53-A8371C2CE7CF}"/>
    <cellStyle name="Note 2 4 5 4" xfId="10785" xr:uid="{DD1ECA39-0016-4429-9688-B66AB9DF6944}"/>
    <cellStyle name="Note 2 4 6" xfId="2690" xr:uid="{00000000-0005-0000-0000-00002C210000}"/>
    <cellStyle name="Note 2 4 6 2" xfId="6974" xr:uid="{00000000-0005-0000-0000-00002D210000}"/>
    <cellStyle name="Note 2 4 6 2 2" xfId="15416" xr:uid="{608356FB-1FB1-445C-9384-DCEE91F898D2}"/>
    <cellStyle name="Note 2 4 6 3" xfId="11198" xr:uid="{3BDCDD25-AC00-4071-AAC8-14A3A53629CA}"/>
    <cellStyle name="Note 2 4 7" xfId="2749" xr:uid="{00000000-0005-0000-0000-00002E210000}"/>
    <cellStyle name="Note 2 4 8" xfId="2830" xr:uid="{00000000-0005-0000-0000-00002F210000}"/>
    <cellStyle name="Note 2 4 8 2" xfId="7054" xr:uid="{00000000-0005-0000-0000-000030210000}"/>
    <cellStyle name="Note 2 4 8 2 2" xfId="15496" xr:uid="{17AC79E3-5766-437E-8544-C46B376285EE}"/>
    <cellStyle name="Note 2 4 8 3" xfId="11278" xr:uid="{E95FAD6D-8305-4C41-AAA9-78C966ECD010}"/>
    <cellStyle name="Note 2 4 9" xfId="4909" xr:uid="{00000000-0005-0000-0000-000031210000}"/>
    <cellStyle name="Note 2 4 9 2" xfId="13351" xr:uid="{A6D3F100-D76D-44CA-B483-D621E26A2CE2}"/>
    <cellStyle name="Note 2 5" xfId="552" xr:uid="{00000000-0005-0000-0000-000032210000}"/>
    <cellStyle name="Note 2 5 10" xfId="9134" xr:uid="{795A7B8A-1E1E-44EE-88B3-D32404FAEF98}"/>
    <cellStyle name="Note 2 5 2" xfId="1013" xr:uid="{00000000-0005-0000-0000-000033210000}"/>
    <cellStyle name="Note 2 5 2 2" xfId="3245" xr:uid="{00000000-0005-0000-0000-000034210000}"/>
    <cellStyle name="Note 2 5 2 2 2" xfId="7468" xr:uid="{00000000-0005-0000-0000-000035210000}"/>
    <cellStyle name="Note 2 5 2 2 2 2" xfId="15910" xr:uid="{634309F9-E294-4DE8-8834-9B147B891836}"/>
    <cellStyle name="Note 2 5 2 2 3" xfId="11692" xr:uid="{36FEE507-9E06-4798-9CDD-90B6C77F732C}"/>
    <cellStyle name="Note 2 5 2 3" xfId="5323" xr:uid="{00000000-0005-0000-0000-000036210000}"/>
    <cellStyle name="Note 2 5 2 3 2" xfId="13765" xr:uid="{21011594-46C5-4DFC-816D-5426DA5F8A51}"/>
    <cellStyle name="Note 2 5 2 4" xfId="9547" xr:uid="{D0AF33DD-838C-4067-8F17-1BA7D8F60BB2}"/>
    <cellStyle name="Note 2 5 3" xfId="1428" xr:uid="{00000000-0005-0000-0000-000037210000}"/>
    <cellStyle name="Note 2 5 3 2" xfId="3658" xr:uid="{00000000-0005-0000-0000-000038210000}"/>
    <cellStyle name="Note 2 5 3 2 2" xfId="7881" xr:uid="{00000000-0005-0000-0000-000039210000}"/>
    <cellStyle name="Note 2 5 3 2 2 2" xfId="16323" xr:uid="{8611E790-670C-4A76-A543-BB152CC807AE}"/>
    <cellStyle name="Note 2 5 3 2 3" xfId="12105" xr:uid="{2C7BF4C5-E018-4F0B-9B1D-0B91A815DA07}"/>
    <cellStyle name="Note 2 5 3 3" xfId="5736" xr:uid="{00000000-0005-0000-0000-00003A210000}"/>
    <cellStyle name="Note 2 5 3 3 2" xfId="14178" xr:uid="{1193B02F-B0CC-4D08-9EE8-8B9EEECA03E7}"/>
    <cellStyle name="Note 2 5 3 4" xfId="9960" xr:uid="{002B663B-E344-4A9A-9D59-AFC60C440949}"/>
    <cellStyle name="Note 2 5 4" xfId="1842" xr:uid="{00000000-0005-0000-0000-00003B210000}"/>
    <cellStyle name="Note 2 5 4 2" xfId="4071" xr:uid="{00000000-0005-0000-0000-00003C210000}"/>
    <cellStyle name="Note 2 5 4 2 2" xfId="8294" xr:uid="{00000000-0005-0000-0000-00003D210000}"/>
    <cellStyle name="Note 2 5 4 2 2 2" xfId="16736" xr:uid="{7A72E309-09F6-4D38-9892-D0520C35C202}"/>
    <cellStyle name="Note 2 5 4 2 3" xfId="12518" xr:uid="{823815CD-FB0E-423B-AB24-D3E187221E94}"/>
    <cellStyle name="Note 2 5 4 3" xfId="6149" xr:uid="{00000000-0005-0000-0000-00003E210000}"/>
    <cellStyle name="Note 2 5 4 3 2" xfId="14591" xr:uid="{C1314816-87F3-4A13-A7CE-F86A857C6995}"/>
    <cellStyle name="Note 2 5 4 4" xfId="10373" xr:uid="{A8012CCC-14FD-47C6-A885-6ECE87DC2D51}"/>
    <cellStyle name="Note 2 5 5" xfId="2255" xr:uid="{00000000-0005-0000-0000-00003F210000}"/>
    <cellStyle name="Note 2 5 5 2" xfId="4484" xr:uid="{00000000-0005-0000-0000-000040210000}"/>
    <cellStyle name="Note 2 5 5 2 2" xfId="8707" xr:uid="{00000000-0005-0000-0000-000041210000}"/>
    <cellStyle name="Note 2 5 5 2 2 2" xfId="17149" xr:uid="{69779A22-735E-410E-B8D5-1AA138A2CAB5}"/>
    <cellStyle name="Note 2 5 5 2 3" xfId="12931" xr:uid="{7D019C54-995B-4573-A045-95FE2461A301}"/>
    <cellStyle name="Note 2 5 5 3" xfId="6562" xr:uid="{00000000-0005-0000-0000-000042210000}"/>
    <cellStyle name="Note 2 5 5 3 2" xfId="15004" xr:uid="{507C8263-9E42-41DB-86EF-D483D1761122}"/>
    <cellStyle name="Note 2 5 5 4" xfId="10786" xr:uid="{7C33122D-CA76-42E7-B9FF-7C33F9D85DE2}"/>
    <cellStyle name="Note 2 5 6" xfId="2691" xr:uid="{00000000-0005-0000-0000-000043210000}"/>
    <cellStyle name="Note 2 5 6 2" xfId="6975" xr:uid="{00000000-0005-0000-0000-000044210000}"/>
    <cellStyle name="Note 2 5 6 2 2" xfId="15417" xr:uid="{8B71255E-04BC-4A6D-AAC1-44B7ECB6B998}"/>
    <cellStyle name="Note 2 5 6 3" xfId="11199" xr:uid="{441260F1-028D-4D86-8024-D1F6EAFABE8B}"/>
    <cellStyle name="Note 2 5 7" xfId="2750" xr:uid="{00000000-0005-0000-0000-000045210000}"/>
    <cellStyle name="Note 2 5 8" xfId="2831" xr:uid="{00000000-0005-0000-0000-000046210000}"/>
    <cellStyle name="Note 2 5 8 2" xfId="7055" xr:uid="{00000000-0005-0000-0000-000047210000}"/>
    <cellStyle name="Note 2 5 8 2 2" xfId="15497" xr:uid="{0F9B22E3-9D5C-4987-A47B-2730EF83FE84}"/>
    <cellStyle name="Note 2 5 8 3" xfId="11279" xr:uid="{ED67D0BE-02F4-4756-B8CB-E6DE69872609}"/>
    <cellStyle name="Note 2 5 9" xfId="4910" xr:uid="{00000000-0005-0000-0000-000048210000}"/>
    <cellStyle name="Note 2 5 9 2" xfId="13352" xr:uid="{CAFB49BE-521D-4CE4-A8E1-D06430497907}"/>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6EBF30C0-E197-4359-B7E2-8CCE57BA93C6}"/>
    <cellStyle name="Note 3 2 10 3" xfId="11280" xr:uid="{3EDE3E44-D0D8-47E4-8005-D72DAED6DD4F}"/>
    <cellStyle name="Note 3 2 11" xfId="4911" xr:uid="{00000000-0005-0000-0000-00004D210000}"/>
    <cellStyle name="Note 3 2 11 2" xfId="13353" xr:uid="{6921321C-8D5F-450A-ACAD-CA2DBE4DDF43}"/>
    <cellStyle name="Note 3 2 12" xfId="9135" xr:uid="{4CD3D9EB-CEF7-45E6-B019-29D9B4A18897}"/>
    <cellStyle name="Note 3 2 2" xfId="555" xr:uid="{00000000-0005-0000-0000-00004E210000}"/>
    <cellStyle name="Note 3 2 2 10" xfId="4912" xr:uid="{00000000-0005-0000-0000-00004F210000}"/>
    <cellStyle name="Note 3 2 2 10 2" xfId="13354" xr:uid="{053E50F1-3ADC-42B5-8E09-5D25CA9EBFDB}"/>
    <cellStyle name="Note 3 2 2 11" xfId="9136" xr:uid="{20702538-8A8E-46B1-8B18-690065C617E3}"/>
    <cellStyle name="Note 3 2 2 2" xfId="556" xr:uid="{00000000-0005-0000-0000-000050210000}"/>
    <cellStyle name="Note 3 2 2 2 10" xfId="9137" xr:uid="{F30EEEE0-AE55-4201-9C10-33B7AA65D768}"/>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B5F94E18-B150-43FA-A982-7E3E5DFDC1A9}"/>
    <cellStyle name="Note 3 2 2 2 2 2 3" xfId="11695" xr:uid="{D5D71BBD-AD08-459F-A7E8-8A838D29C7FB}"/>
    <cellStyle name="Note 3 2 2 2 2 3" xfId="5326" xr:uid="{00000000-0005-0000-0000-000054210000}"/>
    <cellStyle name="Note 3 2 2 2 2 3 2" xfId="13768" xr:uid="{0239D2F4-D388-4373-AACB-A761598424F1}"/>
    <cellStyle name="Note 3 2 2 2 2 4" xfId="9550" xr:uid="{9CB998A7-6906-407E-9118-5E90D49421A2}"/>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1DAF0E00-5611-4E18-81A4-62CCEBB986DE}"/>
    <cellStyle name="Note 3 2 2 2 3 2 3" xfId="12108" xr:uid="{C357E9EB-B59F-4859-86AC-6006D35680EC}"/>
    <cellStyle name="Note 3 2 2 2 3 3" xfId="5739" xr:uid="{00000000-0005-0000-0000-000058210000}"/>
    <cellStyle name="Note 3 2 2 2 3 3 2" xfId="14181" xr:uid="{773BC1EF-BD6F-4AE4-9316-0642A5A5EC17}"/>
    <cellStyle name="Note 3 2 2 2 3 4" xfId="9963" xr:uid="{D5779955-6EAF-4834-A076-43E2256F9377}"/>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7955A92F-E255-4602-9922-C81AF720E417}"/>
    <cellStyle name="Note 3 2 2 2 4 2 3" xfId="12521" xr:uid="{21E0BC42-B9A6-47DE-9883-339A6A064910}"/>
    <cellStyle name="Note 3 2 2 2 4 3" xfId="6152" xr:uid="{00000000-0005-0000-0000-00005C210000}"/>
    <cellStyle name="Note 3 2 2 2 4 3 2" xfId="14594" xr:uid="{D2CE3739-5217-4D1E-AC8C-27A2979CDACE}"/>
    <cellStyle name="Note 3 2 2 2 4 4" xfId="10376" xr:uid="{406EA047-06BC-4181-A899-B3C9C518C46E}"/>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FDD9B5B3-C4A0-4C37-A0B1-A48E0A4DFDAD}"/>
    <cellStyle name="Note 3 2 2 2 5 2 3" xfId="12934" xr:uid="{E1D51754-83CC-4C60-9EA2-1A3685C80B4F}"/>
    <cellStyle name="Note 3 2 2 2 5 3" xfId="6565" xr:uid="{00000000-0005-0000-0000-000060210000}"/>
    <cellStyle name="Note 3 2 2 2 5 3 2" xfId="15007" xr:uid="{3BFDCEE7-F655-4513-A444-F0B55563543F}"/>
    <cellStyle name="Note 3 2 2 2 5 4" xfId="10789" xr:uid="{DE130D94-92AF-45ED-B291-2EF1C178C950}"/>
    <cellStyle name="Note 3 2 2 2 6" xfId="2694" xr:uid="{00000000-0005-0000-0000-000061210000}"/>
    <cellStyle name="Note 3 2 2 2 6 2" xfId="6978" xr:uid="{00000000-0005-0000-0000-000062210000}"/>
    <cellStyle name="Note 3 2 2 2 6 2 2" xfId="15420" xr:uid="{BD325FA8-9C83-4DAD-BBE9-6994B242E36B}"/>
    <cellStyle name="Note 3 2 2 2 6 3" xfId="11202" xr:uid="{F5F4B056-9019-4D1F-A410-DD3106C73EE5}"/>
    <cellStyle name="Note 3 2 2 2 7" xfId="2753" xr:uid="{00000000-0005-0000-0000-000063210000}"/>
    <cellStyle name="Note 3 2 2 2 8" xfId="2834" xr:uid="{00000000-0005-0000-0000-000064210000}"/>
    <cellStyle name="Note 3 2 2 2 8 2" xfId="7058" xr:uid="{00000000-0005-0000-0000-000065210000}"/>
    <cellStyle name="Note 3 2 2 2 8 2 2" xfId="15500" xr:uid="{D903DFED-660F-49AB-AA9F-E83A04F2CB25}"/>
    <cellStyle name="Note 3 2 2 2 8 3" xfId="11282" xr:uid="{FD3718D6-6D1B-4F16-97A9-4721E40C6D3A}"/>
    <cellStyle name="Note 3 2 2 2 9" xfId="4913" xr:uid="{00000000-0005-0000-0000-000066210000}"/>
    <cellStyle name="Note 3 2 2 2 9 2" xfId="13355" xr:uid="{2A46D800-5E15-47BC-9A1B-3DE3A620C9A7}"/>
    <cellStyle name="Note 3 2 2 3" xfId="1015" xr:uid="{00000000-0005-0000-0000-000067210000}"/>
    <cellStyle name="Note 3 2 2 3 2" xfId="3247" xr:uid="{00000000-0005-0000-0000-000068210000}"/>
    <cellStyle name="Note 3 2 2 3 2 2" xfId="7470" xr:uid="{00000000-0005-0000-0000-000069210000}"/>
    <cellStyle name="Note 3 2 2 3 2 2 2" xfId="15912" xr:uid="{38A03FA8-1947-4228-8314-85749B5EE250}"/>
    <cellStyle name="Note 3 2 2 3 2 3" xfId="11694" xr:uid="{70E5CD51-D7FF-45A0-AC29-DE412AFCAF8A}"/>
    <cellStyle name="Note 3 2 2 3 3" xfId="5325" xr:uid="{00000000-0005-0000-0000-00006A210000}"/>
    <cellStyle name="Note 3 2 2 3 3 2" xfId="13767" xr:uid="{9DAF0E5A-AAC2-4F9E-9EEB-3158027BC573}"/>
    <cellStyle name="Note 3 2 2 3 4" xfId="9549" xr:uid="{E1865D39-7636-4698-9B9F-3B91519B81A4}"/>
    <cellStyle name="Note 3 2 2 4" xfId="1430" xr:uid="{00000000-0005-0000-0000-00006B210000}"/>
    <cellStyle name="Note 3 2 2 4 2" xfId="3660" xr:uid="{00000000-0005-0000-0000-00006C210000}"/>
    <cellStyle name="Note 3 2 2 4 2 2" xfId="7883" xr:uid="{00000000-0005-0000-0000-00006D210000}"/>
    <cellStyle name="Note 3 2 2 4 2 2 2" xfId="16325" xr:uid="{D3770294-E4B6-4884-BB9D-981A062AF338}"/>
    <cellStyle name="Note 3 2 2 4 2 3" xfId="12107" xr:uid="{50F7E9E3-9432-4A30-8BFC-843B210AC5F2}"/>
    <cellStyle name="Note 3 2 2 4 3" xfId="5738" xr:uid="{00000000-0005-0000-0000-00006E210000}"/>
    <cellStyle name="Note 3 2 2 4 3 2" xfId="14180" xr:uid="{89F3A899-7512-4989-B564-A512CE78CF49}"/>
    <cellStyle name="Note 3 2 2 4 4" xfId="9962" xr:uid="{094DFE0E-29B3-4E8B-BDB9-005F1D28E383}"/>
    <cellStyle name="Note 3 2 2 5" xfId="1844" xr:uid="{00000000-0005-0000-0000-00006F210000}"/>
    <cellStyle name="Note 3 2 2 5 2" xfId="4073" xr:uid="{00000000-0005-0000-0000-000070210000}"/>
    <cellStyle name="Note 3 2 2 5 2 2" xfId="8296" xr:uid="{00000000-0005-0000-0000-000071210000}"/>
    <cellStyle name="Note 3 2 2 5 2 2 2" xfId="16738" xr:uid="{CAAC6107-D5B3-4A2D-AD61-B154115B80A0}"/>
    <cellStyle name="Note 3 2 2 5 2 3" xfId="12520" xr:uid="{5B7C2FE8-B471-421E-A19D-D9BA9FE0A51F}"/>
    <cellStyle name="Note 3 2 2 5 3" xfId="6151" xr:uid="{00000000-0005-0000-0000-000072210000}"/>
    <cellStyle name="Note 3 2 2 5 3 2" xfId="14593" xr:uid="{46AED7EA-6F7C-4975-9AEB-762EF3AB61CA}"/>
    <cellStyle name="Note 3 2 2 5 4" xfId="10375" xr:uid="{41BD85FE-F827-4FC8-BE14-D81605F897D3}"/>
    <cellStyle name="Note 3 2 2 6" xfId="2257" xr:uid="{00000000-0005-0000-0000-000073210000}"/>
    <cellStyle name="Note 3 2 2 6 2" xfId="4486" xr:uid="{00000000-0005-0000-0000-000074210000}"/>
    <cellStyle name="Note 3 2 2 6 2 2" xfId="8709" xr:uid="{00000000-0005-0000-0000-000075210000}"/>
    <cellStyle name="Note 3 2 2 6 2 2 2" xfId="17151" xr:uid="{6B9BA2C2-8D2C-45EF-A7E0-71F98FA92E0E}"/>
    <cellStyle name="Note 3 2 2 6 2 3" xfId="12933" xr:uid="{2042D3EF-322B-4524-8E53-BDBDB3365714}"/>
    <cellStyle name="Note 3 2 2 6 3" xfId="6564" xr:uid="{00000000-0005-0000-0000-000076210000}"/>
    <cellStyle name="Note 3 2 2 6 3 2" xfId="15006" xr:uid="{ED20C100-261A-464B-8BEC-D67598F1CC20}"/>
    <cellStyle name="Note 3 2 2 6 4" xfId="10788" xr:uid="{0E14919B-6A6A-47BB-983D-67B744A0D20A}"/>
    <cellStyle name="Note 3 2 2 7" xfId="2693" xr:uid="{00000000-0005-0000-0000-000077210000}"/>
    <cellStyle name="Note 3 2 2 7 2" xfId="6977" xr:uid="{00000000-0005-0000-0000-000078210000}"/>
    <cellStyle name="Note 3 2 2 7 2 2" xfId="15419" xr:uid="{60726130-FAFD-4AD9-A5AF-04B542C6DF43}"/>
    <cellStyle name="Note 3 2 2 7 3" xfId="11201" xr:uid="{91C2F562-39F7-493D-90AE-A00B0DD603B2}"/>
    <cellStyle name="Note 3 2 2 8" xfId="2752" xr:uid="{00000000-0005-0000-0000-000079210000}"/>
    <cellStyle name="Note 3 2 2 9" xfId="2833" xr:uid="{00000000-0005-0000-0000-00007A210000}"/>
    <cellStyle name="Note 3 2 2 9 2" xfId="7057" xr:uid="{00000000-0005-0000-0000-00007B210000}"/>
    <cellStyle name="Note 3 2 2 9 2 2" xfId="15499" xr:uid="{016AE144-3690-4B27-9E37-482682F17E1B}"/>
    <cellStyle name="Note 3 2 2 9 3" xfId="11281" xr:uid="{E712D0EA-694F-4AC1-ACC2-B30ABB7120CA}"/>
    <cellStyle name="Note 3 2 3" xfId="557" xr:uid="{00000000-0005-0000-0000-00007C210000}"/>
    <cellStyle name="Note 3 2 3 10" xfId="9138" xr:uid="{6CEE89B9-329E-455D-8330-4EA7770F9FE4}"/>
    <cellStyle name="Note 3 2 3 2" xfId="1017" xr:uid="{00000000-0005-0000-0000-00007D210000}"/>
    <cellStyle name="Note 3 2 3 2 2" xfId="3249" xr:uid="{00000000-0005-0000-0000-00007E210000}"/>
    <cellStyle name="Note 3 2 3 2 2 2" xfId="7472" xr:uid="{00000000-0005-0000-0000-00007F210000}"/>
    <cellStyle name="Note 3 2 3 2 2 2 2" xfId="15914" xr:uid="{403E3F03-BFBA-4C47-9984-D9558C8BB14D}"/>
    <cellStyle name="Note 3 2 3 2 2 3" xfId="11696" xr:uid="{278FF88A-8DB3-441F-9D26-38BB61BA24B3}"/>
    <cellStyle name="Note 3 2 3 2 3" xfId="5327" xr:uid="{00000000-0005-0000-0000-000080210000}"/>
    <cellStyle name="Note 3 2 3 2 3 2" xfId="13769" xr:uid="{547CD221-16A7-4192-B005-3A2359218D80}"/>
    <cellStyle name="Note 3 2 3 2 4" xfId="9551" xr:uid="{244C7D63-F294-4FDD-BAEF-EB24615FCC8A}"/>
    <cellStyle name="Note 3 2 3 3" xfId="1432" xr:uid="{00000000-0005-0000-0000-000081210000}"/>
    <cellStyle name="Note 3 2 3 3 2" xfId="3662" xr:uid="{00000000-0005-0000-0000-000082210000}"/>
    <cellStyle name="Note 3 2 3 3 2 2" xfId="7885" xr:uid="{00000000-0005-0000-0000-000083210000}"/>
    <cellStyle name="Note 3 2 3 3 2 2 2" xfId="16327" xr:uid="{80ECA84E-5C83-4D12-9A88-F967532A5894}"/>
    <cellStyle name="Note 3 2 3 3 2 3" xfId="12109" xr:uid="{B5A20FBC-A348-4DF5-9FC6-BD8578D268F4}"/>
    <cellStyle name="Note 3 2 3 3 3" xfId="5740" xr:uid="{00000000-0005-0000-0000-000084210000}"/>
    <cellStyle name="Note 3 2 3 3 3 2" xfId="14182" xr:uid="{07F9A5A7-614A-4555-A4FB-0D897A1D6140}"/>
    <cellStyle name="Note 3 2 3 3 4" xfId="9964" xr:uid="{A7CAB6B3-EEBB-4C80-AF4F-08032D5F2FE7}"/>
    <cellStyle name="Note 3 2 3 4" xfId="1846" xr:uid="{00000000-0005-0000-0000-000085210000}"/>
    <cellStyle name="Note 3 2 3 4 2" xfId="4075" xr:uid="{00000000-0005-0000-0000-000086210000}"/>
    <cellStyle name="Note 3 2 3 4 2 2" xfId="8298" xr:uid="{00000000-0005-0000-0000-000087210000}"/>
    <cellStyle name="Note 3 2 3 4 2 2 2" xfId="16740" xr:uid="{BD2FD295-22FF-4462-8B93-680517B65192}"/>
    <cellStyle name="Note 3 2 3 4 2 3" xfId="12522" xr:uid="{517B049C-6694-4E7D-B46B-F326393AB040}"/>
    <cellStyle name="Note 3 2 3 4 3" xfId="6153" xr:uid="{00000000-0005-0000-0000-000088210000}"/>
    <cellStyle name="Note 3 2 3 4 3 2" xfId="14595" xr:uid="{58579944-E8FD-4712-8362-CEE9F4AF20BE}"/>
    <cellStyle name="Note 3 2 3 4 4" xfId="10377" xr:uid="{FD33925D-13D2-4272-8F46-7E61B58D3EE7}"/>
    <cellStyle name="Note 3 2 3 5" xfId="2259" xr:uid="{00000000-0005-0000-0000-000089210000}"/>
    <cellStyle name="Note 3 2 3 5 2" xfId="4488" xr:uid="{00000000-0005-0000-0000-00008A210000}"/>
    <cellStyle name="Note 3 2 3 5 2 2" xfId="8711" xr:uid="{00000000-0005-0000-0000-00008B210000}"/>
    <cellStyle name="Note 3 2 3 5 2 2 2" xfId="17153" xr:uid="{0CE9D663-D67D-477C-98BF-7ADF94A2BBEA}"/>
    <cellStyle name="Note 3 2 3 5 2 3" xfId="12935" xr:uid="{13993CEA-F555-4021-9476-F9E9963C054C}"/>
    <cellStyle name="Note 3 2 3 5 3" xfId="6566" xr:uid="{00000000-0005-0000-0000-00008C210000}"/>
    <cellStyle name="Note 3 2 3 5 3 2" xfId="15008" xr:uid="{1B0563EC-A775-4FE6-95DE-85BFBED76909}"/>
    <cellStyle name="Note 3 2 3 5 4" xfId="10790" xr:uid="{AF48C55E-9309-4BDF-A606-1AB65B91945E}"/>
    <cellStyle name="Note 3 2 3 6" xfId="2695" xr:uid="{00000000-0005-0000-0000-00008D210000}"/>
    <cellStyle name="Note 3 2 3 6 2" xfId="6979" xr:uid="{00000000-0005-0000-0000-00008E210000}"/>
    <cellStyle name="Note 3 2 3 6 2 2" xfId="15421" xr:uid="{7740AACB-AAF3-42F9-B6BC-D65CAC9D740E}"/>
    <cellStyle name="Note 3 2 3 6 3" xfId="11203" xr:uid="{B7CDA029-C504-4727-8D96-30A8AAAD8793}"/>
    <cellStyle name="Note 3 2 3 7" xfId="2754" xr:uid="{00000000-0005-0000-0000-00008F210000}"/>
    <cellStyle name="Note 3 2 3 8" xfId="2835" xr:uid="{00000000-0005-0000-0000-000090210000}"/>
    <cellStyle name="Note 3 2 3 8 2" xfId="7059" xr:uid="{00000000-0005-0000-0000-000091210000}"/>
    <cellStyle name="Note 3 2 3 8 2 2" xfId="15501" xr:uid="{9536FAFA-2B54-495A-9DB4-908C5FF52693}"/>
    <cellStyle name="Note 3 2 3 8 3" xfId="11283" xr:uid="{B749CA94-73B9-4179-8EF7-A77ED9BD8237}"/>
    <cellStyle name="Note 3 2 3 9" xfId="4914" xr:uid="{00000000-0005-0000-0000-000092210000}"/>
    <cellStyle name="Note 3 2 3 9 2" xfId="13356" xr:uid="{59B94488-57C5-4705-B6DC-EA97FAF51329}"/>
    <cellStyle name="Note 3 2 4" xfId="1014" xr:uid="{00000000-0005-0000-0000-000093210000}"/>
    <cellStyle name="Note 3 2 4 2" xfId="3246" xr:uid="{00000000-0005-0000-0000-000094210000}"/>
    <cellStyle name="Note 3 2 4 2 2" xfId="7469" xr:uid="{00000000-0005-0000-0000-000095210000}"/>
    <cellStyle name="Note 3 2 4 2 2 2" xfId="15911" xr:uid="{7986F0B8-40A7-4393-B0FA-1D1608207CA8}"/>
    <cellStyle name="Note 3 2 4 2 3" xfId="11693" xr:uid="{B45CB37D-EAC1-4B10-B618-F26560F15A18}"/>
    <cellStyle name="Note 3 2 4 3" xfId="5324" xr:uid="{00000000-0005-0000-0000-000096210000}"/>
    <cellStyle name="Note 3 2 4 3 2" xfId="13766" xr:uid="{A4E242A0-5E08-4019-B065-2C9E7D158175}"/>
    <cellStyle name="Note 3 2 4 4" xfId="9548" xr:uid="{5689C63A-93E9-48A5-97C3-E7C763F7541A}"/>
    <cellStyle name="Note 3 2 5" xfId="1429" xr:uid="{00000000-0005-0000-0000-000097210000}"/>
    <cellStyle name="Note 3 2 5 2" xfId="3659" xr:uid="{00000000-0005-0000-0000-000098210000}"/>
    <cellStyle name="Note 3 2 5 2 2" xfId="7882" xr:uid="{00000000-0005-0000-0000-000099210000}"/>
    <cellStyle name="Note 3 2 5 2 2 2" xfId="16324" xr:uid="{8B4E4530-47E8-4B5C-81BB-EFAFC36E68E9}"/>
    <cellStyle name="Note 3 2 5 2 3" xfId="12106" xr:uid="{F0C4E02C-BA74-48C2-9B3B-07B39AD9D684}"/>
    <cellStyle name="Note 3 2 5 3" xfId="5737" xr:uid="{00000000-0005-0000-0000-00009A210000}"/>
    <cellStyle name="Note 3 2 5 3 2" xfId="14179" xr:uid="{684E6B51-567D-474A-900B-2E397E3B8674}"/>
    <cellStyle name="Note 3 2 5 4" xfId="9961" xr:uid="{589A60BA-C2C3-4931-8644-510BD17BBD3A}"/>
    <cellStyle name="Note 3 2 6" xfId="1843" xr:uid="{00000000-0005-0000-0000-00009B210000}"/>
    <cellStyle name="Note 3 2 6 2" xfId="4072" xr:uid="{00000000-0005-0000-0000-00009C210000}"/>
    <cellStyle name="Note 3 2 6 2 2" xfId="8295" xr:uid="{00000000-0005-0000-0000-00009D210000}"/>
    <cellStyle name="Note 3 2 6 2 2 2" xfId="16737" xr:uid="{4F9CBFC8-7A04-43E7-8795-1FF19B93A8DA}"/>
    <cellStyle name="Note 3 2 6 2 3" xfId="12519" xr:uid="{898D64E5-1431-42C5-A531-6C955C67D6CE}"/>
    <cellStyle name="Note 3 2 6 3" xfId="6150" xr:uid="{00000000-0005-0000-0000-00009E210000}"/>
    <cellStyle name="Note 3 2 6 3 2" xfId="14592" xr:uid="{2E9D755B-4297-4587-AC9E-B0AEDEAAECFC}"/>
    <cellStyle name="Note 3 2 6 4" xfId="10374" xr:uid="{4DA775D6-A7D4-4A15-A979-1DCD026E6D7C}"/>
    <cellStyle name="Note 3 2 7" xfId="2256" xr:uid="{00000000-0005-0000-0000-00009F210000}"/>
    <cellStyle name="Note 3 2 7 2" xfId="4485" xr:uid="{00000000-0005-0000-0000-0000A0210000}"/>
    <cellStyle name="Note 3 2 7 2 2" xfId="8708" xr:uid="{00000000-0005-0000-0000-0000A1210000}"/>
    <cellStyle name="Note 3 2 7 2 2 2" xfId="17150" xr:uid="{F0CD18D9-FDF0-4C81-9CA4-82852981A553}"/>
    <cellStyle name="Note 3 2 7 2 3" xfId="12932" xr:uid="{60B9DC30-9AA0-4509-9A7D-3CB4EB158052}"/>
    <cellStyle name="Note 3 2 7 3" xfId="6563" xr:uid="{00000000-0005-0000-0000-0000A2210000}"/>
    <cellStyle name="Note 3 2 7 3 2" xfId="15005" xr:uid="{AD342298-A5E1-4950-932B-5795FD2F9478}"/>
    <cellStyle name="Note 3 2 7 4" xfId="10787" xr:uid="{05F5BE5A-32C9-42C8-9607-65A805A7BBCC}"/>
    <cellStyle name="Note 3 2 8" xfId="2692" xr:uid="{00000000-0005-0000-0000-0000A3210000}"/>
    <cellStyle name="Note 3 2 8 2" xfId="6976" xr:uid="{00000000-0005-0000-0000-0000A4210000}"/>
    <cellStyle name="Note 3 2 8 2 2" xfId="15418" xr:uid="{790090EA-F0F9-4195-9CFE-5B8080250067}"/>
    <cellStyle name="Note 3 2 8 3" xfId="11200" xr:uid="{44D886B9-3F4D-46BC-8328-6A6C47A38706}"/>
    <cellStyle name="Note 3 2 9" xfId="2751" xr:uid="{00000000-0005-0000-0000-0000A5210000}"/>
    <cellStyle name="Note 3 3" xfId="558" xr:uid="{00000000-0005-0000-0000-0000A6210000}"/>
    <cellStyle name="Note 3 3 10" xfId="4915" xr:uid="{00000000-0005-0000-0000-0000A7210000}"/>
    <cellStyle name="Note 3 3 10 2" xfId="13357" xr:uid="{716653A6-7F6C-4486-8CD2-5BF9274332C0}"/>
    <cellStyle name="Note 3 3 11" xfId="9139" xr:uid="{5BF7370E-D6DF-43C8-9C38-1B84AC0217B5}"/>
    <cellStyle name="Note 3 3 2" xfId="559" xr:uid="{00000000-0005-0000-0000-0000A8210000}"/>
    <cellStyle name="Note 3 3 2 10" xfId="9140" xr:uid="{14268CF3-AF0D-4C61-9AAE-55734FD1E04B}"/>
    <cellStyle name="Note 3 3 2 2" xfId="1019" xr:uid="{00000000-0005-0000-0000-0000A9210000}"/>
    <cellStyle name="Note 3 3 2 2 2" xfId="3251" xr:uid="{00000000-0005-0000-0000-0000AA210000}"/>
    <cellStyle name="Note 3 3 2 2 2 2" xfId="7474" xr:uid="{00000000-0005-0000-0000-0000AB210000}"/>
    <cellStyle name="Note 3 3 2 2 2 2 2" xfId="15916" xr:uid="{2ABB70B6-BB98-47F5-8E93-E64EC6EA702C}"/>
    <cellStyle name="Note 3 3 2 2 2 3" xfId="11698" xr:uid="{D072F674-4457-4A10-9228-1903F5E10899}"/>
    <cellStyle name="Note 3 3 2 2 3" xfId="5329" xr:uid="{00000000-0005-0000-0000-0000AC210000}"/>
    <cellStyle name="Note 3 3 2 2 3 2" xfId="13771" xr:uid="{EC9CF7F3-3E5D-49D8-AB39-1C7D750B4299}"/>
    <cellStyle name="Note 3 3 2 2 4" xfId="9553" xr:uid="{C3E66EA2-1A18-4338-AED3-586F1C584A51}"/>
    <cellStyle name="Note 3 3 2 3" xfId="1434" xr:uid="{00000000-0005-0000-0000-0000AD210000}"/>
    <cellStyle name="Note 3 3 2 3 2" xfId="3664" xr:uid="{00000000-0005-0000-0000-0000AE210000}"/>
    <cellStyle name="Note 3 3 2 3 2 2" xfId="7887" xr:uid="{00000000-0005-0000-0000-0000AF210000}"/>
    <cellStyle name="Note 3 3 2 3 2 2 2" xfId="16329" xr:uid="{F0B5FF2A-4690-46F6-8161-BB1FAA9FD06C}"/>
    <cellStyle name="Note 3 3 2 3 2 3" xfId="12111" xr:uid="{48683EBC-D43C-40CE-91AC-C91A5C5E3653}"/>
    <cellStyle name="Note 3 3 2 3 3" xfId="5742" xr:uid="{00000000-0005-0000-0000-0000B0210000}"/>
    <cellStyle name="Note 3 3 2 3 3 2" xfId="14184" xr:uid="{75804F5B-E79B-4983-AC6C-25DB5836E481}"/>
    <cellStyle name="Note 3 3 2 3 4" xfId="9966" xr:uid="{8BD7714B-0DC6-4750-8898-9DBD637EF5D0}"/>
    <cellStyle name="Note 3 3 2 4" xfId="1848" xr:uid="{00000000-0005-0000-0000-0000B1210000}"/>
    <cellStyle name="Note 3 3 2 4 2" xfId="4077" xr:uid="{00000000-0005-0000-0000-0000B2210000}"/>
    <cellStyle name="Note 3 3 2 4 2 2" xfId="8300" xr:uid="{00000000-0005-0000-0000-0000B3210000}"/>
    <cellStyle name="Note 3 3 2 4 2 2 2" xfId="16742" xr:uid="{C8ABC8F0-A6CF-41D3-AEB8-CAE3CD5DD927}"/>
    <cellStyle name="Note 3 3 2 4 2 3" xfId="12524" xr:uid="{81DA5DDB-D98D-4E76-8D8A-457C0126FD66}"/>
    <cellStyle name="Note 3 3 2 4 3" xfId="6155" xr:uid="{00000000-0005-0000-0000-0000B4210000}"/>
    <cellStyle name="Note 3 3 2 4 3 2" xfId="14597" xr:uid="{2544AF6F-98F8-4F0C-92BC-6CCA554DF4C8}"/>
    <cellStyle name="Note 3 3 2 4 4" xfId="10379" xr:uid="{4288E9AC-99F9-4510-9466-03352CA79D7A}"/>
    <cellStyle name="Note 3 3 2 5" xfId="2261" xr:uid="{00000000-0005-0000-0000-0000B5210000}"/>
    <cellStyle name="Note 3 3 2 5 2" xfId="4490" xr:uid="{00000000-0005-0000-0000-0000B6210000}"/>
    <cellStyle name="Note 3 3 2 5 2 2" xfId="8713" xr:uid="{00000000-0005-0000-0000-0000B7210000}"/>
    <cellStyle name="Note 3 3 2 5 2 2 2" xfId="17155" xr:uid="{C06E52E7-9D44-4772-8F29-E1F755328698}"/>
    <cellStyle name="Note 3 3 2 5 2 3" xfId="12937" xr:uid="{6FC1A2F3-E7D2-431B-8F39-F23F24AA245C}"/>
    <cellStyle name="Note 3 3 2 5 3" xfId="6568" xr:uid="{00000000-0005-0000-0000-0000B8210000}"/>
    <cellStyle name="Note 3 3 2 5 3 2" xfId="15010" xr:uid="{0F6B2ACD-B4BA-4A58-96AB-B28AD90A3424}"/>
    <cellStyle name="Note 3 3 2 5 4" xfId="10792" xr:uid="{C571F66B-D739-4DB4-8468-15BAEEF6F9A8}"/>
    <cellStyle name="Note 3 3 2 6" xfId="2697" xr:uid="{00000000-0005-0000-0000-0000B9210000}"/>
    <cellStyle name="Note 3 3 2 6 2" xfId="6981" xr:uid="{00000000-0005-0000-0000-0000BA210000}"/>
    <cellStyle name="Note 3 3 2 6 2 2" xfId="15423" xr:uid="{127FBB41-29EC-4DDD-9DB2-52772C4DF98B}"/>
    <cellStyle name="Note 3 3 2 6 3" xfId="11205" xr:uid="{D6361C5C-6D4B-4469-A4DD-58CAB59616D3}"/>
    <cellStyle name="Note 3 3 2 7" xfId="2756" xr:uid="{00000000-0005-0000-0000-0000BB210000}"/>
    <cellStyle name="Note 3 3 2 8" xfId="2837" xr:uid="{00000000-0005-0000-0000-0000BC210000}"/>
    <cellStyle name="Note 3 3 2 8 2" xfId="7061" xr:uid="{00000000-0005-0000-0000-0000BD210000}"/>
    <cellStyle name="Note 3 3 2 8 2 2" xfId="15503" xr:uid="{3062BAC3-2152-46A7-BF3B-1F32A582B29E}"/>
    <cellStyle name="Note 3 3 2 8 3" xfId="11285" xr:uid="{E7959922-14EB-4DDD-AAB2-ACA3EF97E940}"/>
    <cellStyle name="Note 3 3 2 9" xfId="4916" xr:uid="{00000000-0005-0000-0000-0000BE210000}"/>
    <cellStyle name="Note 3 3 2 9 2" xfId="13358" xr:uid="{8FD48342-9A1B-4E0F-A528-D8134A8C9F91}"/>
    <cellStyle name="Note 3 3 3" xfId="1018" xr:uid="{00000000-0005-0000-0000-0000BF210000}"/>
    <cellStyle name="Note 3 3 3 2" xfId="3250" xr:uid="{00000000-0005-0000-0000-0000C0210000}"/>
    <cellStyle name="Note 3 3 3 2 2" xfId="7473" xr:uid="{00000000-0005-0000-0000-0000C1210000}"/>
    <cellStyle name="Note 3 3 3 2 2 2" xfId="15915" xr:uid="{88B3E362-D614-4148-BC36-81ED9243496A}"/>
    <cellStyle name="Note 3 3 3 2 3" xfId="11697" xr:uid="{5A1B9236-204C-4A6C-87B4-49D4492B9CE4}"/>
    <cellStyle name="Note 3 3 3 3" xfId="5328" xr:uid="{00000000-0005-0000-0000-0000C2210000}"/>
    <cellStyle name="Note 3 3 3 3 2" xfId="13770" xr:uid="{B7B200CC-756F-4D83-B4A7-B611203DD9CD}"/>
    <cellStyle name="Note 3 3 3 4" xfId="9552" xr:uid="{C36DCFDA-5A63-4BE6-B3C4-00ACA817AD3D}"/>
    <cellStyle name="Note 3 3 4" xfId="1433" xr:uid="{00000000-0005-0000-0000-0000C3210000}"/>
    <cellStyle name="Note 3 3 4 2" xfId="3663" xr:uid="{00000000-0005-0000-0000-0000C4210000}"/>
    <cellStyle name="Note 3 3 4 2 2" xfId="7886" xr:uid="{00000000-0005-0000-0000-0000C5210000}"/>
    <cellStyle name="Note 3 3 4 2 2 2" xfId="16328" xr:uid="{65461CCC-2737-4598-8FF3-EFB3D930F9D8}"/>
    <cellStyle name="Note 3 3 4 2 3" xfId="12110" xr:uid="{8B869466-83FE-4C55-8BE7-3D8DBDE73D07}"/>
    <cellStyle name="Note 3 3 4 3" xfId="5741" xr:uid="{00000000-0005-0000-0000-0000C6210000}"/>
    <cellStyle name="Note 3 3 4 3 2" xfId="14183" xr:uid="{78342BC1-446D-4354-9286-B5C5A3139E2D}"/>
    <cellStyle name="Note 3 3 4 4" xfId="9965" xr:uid="{AFB5F589-A8FB-4648-96E1-B5151006A5ED}"/>
    <cellStyle name="Note 3 3 5" xfId="1847" xr:uid="{00000000-0005-0000-0000-0000C7210000}"/>
    <cellStyle name="Note 3 3 5 2" xfId="4076" xr:uid="{00000000-0005-0000-0000-0000C8210000}"/>
    <cellStyle name="Note 3 3 5 2 2" xfId="8299" xr:uid="{00000000-0005-0000-0000-0000C9210000}"/>
    <cellStyle name="Note 3 3 5 2 2 2" xfId="16741" xr:uid="{BC2D9A3E-293E-48AF-AB72-E3F1FA42B514}"/>
    <cellStyle name="Note 3 3 5 2 3" xfId="12523" xr:uid="{7341D70A-C92E-4EE9-BAFF-0161D0479553}"/>
    <cellStyle name="Note 3 3 5 3" xfId="6154" xr:uid="{00000000-0005-0000-0000-0000CA210000}"/>
    <cellStyle name="Note 3 3 5 3 2" xfId="14596" xr:uid="{F1162ABB-BAE7-4D24-8DCC-388ABF5E2DCA}"/>
    <cellStyle name="Note 3 3 5 4" xfId="10378" xr:uid="{96AFC380-DDE3-473C-8EA2-A76A2284325E}"/>
    <cellStyle name="Note 3 3 6" xfId="2260" xr:uid="{00000000-0005-0000-0000-0000CB210000}"/>
    <cellStyle name="Note 3 3 6 2" xfId="4489" xr:uid="{00000000-0005-0000-0000-0000CC210000}"/>
    <cellStyle name="Note 3 3 6 2 2" xfId="8712" xr:uid="{00000000-0005-0000-0000-0000CD210000}"/>
    <cellStyle name="Note 3 3 6 2 2 2" xfId="17154" xr:uid="{48DFC250-9E8B-45B8-BE37-A13F22B37BD2}"/>
    <cellStyle name="Note 3 3 6 2 3" xfId="12936" xr:uid="{E1939E2C-9149-4269-B5AB-89C66E0485F6}"/>
    <cellStyle name="Note 3 3 6 3" xfId="6567" xr:uid="{00000000-0005-0000-0000-0000CE210000}"/>
    <cellStyle name="Note 3 3 6 3 2" xfId="15009" xr:uid="{135D3ACF-D7AA-4062-8F96-C1920622A4E0}"/>
    <cellStyle name="Note 3 3 6 4" xfId="10791" xr:uid="{5EE20888-A61E-4026-AC4B-7AAE857B57B4}"/>
    <cellStyle name="Note 3 3 7" xfId="2696" xr:uid="{00000000-0005-0000-0000-0000CF210000}"/>
    <cellStyle name="Note 3 3 7 2" xfId="6980" xr:uid="{00000000-0005-0000-0000-0000D0210000}"/>
    <cellStyle name="Note 3 3 7 2 2" xfId="15422" xr:uid="{FEAD5F71-0E5A-436F-98E4-13C954B39C7E}"/>
    <cellStyle name="Note 3 3 7 3" xfId="11204" xr:uid="{FA015382-0F23-4054-B5B9-F96111AE1197}"/>
    <cellStyle name="Note 3 3 8" xfId="2755" xr:uid="{00000000-0005-0000-0000-0000D1210000}"/>
    <cellStyle name="Note 3 3 9" xfId="2836" xr:uid="{00000000-0005-0000-0000-0000D2210000}"/>
    <cellStyle name="Note 3 3 9 2" xfId="7060" xr:uid="{00000000-0005-0000-0000-0000D3210000}"/>
    <cellStyle name="Note 3 3 9 2 2" xfId="15502" xr:uid="{B8BFD2DE-2DC3-4AA8-B09D-D93524C0CE90}"/>
    <cellStyle name="Note 3 3 9 3" xfId="11284" xr:uid="{271A7577-09F7-49D7-91CA-C69243245095}"/>
    <cellStyle name="Note 3 4" xfId="560" xr:uid="{00000000-0005-0000-0000-0000D4210000}"/>
    <cellStyle name="Note 3 4 10" xfId="9141" xr:uid="{0270C1FA-88EA-4D22-BC64-F02E6D6C3F0E}"/>
    <cellStyle name="Note 3 4 2" xfId="1020" xr:uid="{00000000-0005-0000-0000-0000D5210000}"/>
    <cellStyle name="Note 3 4 2 2" xfId="3252" xr:uid="{00000000-0005-0000-0000-0000D6210000}"/>
    <cellStyle name="Note 3 4 2 2 2" xfId="7475" xr:uid="{00000000-0005-0000-0000-0000D7210000}"/>
    <cellStyle name="Note 3 4 2 2 2 2" xfId="15917" xr:uid="{5719BA82-F5A6-4923-9202-F4FF42A9C3FE}"/>
    <cellStyle name="Note 3 4 2 2 3" xfId="11699" xr:uid="{56F79118-EB0C-4EDE-8208-F96F5D80DB1E}"/>
    <cellStyle name="Note 3 4 2 3" xfId="5330" xr:uid="{00000000-0005-0000-0000-0000D8210000}"/>
    <cellStyle name="Note 3 4 2 3 2" xfId="13772" xr:uid="{D4FFE211-FDE4-4F57-BBB6-154C42328C98}"/>
    <cellStyle name="Note 3 4 2 4" xfId="9554" xr:uid="{67AA73E6-651A-44B3-9595-29BC7A90647F}"/>
    <cellStyle name="Note 3 4 3" xfId="1435" xr:uid="{00000000-0005-0000-0000-0000D9210000}"/>
    <cellStyle name="Note 3 4 3 2" xfId="3665" xr:uid="{00000000-0005-0000-0000-0000DA210000}"/>
    <cellStyle name="Note 3 4 3 2 2" xfId="7888" xr:uid="{00000000-0005-0000-0000-0000DB210000}"/>
    <cellStyle name="Note 3 4 3 2 2 2" xfId="16330" xr:uid="{8D25D26F-CD4F-4760-9557-1D7A15AB4613}"/>
    <cellStyle name="Note 3 4 3 2 3" xfId="12112" xr:uid="{2A1739F5-0E54-48A8-8890-7948E2203277}"/>
    <cellStyle name="Note 3 4 3 3" xfId="5743" xr:uid="{00000000-0005-0000-0000-0000DC210000}"/>
    <cellStyle name="Note 3 4 3 3 2" xfId="14185" xr:uid="{3C073100-28CF-43B6-9B01-9BD33417A7BA}"/>
    <cellStyle name="Note 3 4 3 4" xfId="9967" xr:uid="{F0F5F7E1-107E-4F97-ABA8-2D7F904057A0}"/>
    <cellStyle name="Note 3 4 4" xfId="1849" xr:uid="{00000000-0005-0000-0000-0000DD210000}"/>
    <cellStyle name="Note 3 4 4 2" xfId="4078" xr:uid="{00000000-0005-0000-0000-0000DE210000}"/>
    <cellStyle name="Note 3 4 4 2 2" xfId="8301" xr:uid="{00000000-0005-0000-0000-0000DF210000}"/>
    <cellStyle name="Note 3 4 4 2 2 2" xfId="16743" xr:uid="{789BC93D-D2A1-43EF-9B11-765481E6D528}"/>
    <cellStyle name="Note 3 4 4 2 3" xfId="12525" xr:uid="{F0C4CC6A-2A70-4849-AE72-A9738B90FCFF}"/>
    <cellStyle name="Note 3 4 4 3" xfId="6156" xr:uid="{00000000-0005-0000-0000-0000E0210000}"/>
    <cellStyle name="Note 3 4 4 3 2" xfId="14598" xr:uid="{CAFCE13B-AA94-4539-8F5C-7B593D9A313F}"/>
    <cellStyle name="Note 3 4 4 4" xfId="10380" xr:uid="{EE6D3FA7-4733-4AF5-9E44-95D703A26142}"/>
    <cellStyle name="Note 3 4 5" xfId="2262" xr:uid="{00000000-0005-0000-0000-0000E1210000}"/>
    <cellStyle name="Note 3 4 5 2" xfId="4491" xr:uid="{00000000-0005-0000-0000-0000E2210000}"/>
    <cellStyle name="Note 3 4 5 2 2" xfId="8714" xr:uid="{00000000-0005-0000-0000-0000E3210000}"/>
    <cellStyle name="Note 3 4 5 2 2 2" xfId="17156" xr:uid="{780FF132-C4F6-4C94-9594-7D8D1786653D}"/>
    <cellStyle name="Note 3 4 5 2 3" xfId="12938" xr:uid="{53790F3E-E749-44D9-8B5C-F192B68E58D5}"/>
    <cellStyle name="Note 3 4 5 3" xfId="6569" xr:uid="{00000000-0005-0000-0000-0000E4210000}"/>
    <cellStyle name="Note 3 4 5 3 2" xfId="15011" xr:uid="{DD48CBBE-C649-400E-A60F-70A0EA6AB6C4}"/>
    <cellStyle name="Note 3 4 5 4" xfId="10793" xr:uid="{09B539C0-C5D2-44D8-A67B-F377B8DBE941}"/>
    <cellStyle name="Note 3 4 6" xfId="2698" xr:uid="{00000000-0005-0000-0000-0000E5210000}"/>
    <cellStyle name="Note 3 4 6 2" xfId="6982" xr:uid="{00000000-0005-0000-0000-0000E6210000}"/>
    <cellStyle name="Note 3 4 6 2 2" xfId="15424" xr:uid="{79D69BB3-7EF4-4385-9A24-DEF837660CFB}"/>
    <cellStyle name="Note 3 4 6 3" xfId="11206" xr:uid="{CF027BC7-57A0-4FD5-A08D-2532594B4EB3}"/>
    <cellStyle name="Note 3 4 7" xfId="2757" xr:uid="{00000000-0005-0000-0000-0000E7210000}"/>
    <cellStyle name="Note 3 4 8" xfId="2838" xr:uid="{00000000-0005-0000-0000-0000E8210000}"/>
    <cellStyle name="Note 3 4 8 2" xfId="7062" xr:uid="{00000000-0005-0000-0000-0000E9210000}"/>
    <cellStyle name="Note 3 4 8 2 2" xfId="15504" xr:uid="{F6EEA9CC-47CC-4FA1-991B-27E584456B81}"/>
    <cellStyle name="Note 3 4 8 3" xfId="11286" xr:uid="{A9957DFD-AA98-4EC1-A21E-F63CD866FE97}"/>
    <cellStyle name="Note 3 4 9" xfId="4917" xr:uid="{00000000-0005-0000-0000-0000EA210000}"/>
    <cellStyle name="Note 3 4 9 2" xfId="13359" xr:uid="{9A3B12C8-3369-4C9B-BC30-E009A3ED700C}"/>
    <cellStyle name="Note 3 5" xfId="561" xr:uid="{00000000-0005-0000-0000-0000EB210000}"/>
    <cellStyle name="Note 3 5 10" xfId="9142" xr:uid="{4680F01E-17A0-4CFA-AAF1-D004AF13D93C}"/>
    <cellStyle name="Note 3 5 2" xfId="1021" xr:uid="{00000000-0005-0000-0000-0000EC210000}"/>
    <cellStyle name="Note 3 5 2 2" xfId="3253" xr:uid="{00000000-0005-0000-0000-0000ED210000}"/>
    <cellStyle name="Note 3 5 2 2 2" xfId="7476" xr:uid="{00000000-0005-0000-0000-0000EE210000}"/>
    <cellStyle name="Note 3 5 2 2 2 2" xfId="15918" xr:uid="{40770BF1-2F52-4EC9-86F0-33152F6D83E1}"/>
    <cellStyle name="Note 3 5 2 2 3" xfId="11700" xr:uid="{880FC630-BE1B-416C-892E-0727B0CC2C1A}"/>
    <cellStyle name="Note 3 5 2 3" xfId="5331" xr:uid="{00000000-0005-0000-0000-0000EF210000}"/>
    <cellStyle name="Note 3 5 2 3 2" xfId="13773" xr:uid="{0DB6D2E7-49AF-41ED-A24E-B26606064F91}"/>
    <cellStyle name="Note 3 5 2 4" xfId="9555" xr:uid="{F56AB813-FE4F-46AF-87FF-9C2162154184}"/>
    <cellStyle name="Note 3 5 3" xfId="1436" xr:uid="{00000000-0005-0000-0000-0000F0210000}"/>
    <cellStyle name="Note 3 5 3 2" xfId="3666" xr:uid="{00000000-0005-0000-0000-0000F1210000}"/>
    <cellStyle name="Note 3 5 3 2 2" xfId="7889" xr:uid="{00000000-0005-0000-0000-0000F2210000}"/>
    <cellStyle name="Note 3 5 3 2 2 2" xfId="16331" xr:uid="{23FDDDF9-3AB7-480F-8C2B-60861C9348D0}"/>
    <cellStyle name="Note 3 5 3 2 3" xfId="12113" xr:uid="{BAAA37E3-CD41-4781-8A4F-67863FD0D0F9}"/>
    <cellStyle name="Note 3 5 3 3" xfId="5744" xr:uid="{00000000-0005-0000-0000-0000F3210000}"/>
    <cellStyle name="Note 3 5 3 3 2" xfId="14186" xr:uid="{C7DF8E96-4CF0-4AF2-B94A-2902DF14F09E}"/>
    <cellStyle name="Note 3 5 3 4" xfId="9968" xr:uid="{29F491DD-23EE-4908-B03F-0C4500F82706}"/>
    <cellStyle name="Note 3 5 4" xfId="1850" xr:uid="{00000000-0005-0000-0000-0000F4210000}"/>
    <cellStyle name="Note 3 5 4 2" xfId="4079" xr:uid="{00000000-0005-0000-0000-0000F5210000}"/>
    <cellStyle name="Note 3 5 4 2 2" xfId="8302" xr:uid="{00000000-0005-0000-0000-0000F6210000}"/>
    <cellStyle name="Note 3 5 4 2 2 2" xfId="16744" xr:uid="{7A3013E7-DF1E-469D-954D-C20EEE4996BF}"/>
    <cellStyle name="Note 3 5 4 2 3" xfId="12526" xr:uid="{92555AEC-2F27-4B53-8E96-35D9B5E4552F}"/>
    <cellStyle name="Note 3 5 4 3" xfId="6157" xr:uid="{00000000-0005-0000-0000-0000F7210000}"/>
    <cellStyle name="Note 3 5 4 3 2" xfId="14599" xr:uid="{A6C324C6-D28D-415F-BC73-9D2EE4C8B546}"/>
    <cellStyle name="Note 3 5 4 4" xfId="10381" xr:uid="{5B2D2965-1995-4BC6-B8F4-FA1956938454}"/>
    <cellStyle name="Note 3 5 5" xfId="2263" xr:uid="{00000000-0005-0000-0000-0000F8210000}"/>
    <cellStyle name="Note 3 5 5 2" xfId="4492" xr:uid="{00000000-0005-0000-0000-0000F9210000}"/>
    <cellStyle name="Note 3 5 5 2 2" xfId="8715" xr:uid="{00000000-0005-0000-0000-0000FA210000}"/>
    <cellStyle name="Note 3 5 5 2 2 2" xfId="17157" xr:uid="{A5F268DB-ECA8-4B21-AA83-206AE05E602E}"/>
    <cellStyle name="Note 3 5 5 2 3" xfId="12939" xr:uid="{2E53B435-D76A-4E50-897C-132FCA3D9D3D}"/>
    <cellStyle name="Note 3 5 5 3" xfId="6570" xr:uid="{00000000-0005-0000-0000-0000FB210000}"/>
    <cellStyle name="Note 3 5 5 3 2" xfId="15012" xr:uid="{AD794D39-0E90-40D3-BC34-7060D59823F0}"/>
    <cellStyle name="Note 3 5 5 4" xfId="10794" xr:uid="{874BECDA-ED0A-4D17-9896-41E81770562C}"/>
    <cellStyle name="Note 3 5 6" xfId="2699" xr:uid="{00000000-0005-0000-0000-0000FC210000}"/>
    <cellStyle name="Note 3 5 6 2" xfId="6983" xr:uid="{00000000-0005-0000-0000-0000FD210000}"/>
    <cellStyle name="Note 3 5 6 2 2" xfId="15425" xr:uid="{D4149BE3-0097-440B-A444-F0ADA710F196}"/>
    <cellStyle name="Note 3 5 6 3" xfId="11207" xr:uid="{60749316-CB2A-4152-BAC8-B6BDC9F2418F}"/>
    <cellStyle name="Note 3 5 7" xfId="2758" xr:uid="{00000000-0005-0000-0000-0000FE210000}"/>
    <cellStyle name="Note 3 5 8" xfId="2839" xr:uid="{00000000-0005-0000-0000-0000FF210000}"/>
    <cellStyle name="Note 3 5 8 2" xfId="7063" xr:uid="{00000000-0005-0000-0000-000000220000}"/>
    <cellStyle name="Note 3 5 8 2 2" xfId="15505" xr:uid="{380CA9CD-817D-407C-B013-635CB0827DAF}"/>
    <cellStyle name="Note 3 5 8 3" xfId="11287" xr:uid="{15F844F7-0BEA-4148-8CF5-E0C895EA95EB}"/>
    <cellStyle name="Note 3 5 9" xfId="4918" xr:uid="{00000000-0005-0000-0000-000001220000}"/>
    <cellStyle name="Note 3 5 9 2" xfId="13360" xr:uid="{11B2464E-C528-4C1C-87F4-E8A4EFB655D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DC18D736-2B56-4F28-A9D3-4D7CA40C72FF}"/>
    <cellStyle name="Percent 4" xfId="4502" xr:uid="{00000000-0005-0000-0000-000007220000}"/>
    <cellStyle name="Percent 4 2" xfId="8718" xr:uid="{00000000-0005-0000-0000-000008220000}"/>
    <cellStyle name="Percent 4 2 2" xfId="17160" xr:uid="{AEDC3A5C-609C-4890-B123-466784971ADC}"/>
    <cellStyle name="Percent 4 3" xfId="8721" xr:uid="{D09CD3FC-D632-4B66-A68A-5CC92F993799}"/>
    <cellStyle name="Percent 4 3 2" xfId="8725" xr:uid="{D57AE941-8E59-43F0-AB73-09B3BCCFA234}"/>
    <cellStyle name="Percent 4 3 2 2" xfId="8728" xr:uid="{D24D76A7-D076-4554-9944-551B122393DE}"/>
    <cellStyle name="Percent 4 3 2 3" xfId="17166" xr:uid="{929916FD-6B02-4306-8DD1-703B7FEDAE0F}"/>
    <cellStyle name="Percent 4 3 3" xfId="17163" xr:uid="{17F95995-C3F4-43F6-823B-5674E7EE03CE}"/>
    <cellStyle name="Percent 4 4" xfId="12946" xr:uid="{2EF7668F-6DE4-4564-BAFA-8306370C03EF}"/>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2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558</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3" t="s">
        <v>2348</v>
      </c>
      <c r="E7" s="1273"/>
      <c r="F7" s="1273"/>
      <c r="G7" s="1273"/>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489"/>
    </row>
    <row r="8" spans="1:38">
      <c r="A8" s="218"/>
      <c r="B8" s="218"/>
      <c r="C8" s="219"/>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489"/>
    </row>
    <row r="9" spans="1:38">
      <c r="A9" s="218"/>
      <c r="B9" s="218"/>
      <c r="C9" s="219"/>
      <c r="D9" s="1273"/>
      <c r="E9" s="1273"/>
      <c r="F9" s="1273"/>
      <c r="G9" s="1273"/>
      <c r="H9" s="1273"/>
      <c r="I9" s="1273"/>
      <c r="J9" s="1273"/>
      <c r="K9" s="1273"/>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3" t="s">
        <v>2349</v>
      </c>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489"/>
    </row>
    <row r="12" spans="1:38">
      <c r="A12" s="218"/>
      <c r="B12" s="218"/>
      <c r="C12" s="219"/>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489"/>
    </row>
    <row r="13" spans="1:38">
      <c r="A13" s="218"/>
      <c r="B13" s="218"/>
      <c r="C13" s="219"/>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489"/>
    </row>
    <row r="14" spans="1:38" ht="13.15" customHeight="1">
      <c r="A14" s="218"/>
      <c r="B14" s="218"/>
      <c r="C14" s="219"/>
      <c r="E14" s="1273" t="s">
        <v>2578</v>
      </c>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489"/>
    </row>
    <row r="15" spans="1:38" ht="13.15" customHeight="1">
      <c r="A15" s="218"/>
      <c r="B15" s="218"/>
      <c r="C15" s="219"/>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489"/>
    </row>
    <row r="16" spans="1:38">
      <c r="A16" s="218"/>
      <c r="B16" s="218"/>
      <c r="C16" s="219"/>
      <c r="D16" s="489"/>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3"/>
      <c r="AE16" s="1273"/>
      <c r="AF16" s="1273"/>
      <c r="AG16" s="1273"/>
      <c r="AH16" s="1273"/>
      <c r="AI16" s="1273"/>
      <c r="AJ16" s="1273"/>
      <c r="AK16" s="1273"/>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3" t="s">
        <v>2350</v>
      </c>
      <c r="E18" s="1273"/>
      <c r="F18" s="1273"/>
      <c r="G18" s="1273"/>
      <c r="H18" s="1273"/>
      <c r="I18" s="1273"/>
      <c r="J18" s="1273"/>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218"/>
    </row>
    <row r="19" spans="1:38">
      <c r="A19" s="218"/>
      <c r="B19" s="218"/>
      <c r="C19" s="219"/>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Z19" s="1273"/>
      <c r="AA19" s="1273"/>
      <c r="AB19" s="1273"/>
      <c r="AC19" s="1273"/>
      <c r="AD19" s="1273"/>
      <c r="AE19" s="1273"/>
      <c r="AF19" s="1273"/>
      <c r="AG19" s="1273"/>
      <c r="AH19" s="1273"/>
      <c r="AI19" s="1273"/>
      <c r="AJ19" s="1273"/>
      <c r="AK19" s="1273"/>
      <c r="AL19" s="218"/>
    </row>
    <row r="20" spans="1:38">
      <c r="A20" s="218"/>
      <c r="B20" s="218"/>
      <c r="C20" s="219"/>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18"/>
    </row>
    <row r="21" spans="1:38" ht="13.15" customHeight="1">
      <c r="A21" s="218"/>
      <c r="B21" s="218"/>
      <c r="C21" s="219"/>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218"/>
    </row>
    <row r="22" spans="1:38">
      <c r="A22" s="218"/>
      <c r="B22" s="218"/>
      <c r="C22" s="219"/>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218"/>
    </row>
    <row r="23" spans="1:38">
      <c r="A23" s="218"/>
      <c r="B23" s="218"/>
      <c r="C23" s="219"/>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18"/>
    </row>
    <row r="24" spans="1:38">
      <c r="A24" s="218"/>
      <c r="B24" s="218"/>
      <c r="C24" s="219"/>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218"/>
    </row>
    <row r="25" spans="1:38">
      <c r="A25" s="218"/>
      <c r="B25" s="218"/>
      <c r="C25" s="219"/>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218"/>
    </row>
    <row r="26" spans="1:38">
      <c r="A26" s="218"/>
      <c r="B26" s="218"/>
      <c r="C26" s="219"/>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218"/>
    </row>
    <row r="27" spans="1:38" ht="11.85" customHeight="1">
      <c r="A27" s="218"/>
      <c r="B27" s="218"/>
      <c r="C27" s="219"/>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18"/>
    </row>
    <row r="28" spans="1:38" ht="13.15" hidden="1" customHeight="1">
      <c r="A28" s="218"/>
      <c r="B28" s="218"/>
      <c r="C28" s="219"/>
      <c r="E28" s="1273" t="s">
        <v>2505</v>
      </c>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218"/>
    </row>
    <row r="29" spans="1:38" ht="13.15" hidden="1" customHeight="1">
      <c r="A29" s="218"/>
      <c r="B29" s="218"/>
      <c r="C29" s="219"/>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c r="AL29" s="218"/>
    </row>
    <row r="30" spans="1:38" hidden="1">
      <c r="A30" s="218"/>
      <c r="B30" s="218"/>
      <c r="C30" s="219"/>
      <c r="D30" s="489"/>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3" t="s">
        <v>2351</v>
      </c>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218"/>
    </row>
    <row r="33" spans="1:38">
      <c r="A33" s="218"/>
      <c r="B33" s="218"/>
      <c r="C33" s="219"/>
      <c r="D33" s="489"/>
      <c r="E33" s="1280" t="s">
        <v>2584</v>
      </c>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218"/>
    </row>
    <row r="34" spans="1:38">
      <c r="A34" s="4"/>
      <c r="C34" s="2"/>
    </row>
    <row r="35" spans="1:38">
      <c r="A35" s="4"/>
      <c r="D35" s="1274" t="s">
        <v>2500</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79" t="s">
        <v>2358</v>
      </c>
      <c r="F37" s="1279"/>
      <c r="G37" s="1279"/>
      <c r="H37" s="1279"/>
      <c r="I37" s="1279"/>
      <c r="J37" s="1279"/>
      <c r="K37" s="1279"/>
      <c r="L37" s="1279"/>
      <c r="M37" s="1279"/>
      <c r="N37" s="1279"/>
      <c r="O37" s="1279"/>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row>
    <row r="38" spans="1:38">
      <c r="A38" s="4"/>
      <c r="D38" s="120"/>
      <c r="E38" s="1279" t="s">
        <v>2359</v>
      </c>
      <c r="F38" s="1279"/>
      <c r="G38" s="1279"/>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3" customFormat="1" ht="13.15" customHeight="1">
      <c r="A42" s="4"/>
      <c r="B42"/>
      <c r="C42" s="2"/>
      <c r="D42" s="4"/>
      <c r="E42" s="4" t="s">
        <v>661</v>
      </c>
      <c r="F42" s="1273" t="s">
        <v>1269</v>
      </c>
    </row>
    <row r="43" spans="1:38" s="1273"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7" t="s">
        <v>1353</v>
      </c>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E45" s="1277"/>
      <c r="AF45" s="1277"/>
      <c r="AG45" s="1277"/>
      <c r="AH45" s="1277"/>
      <c r="AI45" s="1277"/>
      <c r="AJ45" s="1277"/>
      <c r="AK45" s="1277"/>
      <c r="AL45" s="1277"/>
    </row>
    <row r="46" spans="1:38" s="118" customFormat="1">
      <c r="A46" s="4"/>
      <c r="B46"/>
      <c r="C46" s="2"/>
      <c r="D46" s="4"/>
      <c r="E46" s="4"/>
      <c r="F46" s="1277"/>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row>
    <row r="47" spans="1:38" s="118" customFormat="1" ht="13.15" customHeight="1">
      <c r="A47" s="4"/>
      <c r="B47"/>
      <c r="C47" s="2"/>
      <c r="D47" s="4"/>
      <c r="E47" s="4"/>
      <c r="F47" s="1277"/>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3" t="s">
        <v>2353</v>
      </c>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3"/>
      <c r="AE50" s="1273"/>
      <c r="AF50" s="1273"/>
      <c r="AG50" s="1273"/>
      <c r="AH50" s="1273"/>
      <c r="AI50" s="1273"/>
      <c r="AJ50" s="1273"/>
      <c r="AK50" s="1273"/>
    </row>
    <row r="51" spans="1:38">
      <c r="A51" s="4"/>
      <c r="C51" s="2"/>
      <c r="D51" s="4"/>
      <c r="E51" s="4"/>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row>
    <row r="52" spans="1:38">
      <c r="A52" s="4"/>
      <c r="C52" s="2"/>
      <c r="D52" s="4"/>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5" t="s">
        <v>1296</v>
      </c>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5" t="s">
        <v>583</v>
      </c>
      <c r="H58" s="1275"/>
      <c r="I58" s="1275"/>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5" t="s">
        <v>2354</v>
      </c>
      <c r="H59" s="1275"/>
      <c r="I59" s="1275"/>
      <c r="J59" s="1275"/>
      <c r="K59" s="1275"/>
      <c r="L59" s="1275"/>
      <c r="M59" s="1275"/>
      <c r="N59" s="1275"/>
      <c r="O59" s="1275"/>
      <c r="P59" s="1275"/>
      <c r="Q59" s="1275"/>
      <c r="R59" s="1275"/>
      <c r="S59" s="1275"/>
      <c r="T59" s="1275"/>
      <c r="U59" s="1275"/>
      <c r="V59" s="1275"/>
      <c r="W59" s="1275"/>
      <c r="X59" s="1275"/>
      <c r="Y59" s="1275"/>
      <c r="Z59" s="1275"/>
      <c r="AA59" s="1275"/>
      <c r="AB59" s="1275"/>
      <c r="AC59" s="1275"/>
      <c r="AD59" s="1275"/>
      <c r="AE59" s="1275"/>
      <c r="AF59" s="1275"/>
      <c r="AG59" s="1275"/>
      <c r="AH59" s="1275"/>
      <c r="AI59" s="1275"/>
      <c r="AJ59" s="1275"/>
      <c r="AK59" s="1275"/>
      <c r="AL59" s="1275"/>
    </row>
    <row r="60" spans="1:38">
      <c r="A60" s="218"/>
      <c r="B60" s="218"/>
      <c r="C60" s="219"/>
      <c r="D60" s="219"/>
      <c r="E60" s="218"/>
      <c r="F60" s="220"/>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3" t="s">
        <v>1271</v>
      </c>
      <c r="H66" s="1273"/>
      <c r="I66" s="1273"/>
      <c r="J66" s="1273"/>
      <c r="K66" s="1273"/>
      <c r="L66" s="1273"/>
      <c r="M66" s="1273"/>
      <c r="N66" s="1273"/>
      <c r="O66" s="1273"/>
      <c r="P66" s="1273"/>
      <c r="Q66" s="1273"/>
      <c r="R66" s="1273"/>
      <c r="S66" s="1273"/>
      <c r="T66" s="1273"/>
      <c r="U66" s="1273"/>
      <c r="V66" s="1273"/>
      <c r="W66" s="1273"/>
      <c r="X66" s="1273"/>
      <c r="Y66" s="1273"/>
      <c r="Z66" s="1273"/>
      <c r="AA66" s="1273"/>
      <c r="AB66" s="1273"/>
      <c r="AC66" s="1273"/>
      <c r="AD66" s="1273"/>
      <c r="AE66" s="1273"/>
      <c r="AF66" s="1273"/>
      <c r="AG66" s="1273"/>
      <c r="AH66" s="1273"/>
      <c r="AI66" s="1273"/>
      <c r="AJ66" s="1273"/>
      <c r="AK66" s="1273"/>
    </row>
    <row r="67" spans="1:37">
      <c r="A67" s="4"/>
      <c r="C67" s="2"/>
      <c r="D67" s="4"/>
      <c r="E67" s="4"/>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273"/>
      <c r="AE67" s="1273"/>
      <c r="AF67" s="1273"/>
      <c r="AG67" s="1273"/>
      <c r="AH67" s="1273"/>
      <c r="AI67" s="1273"/>
      <c r="AJ67" s="1273"/>
      <c r="AK67" s="1273"/>
    </row>
    <row r="68" spans="1:37">
      <c r="A68" s="4"/>
      <c r="C68" s="2"/>
      <c r="D68" s="4"/>
      <c r="E68" s="4"/>
      <c r="G68" s="1273"/>
      <c r="H68" s="1273"/>
      <c r="I68" s="1273"/>
      <c r="J68" s="1273"/>
      <c r="K68" s="1273"/>
      <c r="L68" s="1273"/>
      <c r="M68" s="1273"/>
      <c r="N68" s="1273"/>
      <c r="O68" s="1273"/>
      <c r="P68" s="1273"/>
      <c r="Q68" s="1273"/>
      <c r="R68" s="1273"/>
      <c r="S68" s="1273"/>
      <c r="T68" s="1273"/>
      <c r="U68" s="1273"/>
      <c r="V68" s="1273"/>
      <c r="W68" s="1273"/>
      <c r="X68" s="1273"/>
      <c r="Y68" s="1273"/>
      <c r="Z68" s="1273"/>
      <c r="AA68" s="1273"/>
      <c r="AB68" s="1273"/>
      <c r="AC68" s="1273"/>
      <c r="AD68" s="1273"/>
      <c r="AE68" s="1273"/>
      <c r="AF68" s="1273"/>
      <c r="AG68" s="1273"/>
      <c r="AH68" s="1273"/>
      <c r="AI68" s="1273"/>
      <c r="AJ68" s="1273"/>
      <c r="AK68" s="1273"/>
    </row>
    <row r="69" spans="1:37" ht="13.15" customHeight="1">
      <c r="A69" s="4"/>
      <c r="C69" s="2"/>
      <c r="D69" s="4"/>
      <c r="E69" s="4"/>
      <c r="F69" t="s">
        <v>517</v>
      </c>
      <c r="G69" s="1273" t="s">
        <v>1272</v>
      </c>
      <c r="H69" s="1273"/>
      <c r="I69" s="1273"/>
      <c r="J69" s="1273"/>
      <c r="K69" s="1273"/>
      <c r="L69" s="1273"/>
      <c r="M69" s="1273"/>
      <c r="N69" s="1273"/>
      <c r="O69" s="1273"/>
      <c r="P69" s="1273"/>
      <c r="Q69" s="1273"/>
      <c r="R69" s="1273"/>
      <c r="S69" s="1273"/>
      <c r="T69" s="1273"/>
      <c r="U69" s="1273"/>
      <c r="V69" s="1273"/>
      <c r="W69" s="1273"/>
      <c r="X69" s="1273"/>
      <c r="Y69" s="1273"/>
      <c r="Z69" s="1273"/>
      <c r="AA69" s="1273"/>
      <c r="AB69" s="1273"/>
      <c r="AC69" s="1273"/>
      <c r="AD69" s="1273"/>
      <c r="AE69" s="1273"/>
      <c r="AF69" s="1273"/>
      <c r="AG69" s="1273"/>
      <c r="AH69" s="1273"/>
      <c r="AI69" s="1273"/>
      <c r="AJ69" s="1273"/>
      <c r="AK69" s="1273"/>
    </row>
    <row r="70" spans="1:37">
      <c r="A70" s="4"/>
      <c r="C70" s="2"/>
      <c r="D70" s="4"/>
      <c r="E70" s="4"/>
      <c r="F70" s="27"/>
      <c r="G70" s="1273"/>
      <c r="H70" s="1273"/>
      <c r="I70" s="1273"/>
      <c r="J70" s="1273"/>
      <c r="K70" s="1273"/>
      <c r="L70" s="1273"/>
      <c r="M70" s="1273"/>
      <c r="N70" s="1273"/>
      <c r="O70" s="1273"/>
      <c r="P70" s="1273"/>
      <c r="Q70" s="1273"/>
      <c r="R70" s="1273"/>
      <c r="S70" s="1273"/>
      <c r="T70" s="1273"/>
      <c r="U70" s="1273"/>
      <c r="V70" s="1273"/>
      <c r="W70" s="1273"/>
      <c r="X70" s="1273"/>
      <c r="Y70" s="1273"/>
      <c r="Z70" s="1273"/>
      <c r="AA70" s="1273"/>
      <c r="AB70" s="1273"/>
      <c r="AC70" s="1273"/>
      <c r="AD70" s="1273"/>
      <c r="AE70" s="1273"/>
      <c r="AF70" s="1273"/>
      <c r="AG70" s="1273"/>
      <c r="AH70" s="1273"/>
      <c r="AI70" s="1273"/>
      <c r="AJ70" s="1273"/>
      <c r="AK70" s="1273"/>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3" t="s">
        <v>1273</v>
      </c>
      <c r="H72" s="1273"/>
      <c r="I72" s="1273"/>
      <c r="J72" s="1273"/>
      <c r="K72" s="1273"/>
      <c r="L72" s="1273"/>
      <c r="M72" s="1273"/>
      <c r="N72" s="1273"/>
      <c r="O72" s="1273"/>
      <c r="P72" s="1273"/>
      <c r="Q72" s="1273"/>
      <c r="R72" s="1273"/>
      <c r="S72" s="1273"/>
      <c r="T72" s="1273"/>
      <c r="U72" s="1273"/>
      <c r="V72" s="1273"/>
      <c r="W72" s="1273"/>
      <c r="X72" s="1273"/>
      <c r="Y72" s="1273"/>
      <c r="Z72" s="1273"/>
      <c r="AA72" s="1273"/>
      <c r="AB72" s="1273"/>
      <c r="AC72" s="1273"/>
      <c r="AD72" s="1273"/>
      <c r="AE72" s="1273"/>
      <c r="AF72" s="1273"/>
      <c r="AG72" s="1273"/>
      <c r="AH72" s="1273"/>
      <c r="AI72" s="1273"/>
      <c r="AJ72" s="1273"/>
      <c r="AK72" s="1273"/>
    </row>
    <row r="73" spans="1:37">
      <c r="A73" s="4"/>
      <c r="C73" s="2"/>
      <c r="D73" s="4"/>
      <c r="E73" s="4"/>
      <c r="F73" s="8"/>
      <c r="G73" s="1273"/>
      <c r="H73" s="1273"/>
      <c r="I73" s="1273"/>
      <c r="J73" s="1273"/>
      <c r="K73" s="1273"/>
      <c r="L73" s="1273"/>
      <c r="M73" s="1273"/>
      <c r="N73" s="1273"/>
      <c r="O73" s="1273"/>
      <c r="P73" s="1273"/>
      <c r="Q73" s="1273"/>
      <c r="R73" s="1273"/>
      <c r="S73" s="1273"/>
      <c r="T73" s="1273"/>
      <c r="U73" s="1273"/>
      <c r="V73" s="1273"/>
      <c r="W73" s="1273"/>
      <c r="X73" s="1273"/>
      <c r="Y73" s="1273"/>
      <c r="Z73" s="1273"/>
      <c r="AA73" s="1273"/>
      <c r="AB73" s="1273"/>
      <c r="AC73" s="1273"/>
      <c r="AD73" s="1273"/>
      <c r="AE73" s="1273"/>
      <c r="AF73" s="1273"/>
      <c r="AG73" s="1273"/>
      <c r="AH73" s="1273"/>
      <c r="AI73" s="1273"/>
      <c r="AJ73" s="1273"/>
      <c r="AK73" s="1273"/>
    </row>
    <row r="74" spans="1:37">
      <c r="A74" s="4"/>
      <c r="C74" s="2"/>
      <c r="D74" s="4"/>
      <c r="E74" s="4"/>
      <c r="F74" s="8" t="s">
        <v>517</v>
      </c>
      <c r="G74" s="1273" t="s">
        <v>1274</v>
      </c>
      <c r="H74" s="1273"/>
      <c r="I74" s="1273"/>
      <c r="J74" s="1273"/>
      <c r="K74" s="1273"/>
      <c r="L74" s="1273"/>
      <c r="M74" s="1273"/>
      <c r="N74" s="1273"/>
      <c r="O74" s="1273"/>
      <c r="P74" s="1273"/>
      <c r="Q74" s="1273"/>
      <c r="R74" s="1273"/>
      <c r="S74" s="1273"/>
      <c r="T74" s="1273"/>
      <c r="U74" s="1273"/>
      <c r="V74" s="1273"/>
      <c r="W74" s="1273"/>
      <c r="X74" s="1273"/>
      <c r="Y74" s="1273"/>
      <c r="Z74" s="1273"/>
      <c r="AA74" s="1273"/>
      <c r="AB74" s="1273"/>
      <c r="AC74" s="1273"/>
      <c r="AD74" s="1273"/>
      <c r="AE74" s="1273"/>
      <c r="AF74" s="1273"/>
      <c r="AG74" s="1273"/>
      <c r="AH74" s="1273"/>
      <c r="AI74" s="1273"/>
      <c r="AJ74" s="1273"/>
      <c r="AK74" s="1273"/>
    </row>
    <row r="75" spans="1:37">
      <c r="A75" s="4"/>
      <c r="C75" s="2"/>
      <c r="D75" s="4"/>
      <c r="E75" s="4"/>
      <c r="F75" s="8"/>
      <c r="G75" s="1273"/>
      <c r="H75" s="1273"/>
      <c r="I75" s="1273"/>
      <c r="J75" s="1273"/>
      <c r="K75" s="1273"/>
      <c r="L75" s="1273"/>
      <c r="M75" s="1273"/>
      <c r="N75" s="1273"/>
      <c r="O75" s="1273"/>
      <c r="P75" s="1273"/>
      <c r="Q75" s="1273"/>
      <c r="R75" s="1273"/>
      <c r="S75" s="1273"/>
      <c r="T75" s="1273"/>
      <c r="U75" s="1273"/>
      <c r="V75" s="1273"/>
      <c r="W75" s="1273"/>
      <c r="X75" s="1273"/>
      <c r="Y75" s="1273"/>
      <c r="Z75" s="1273"/>
      <c r="AA75" s="1273"/>
      <c r="AB75" s="1273"/>
      <c r="AC75" s="1273"/>
      <c r="AD75" s="1273"/>
      <c r="AE75" s="1273"/>
      <c r="AF75" s="1273"/>
      <c r="AG75" s="1273"/>
      <c r="AH75" s="1273"/>
      <c r="AI75" s="1273"/>
      <c r="AJ75" s="1273"/>
      <c r="AK75" s="1273"/>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3" t="s">
        <v>1275</v>
      </c>
      <c r="H82" s="1273"/>
      <c r="I82" s="1273"/>
      <c r="J82" s="1273"/>
      <c r="K82" s="1273"/>
      <c r="L82" s="1273"/>
      <c r="M82" s="1273"/>
      <c r="N82" s="1273"/>
      <c r="O82" s="1273"/>
      <c r="P82" s="1273"/>
      <c r="Q82" s="1273"/>
      <c r="R82" s="1273"/>
      <c r="S82" s="1273"/>
      <c r="T82" s="1273"/>
      <c r="U82" s="1273"/>
      <c r="V82" s="1273"/>
      <c r="W82" s="1273"/>
      <c r="X82" s="1273"/>
      <c r="Y82" s="1273"/>
      <c r="Z82" s="1273"/>
      <c r="AA82" s="1273"/>
      <c r="AB82" s="1273"/>
      <c r="AC82" s="1273"/>
      <c r="AD82" s="1273"/>
      <c r="AE82" s="1273"/>
      <c r="AF82" s="1273"/>
      <c r="AG82" s="1273"/>
      <c r="AH82" s="1273"/>
      <c r="AI82" s="1273"/>
      <c r="AJ82" s="1273"/>
      <c r="AK82" s="1273"/>
    </row>
    <row r="83" spans="1:37">
      <c r="A83" s="4"/>
      <c r="C83" s="2"/>
      <c r="D83" s="4"/>
      <c r="E83" s="4"/>
      <c r="F83" s="4"/>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row>
    <row r="84" spans="1:37">
      <c r="A84" s="4"/>
      <c r="C84" s="2"/>
      <c r="D84" s="4"/>
      <c r="E84" s="4"/>
      <c r="F84" s="4"/>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3" t="s">
        <v>1276</v>
      </c>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row>
    <row r="87" spans="1:37">
      <c r="A87" s="4"/>
      <c r="C87" s="2"/>
      <c r="D87" s="4"/>
      <c r="E87" s="4"/>
      <c r="F87" s="4"/>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row>
    <row r="88" spans="1:37">
      <c r="A88" s="4"/>
      <c r="C88" s="2"/>
      <c r="D88" s="4"/>
      <c r="E88" s="4"/>
      <c r="G88" s="1273"/>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82" t="s">
        <v>1277</v>
      </c>
      <c r="H90" s="1282"/>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row>
    <row r="91" spans="1:37">
      <c r="A91" s="4"/>
      <c r="C91" s="2"/>
      <c r="D91" s="4"/>
      <c r="E91" s="4"/>
      <c r="G91" s="1282"/>
      <c r="H91" s="1282"/>
      <c r="I91" s="1282"/>
      <c r="J91" s="1282"/>
      <c r="K91" s="1282"/>
      <c r="L91" s="1282"/>
      <c r="M91" s="1282"/>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row>
    <row r="92" spans="1:37">
      <c r="A92" s="4"/>
      <c r="C92" s="2"/>
      <c r="D92" s="4"/>
      <c r="E92" s="4"/>
      <c r="G92" s="1282"/>
      <c r="H92" s="1282"/>
      <c r="I92" s="1282"/>
      <c r="J92" s="1282"/>
      <c r="K92" s="1282"/>
      <c r="L92" s="1282"/>
      <c r="M92" s="1282"/>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3" t="s">
        <v>1278</v>
      </c>
      <c r="H94" s="1273"/>
      <c r="I94" s="1273"/>
      <c r="J94" s="1273"/>
      <c r="K94" s="1273"/>
      <c r="L94" s="1273"/>
      <c r="M94" s="1273"/>
      <c r="N94" s="1273"/>
      <c r="O94" s="1273"/>
      <c r="P94" s="1273"/>
      <c r="Q94" s="1273"/>
      <c r="R94" s="1273"/>
      <c r="S94" s="1273"/>
      <c r="T94" s="1273"/>
      <c r="U94" s="1273"/>
      <c r="V94" s="1273"/>
      <c r="W94" s="1273"/>
      <c r="X94" s="1273"/>
      <c r="Y94" s="1273"/>
      <c r="Z94" s="1273"/>
      <c r="AA94" s="1273"/>
      <c r="AB94" s="1273"/>
      <c r="AC94" s="1273"/>
      <c r="AD94" s="1273"/>
      <c r="AE94" s="1273"/>
      <c r="AF94" s="1273"/>
      <c r="AG94" s="1273"/>
      <c r="AH94" s="1273"/>
      <c r="AI94" s="1273"/>
      <c r="AJ94" s="1273"/>
      <c r="AK94" s="1273"/>
    </row>
    <row r="95" spans="1:37">
      <c r="A95" s="4"/>
      <c r="C95" s="2"/>
      <c r="D95" s="4"/>
      <c r="E95" s="4"/>
      <c r="G95" s="1273"/>
      <c r="H95" s="1273"/>
      <c r="I95" s="1273"/>
      <c r="J95" s="1273"/>
      <c r="K95" s="1273"/>
      <c r="L95" s="1273"/>
      <c r="M95" s="1273"/>
      <c r="N95" s="1273"/>
      <c r="O95" s="1273"/>
      <c r="P95" s="1273"/>
      <c r="Q95" s="1273"/>
      <c r="R95" s="1273"/>
      <c r="S95" s="1273"/>
      <c r="T95" s="1273"/>
      <c r="U95" s="1273"/>
      <c r="V95" s="1273"/>
      <c r="W95" s="1273"/>
      <c r="X95" s="1273"/>
      <c r="Y95" s="1273"/>
      <c r="Z95" s="1273"/>
      <c r="AA95" s="1273"/>
      <c r="AB95" s="1273"/>
      <c r="AC95" s="1273"/>
      <c r="AD95" s="1273"/>
      <c r="AE95" s="1273"/>
      <c r="AF95" s="1273"/>
      <c r="AG95" s="1273"/>
      <c r="AH95" s="1273"/>
      <c r="AI95" s="1273"/>
      <c r="AJ95" s="1273"/>
      <c r="AK95" s="1273"/>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3" t="s">
        <v>1279</v>
      </c>
      <c r="H97" s="1273"/>
      <c r="I97" s="1273"/>
      <c r="J97" s="1273"/>
      <c r="K97" s="1273"/>
      <c r="L97" s="1273"/>
      <c r="M97" s="1273"/>
      <c r="N97" s="1273"/>
      <c r="O97" s="1273"/>
      <c r="P97" s="1273"/>
      <c r="Q97" s="1273"/>
      <c r="R97" s="1273"/>
      <c r="S97" s="1273"/>
      <c r="T97" s="1273"/>
      <c r="U97" s="1273"/>
      <c r="V97" s="1273"/>
      <c r="W97" s="1273"/>
      <c r="X97" s="1273"/>
      <c r="Y97" s="1273"/>
      <c r="Z97" s="1273"/>
      <c r="AA97" s="1273"/>
      <c r="AB97" s="1273"/>
      <c r="AC97" s="1273"/>
      <c r="AD97" s="1273"/>
      <c r="AE97" s="1273"/>
      <c r="AF97" s="1273"/>
      <c r="AG97" s="1273"/>
      <c r="AH97" s="1273"/>
      <c r="AI97" s="1273"/>
      <c r="AJ97" s="1273"/>
      <c r="AK97" s="1273"/>
    </row>
    <row r="98" spans="1:38">
      <c r="A98" s="4"/>
      <c r="C98" s="2"/>
      <c r="D98" s="4"/>
      <c r="E98" s="4"/>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C99" s="2"/>
      <c r="D99" s="4"/>
      <c r="E99" s="4"/>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D100" s="99"/>
      <c r="E100" s="1283" t="s">
        <v>1280</v>
      </c>
      <c r="F100" s="1283"/>
      <c r="G100" s="1283"/>
      <c r="H100" s="1283"/>
      <c r="I100" s="1283"/>
      <c r="J100" s="1283"/>
      <c r="K100" s="1283"/>
      <c r="L100" s="1283"/>
      <c r="M100" s="1283"/>
      <c r="N100" s="1283"/>
      <c r="O100" s="1283"/>
      <c r="P100" s="1283"/>
      <c r="Q100" s="1283"/>
      <c r="R100" s="1283"/>
      <c r="S100" s="1283"/>
      <c r="T100" s="1283"/>
      <c r="U100" s="1283"/>
      <c r="V100" s="1283"/>
      <c r="W100" s="1283"/>
      <c r="X100" s="1283"/>
      <c r="Y100" s="1283"/>
      <c r="Z100" s="1283"/>
      <c r="AA100" s="1283"/>
      <c r="AB100" s="1283"/>
      <c r="AC100" s="1283"/>
      <c r="AD100" s="1283"/>
      <c r="AE100" s="1283"/>
      <c r="AF100" s="1283"/>
      <c r="AG100" s="1283"/>
      <c r="AH100" s="1283"/>
      <c r="AI100" s="1283"/>
      <c r="AJ100" s="1283"/>
      <c r="AK100" s="1283"/>
    </row>
    <row r="101" spans="1:38">
      <c r="A101" s="4"/>
      <c r="D101" s="99"/>
      <c r="E101" s="1283"/>
      <c r="F101" s="1283"/>
      <c r="G101" s="1283"/>
      <c r="H101" s="1283"/>
      <c r="I101" s="1283"/>
      <c r="J101" s="1283"/>
      <c r="K101" s="1283"/>
      <c r="L101" s="1283"/>
      <c r="M101" s="1283"/>
      <c r="N101" s="1283"/>
      <c r="O101" s="1283"/>
      <c r="P101" s="1283"/>
      <c r="Q101" s="1283"/>
      <c r="R101" s="1283"/>
      <c r="S101" s="1283"/>
      <c r="T101" s="1283"/>
      <c r="U101" s="1283"/>
      <c r="V101" s="1283"/>
      <c r="W101" s="1283"/>
      <c r="X101" s="1283"/>
      <c r="Y101" s="1283"/>
      <c r="Z101" s="1283"/>
      <c r="AA101" s="1283"/>
      <c r="AB101" s="1283"/>
      <c r="AC101" s="1283"/>
      <c r="AD101" s="1283"/>
      <c r="AE101" s="1283"/>
      <c r="AF101" s="1283"/>
      <c r="AG101" s="1283"/>
      <c r="AH101" s="1283"/>
      <c r="AI101" s="1283"/>
      <c r="AJ101" s="1283"/>
      <c r="AK101" s="128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3" t="s">
        <v>1281</v>
      </c>
      <c r="H207" s="1273"/>
      <c r="I207" s="1273"/>
      <c r="J207" s="1273"/>
      <c r="K207" s="1273"/>
      <c r="L207" s="1273"/>
      <c r="M207" s="1273"/>
      <c r="N207" s="1273"/>
      <c r="O207" s="1273"/>
      <c r="P207" s="1273"/>
      <c r="Q207" s="1273"/>
      <c r="R207" s="1273"/>
      <c r="S207" s="1273"/>
      <c r="T207" s="1273"/>
      <c r="U207" s="1273"/>
      <c r="V207" s="1273"/>
      <c r="W207" s="1273"/>
      <c r="X207" s="1273"/>
      <c r="Y207" s="1273"/>
      <c r="Z207" s="1273"/>
      <c r="AA207" s="1273"/>
      <c r="AB207" s="1273"/>
      <c r="AC207" s="1273"/>
      <c r="AD207" s="1273"/>
      <c r="AE207" s="1273"/>
      <c r="AF207" s="1273"/>
      <c r="AG207" s="1273"/>
      <c r="AH207" s="1273"/>
      <c r="AI207" s="1273"/>
      <c r="AJ207" s="1273"/>
      <c r="AK207" s="1273"/>
    </row>
    <row r="208" spans="2:37">
      <c r="B208" s="4"/>
      <c r="C208" s="4"/>
      <c r="D208" s="2"/>
      <c r="G208" s="1273"/>
      <c r="H208" s="1273"/>
      <c r="I208" s="1273"/>
      <c r="J208" s="1273"/>
      <c r="K208" s="1273"/>
      <c r="L208" s="1273"/>
      <c r="M208" s="1273"/>
      <c r="N208" s="1273"/>
      <c r="O208" s="1273"/>
      <c r="P208" s="1273"/>
      <c r="Q208" s="1273"/>
      <c r="R208" s="1273"/>
      <c r="S208" s="1273"/>
      <c r="T208" s="1273"/>
      <c r="U208" s="1273"/>
      <c r="V208" s="1273"/>
      <c r="W208" s="1273"/>
      <c r="X208" s="1273"/>
      <c r="Y208" s="1273"/>
      <c r="Z208" s="1273"/>
      <c r="AA208" s="1273"/>
      <c r="AB208" s="1273"/>
      <c r="AC208" s="1273"/>
      <c r="AD208" s="1273"/>
      <c r="AE208" s="1273"/>
      <c r="AF208" s="1273"/>
      <c r="AG208" s="1273"/>
      <c r="AH208" s="1273"/>
      <c r="AI208" s="1273"/>
      <c r="AJ208" s="1273"/>
      <c r="AK208" s="1273"/>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3" t="s">
        <v>1256</v>
      </c>
      <c r="G338" s="1273"/>
      <c r="H338" s="1273"/>
      <c r="I338" s="1273"/>
      <c r="J338" s="1273"/>
      <c r="K338" s="1273"/>
      <c r="L338" s="1273"/>
      <c r="M338" s="1273"/>
      <c r="N338" s="1273"/>
      <c r="O338" s="1273"/>
      <c r="P338" s="1273"/>
      <c r="Q338" s="1273"/>
      <c r="R338" s="1273"/>
      <c r="S338" s="1273"/>
      <c r="T338" s="1273"/>
      <c r="U338" s="1273"/>
      <c r="V338" s="1273"/>
      <c r="W338" s="1273"/>
      <c r="X338" s="1273"/>
      <c r="Y338" s="1273"/>
      <c r="Z338" s="1273"/>
      <c r="AA338" s="1273"/>
      <c r="AB338" s="1273"/>
      <c r="AC338" s="1273"/>
      <c r="AD338" s="1273"/>
      <c r="AE338" s="1273"/>
      <c r="AF338" s="1273"/>
      <c r="AG338" s="1273"/>
      <c r="AH338" s="1273"/>
      <c r="AI338" s="1273"/>
      <c r="AJ338" s="1273"/>
      <c r="AK338" s="1273"/>
    </row>
    <row r="339" spans="2:37">
      <c r="B339" s="2"/>
      <c r="E339" s="4"/>
      <c r="F339" s="1273"/>
      <c r="G339" s="1273"/>
      <c r="H339" s="1273"/>
      <c r="I339" s="1273"/>
      <c r="J339" s="1273"/>
      <c r="K339" s="1273"/>
      <c r="L339" s="1273"/>
      <c r="M339" s="1273"/>
      <c r="N339" s="1273"/>
      <c r="O339" s="1273"/>
      <c r="P339" s="1273"/>
      <c r="Q339" s="1273"/>
      <c r="R339" s="1273"/>
      <c r="S339" s="1273"/>
      <c r="T339" s="1273"/>
      <c r="U339" s="1273"/>
      <c r="V339" s="1273"/>
      <c r="W339" s="1273"/>
      <c r="X339" s="1273"/>
      <c r="Y339" s="1273"/>
      <c r="Z339" s="1273"/>
      <c r="AA339" s="1273"/>
      <c r="AB339" s="1273"/>
      <c r="AC339" s="1273"/>
      <c r="AD339" s="1273"/>
      <c r="AE339" s="1273"/>
      <c r="AF339" s="1273"/>
      <c r="AG339" s="1273"/>
      <c r="AH339" s="1273"/>
      <c r="AI339" s="1273"/>
      <c r="AJ339" s="1273"/>
      <c r="AK339" s="1273"/>
    </row>
    <row r="340" spans="2:37">
      <c r="B340" s="2"/>
      <c r="E340" s="4"/>
      <c r="F340" s="1273"/>
      <c r="G340" s="1273"/>
      <c r="H340" s="1273"/>
      <c r="I340" s="1273"/>
      <c r="J340" s="1273"/>
      <c r="K340" s="1273"/>
      <c r="L340" s="1273"/>
      <c r="M340" s="1273"/>
      <c r="N340" s="1273"/>
      <c r="O340" s="1273"/>
      <c r="P340" s="1273"/>
      <c r="Q340" s="1273"/>
      <c r="R340" s="1273"/>
      <c r="S340" s="1273"/>
      <c r="T340" s="1273"/>
      <c r="U340" s="1273"/>
      <c r="V340" s="1273"/>
      <c r="W340" s="1273"/>
      <c r="X340" s="1273"/>
      <c r="Y340" s="1273"/>
      <c r="Z340" s="1273"/>
      <c r="AA340" s="1273"/>
      <c r="AB340" s="1273"/>
      <c r="AC340" s="1273"/>
      <c r="AD340" s="1273"/>
      <c r="AE340" s="1273"/>
      <c r="AF340" s="1273"/>
      <c r="AG340" s="1273"/>
      <c r="AH340" s="1273"/>
      <c r="AI340" s="1273"/>
      <c r="AJ340" s="1273"/>
      <c r="AK340" s="1273"/>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5" t="s">
        <v>1341</v>
      </c>
      <c r="F343" s="1275"/>
      <c r="G343" s="1275"/>
      <c r="H343" s="1275"/>
      <c r="I343" s="1275"/>
      <c r="J343" s="1275"/>
      <c r="K343" s="1275"/>
      <c r="L343" s="1275"/>
      <c r="M343" s="1275"/>
      <c r="N343" s="1275"/>
      <c r="O343" s="1275"/>
      <c r="P343" s="1275"/>
      <c r="Q343" s="1275"/>
      <c r="R343" s="1275"/>
      <c r="S343" s="1275"/>
      <c r="T343" s="1275"/>
      <c r="U343" s="1275"/>
      <c r="V343" s="1275"/>
      <c r="W343" s="1275"/>
      <c r="X343" s="1275"/>
      <c r="Y343" s="1275"/>
      <c r="Z343" s="1275"/>
      <c r="AA343" s="1275"/>
      <c r="AB343" s="1275"/>
      <c r="AC343" s="1275"/>
      <c r="AD343" s="1275"/>
      <c r="AE343" s="1275"/>
      <c r="AF343" s="1275"/>
      <c r="AG343" s="1275"/>
      <c r="AH343" s="1275"/>
      <c r="AI343" s="1275"/>
      <c r="AJ343" s="1275"/>
      <c r="AK343" s="1275"/>
    </row>
    <row r="344" spans="2:37">
      <c r="B344" s="2"/>
      <c r="E344" s="1275"/>
      <c r="F344" s="1275"/>
      <c r="G344" s="1275"/>
      <c r="H344" s="1275"/>
      <c r="I344" s="1275"/>
      <c r="J344" s="1275"/>
      <c r="K344" s="1275"/>
      <c r="L344" s="1275"/>
      <c r="M344" s="1275"/>
      <c r="N344" s="1275"/>
      <c r="O344" s="1275"/>
      <c r="P344" s="1275"/>
      <c r="Q344" s="1275"/>
      <c r="R344" s="1275"/>
      <c r="S344" s="1275"/>
      <c r="T344" s="1275"/>
      <c r="U344" s="1275"/>
      <c r="V344" s="1275"/>
      <c r="W344" s="1275"/>
      <c r="X344" s="1275"/>
      <c r="Y344" s="1275"/>
      <c r="Z344" s="1275"/>
      <c r="AA344" s="1275"/>
      <c r="AB344" s="1275"/>
      <c r="AC344" s="1275"/>
      <c r="AD344" s="1275"/>
      <c r="AE344" s="1275"/>
      <c r="AF344" s="1275"/>
      <c r="AG344" s="1275"/>
      <c r="AH344" s="1275"/>
      <c r="AI344" s="1275"/>
      <c r="AJ344" s="1275"/>
      <c r="AK344" s="1275"/>
    </row>
    <row r="345" spans="2:37">
      <c r="B345" s="2"/>
      <c r="E345" s="1275"/>
      <c r="F345" s="1275"/>
      <c r="G345" s="1275"/>
      <c r="H345" s="1275"/>
      <c r="I345" s="1275"/>
      <c r="J345" s="1275"/>
      <c r="K345" s="1275"/>
      <c r="L345" s="1275"/>
      <c r="M345" s="1275"/>
      <c r="N345" s="1275"/>
      <c r="O345" s="1275"/>
      <c r="P345" s="1275"/>
      <c r="Q345" s="1275"/>
      <c r="R345" s="1275"/>
      <c r="S345" s="1275"/>
      <c r="T345" s="1275"/>
      <c r="U345" s="1275"/>
      <c r="V345" s="1275"/>
      <c r="W345" s="1275"/>
      <c r="X345" s="1275"/>
      <c r="Y345" s="1275"/>
      <c r="Z345" s="1275"/>
      <c r="AA345" s="1275"/>
      <c r="AB345" s="1275"/>
      <c r="AC345" s="1275"/>
      <c r="AD345" s="1275"/>
      <c r="AE345" s="1275"/>
      <c r="AF345" s="1275"/>
      <c r="AG345" s="1275"/>
      <c r="AH345" s="1275"/>
      <c r="AI345" s="1275"/>
      <c r="AJ345" s="1275"/>
      <c r="AK345" s="1275"/>
    </row>
    <row r="346" spans="2:37">
      <c r="B346" s="2"/>
      <c r="E346" s="1275"/>
      <c r="F346" s="1275"/>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1275"/>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t="s">
        <v>112</v>
      </c>
      <c r="F348" s="1273" t="s">
        <v>1343</v>
      </c>
      <c r="G348" s="1273"/>
      <c r="H348" s="1273"/>
      <c r="I348" s="1273"/>
      <c r="J348" s="1273"/>
      <c r="K348" s="1273"/>
      <c r="L348" s="1273"/>
      <c r="M348" s="1273"/>
      <c r="N348" s="1273"/>
      <c r="O348" s="1273"/>
      <c r="P348" s="1273"/>
      <c r="Q348" s="1273"/>
      <c r="R348" s="1273"/>
      <c r="S348" s="1273"/>
      <c r="T348" s="1273"/>
      <c r="U348" s="1273"/>
      <c r="V348" s="1273"/>
      <c r="W348" s="1273"/>
      <c r="X348" s="1273"/>
      <c r="Y348" s="1273"/>
      <c r="Z348" s="1273"/>
      <c r="AA348" s="1273"/>
      <c r="AB348" s="1273"/>
      <c r="AC348" s="1273"/>
      <c r="AD348" s="1273"/>
      <c r="AE348" s="1273"/>
      <c r="AF348" s="1273"/>
      <c r="AG348" s="1273"/>
      <c r="AH348" s="1273"/>
      <c r="AI348" s="1273"/>
      <c r="AJ348" s="1273"/>
      <c r="AK348" s="1273"/>
    </row>
    <row r="349" spans="2:37">
      <c r="B349" s="2"/>
      <c r="E349" s="3"/>
      <c r="F349" s="1273"/>
      <c r="G349" s="1273"/>
      <c r="H349" s="1273"/>
      <c r="I349" s="1273"/>
      <c r="J349" s="1273"/>
      <c r="K349" s="1273"/>
      <c r="L349" s="1273"/>
      <c r="M349" s="1273"/>
      <c r="N349" s="1273"/>
      <c r="O349" s="1273"/>
      <c r="P349" s="1273"/>
      <c r="Q349" s="1273"/>
      <c r="R349" s="1273"/>
      <c r="S349" s="1273"/>
      <c r="T349" s="1273"/>
      <c r="U349" s="1273"/>
      <c r="V349" s="1273"/>
      <c r="W349" s="1273"/>
      <c r="X349" s="1273"/>
      <c r="Y349" s="1273"/>
      <c r="Z349" s="1273"/>
      <c r="AA349" s="1273"/>
      <c r="AB349" s="1273"/>
      <c r="AC349" s="1273"/>
      <c r="AD349" s="1273"/>
      <c r="AE349" s="1273"/>
      <c r="AF349" s="1273"/>
      <c r="AG349" s="1273"/>
      <c r="AH349" s="1273"/>
      <c r="AI349" s="1273"/>
      <c r="AJ349" s="1273"/>
      <c r="AK349" s="1273"/>
    </row>
    <row r="350" spans="2:37">
      <c r="B350" s="2"/>
      <c r="E350" s="3"/>
      <c r="F350" s="1273"/>
      <c r="G350" s="1273"/>
      <c r="H350" s="1273"/>
      <c r="I350" s="1273"/>
      <c r="J350" s="1273"/>
      <c r="K350" s="1273"/>
      <c r="L350" s="1273"/>
      <c r="M350" s="1273"/>
      <c r="N350" s="1273"/>
      <c r="O350" s="1273"/>
      <c r="P350" s="1273"/>
      <c r="Q350" s="1273"/>
      <c r="R350" s="1273"/>
      <c r="S350" s="1273"/>
      <c r="T350" s="1273"/>
      <c r="U350" s="1273"/>
      <c r="V350" s="1273"/>
      <c r="W350" s="1273"/>
      <c r="X350" s="1273"/>
      <c r="Y350" s="1273"/>
      <c r="Z350" s="1273"/>
      <c r="AA350" s="1273"/>
      <c r="AB350" s="1273"/>
      <c r="AC350" s="1273"/>
      <c r="AD350" s="1273"/>
      <c r="AE350" s="1273"/>
      <c r="AF350" s="1273"/>
      <c r="AG350" s="1273"/>
      <c r="AH350" s="1273"/>
      <c r="AI350" s="1273"/>
      <c r="AJ350" s="1273"/>
      <c r="AK350" s="1273"/>
    </row>
    <row r="351" spans="2:37">
      <c r="B351" s="2"/>
      <c r="E351" s="3"/>
      <c r="F351" s="1273"/>
      <c r="G351" s="1273"/>
      <c r="H351" s="1273"/>
      <c r="I351" s="1273"/>
      <c r="J351" s="1273"/>
      <c r="K351" s="1273"/>
      <c r="L351" s="1273"/>
      <c r="M351" s="1273"/>
      <c r="N351" s="1273"/>
      <c r="O351" s="1273"/>
      <c r="P351" s="1273"/>
      <c r="Q351" s="1273"/>
      <c r="R351" s="1273"/>
      <c r="S351" s="1273"/>
      <c r="T351" s="1273"/>
      <c r="U351" s="1273"/>
      <c r="V351" s="1273"/>
      <c r="W351" s="1273"/>
      <c r="X351" s="1273"/>
      <c r="Y351" s="1273"/>
      <c r="Z351" s="1273"/>
      <c r="AA351" s="1273"/>
      <c r="AB351" s="1273"/>
      <c r="AC351" s="1273"/>
      <c r="AD351" s="1273"/>
      <c r="AE351" s="1273"/>
      <c r="AF351" s="1273"/>
      <c r="AG351" s="1273"/>
      <c r="AH351" s="1273"/>
      <c r="AI351" s="1273"/>
      <c r="AJ351" s="1273"/>
      <c r="AK351" s="1273"/>
    </row>
    <row r="352" spans="2:37">
      <c r="B352" s="2"/>
      <c r="E352" s="3" t="s">
        <v>113</v>
      </c>
      <c r="F352" s="1273" t="s">
        <v>1342</v>
      </c>
      <c r="G352" s="1273"/>
      <c r="H352" s="1273"/>
      <c r="I352" s="1273"/>
      <c r="J352" s="1273"/>
      <c r="K352" s="1273"/>
      <c r="L352" s="1273"/>
      <c r="M352" s="1273"/>
      <c r="N352" s="1273"/>
      <c r="O352" s="1273"/>
      <c r="P352" s="1273"/>
      <c r="Q352" s="1273"/>
      <c r="R352" s="1273"/>
      <c r="S352" s="1273"/>
      <c r="T352" s="1273"/>
      <c r="U352" s="1273"/>
      <c r="V352" s="1273"/>
      <c r="W352" s="1273"/>
      <c r="X352" s="1273"/>
      <c r="Y352" s="1273"/>
      <c r="Z352" s="1273"/>
      <c r="AA352" s="1273"/>
      <c r="AB352" s="1273"/>
      <c r="AC352" s="1273"/>
      <c r="AD352" s="1273"/>
      <c r="AE352" s="1273"/>
      <c r="AF352" s="1273"/>
      <c r="AG352" s="1273"/>
      <c r="AH352" s="1273"/>
      <c r="AI352" s="1273"/>
      <c r="AJ352" s="1273"/>
      <c r="AK352" s="1273"/>
    </row>
    <row r="353" spans="1:38">
      <c r="B353" s="2"/>
      <c r="F353" s="1273"/>
      <c r="G353" s="1273"/>
      <c r="H353" s="1273"/>
      <c r="I353" s="1273"/>
      <c r="J353" s="1273"/>
      <c r="K353" s="1273"/>
      <c r="L353" s="1273"/>
      <c r="M353" s="1273"/>
      <c r="N353" s="1273"/>
      <c r="O353" s="1273"/>
      <c r="P353" s="1273"/>
      <c r="Q353" s="1273"/>
      <c r="R353" s="1273"/>
      <c r="S353" s="1273"/>
      <c r="T353" s="1273"/>
      <c r="U353" s="1273"/>
      <c r="V353" s="1273"/>
      <c r="W353" s="1273"/>
      <c r="X353" s="1273"/>
      <c r="Y353" s="1273"/>
      <c r="Z353" s="1273"/>
      <c r="AA353" s="1273"/>
      <c r="AB353" s="1273"/>
      <c r="AC353" s="1273"/>
      <c r="AD353" s="1273"/>
      <c r="AE353" s="1273"/>
      <c r="AF353" s="1273"/>
      <c r="AG353" s="1273"/>
      <c r="AH353" s="1273"/>
      <c r="AI353" s="1273"/>
      <c r="AJ353" s="1273"/>
      <c r="AK353" s="1273"/>
    </row>
    <row r="354" spans="1:38">
      <c r="B354" s="2"/>
      <c r="F354" s="1273"/>
      <c r="G354" s="1273"/>
      <c r="H354" s="1273"/>
      <c r="I354" s="1273"/>
      <c r="J354" s="1273"/>
      <c r="K354" s="1273"/>
      <c r="L354" s="1273"/>
      <c r="M354" s="1273"/>
      <c r="N354" s="1273"/>
      <c r="O354" s="1273"/>
      <c r="P354" s="1273"/>
      <c r="Q354" s="1273"/>
      <c r="R354" s="1273"/>
      <c r="S354" s="1273"/>
      <c r="T354" s="1273"/>
      <c r="U354" s="1273"/>
      <c r="V354" s="1273"/>
      <c r="W354" s="1273"/>
      <c r="X354" s="1273"/>
      <c r="Y354" s="1273"/>
      <c r="Z354" s="1273"/>
      <c r="AA354" s="1273"/>
      <c r="AB354" s="1273"/>
      <c r="AC354" s="1273"/>
      <c r="AD354" s="1273"/>
      <c r="AE354" s="1273"/>
      <c r="AF354" s="1273"/>
      <c r="AG354" s="1273"/>
      <c r="AH354" s="1273"/>
      <c r="AI354" s="1273"/>
      <c r="AJ354" s="1273"/>
      <c r="AK354" s="1273"/>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1332</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8" customFormat="1">
      <c r="A369"/>
      <c r="B369" s="2"/>
      <c r="C369"/>
      <c r="D369"/>
      <c r="E369" s="1277" t="s">
        <v>1367</v>
      </c>
    </row>
    <row r="370" spans="1:37" s="1278"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3" t="s">
        <v>1378</v>
      </c>
      <c r="G388" s="1273"/>
      <c r="H388" s="1273"/>
      <c r="I388" s="1273"/>
      <c r="J388" s="1273"/>
      <c r="K388" s="1273"/>
      <c r="L388" s="1273"/>
      <c r="M388" s="1273"/>
      <c r="N388" s="1273"/>
      <c r="O388" s="1273"/>
      <c r="P388" s="1273"/>
      <c r="Q388" s="1273"/>
      <c r="R388" s="1273"/>
      <c r="S388" s="1273"/>
      <c r="T388" s="1273"/>
      <c r="U388" s="1273"/>
      <c r="V388" s="1273"/>
      <c r="W388" s="1273"/>
      <c r="X388" s="1273"/>
      <c r="Y388" s="1273"/>
      <c r="Z388" s="1273"/>
      <c r="AA388" s="1273"/>
      <c r="AB388" s="1273"/>
      <c r="AC388" s="1273"/>
      <c r="AD388" s="1273"/>
      <c r="AE388" s="1273"/>
      <c r="AF388" s="1273"/>
      <c r="AG388" s="1273"/>
      <c r="AH388" s="1273"/>
      <c r="AI388" s="1273"/>
      <c r="AJ388" s="1273"/>
      <c r="AK388" s="1273"/>
    </row>
    <row r="389" spans="1:38">
      <c r="B389" s="2"/>
      <c r="E389" s="3"/>
      <c r="F389" s="1273"/>
      <c r="G389" s="1273"/>
      <c r="H389" s="1273"/>
      <c r="I389" s="1273"/>
      <c r="J389" s="1273"/>
      <c r="K389" s="1273"/>
      <c r="L389" s="1273"/>
      <c r="M389" s="1273"/>
      <c r="N389" s="1273"/>
      <c r="O389" s="1273"/>
      <c r="P389" s="1273"/>
      <c r="Q389" s="1273"/>
      <c r="R389" s="1273"/>
      <c r="S389" s="1273"/>
      <c r="T389" s="1273"/>
      <c r="U389" s="1273"/>
      <c r="V389" s="1273"/>
      <c r="W389" s="1273"/>
      <c r="X389" s="1273"/>
      <c r="Y389" s="1273"/>
      <c r="Z389" s="1273"/>
      <c r="AA389" s="1273"/>
      <c r="AB389" s="1273"/>
      <c r="AC389" s="1273"/>
      <c r="AD389" s="1273"/>
      <c r="AE389" s="1273"/>
      <c r="AF389" s="1273"/>
      <c r="AG389" s="1273"/>
      <c r="AH389" s="1273"/>
      <c r="AI389" s="1273"/>
      <c r="AJ389" s="1273"/>
      <c r="AK389" s="1273"/>
    </row>
    <row r="390" spans="1:38">
      <c r="B390" s="2"/>
      <c r="E390" s="3"/>
      <c r="F390" s="1273"/>
      <c r="G390" s="1273"/>
      <c r="H390" s="1273"/>
      <c r="I390" s="1273"/>
      <c r="J390" s="1273"/>
      <c r="K390" s="1273"/>
      <c r="L390" s="1273"/>
      <c r="M390" s="1273"/>
      <c r="N390" s="1273"/>
      <c r="O390" s="1273"/>
      <c r="P390" s="1273"/>
      <c r="Q390" s="1273"/>
      <c r="R390" s="1273"/>
      <c r="S390" s="1273"/>
      <c r="T390" s="1273"/>
      <c r="U390" s="1273"/>
      <c r="V390" s="1273"/>
      <c r="W390" s="1273"/>
      <c r="X390" s="1273"/>
      <c r="Y390" s="1273"/>
      <c r="Z390" s="1273"/>
      <c r="AA390" s="1273"/>
      <c r="AB390" s="1273"/>
      <c r="AC390" s="1273"/>
      <c r="AD390" s="1273"/>
      <c r="AE390" s="1273"/>
      <c r="AF390" s="1273"/>
      <c r="AG390" s="1273"/>
      <c r="AH390" s="1273"/>
      <c r="AI390" s="1273"/>
      <c r="AJ390" s="1273"/>
      <c r="AK390" s="1273"/>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53" t="s">
        <v>2412</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2459</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59" t="str">
        <f>IF(Application!H18="","",Application!H18)</f>
        <v>Kooser Apartments</v>
      </c>
      <c r="M4" s="2260"/>
      <c r="N4" s="2260"/>
      <c r="O4" s="2260"/>
      <c r="P4" s="2260"/>
      <c r="Q4" s="2260"/>
      <c r="R4" s="2260"/>
      <c r="S4" s="2260"/>
      <c r="T4" s="2260"/>
      <c r="U4" s="2260"/>
      <c r="V4" s="2260"/>
      <c r="W4" s="2260"/>
      <c r="X4" s="2260"/>
      <c r="Y4" s="2260"/>
      <c r="Z4" s="2260"/>
      <c r="AA4" s="2260"/>
      <c r="AB4" s="2260"/>
      <c r="AC4" s="2261"/>
      <c r="AD4" s="1209"/>
      <c r="AE4" s="1209"/>
      <c r="AF4" s="2262" t="s">
        <v>2460</v>
      </c>
      <c r="AG4" s="2262"/>
      <c r="AH4" s="2262"/>
      <c r="AI4" s="2262"/>
      <c r="AJ4" s="2262"/>
      <c r="AK4" s="2262"/>
      <c r="AL4" s="2262"/>
      <c r="AM4" s="2262"/>
      <c r="AN4" s="2262"/>
      <c r="AO4" s="2262"/>
      <c r="AP4" s="2263"/>
      <c r="AQ4" s="2264"/>
      <c r="AR4" s="2264"/>
      <c r="AS4" s="2264"/>
      <c r="AT4" s="2264"/>
      <c r="AU4" s="226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62" t="s">
        <v>2461</v>
      </c>
      <c r="AG5" s="2262"/>
      <c r="AH5" s="2262"/>
      <c r="AI5" s="2262"/>
      <c r="AJ5" s="2262"/>
      <c r="AK5" s="2262"/>
      <c r="AL5" s="2262"/>
      <c r="AM5" s="2262"/>
      <c r="AN5" s="2262"/>
      <c r="AO5" s="2262"/>
      <c r="AP5" s="2263"/>
      <c r="AQ5" s="2264"/>
      <c r="AR5" s="2264"/>
      <c r="AS5" s="2264"/>
      <c r="AT5" s="2264"/>
      <c r="AU5" s="2264"/>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59" t="str">
        <f>IF(Application!H16="","",Application!H16)</f>
        <v xml:space="preserve">Compass for Affordable Housing </v>
      </c>
      <c r="M6" s="2260"/>
      <c r="N6" s="2260"/>
      <c r="O6" s="2260"/>
      <c r="P6" s="2260"/>
      <c r="Q6" s="2260"/>
      <c r="R6" s="2260"/>
      <c r="S6" s="2260"/>
      <c r="T6" s="2260"/>
      <c r="U6" s="2260"/>
      <c r="V6" s="2260"/>
      <c r="W6" s="2260"/>
      <c r="X6" s="2260"/>
      <c r="Y6" s="2260"/>
      <c r="Z6" s="2260"/>
      <c r="AA6" s="2260"/>
      <c r="AB6" s="2260"/>
      <c r="AC6" s="2261"/>
      <c r="AD6" s="1209"/>
      <c r="AE6" s="1209"/>
      <c r="AF6" s="2265" t="s">
        <v>2462</v>
      </c>
      <c r="AG6" s="2265"/>
      <c r="AH6" s="2265"/>
      <c r="AI6" s="2265"/>
      <c r="AJ6" s="2265"/>
      <c r="AK6" s="2265"/>
      <c r="AL6" s="2265"/>
      <c r="AM6" s="2265"/>
      <c r="AN6" s="2265"/>
      <c r="AO6" s="2265"/>
      <c r="AP6" s="2252">
        <v>0</v>
      </c>
      <c r="AQ6" s="2252"/>
      <c r="AR6" s="2252"/>
      <c r="AS6" s="2252"/>
      <c r="AT6" s="2252"/>
      <c r="AU6" s="2252"/>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65" t="s">
        <v>2463</v>
      </c>
      <c r="AG7" s="2265"/>
      <c r="AH7" s="2265"/>
      <c r="AI7" s="2265"/>
      <c r="AJ7" s="2265"/>
      <c r="AK7" s="2265"/>
      <c r="AL7" s="2265"/>
      <c r="AM7" s="2265"/>
      <c r="AN7" s="2265"/>
      <c r="AO7" s="2265"/>
      <c r="AP7" s="2252">
        <v>0</v>
      </c>
      <c r="AQ7" s="2252"/>
      <c r="AR7" s="2252"/>
      <c r="AS7" s="2252"/>
      <c r="AT7" s="2252"/>
      <c r="AU7" s="2252"/>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66" t="str">
        <f>Application!T197</f>
        <v>No</v>
      </c>
      <c r="AC8" s="2267"/>
      <c r="AD8" s="2268"/>
      <c r="AE8" s="1209"/>
      <c r="AF8" s="2265" t="s">
        <v>2464</v>
      </c>
      <c r="AG8" s="2265"/>
      <c r="AH8" s="2265"/>
      <c r="AI8" s="2265"/>
      <c r="AJ8" s="2265"/>
      <c r="AK8" s="2265"/>
      <c r="AL8" s="2265"/>
      <c r="AM8" s="2265"/>
      <c r="AN8" s="2265"/>
      <c r="AO8" s="2265"/>
      <c r="AP8" s="2252" t="s">
        <v>2416</v>
      </c>
      <c r="AQ8" s="2252"/>
      <c r="AR8" s="2252"/>
      <c r="AS8" s="2252"/>
      <c r="AT8" s="2252"/>
      <c r="AU8" s="2252"/>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62" t="s">
        <v>2624</v>
      </c>
      <c r="AG9" s="2262"/>
      <c r="AH9" s="2262"/>
      <c r="AI9" s="2262"/>
      <c r="AJ9" s="2262"/>
      <c r="AK9" s="2262"/>
      <c r="AL9" s="2262"/>
      <c r="AM9" s="2262"/>
      <c r="AN9" s="2262"/>
      <c r="AO9" s="2262"/>
      <c r="AP9" s="2263"/>
      <c r="AQ9" s="2264"/>
      <c r="AR9" s="2264"/>
      <c r="AS9" s="2264"/>
      <c r="AT9" s="2264"/>
      <c r="AU9" s="2264"/>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77">
        <f>Application!AO627</f>
        <v>40973132</v>
      </c>
      <c r="O10" s="2277"/>
      <c r="P10" s="2277"/>
      <c r="Q10" s="2277"/>
      <c r="R10" s="2277"/>
      <c r="S10" s="2277"/>
      <c r="T10" s="2277"/>
      <c r="U10" s="1209"/>
      <c r="V10" s="1209"/>
      <c r="W10" s="1209"/>
      <c r="X10" s="1258"/>
      <c r="Y10" s="1258"/>
      <c r="Z10" s="1258"/>
      <c r="AA10" s="1258"/>
      <c r="AB10" s="1258"/>
      <c r="AC10" s="1258"/>
      <c r="AD10" s="1258"/>
      <c r="AE10" s="1258"/>
      <c r="AF10" s="2262" t="s">
        <v>2623</v>
      </c>
      <c r="AG10" s="2262"/>
      <c r="AH10" s="2262"/>
      <c r="AI10" s="2262"/>
      <c r="AJ10" s="2262"/>
      <c r="AK10" s="2262"/>
      <c r="AL10" s="2262"/>
      <c r="AM10" s="2262"/>
      <c r="AN10" s="2262"/>
      <c r="AO10" s="2262"/>
      <c r="AP10" s="2263"/>
      <c r="AQ10" s="2264"/>
      <c r="AR10" s="2264"/>
      <c r="AS10" s="2264"/>
      <c r="AT10" s="2264"/>
      <c r="AU10" s="2264"/>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77">
        <f>Application!AA933</f>
        <v>0</v>
      </c>
      <c r="O11" s="2277"/>
      <c r="P11" s="2277"/>
      <c r="Q11" s="2277"/>
      <c r="R11" s="2277"/>
      <c r="S11" s="2277"/>
      <c r="T11" s="2277"/>
      <c r="U11" s="1209"/>
      <c r="V11" s="1209"/>
      <c r="W11" s="1209"/>
      <c r="X11" s="1258"/>
      <c r="Y11" s="1258"/>
      <c r="Z11" s="1258"/>
      <c r="AA11" s="1258"/>
      <c r="AB11" s="1258"/>
      <c r="AC11" s="1258"/>
      <c r="AD11" s="1258"/>
      <c r="AE11" s="1258"/>
      <c r="AF11" s="2262" t="s">
        <v>2622</v>
      </c>
      <c r="AG11" s="2262"/>
      <c r="AH11" s="2262"/>
      <c r="AI11" s="2262"/>
      <c r="AJ11" s="2262"/>
      <c r="AK11" s="2262"/>
      <c r="AL11" s="2262"/>
      <c r="AM11" s="2262"/>
      <c r="AN11" s="2262"/>
      <c r="AO11" s="2262"/>
      <c r="AP11" s="2263"/>
      <c r="AQ11" s="2264"/>
      <c r="AR11" s="2264"/>
      <c r="AS11" s="2264"/>
      <c r="AT11" s="2264"/>
      <c r="AU11" s="2264"/>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84" t="s">
        <v>1793</v>
      </c>
      <c r="C13" s="2285"/>
      <c r="D13" s="2285"/>
      <c r="E13" s="2285"/>
      <c r="F13" s="2285"/>
      <c r="G13" s="2285"/>
      <c r="H13" s="2285"/>
      <c r="I13" s="2285"/>
      <c r="J13" s="2285"/>
      <c r="K13" s="2285"/>
      <c r="L13" s="2285"/>
      <c r="M13" s="2285"/>
      <c r="N13" s="2285"/>
      <c r="O13" s="2285"/>
      <c r="P13" s="2286"/>
      <c r="Q13" s="2287" t="s">
        <v>677</v>
      </c>
      <c r="R13" s="2288"/>
      <c r="S13" s="2288"/>
      <c r="T13" s="2289"/>
      <c r="U13" s="1258"/>
      <c r="V13" s="1209"/>
      <c r="W13" s="1209"/>
      <c r="X13" s="1209"/>
      <c r="Y13" s="1209"/>
      <c r="Z13" s="1209"/>
      <c r="AA13" s="2278" t="s">
        <v>2466</v>
      </c>
      <c r="AB13" s="2278"/>
      <c r="AC13" s="2278"/>
      <c r="AD13" s="2278"/>
      <c r="AE13" s="2278"/>
      <c r="AF13" s="2278"/>
      <c r="AG13" s="2278"/>
      <c r="AH13" s="2278"/>
      <c r="AI13" s="2278"/>
      <c r="AJ13" s="2278"/>
      <c r="AK13" s="2278"/>
      <c r="AL13" s="2278"/>
      <c r="AM13" s="2278"/>
      <c r="AN13" s="2278"/>
      <c r="AO13" s="2279">
        <f>Application!W473</f>
        <v>29</v>
      </c>
      <c r="AP13" s="2280"/>
      <c r="AQ13" s="2280"/>
      <c r="AR13" s="2280"/>
      <c r="AS13" s="2280"/>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81" t="s">
        <v>2468</v>
      </c>
      <c r="AB14" s="2281"/>
      <c r="AC14" s="2281"/>
      <c r="AD14" s="2281"/>
      <c r="AE14" s="2281"/>
      <c r="AF14" s="2281"/>
      <c r="AG14" s="2281"/>
      <c r="AH14" s="2281"/>
      <c r="AI14" s="2281"/>
      <c r="AJ14" s="2281"/>
      <c r="AK14" s="2281"/>
      <c r="AL14" s="2281"/>
      <c r="AM14" s="2281"/>
      <c r="AN14" s="2281"/>
      <c r="AO14" s="2282"/>
      <c r="AP14" s="2283"/>
      <c r="AQ14" s="2283"/>
      <c r="AR14" s="2283"/>
      <c r="AS14" s="2283"/>
      <c r="AT14" s="1258"/>
      <c r="AU14" s="1258"/>
      <c r="AV14" s="1258"/>
      <c r="AW14" s="1258"/>
      <c r="AX14" s="1258"/>
      <c r="AY14" s="1258"/>
      <c r="AZ14" s="1258"/>
      <c r="BA14" s="1258"/>
      <c r="BB14" s="1258"/>
      <c r="BC14" s="1258"/>
      <c r="BD14" s="1258"/>
      <c r="BE14" s="1205"/>
    </row>
    <row r="15" spans="1:65" thickBot="1">
      <c r="A15" s="1209"/>
      <c r="B15" s="2290" t="s">
        <v>1794</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258"/>
      <c r="Y15" s="1209"/>
      <c r="Z15" s="1209"/>
      <c r="AA15" s="2278" t="s">
        <v>2469</v>
      </c>
      <c r="AB15" s="2278"/>
      <c r="AC15" s="2278"/>
      <c r="AD15" s="2278"/>
      <c r="AE15" s="2278"/>
      <c r="AF15" s="2278"/>
      <c r="AG15" s="2278"/>
      <c r="AH15" s="2278"/>
      <c r="AI15" s="2278"/>
      <c r="AJ15" s="2278"/>
      <c r="AK15" s="2278"/>
      <c r="AL15" s="2278"/>
      <c r="AM15" s="2278"/>
      <c r="AN15" s="2278"/>
      <c r="AO15" s="2282"/>
      <c r="AP15" s="2283"/>
      <c r="AQ15" s="2283"/>
      <c r="AR15" s="2283"/>
      <c r="AS15" s="228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95" t="s">
        <v>1795</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9"/>
      <c r="BA17" s="1209"/>
      <c r="BB17" s="1209"/>
      <c r="BC17" s="1209"/>
      <c r="BD17" s="1209"/>
      <c r="BE17" s="1205"/>
      <c r="BF17" s="1201"/>
    </row>
    <row r="18" spans="1:58" ht="15.75" customHeight="1">
      <c r="A18" s="1209"/>
      <c r="B18" s="2298" t="s">
        <v>1796</v>
      </c>
      <c r="C18" s="2299"/>
      <c r="D18" s="2299"/>
      <c r="E18" s="2299"/>
      <c r="F18" s="2299"/>
      <c r="G18" s="2299"/>
      <c r="H18" s="2299"/>
      <c r="I18" s="2300"/>
      <c r="J18" s="2301" t="s">
        <v>1697</v>
      </c>
      <c r="K18" s="2302"/>
      <c r="L18" s="2302"/>
      <c r="M18" s="2302"/>
      <c r="N18" s="2302"/>
      <c r="O18" s="2303"/>
      <c r="P18" s="2301" t="s">
        <v>325</v>
      </c>
      <c r="Q18" s="2302"/>
      <c r="R18" s="2302"/>
      <c r="S18" s="2302"/>
      <c r="T18" s="2302"/>
      <c r="U18" s="2303"/>
      <c r="V18" s="2301" t="s">
        <v>326</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1797</v>
      </c>
      <c r="AU18" s="2302"/>
      <c r="AV18" s="2302"/>
      <c r="AW18" s="2302"/>
      <c r="AX18" s="2302"/>
      <c r="AY18" s="2304"/>
      <c r="AZ18" s="1209"/>
      <c r="BA18" s="1209"/>
      <c r="BB18" s="1209"/>
      <c r="BC18" s="1209"/>
      <c r="BD18" s="1209"/>
      <c r="BE18" s="1205"/>
    </row>
    <row r="19" spans="1:58" ht="15">
      <c r="A19" s="1209"/>
      <c r="B19" s="2305">
        <v>0.3</v>
      </c>
      <c r="C19" s="2306"/>
      <c r="D19" s="2306"/>
      <c r="E19" s="2306"/>
      <c r="F19" s="2306"/>
      <c r="G19" s="2306"/>
      <c r="H19" s="2306"/>
      <c r="I19" s="2307"/>
      <c r="J19" s="2308">
        <f t="shared" ref="J19:J28" si="0">SUM(P19:AS19)</f>
        <v>50</v>
      </c>
      <c r="K19" s="2309"/>
      <c r="L19" s="2309"/>
      <c r="M19" s="2309"/>
      <c r="N19" s="2309"/>
      <c r="O19" s="2310"/>
      <c r="P19" s="2308" cm="1">
        <f t="array" ref="P19">SUMPRODUCT((Application!$B$718:$B$752 = 'CalHFA Addendum'!P$18)*(Application!$AC$718:$AC$752 = 'CalHFA Addendum'!$B19),Application!$G$718:$G$752)</f>
        <v>11</v>
      </c>
      <c r="Q19" s="2309"/>
      <c r="R19" s="2309"/>
      <c r="S19" s="2309"/>
      <c r="T19" s="2309"/>
      <c r="U19" s="2310"/>
      <c r="V19" s="2308" cm="1">
        <f t="array" ref="V19">SUMPRODUCT((Application!$B$714:$B$738 = 'CalHFA Addendum'!V$18)*(Application!$AC$714:$AC$738 = 'CalHFA Addendum'!$B19),Application!$G$714:$G$738)</f>
        <v>12</v>
      </c>
      <c r="W19" s="2309"/>
      <c r="X19" s="2309"/>
      <c r="Y19" s="2309"/>
      <c r="Z19" s="2309"/>
      <c r="AA19" s="2310"/>
      <c r="AB19" s="2308" cm="1">
        <f t="array" ref="AB19">SUMPRODUCT((Application!$B$714:$B$738 = 'CalHFA Addendum'!AB$18)*(Application!$AC$714:$AC$738 = 'CalHFA Addendum'!$B19),Application!$G$714:$G$738)</f>
        <v>13</v>
      </c>
      <c r="AC19" s="2309"/>
      <c r="AD19" s="2309"/>
      <c r="AE19" s="2309"/>
      <c r="AF19" s="2309"/>
      <c r="AG19" s="2310"/>
      <c r="AH19" s="2308" cm="1">
        <f t="array" ref="AH19">SUMPRODUCT((Application!$B$714:$B$738 = 'CalHFA Addendum'!AH$18)*(Application!$AC$714:$AC$738 = 'CalHFA Addendum'!$B19),Application!$G$714:$G$738)</f>
        <v>14</v>
      </c>
      <c r="AI19" s="2309"/>
      <c r="AJ19" s="2309"/>
      <c r="AK19" s="2309"/>
      <c r="AL19" s="2309"/>
      <c r="AM19" s="2310"/>
      <c r="AN19" s="2308" cm="1">
        <f t="array" ref="AN19">SUMPRODUCT((Application!$B$714:$B$738 = 'CalHFA Addendum'!AN$18)*(Application!$AC$714:$AC$738 = 'CalHFA Addendum'!$B19),Application!$G$714:$G$738)</f>
        <v>0</v>
      </c>
      <c r="AO19" s="2309"/>
      <c r="AP19" s="2309"/>
      <c r="AQ19" s="2309"/>
      <c r="AR19" s="2309"/>
      <c r="AS19" s="2310"/>
      <c r="AT19" s="2311">
        <f t="shared" ref="AT19:AT29" si="1">J19/$J$29</f>
        <v>0.26455026455026454</v>
      </c>
      <c r="AU19" s="2312"/>
      <c r="AV19" s="2312"/>
      <c r="AW19" s="2312"/>
      <c r="AX19" s="2312"/>
      <c r="AY19" s="2313"/>
      <c r="AZ19" s="1220"/>
      <c r="BA19" s="1209"/>
      <c r="BB19" s="1209"/>
      <c r="BC19" s="1209"/>
      <c r="BD19" s="1209"/>
      <c r="BE19" s="1205"/>
    </row>
    <row r="20" spans="1:58" ht="15" customHeight="1">
      <c r="A20" s="1209"/>
      <c r="B20" s="2305">
        <v>0.4</v>
      </c>
      <c r="C20" s="2306"/>
      <c r="D20" s="2306"/>
      <c r="E20" s="2306"/>
      <c r="F20" s="2306"/>
      <c r="G20" s="2306"/>
      <c r="H20" s="2306"/>
      <c r="I20" s="2307"/>
      <c r="J20" s="2308">
        <f t="shared" si="0"/>
        <v>0</v>
      </c>
      <c r="K20" s="2309"/>
      <c r="L20" s="2309"/>
      <c r="M20" s="2309"/>
      <c r="N20" s="2309"/>
      <c r="O20" s="2310"/>
      <c r="P20" s="2308" cm="1">
        <f t="array" ref="P20">SUMPRODUCT((Application!$B$718:$B$752 = 'CalHFA Addendum'!P$18)*(Application!$AC$718:$AC$752 = 'CalHFA Addendum'!$B20),Application!$G$718:$G$752)</f>
        <v>0</v>
      </c>
      <c r="Q20" s="2309"/>
      <c r="R20" s="2309"/>
      <c r="S20" s="2309"/>
      <c r="T20" s="2309"/>
      <c r="U20" s="2310"/>
      <c r="V20" s="2308" cm="1">
        <f t="array" ref="V20">SUMPRODUCT((Application!$B$714:$B$738 = 'CalHFA Addendum'!V$18)*(Application!$AC$714:$AC$738 = 'CalHFA Addendum'!$B20),Application!$G$714:$G$738)</f>
        <v>0</v>
      </c>
      <c r="W20" s="2309"/>
      <c r="X20" s="2309"/>
      <c r="Y20" s="2309"/>
      <c r="Z20" s="2309"/>
      <c r="AA20" s="2310"/>
      <c r="AB20" s="2308" cm="1">
        <f t="array" ref="AB20">SUMPRODUCT((Application!$B$714:$B$738 = 'CalHFA Addendum'!AB$18)*(Application!$AC$714:$AC$738 = 'CalHFA Addendum'!$B20),Application!$G$714:$G$738)</f>
        <v>0</v>
      </c>
      <c r="AC20" s="2309"/>
      <c r="AD20" s="2309"/>
      <c r="AE20" s="2309"/>
      <c r="AF20" s="2309"/>
      <c r="AG20" s="2310"/>
      <c r="AH20" s="2308" cm="1">
        <f t="array" ref="AH20">SUMPRODUCT((Application!$B$714:$B$738 = 'CalHFA Addendum'!AH$18)*(Application!$AC$714:$AC$738 = 'CalHFA Addendum'!$B20),Application!$G$714:$G$738)</f>
        <v>0</v>
      </c>
      <c r="AI20" s="2309"/>
      <c r="AJ20" s="2309"/>
      <c r="AK20" s="2309"/>
      <c r="AL20" s="2309"/>
      <c r="AM20" s="2310"/>
      <c r="AN20" s="2308" cm="1">
        <f t="array" ref="AN20">SUMPRODUCT((Application!$B$714:$B$738 = 'CalHFA Addendum'!AN$18)*(Application!$AC$714:$AC$738 = 'CalHFA Addendum'!$B20),Application!$G$714:$G$738)</f>
        <v>0</v>
      </c>
      <c r="AO20" s="2309"/>
      <c r="AP20" s="2309"/>
      <c r="AQ20" s="2309"/>
      <c r="AR20" s="2309"/>
      <c r="AS20" s="2310"/>
      <c r="AT20" s="2311">
        <f t="shared" si="1"/>
        <v>0</v>
      </c>
      <c r="AU20" s="2312"/>
      <c r="AV20" s="2312"/>
      <c r="AW20" s="2312"/>
      <c r="AX20" s="2312"/>
      <c r="AY20" s="2313"/>
      <c r="AZ20" s="1209"/>
      <c r="BA20" s="1209"/>
      <c r="BB20" s="1209"/>
      <c r="BC20" s="1209"/>
      <c r="BD20" s="1209"/>
      <c r="BE20" s="1205"/>
    </row>
    <row r="21" spans="1:58" ht="15">
      <c r="A21" s="1209"/>
      <c r="B21" s="2305">
        <v>0.5</v>
      </c>
      <c r="C21" s="2306"/>
      <c r="D21" s="2306"/>
      <c r="E21" s="2306"/>
      <c r="F21" s="2306"/>
      <c r="G21" s="2306"/>
      <c r="H21" s="2306"/>
      <c r="I21" s="2307"/>
      <c r="J21" s="2308">
        <f t="shared" si="0"/>
        <v>65</v>
      </c>
      <c r="K21" s="2309"/>
      <c r="L21" s="2309"/>
      <c r="M21" s="2309"/>
      <c r="N21" s="2309"/>
      <c r="O21" s="2310"/>
      <c r="P21" s="2308" cm="1">
        <f t="array" ref="P21">SUMPRODUCT((Application!$B$714:$B$738 = 'CalHFA Addendum'!P$18)*(Application!$AC$714:$AC$738 = 'CalHFA Addendum'!$B21),Application!$G$714:$G$738)</f>
        <v>39</v>
      </c>
      <c r="Q21" s="2309"/>
      <c r="R21" s="2309"/>
      <c r="S21" s="2309"/>
      <c r="T21" s="2309"/>
      <c r="U21" s="2310"/>
      <c r="V21" s="2308" cm="1">
        <f t="array" ref="V21">SUMPRODUCT((Application!$B$714:$B$738 = 'CalHFA Addendum'!V$18)*(Application!$AC$714:$AC$738 = 'CalHFA Addendum'!$B21),Application!$G$714:$G$738)</f>
        <v>3</v>
      </c>
      <c r="W21" s="2309"/>
      <c r="X21" s="2309"/>
      <c r="Y21" s="2309"/>
      <c r="Z21" s="2309"/>
      <c r="AA21" s="2310"/>
      <c r="AB21" s="2308" cm="1">
        <f t="array" ref="AB21">SUMPRODUCT((Application!$B$714:$B$738 = 'CalHFA Addendum'!AB$18)*(Application!$AC$714:$AC$738 = 'CalHFA Addendum'!$B21),Application!$G$714:$G$738)</f>
        <v>11</v>
      </c>
      <c r="AC21" s="2309"/>
      <c r="AD21" s="2309"/>
      <c r="AE21" s="2309"/>
      <c r="AF21" s="2309"/>
      <c r="AG21" s="2310"/>
      <c r="AH21" s="2308" cm="1">
        <f t="array" ref="AH21">SUMPRODUCT((Application!$B$714:$B$738 = 'CalHFA Addendum'!AH$18)*(Application!$AC$714:$AC$738 = 'CalHFA Addendum'!$B21),Application!$G$714:$G$738)</f>
        <v>12</v>
      </c>
      <c r="AI21" s="2309"/>
      <c r="AJ21" s="2309"/>
      <c r="AK21" s="2309"/>
      <c r="AL21" s="2309"/>
      <c r="AM21" s="2310"/>
      <c r="AN21" s="2308" cm="1">
        <f t="array" ref="AN21">SUMPRODUCT((Application!$B$714:$B$738 = 'CalHFA Addendum'!AN$18)*(Application!$AC$714:$AC$738 = 'CalHFA Addendum'!$B21),Application!$G$714:$G$738)</f>
        <v>0</v>
      </c>
      <c r="AO21" s="2309"/>
      <c r="AP21" s="2309"/>
      <c r="AQ21" s="2309"/>
      <c r="AR21" s="2309"/>
      <c r="AS21" s="2310"/>
      <c r="AT21" s="2311">
        <f t="shared" si="1"/>
        <v>0.3439153439153439</v>
      </c>
      <c r="AU21" s="2312"/>
      <c r="AV21" s="2312"/>
      <c r="AW21" s="2312"/>
      <c r="AX21" s="2312"/>
      <c r="AY21" s="2313"/>
      <c r="AZ21" s="1209"/>
      <c r="BA21" s="1209"/>
      <c r="BB21" s="1209"/>
      <c r="BC21" s="1209"/>
      <c r="BD21" s="1209"/>
      <c r="BE21" s="1205"/>
    </row>
    <row r="22" spans="1:58" ht="15">
      <c r="A22" s="1209"/>
      <c r="B22" s="2305">
        <v>0.6</v>
      </c>
      <c r="C22" s="2306"/>
      <c r="D22" s="2306"/>
      <c r="E22" s="2306"/>
      <c r="F22" s="2306"/>
      <c r="G22" s="2306"/>
      <c r="H22" s="2306"/>
      <c r="I22" s="2307"/>
      <c r="J22" s="2308">
        <f t="shared" si="0"/>
        <v>74</v>
      </c>
      <c r="K22" s="2309"/>
      <c r="L22" s="2309"/>
      <c r="M22" s="2309"/>
      <c r="N22" s="2309"/>
      <c r="O22" s="2310"/>
      <c r="P22" s="2308" cm="1">
        <f t="array" ref="P22">SUMPRODUCT((Application!$B$714:$B$738 = 'CalHFA Addendum'!P$18)*(Application!$AC$714:$AC$738 = 'CalHFA Addendum'!$B22),Application!$G$714:$G$738)</f>
        <v>25</v>
      </c>
      <c r="Q22" s="2309"/>
      <c r="R22" s="2309"/>
      <c r="S22" s="2309"/>
      <c r="T22" s="2309"/>
      <c r="U22" s="2310"/>
      <c r="V22" s="2308" cm="1">
        <f t="array" ref="V22">SUMPRODUCT((Application!$B$714:$B$738 = 'CalHFA Addendum'!V$18)*(Application!$AC$714:$AC$738 = 'CalHFA Addendum'!$B22),Application!$G$714:$G$738)</f>
        <v>3</v>
      </c>
      <c r="W22" s="2309"/>
      <c r="X22" s="2309"/>
      <c r="Y22" s="2309"/>
      <c r="Z22" s="2309"/>
      <c r="AA22" s="2310"/>
      <c r="AB22" s="2308" cm="1">
        <f t="array" ref="AB22">SUMPRODUCT((Application!$B$714:$B$738 = 'CalHFA Addendum'!AB$18)*(Application!$AC$714:$AC$738 = 'CalHFA Addendum'!$B22),Application!$G$714:$G$738)</f>
        <v>24</v>
      </c>
      <c r="AC22" s="2309"/>
      <c r="AD22" s="2309"/>
      <c r="AE22" s="2309"/>
      <c r="AF22" s="2309"/>
      <c r="AG22" s="2310"/>
      <c r="AH22" s="2308" cm="1">
        <f t="array" ref="AH22">SUMPRODUCT((Application!$B$714:$B$738 = 'CalHFA Addendum'!AH$18)*(Application!$AC$714:$AC$738 = 'CalHFA Addendum'!$B22),Application!$G$714:$G$738)</f>
        <v>22</v>
      </c>
      <c r="AI22" s="2309"/>
      <c r="AJ22" s="2309"/>
      <c r="AK22" s="2309"/>
      <c r="AL22" s="2309"/>
      <c r="AM22" s="2310"/>
      <c r="AN22" s="2308" cm="1">
        <f t="array" ref="AN22">SUMPRODUCT((Application!$B$714:$B$738 = 'CalHFA Addendum'!AN$18)*(Application!$AC$714:$AC$738 = 'CalHFA Addendum'!$B22),Application!$G$714:$G$738)</f>
        <v>0</v>
      </c>
      <c r="AO22" s="2309"/>
      <c r="AP22" s="2309"/>
      <c r="AQ22" s="2309"/>
      <c r="AR22" s="2309"/>
      <c r="AS22" s="2310"/>
      <c r="AT22" s="2311">
        <f t="shared" si="1"/>
        <v>0.39153439153439151</v>
      </c>
      <c r="AU22" s="2312"/>
      <c r="AV22" s="2312"/>
      <c r="AW22" s="2312"/>
      <c r="AX22" s="2312"/>
      <c r="AY22" s="2313"/>
      <c r="AZ22" s="1209"/>
      <c r="BA22" s="1209"/>
      <c r="BB22" s="1209"/>
      <c r="BC22" s="1209"/>
      <c r="BD22" s="1209"/>
      <c r="BE22" s="1205"/>
    </row>
    <row r="23" spans="1:58" ht="15">
      <c r="A23" s="1209"/>
      <c r="B23" s="2305">
        <v>0.7</v>
      </c>
      <c r="C23" s="2306"/>
      <c r="D23" s="2306"/>
      <c r="E23" s="2306"/>
      <c r="F23" s="2306"/>
      <c r="G23" s="2306"/>
      <c r="H23" s="2306"/>
      <c r="I23" s="2307"/>
      <c r="J23" s="2308">
        <f t="shared" si="0"/>
        <v>0</v>
      </c>
      <c r="K23" s="2309"/>
      <c r="L23" s="2309"/>
      <c r="M23" s="2309"/>
      <c r="N23" s="2309"/>
      <c r="O23" s="2310"/>
      <c r="P23" s="2308" cm="1">
        <f t="array" ref="P23">SUMPRODUCT((Application!$B$714:$B$738 = 'CalHFA Addendum'!P$18)*(Application!$AC$714:$AC$738 = 'CalHFA Addendum'!$B23),Application!$G$714:$G$738)</f>
        <v>0</v>
      </c>
      <c r="Q23" s="2309"/>
      <c r="R23" s="2309"/>
      <c r="S23" s="2309"/>
      <c r="T23" s="2309"/>
      <c r="U23" s="2310"/>
      <c r="V23" s="2308" cm="1">
        <f t="array" ref="V23">SUMPRODUCT((Application!$B$714:$B$738 = 'CalHFA Addendum'!V$18)*(Application!$AC$714:$AC$738 = 'CalHFA Addendum'!$B23),Application!$G$714:$G$738)</f>
        <v>0</v>
      </c>
      <c r="W23" s="2309"/>
      <c r="X23" s="2309"/>
      <c r="Y23" s="2309"/>
      <c r="Z23" s="2309"/>
      <c r="AA23" s="2310"/>
      <c r="AB23" s="2308" cm="1">
        <f t="array" ref="AB23">SUMPRODUCT((Application!$B$714:$B$738 = 'CalHFA Addendum'!AB$18)*(Application!$AC$714:$AC$738 = 'CalHFA Addendum'!$B23),Application!$G$714:$G$738)</f>
        <v>0</v>
      </c>
      <c r="AC23" s="2309"/>
      <c r="AD23" s="2309"/>
      <c r="AE23" s="2309"/>
      <c r="AF23" s="2309"/>
      <c r="AG23" s="2310"/>
      <c r="AH23" s="2308" cm="1">
        <f t="array" ref="AH23">SUMPRODUCT((Application!$B$714:$B$738 = 'CalHFA Addendum'!AH$18)*(Application!$AC$714:$AC$738 = 'CalHFA Addendum'!$B23),Application!$G$714:$G$738)</f>
        <v>0</v>
      </c>
      <c r="AI23" s="2309"/>
      <c r="AJ23" s="2309"/>
      <c r="AK23" s="2309"/>
      <c r="AL23" s="2309"/>
      <c r="AM23" s="2310"/>
      <c r="AN23" s="2308" cm="1">
        <f t="array" ref="AN23">SUMPRODUCT((Application!$B$714:$B$738 = 'CalHFA Addendum'!AN$18)*(Application!$AC$714:$AC$738 = 'CalHFA Addendum'!$B23),Application!$G$714:$G$738)</f>
        <v>0</v>
      </c>
      <c r="AO23" s="2309"/>
      <c r="AP23" s="2309"/>
      <c r="AQ23" s="2309"/>
      <c r="AR23" s="2309"/>
      <c r="AS23" s="2310"/>
      <c r="AT23" s="2311">
        <f t="shared" si="1"/>
        <v>0</v>
      </c>
      <c r="AU23" s="2312"/>
      <c r="AV23" s="2312"/>
      <c r="AW23" s="2312"/>
      <c r="AX23" s="2312"/>
      <c r="AY23" s="2313"/>
      <c r="AZ23" s="1209"/>
      <c r="BA23" s="1209"/>
      <c r="BB23" s="1209"/>
      <c r="BC23" s="1209"/>
      <c r="BD23" s="1209"/>
      <c r="BE23" s="1205"/>
    </row>
    <row r="24" spans="1:58" ht="15">
      <c r="A24" s="1209"/>
      <c r="B24" s="2305">
        <v>0.8</v>
      </c>
      <c r="C24" s="2306"/>
      <c r="D24" s="2306"/>
      <c r="E24" s="2306"/>
      <c r="F24" s="2306"/>
      <c r="G24" s="2306"/>
      <c r="H24" s="2306"/>
      <c r="I24" s="2307"/>
      <c r="J24" s="2308">
        <f t="shared" si="0"/>
        <v>0</v>
      </c>
      <c r="K24" s="2309"/>
      <c r="L24" s="2309"/>
      <c r="M24" s="2309"/>
      <c r="N24" s="2309"/>
      <c r="O24" s="2310"/>
      <c r="P24" s="2308" cm="1">
        <f t="array" ref="P24">SUMPRODUCT((Application!$B$714:$B$738 = 'CalHFA Addendum'!P$18)*(Application!$AC$714:$AC$738 = 'CalHFA Addendum'!$B24),Application!$G$714:$G$738)</f>
        <v>0</v>
      </c>
      <c r="Q24" s="2309"/>
      <c r="R24" s="2309"/>
      <c r="S24" s="2309"/>
      <c r="T24" s="2309"/>
      <c r="U24" s="2310"/>
      <c r="V24" s="2308" cm="1">
        <f t="array" ref="V24">SUMPRODUCT((Application!$B$714:$B$738 = 'CalHFA Addendum'!V$18)*(Application!$AC$714:$AC$738 = 'CalHFA Addendum'!$B24),Application!$G$714:$G$738)</f>
        <v>0</v>
      </c>
      <c r="W24" s="2309"/>
      <c r="X24" s="2309"/>
      <c r="Y24" s="2309"/>
      <c r="Z24" s="2309"/>
      <c r="AA24" s="2310"/>
      <c r="AB24" s="2308" cm="1">
        <f t="array" ref="AB24">SUMPRODUCT((Application!$B$714:$B$738 = 'CalHFA Addendum'!AB$18)*(Application!$AC$714:$AC$738 = 'CalHFA Addendum'!$B24),Application!$G$714:$G$738)</f>
        <v>0</v>
      </c>
      <c r="AC24" s="2309"/>
      <c r="AD24" s="2309"/>
      <c r="AE24" s="2309"/>
      <c r="AF24" s="2309"/>
      <c r="AG24" s="2310"/>
      <c r="AH24" s="2308" cm="1">
        <f t="array" ref="AH24">SUMPRODUCT((Application!$B$714:$B$738 = 'CalHFA Addendum'!AH$18)*(Application!$AC$714:$AC$738 = 'CalHFA Addendum'!$B24),Application!$G$714:$G$738)</f>
        <v>0</v>
      </c>
      <c r="AI24" s="2309"/>
      <c r="AJ24" s="2309"/>
      <c r="AK24" s="2309"/>
      <c r="AL24" s="2309"/>
      <c r="AM24" s="2310"/>
      <c r="AN24" s="2308" cm="1">
        <f t="array" ref="AN24">SUMPRODUCT((Application!$B$714:$B$738 = 'CalHFA Addendum'!AN$18)*(Application!$AC$714:$AC$738 = 'CalHFA Addendum'!$B24),Application!$G$714:$G$738)</f>
        <v>0</v>
      </c>
      <c r="AO24" s="2309"/>
      <c r="AP24" s="2309"/>
      <c r="AQ24" s="2309"/>
      <c r="AR24" s="2309"/>
      <c r="AS24" s="2310"/>
      <c r="AT24" s="2311">
        <f t="shared" si="1"/>
        <v>0</v>
      </c>
      <c r="AU24" s="2312"/>
      <c r="AV24" s="2312"/>
      <c r="AW24" s="2312"/>
      <c r="AX24" s="2312"/>
      <c r="AY24" s="2313"/>
      <c r="AZ24" s="1209"/>
      <c r="BA24" s="1209"/>
      <c r="BB24" s="1209"/>
      <c r="BC24" s="1209"/>
      <c r="BD24" s="1209"/>
      <c r="BE24" s="1205"/>
    </row>
    <row r="25" spans="1:58" ht="15">
      <c r="A25" s="1209"/>
      <c r="B25" s="2305">
        <v>0.9</v>
      </c>
      <c r="C25" s="2306"/>
      <c r="D25" s="2306"/>
      <c r="E25" s="2306"/>
      <c r="F25" s="2306"/>
      <c r="G25" s="2306"/>
      <c r="H25" s="2306"/>
      <c r="I25" s="2307"/>
      <c r="J25" s="2308">
        <f t="shared" si="0"/>
        <v>0</v>
      </c>
      <c r="K25" s="2309"/>
      <c r="L25" s="2309"/>
      <c r="M25" s="2309"/>
      <c r="N25" s="2309"/>
      <c r="O25" s="2310"/>
      <c r="P25" s="2308" cm="1">
        <f t="array" ref="P25">SUMPRODUCT((Application!$B$714:$B$738 = 'CalHFA Addendum'!P$18)*(Application!$AC$714:$AC$738 = 'CalHFA Addendum'!$B25),Application!$G$714:$G$738)</f>
        <v>0</v>
      </c>
      <c r="Q25" s="2309"/>
      <c r="R25" s="2309"/>
      <c r="S25" s="2309"/>
      <c r="T25" s="2309"/>
      <c r="U25" s="2310"/>
      <c r="V25" s="2308" cm="1">
        <f t="array" ref="V25">SUMPRODUCT((Application!$B$714:$B$738 = 'CalHFA Addendum'!V$18)*(Application!$AC$714:$AC$738 = 'CalHFA Addendum'!$B25),Application!$G$714:$G$738)</f>
        <v>0</v>
      </c>
      <c r="W25" s="2309"/>
      <c r="X25" s="2309"/>
      <c r="Y25" s="2309"/>
      <c r="Z25" s="2309"/>
      <c r="AA25" s="2310"/>
      <c r="AB25" s="2308" cm="1">
        <f t="array" ref="AB25">SUMPRODUCT((Application!$B$714:$B$738 = 'CalHFA Addendum'!AB$18)*(Application!$AC$714:$AC$738 = 'CalHFA Addendum'!$B25),Application!$G$714:$G$738)</f>
        <v>0</v>
      </c>
      <c r="AC25" s="2309"/>
      <c r="AD25" s="2309"/>
      <c r="AE25" s="2309"/>
      <c r="AF25" s="2309"/>
      <c r="AG25" s="2310"/>
      <c r="AH25" s="2308" cm="1">
        <f t="array" ref="AH25">SUMPRODUCT((Application!$B$714:$B$738 = 'CalHFA Addendum'!AH$18)*(Application!$AC$714:$AC$738 = 'CalHFA Addendum'!$B25),Application!$G$714:$G$738)</f>
        <v>0</v>
      </c>
      <c r="AI25" s="2309"/>
      <c r="AJ25" s="2309"/>
      <c r="AK25" s="2309"/>
      <c r="AL25" s="2309"/>
      <c r="AM25" s="2310"/>
      <c r="AN25" s="2308" cm="1">
        <f t="array" ref="AN25">SUMPRODUCT((Application!$B$714:$B$738 = 'CalHFA Addendum'!AN$18)*(Application!$AC$714:$AC$738 = 'CalHFA Addendum'!$B25),Application!$G$714:$G$738)</f>
        <v>0</v>
      </c>
      <c r="AO25" s="2309"/>
      <c r="AP25" s="2309"/>
      <c r="AQ25" s="2309"/>
      <c r="AR25" s="2309"/>
      <c r="AS25" s="2310"/>
      <c r="AT25" s="2311">
        <f t="shared" si="1"/>
        <v>0</v>
      </c>
      <c r="AU25" s="2312"/>
      <c r="AV25" s="2312"/>
      <c r="AW25" s="2312"/>
      <c r="AX25" s="2312"/>
      <c r="AY25" s="2313"/>
      <c r="AZ25" s="1209"/>
      <c r="BA25" s="1209"/>
      <c r="BB25" s="1209"/>
      <c r="BC25" s="1209"/>
      <c r="BD25" s="1209"/>
      <c r="BE25" s="1205"/>
    </row>
    <row r="26" spans="1:58" ht="15">
      <c r="A26" s="1209"/>
      <c r="B26" s="2305">
        <v>1</v>
      </c>
      <c r="C26" s="2306"/>
      <c r="D26" s="2306"/>
      <c r="E26" s="2306"/>
      <c r="F26" s="2306"/>
      <c r="G26" s="2306"/>
      <c r="H26" s="2306"/>
      <c r="I26" s="2307"/>
      <c r="J26" s="2308">
        <f t="shared" si="0"/>
        <v>0</v>
      </c>
      <c r="K26" s="2309"/>
      <c r="L26" s="2309"/>
      <c r="M26" s="2309"/>
      <c r="N26" s="2309"/>
      <c r="O26" s="2310"/>
      <c r="P26" s="2308" cm="1">
        <f t="array" ref="P26">SUMPRODUCT((Application!$B$714:$B$738 = 'CalHFA Addendum'!P$18)*(Application!$AC$714:$AC$738 = 'CalHFA Addendum'!$B26),Application!$G$714:$G$738)</f>
        <v>0</v>
      </c>
      <c r="Q26" s="2309"/>
      <c r="R26" s="2309"/>
      <c r="S26" s="2309"/>
      <c r="T26" s="2309"/>
      <c r="U26" s="2310"/>
      <c r="V26" s="2308" cm="1">
        <f t="array" ref="V26">SUMPRODUCT((Application!$B$714:$B$738 = 'CalHFA Addendum'!V$18)*(Application!$AC$714:$AC$738 = 'CalHFA Addendum'!$B26),Application!$G$714:$G$738)</f>
        <v>0</v>
      </c>
      <c r="W26" s="2309"/>
      <c r="X26" s="2309"/>
      <c r="Y26" s="2309"/>
      <c r="Z26" s="2309"/>
      <c r="AA26" s="2310"/>
      <c r="AB26" s="2308" cm="1">
        <f t="array" ref="AB26">SUMPRODUCT((Application!$B$714:$B$738 = 'CalHFA Addendum'!AB$18)*(Application!$AC$714:$AC$738 = 'CalHFA Addendum'!$B26),Application!$G$714:$G$738)</f>
        <v>0</v>
      </c>
      <c r="AC26" s="2309"/>
      <c r="AD26" s="2309"/>
      <c r="AE26" s="2309"/>
      <c r="AF26" s="2309"/>
      <c r="AG26" s="2310"/>
      <c r="AH26" s="2308" cm="1">
        <f t="array" ref="AH26">SUMPRODUCT((Application!$B$714:$B$738 = 'CalHFA Addendum'!AH$18)*(Application!$AC$714:$AC$738 = 'CalHFA Addendum'!$B26),Application!$G$714:$G$738)</f>
        <v>0</v>
      </c>
      <c r="AI26" s="2309"/>
      <c r="AJ26" s="2309"/>
      <c r="AK26" s="2309"/>
      <c r="AL26" s="2309"/>
      <c r="AM26" s="2310"/>
      <c r="AN26" s="2308" cm="1">
        <f t="array" ref="AN26">SUMPRODUCT((Application!$B$714:$B$738 = 'CalHFA Addendum'!AN$18)*(Application!$AC$714:$AC$738 = 'CalHFA Addendum'!$B26),Application!$G$714:$G$738)</f>
        <v>0</v>
      </c>
      <c r="AO26" s="2309"/>
      <c r="AP26" s="2309"/>
      <c r="AQ26" s="2309"/>
      <c r="AR26" s="2309"/>
      <c r="AS26" s="2310"/>
      <c r="AT26" s="2311">
        <f t="shared" si="1"/>
        <v>0</v>
      </c>
      <c r="AU26" s="2312"/>
      <c r="AV26" s="2312"/>
      <c r="AW26" s="2312"/>
      <c r="AX26" s="2312"/>
      <c r="AY26" s="2313"/>
      <c r="AZ26" s="1209"/>
      <c r="BA26" s="1209"/>
      <c r="BB26" s="1209"/>
      <c r="BC26" s="1209"/>
      <c r="BD26" s="1209"/>
      <c r="BE26" s="1205"/>
    </row>
    <row r="27" spans="1:58" ht="15">
      <c r="A27" s="1209"/>
      <c r="B27" s="2305">
        <v>1.1000000000000001</v>
      </c>
      <c r="C27" s="2306"/>
      <c r="D27" s="2306"/>
      <c r="E27" s="2306"/>
      <c r="F27" s="2306"/>
      <c r="G27" s="2306"/>
      <c r="H27" s="2306"/>
      <c r="I27" s="2307"/>
      <c r="J27" s="2308">
        <f t="shared" si="0"/>
        <v>0</v>
      </c>
      <c r="K27" s="2309"/>
      <c r="L27" s="2309"/>
      <c r="M27" s="2309"/>
      <c r="N27" s="2309"/>
      <c r="O27" s="2310"/>
      <c r="P27" s="2308" cm="1">
        <f t="array" ref="P27">SUMPRODUCT((Application!$B$714:$B$738 = 'CalHFA Addendum'!P$18)*(Application!$AC$714:$AC$738 = 'CalHFA Addendum'!$B27),Application!$G$714:$G$738)</f>
        <v>0</v>
      </c>
      <c r="Q27" s="2309"/>
      <c r="R27" s="2309"/>
      <c r="S27" s="2309"/>
      <c r="T27" s="2309"/>
      <c r="U27" s="2310"/>
      <c r="V27" s="2308" cm="1">
        <f t="array" ref="V27">SUMPRODUCT((Application!$B$714:$B$738 = 'CalHFA Addendum'!V$18)*(Application!$AC$714:$AC$738 = 'CalHFA Addendum'!$B27),Application!$G$714:$G$738)</f>
        <v>0</v>
      </c>
      <c r="W27" s="2309"/>
      <c r="X27" s="2309"/>
      <c r="Y27" s="2309"/>
      <c r="Z27" s="2309"/>
      <c r="AA27" s="2310"/>
      <c r="AB27" s="2308" cm="1">
        <f t="array" ref="AB27">SUMPRODUCT((Application!$B$714:$B$738 = 'CalHFA Addendum'!AB$18)*(Application!$AC$714:$AC$738 = 'CalHFA Addendum'!$B27),Application!$G$714:$G$738)</f>
        <v>0</v>
      </c>
      <c r="AC27" s="2309"/>
      <c r="AD27" s="2309"/>
      <c r="AE27" s="2309"/>
      <c r="AF27" s="2309"/>
      <c r="AG27" s="2310"/>
      <c r="AH27" s="2308" cm="1">
        <f t="array" ref="AH27">SUMPRODUCT((Application!$B$714:$B$738 = 'CalHFA Addendum'!AH$18)*(Application!$AC$714:$AC$738 = 'CalHFA Addendum'!$B27),Application!$G$714:$G$738)</f>
        <v>0</v>
      </c>
      <c r="AI27" s="2309"/>
      <c r="AJ27" s="2309"/>
      <c r="AK27" s="2309"/>
      <c r="AL27" s="2309"/>
      <c r="AM27" s="2310"/>
      <c r="AN27" s="2308" cm="1">
        <f t="array" ref="AN27">SUMPRODUCT((Application!$B$714:$B$738 = 'CalHFA Addendum'!AN$18)*(Application!$AC$714:$AC$738 = 'CalHFA Addendum'!$B27),Application!$G$714:$G$738)</f>
        <v>0</v>
      </c>
      <c r="AO27" s="2309"/>
      <c r="AP27" s="2309"/>
      <c r="AQ27" s="2309"/>
      <c r="AR27" s="2309"/>
      <c r="AS27" s="2310"/>
      <c r="AT27" s="2311">
        <f t="shared" si="1"/>
        <v>0</v>
      </c>
      <c r="AU27" s="2312"/>
      <c r="AV27" s="2312"/>
      <c r="AW27" s="2312"/>
      <c r="AX27" s="2312"/>
      <c r="AY27" s="2313"/>
      <c r="AZ27" s="1209"/>
      <c r="BA27" s="1209"/>
      <c r="BB27" s="1209"/>
      <c r="BC27" s="1209"/>
      <c r="BD27" s="1209"/>
      <c r="BE27" s="1205"/>
    </row>
    <row r="28" spans="1:58" thickBot="1">
      <c r="A28" s="1209"/>
      <c r="B28" s="2324" t="s">
        <v>1798</v>
      </c>
      <c r="C28" s="2325"/>
      <c r="D28" s="2325"/>
      <c r="E28" s="2325"/>
      <c r="F28" s="2325"/>
      <c r="G28" s="2325"/>
      <c r="H28" s="2325"/>
      <c r="I28" s="2326"/>
      <c r="J28" s="2327">
        <f t="shared" si="0"/>
        <v>0</v>
      </c>
      <c r="K28" s="2328"/>
      <c r="L28" s="2328"/>
      <c r="M28" s="2328"/>
      <c r="N28" s="2328"/>
      <c r="O28" s="2329"/>
      <c r="P28" s="2327">
        <f>_xlfn.IFNA(VLOOKUP(P$18,Application!$J$758:$S$761,6,FALSE), 0)</f>
        <v>0</v>
      </c>
      <c r="Q28" s="2328"/>
      <c r="R28" s="2328"/>
      <c r="S28" s="2328"/>
      <c r="T28" s="2328"/>
      <c r="U28" s="2329"/>
      <c r="V28" s="2327">
        <f>_xlfn.IFNA(VLOOKUP(V$18,Application!$J$758:$S$761,6,FALSE), 0)</f>
        <v>0</v>
      </c>
      <c r="W28" s="2328"/>
      <c r="X28" s="2328"/>
      <c r="Y28" s="2328"/>
      <c r="Z28" s="2328"/>
      <c r="AA28" s="2329"/>
      <c r="AB28" s="2327">
        <f>_xlfn.IFNA(VLOOKUP(AB$18,Application!$J$758:$S$761,6,FALSE), 0)</f>
        <v>0</v>
      </c>
      <c r="AC28" s="2328"/>
      <c r="AD28" s="2328"/>
      <c r="AE28" s="2328"/>
      <c r="AF28" s="2328"/>
      <c r="AG28" s="2329"/>
      <c r="AH28" s="2327">
        <f>_xlfn.IFNA(VLOOKUP(AH$18,Application!$J$758:$S$761,6,FALSE), 0)</f>
        <v>0</v>
      </c>
      <c r="AI28" s="2328"/>
      <c r="AJ28" s="2328"/>
      <c r="AK28" s="2328"/>
      <c r="AL28" s="2328"/>
      <c r="AM28" s="2329"/>
      <c r="AN28" s="2327">
        <f>_xlfn.IFNA(VLOOKUP(AN$18,Application!$J$758:$S$761,6,FALSE), 0)</f>
        <v>0</v>
      </c>
      <c r="AO28" s="2328"/>
      <c r="AP28" s="2328"/>
      <c r="AQ28" s="2328"/>
      <c r="AR28" s="2328"/>
      <c r="AS28" s="2329"/>
      <c r="AT28" s="2330">
        <f t="shared" si="1"/>
        <v>0</v>
      </c>
      <c r="AU28" s="2331"/>
      <c r="AV28" s="2331"/>
      <c r="AW28" s="2331"/>
      <c r="AX28" s="2331"/>
      <c r="AY28" s="2332"/>
      <c r="AZ28" s="1209"/>
      <c r="BA28" s="1209"/>
      <c r="BB28" s="1209"/>
      <c r="BC28" s="1209"/>
      <c r="BD28" s="1209"/>
      <c r="BE28" s="1205"/>
    </row>
    <row r="29" spans="1:58" thickBot="1">
      <c r="A29" s="1209"/>
      <c r="B29" s="2339" t="s">
        <v>1697</v>
      </c>
      <c r="C29" s="2340"/>
      <c r="D29" s="2340"/>
      <c r="E29" s="2340"/>
      <c r="F29" s="2340"/>
      <c r="G29" s="2340"/>
      <c r="H29" s="2340"/>
      <c r="I29" s="2341"/>
      <c r="J29" s="2342">
        <f>SUM(J19:O28)</f>
        <v>189</v>
      </c>
      <c r="K29" s="2340"/>
      <c r="L29" s="2340"/>
      <c r="M29" s="2340"/>
      <c r="N29" s="2340"/>
      <c r="O29" s="2341"/>
      <c r="P29" s="2342">
        <f>SUM(P19:U28)</f>
        <v>75</v>
      </c>
      <c r="Q29" s="2340"/>
      <c r="R29" s="2340"/>
      <c r="S29" s="2340"/>
      <c r="T29" s="2340"/>
      <c r="U29" s="2341"/>
      <c r="V29" s="2342">
        <f>SUM(V19:AA28)</f>
        <v>18</v>
      </c>
      <c r="W29" s="2340"/>
      <c r="X29" s="2340"/>
      <c r="Y29" s="2340"/>
      <c r="Z29" s="2340"/>
      <c r="AA29" s="2341"/>
      <c r="AB29" s="2342">
        <f>SUM(AB19:AG28)</f>
        <v>48</v>
      </c>
      <c r="AC29" s="2340"/>
      <c r="AD29" s="2340"/>
      <c r="AE29" s="2340"/>
      <c r="AF29" s="2340"/>
      <c r="AG29" s="2341"/>
      <c r="AH29" s="2342">
        <f>SUM(AH19:AM28)</f>
        <v>48</v>
      </c>
      <c r="AI29" s="2340"/>
      <c r="AJ29" s="2340"/>
      <c r="AK29" s="2340"/>
      <c r="AL29" s="2340"/>
      <c r="AM29" s="2341"/>
      <c r="AN29" s="2342">
        <f>SUM(AN19:AS28)</f>
        <v>0</v>
      </c>
      <c r="AO29" s="2340"/>
      <c r="AP29" s="2340"/>
      <c r="AQ29" s="2340"/>
      <c r="AR29" s="2340"/>
      <c r="AS29" s="2341"/>
      <c r="AT29" s="2359">
        <f t="shared" si="1"/>
        <v>1</v>
      </c>
      <c r="AU29" s="2360"/>
      <c r="AV29" s="2360"/>
      <c r="AW29" s="2360"/>
      <c r="AX29" s="2360"/>
      <c r="AY29" s="236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47" t="s">
        <v>1799</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48"/>
      <c r="AT31" s="2348"/>
      <c r="AU31" s="2348"/>
      <c r="AV31" s="2348"/>
      <c r="AW31" s="2348"/>
      <c r="AX31" s="2348"/>
      <c r="AY31" s="2348"/>
      <c r="AZ31" s="2348"/>
      <c r="BA31" s="2348"/>
      <c r="BB31" s="2348"/>
      <c r="BC31" s="2348"/>
      <c r="BD31" s="2349"/>
      <c r="BE31" s="1205"/>
    </row>
    <row r="32" spans="1:58" thickBot="1">
      <c r="A32" s="1209"/>
      <c r="B32" s="2362" t="s">
        <v>2472</v>
      </c>
      <c r="C32" s="2363"/>
      <c r="D32" s="2363"/>
      <c r="E32" s="2363"/>
      <c r="F32" s="2363"/>
      <c r="G32" s="2363"/>
      <c r="H32" s="2363"/>
      <c r="I32" s="2363"/>
      <c r="J32" s="2333" t="s">
        <v>2473</v>
      </c>
      <c r="K32" s="2334"/>
      <c r="L32" s="2334"/>
      <c r="M32" s="2334"/>
      <c r="N32" s="2333" t="s">
        <v>1800</v>
      </c>
      <c r="O32" s="2334"/>
      <c r="P32" s="2334"/>
      <c r="Q32" s="2336"/>
      <c r="R32" s="2356" t="s">
        <v>1801</v>
      </c>
      <c r="S32" s="2357"/>
      <c r="T32" s="2357"/>
      <c r="U32" s="2357"/>
      <c r="V32" s="2357"/>
      <c r="W32" s="2357"/>
      <c r="X32" s="2357"/>
      <c r="Y32" s="2357"/>
      <c r="Z32" s="2357"/>
      <c r="AA32" s="2357"/>
      <c r="AB32" s="2357"/>
      <c r="AC32" s="2357"/>
      <c r="AD32" s="2357"/>
      <c r="AE32" s="2357"/>
      <c r="AF32" s="2357"/>
      <c r="AG32" s="2357"/>
      <c r="AH32" s="2357"/>
      <c r="AI32" s="2357"/>
      <c r="AJ32" s="2357"/>
      <c r="AK32" s="2357"/>
      <c r="AL32" s="2357"/>
      <c r="AM32" s="2357"/>
      <c r="AN32" s="2357"/>
      <c r="AO32" s="2357"/>
      <c r="AP32" s="2357"/>
      <c r="AQ32" s="2357"/>
      <c r="AR32" s="2357"/>
      <c r="AS32" s="2357"/>
      <c r="AT32" s="2357"/>
      <c r="AU32" s="2357"/>
      <c r="AV32" s="2357"/>
      <c r="AW32" s="2357"/>
      <c r="AX32" s="2357"/>
      <c r="AY32" s="2357"/>
      <c r="AZ32" s="2357"/>
      <c r="BA32" s="2357"/>
      <c r="BB32" s="2357"/>
      <c r="BC32" s="2357"/>
      <c r="BD32" s="2358"/>
      <c r="BE32" s="1205"/>
    </row>
    <row r="33" spans="1:58" ht="15" customHeight="1">
      <c r="A33" s="1209"/>
      <c r="B33" s="2364"/>
      <c r="C33" s="2365"/>
      <c r="D33" s="2365"/>
      <c r="E33" s="2365"/>
      <c r="F33" s="2365"/>
      <c r="G33" s="2365"/>
      <c r="H33" s="2365"/>
      <c r="I33" s="2365"/>
      <c r="J33" s="2335"/>
      <c r="K33" s="2335"/>
      <c r="L33" s="2335"/>
      <c r="M33" s="2335"/>
      <c r="N33" s="2335"/>
      <c r="O33" s="2335"/>
      <c r="P33" s="2335"/>
      <c r="Q33" s="2337"/>
      <c r="R33" s="2350" t="s">
        <v>1802</v>
      </c>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2351"/>
      <c r="AT33" s="2351"/>
      <c r="AU33" s="2351"/>
      <c r="AV33" s="2351"/>
      <c r="AW33" s="2351"/>
      <c r="AX33" s="2351"/>
      <c r="AY33" s="2351"/>
      <c r="AZ33" s="2351"/>
      <c r="BA33" s="2351"/>
      <c r="BB33" s="2351"/>
      <c r="BC33" s="2351"/>
      <c r="BD33" s="2352"/>
      <c r="BE33" s="1205"/>
    </row>
    <row r="34" spans="1:58" ht="15.75" customHeight="1" thickBot="1">
      <c r="A34" s="1209"/>
      <c r="B34" s="2364"/>
      <c r="C34" s="2365"/>
      <c r="D34" s="2365"/>
      <c r="E34" s="2365"/>
      <c r="F34" s="2365"/>
      <c r="G34" s="2365"/>
      <c r="H34" s="2365"/>
      <c r="I34" s="2365"/>
      <c r="J34" s="2335"/>
      <c r="K34" s="2335"/>
      <c r="L34" s="2335"/>
      <c r="M34" s="2335"/>
      <c r="N34" s="2335"/>
      <c r="O34" s="2335"/>
      <c r="P34" s="2335"/>
      <c r="Q34" s="2337"/>
      <c r="R34" s="2353"/>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54"/>
      <c r="AT34" s="2354"/>
      <c r="AU34" s="2354"/>
      <c r="AV34" s="2354"/>
      <c r="AW34" s="2354"/>
      <c r="AX34" s="2354"/>
      <c r="AY34" s="2354"/>
      <c r="AZ34" s="2354"/>
      <c r="BA34" s="2354"/>
      <c r="BB34" s="2354"/>
      <c r="BC34" s="2354"/>
      <c r="BD34" s="2355"/>
      <c r="BE34" s="1205"/>
    </row>
    <row r="35" spans="1:58" ht="15.75" customHeight="1">
      <c r="A35" s="1209"/>
      <c r="B35" s="2364"/>
      <c r="C35" s="2365"/>
      <c r="D35" s="2365"/>
      <c r="E35" s="2365"/>
      <c r="F35" s="2365"/>
      <c r="G35" s="2365"/>
      <c r="H35" s="2365"/>
      <c r="I35" s="2365"/>
      <c r="J35" s="2335"/>
      <c r="K35" s="2335"/>
      <c r="L35" s="2335"/>
      <c r="M35" s="2335"/>
      <c r="N35" s="2335"/>
      <c r="O35" s="2335"/>
      <c r="P35" s="2335"/>
      <c r="Q35" s="2335"/>
      <c r="R35" s="2338">
        <v>0.3</v>
      </c>
      <c r="S35" s="2338"/>
      <c r="T35" s="2338"/>
      <c r="U35" s="2338"/>
      <c r="V35" s="2338">
        <v>0.4</v>
      </c>
      <c r="W35" s="2338"/>
      <c r="X35" s="2338"/>
      <c r="Y35" s="2338"/>
      <c r="Z35" s="2338">
        <v>0.5</v>
      </c>
      <c r="AA35" s="2338"/>
      <c r="AB35" s="2338"/>
      <c r="AC35" s="2338"/>
      <c r="AD35" s="2338">
        <v>0.6</v>
      </c>
      <c r="AE35" s="2338"/>
      <c r="AF35" s="2338"/>
      <c r="AG35" s="2338"/>
      <c r="AH35" s="2338">
        <v>0.7</v>
      </c>
      <c r="AI35" s="2338"/>
      <c r="AJ35" s="2338"/>
      <c r="AK35" s="2338"/>
      <c r="AL35" s="2314">
        <v>0.8</v>
      </c>
      <c r="AM35" s="2315"/>
      <c r="AN35" s="2315"/>
      <c r="AO35" s="2316"/>
      <c r="AP35" s="2317">
        <v>1.2</v>
      </c>
      <c r="AQ35" s="2318"/>
      <c r="AR35" s="2319"/>
      <c r="AS35" s="2320" t="s">
        <v>1803</v>
      </c>
      <c r="AT35" s="2321"/>
      <c r="AU35" s="2321"/>
      <c r="AV35" s="2321"/>
      <c r="AW35" s="2321"/>
      <c r="AX35" s="2322"/>
      <c r="AY35" s="2320" t="s">
        <v>1804</v>
      </c>
      <c r="AZ35" s="2321"/>
      <c r="BA35" s="2321"/>
      <c r="BB35" s="2321"/>
      <c r="BC35" s="2321"/>
      <c r="BD35" s="2323"/>
      <c r="BE35" s="1205"/>
    </row>
    <row r="36" spans="1:58" ht="15.75" customHeight="1">
      <c r="A36" s="1209"/>
      <c r="B36" s="2343" t="s">
        <v>1805</v>
      </c>
      <c r="C36" s="2344"/>
      <c r="D36" s="2344"/>
      <c r="E36" s="2344"/>
      <c r="F36" s="2344"/>
      <c r="G36" s="2344"/>
      <c r="H36" s="2344"/>
      <c r="I36" s="2344"/>
      <c r="J36" s="2345" t="s">
        <v>1806</v>
      </c>
      <c r="K36" s="2345"/>
      <c r="L36" s="2345"/>
      <c r="M36" s="2345"/>
      <c r="N36" s="2345">
        <v>55</v>
      </c>
      <c r="O36" s="2345"/>
      <c r="P36" s="2345"/>
      <c r="Q36" s="2345"/>
      <c r="R36" s="2346">
        <v>0</v>
      </c>
      <c r="S36" s="2346"/>
      <c r="T36" s="2346"/>
      <c r="U36" s="2346"/>
      <c r="V36" s="2346">
        <v>0</v>
      </c>
      <c r="W36" s="2346"/>
      <c r="X36" s="2346"/>
      <c r="Y36" s="2346"/>
      <c r="Z36" s="2346">
        <v>10</v>
      </c>
      <c r="AA36" s="2346"/>
      <c r="AB36" s="2346"/>
      <c r="AC36" s="2346"/>
      <c r="AD36" s="2346">
        <v>10</v>
      </c>
      <c r="AE36" s="2346"/>
      <c r="AF36" s="2346"/>
      <c r="AG36" s="2346"/>
      <c r="AH36" s="2346">
        <v>30</v>
      </c>
      <c r="AI36" s="2346"/>
      <c r="AJ36" s="2346"/>
      <c r="AK36" s="2346"/>
      <c r="AL36" s="2366">
        <v>0</v>
      </c>
      <c r="AM36" s="2367"/>
      <c r="AN36" s="2367"/>
      <c r="AO36" s="2368"/>
      <c r="AP36" s="2366">
        <v>0</v>
      </c>
      <c r="AQ36" s="2367"/>
      <c r="AR36" s="2368"/>
      <c r="AS36" s="2369">
        <f t="shared" ref="AS36:AS47" si="2">SUM(R36:AR36)</f>
        <v>50</v>
      </c>
      <c r="AT36" s="2370"/>
      <c r="AU36" s="2370"/>
      <c r="AV36" s="2370"/>
      <c r="AW36" s="2370"/>
      <c r="AX36" s="2371"/>
      <c r="AY36" s="2372">
        <f t="shared" ref="AY36:AY47" si="3">AS36/$J$29</f>
        <v>0.26455026455026454</v>
      </c>
      <c r="AZ36" s="2373"/>
      <c r="BA36" s="2373"/>
      <c r="BB36" s="2373"/>
      <c r="BC36" s="2373"/>
      <c r="BD36" s="2374"/>
      <c r="BE36" s="1205"/>
    </row>
    <row r="37" spans="1:58" ht="15.75" customHeight="1">
      <c r="A37" s="1209"/>
      <c r="B37" s="2343" t="s">
        <v>2474</v>
      </c>
      <c r="C37" s="2344"/>
      <c r="D37" s="2344"/>
      <c r="E37" s="2344"/>
      <c r="F37" s="2344"/>
      <c r="G37" s="2344"/>
      <c r="H37" s="2344"/>
      <c r="I37" s="2344"/>
      <c r="J37" s="2345" t="s">
        <v>1807</v>
      </c>
      <c r="K37" s="2345"/>
      <c r="L37" s="2345"/>
      <c r="M37" s="2345"/>
      <c r="N37" s="2345">
        <v>55</v>
      </c>
      <c r="O37" s="2345"/>
      <c r="P37" s="2345"/>
      <c r="Q37" s="2345"/>
      <c r="R37" s="2346">
        <v>10</v>
      </c>
      <c r="S37" s="2346"/>
      <c r="T37" s="2346"/>
      <c r="U37" s="2346"/>
      <c r="V37" s="2346"/>
      <c r="W37" s="2346"/>
      <c r="X37" s="2346"/>
      <c r="Y37" s="2346"/>
      <c r="Z37" s="2346"/>
      <c r="AA37" s="2346"/>
      <c r="AB37" s="2346"/>
      <c r="AC37" s="2346"/>
      <c r="AD37" s="2346"/>
      <c r="AE37" s="2346"/>
      <c r="AF37" s="2346"/>
      <c r="AG37" s="2346"/>
      <c r="AH37" s="2346"/>
      <c r="AI37" s="2346"/>
      <c r="AJ37" s="2346"/>
      <c r="AK37" s="2346"/>
      <c r="AL37" s="2366"/>
      <c r="AM37" s="2367"/>
      <c r="AN37" s="2367"/>
      <c r="AO37" s="2368"/>
      <c r="AP37" s="2366"/>
      <c r="AQ37" s="2367"/>
      <c r="AR37" s="2368"/>
      <c r="AS37" s="2369">
        <f t="shared" si="2"/>
        <v>10</v>
      </c>
      <c r="AT37" s="2370"/>
      <c r="AU37" s="2370"/>
      <c r="AV37" s="2370"/>
      <c r="AW37" s="2370"/>
      <c r="AX37" s="2371"/>
      <c r="AY37" s="2372">
        <f t="shared" si="3"/>
        <v>5.2910052910052907E-2</v>
      </c>
      <c r="AZ37" s="2373"/>
      <c r="BA37" s="2373"/>
      <c r="BB37" s="2373"/>
      <c r="BC37" s="2373"/>
      <c r="BD37" s="2374"/>
      <c r="BE37" s="1205"/>
    </row>
    <row r="38" spans="1:58" ht="15.75" customHeight="1">
      <c r="A38" s="1209"/>
      <c r="B38" s="2343" t="s">
        <v>2413</v>
      </c>
      <c r="C38" s="2344"/>
      <c r="D38" s="2344"/>
      <c r="E38" s="2344"/>
      <c r="F38" s="2344"/>
      <c r="G38" s="2344"/>
      <c r="H38" s="2344"/>
      <c r="I38" s="2344"/>
      <c r="J38" s="2345" t="s">
        <v>1808</v>
      </c>
      <c r="K38" s="2345"/>
      <c r="L38" s="2345"/>
      <c r="M38" s="2345"/>
      <c r="N38" s="2345">
        <v>55</v>
      </c>
      <c r="O38" s="2345"/>
      <c r="P38" s="2345"/>
      <c r="Q38" s="2345"/>
      <c r="R38" s="2346"/>
      <c r="S38" s="2346"/>
      <c r="T38" s="2346"/>
      <c r="U38" s="2346"/>
      <c r="V38" s="2346"/>
      <c r="W38" s="2346"/>
      <c r="X38" s="2346"/>
      <c r="Y38" s="2346"/>
      <c r="Z38" s="2346"/>
      <c r="AA38" s="2346"/>
      <c r="AB38" s="2346"/>
      <c r="AC38" s="2346"/>
      <c r="AD38" s="2346"/>
      <c r="AE38" s="2346"/>
      <c r="AF38" s="2346"/>
      <c r="AG38" s="2346"/>
      <c r="AH38" s="2346"/>
      <c r="AI38" s="2346"/>
      <c r="AJ38" s="2346"/>
      <c r="AK38" s="2346"/>
      <c r="AL38" s="2366"/>
      <c r="AM38" s="2367"/>
      <c r="AN38" s="2367"/>
      <c r="AO38" s="2368"/>
      <c r="AP38" s="2366"/>
      <c r="AQ38" s="2367"/>
      <c r="AR38" s="2368"/>
      <c r="AS38" s="2369">
        <f t="shared" si="2"/>
        <v>0</v>
      </c>
      <c r="AT38" s="2370"/>
      <c r="AU38" s="2370"/>
      <c r="AV38" s="2370"/>
      <c r="AW38" s="2370"/>
      <c r="AX38" s="2371"/>
      <c r="AY38" s="2372">
        <f t="shared" si="3"/>
        <v>0</v>
      </c>
      <c r="AZ38" s="2373"/>
      <c r="BA38" s="2373"/>
      <c r="BB38" s="2373"/>
      <c r="BC38" s="2373"/>
      <c r="BD38" s="2374"/>
      <c r="BE38" s="1205"/>
    </row>
    <row r="39" spans="1:58" ht="15.75" customHeight="1">
      <c r="A39" s="1209"/>
      <c r="B39" s="2343" t="s">
        <v>1809</v>
      </c>
      <c r="C39" s="2344"/>
      <c r="D39" s="2344"/>
      <c r="E39" s="2344"/>
      <c r="F39" s="2344"/>
      <c r="G39" s="2344"/>
      <c r="H39" s="2344"/>
      <c r="I39" s="2344"/>
      <c r="J39" s="2345"/>
      <c r="K39" s="2345"/>
      <c r="L39" s="2345"/>
      <c r="M39" s="2345"/>
      <c r="N39" s="2345"/>
      <c r="O39" s="2345"/>
      <c r="P39" s="2345"/>
      <c r="Q39" s="2345"/>
      <c r="R39" s="2346"/>
      <c r="S39" s="2346"/>
      <c r="T39" s="2346"/>
      <c r="U39" s="2346"/>
      <c r="V39" s="2346"/>
      <c r="W39" s="2346"/>
      <c r="X39" s="2346"/>
      <c r="Y39" s="2346"/>
      <c r="Z39" s="2346"/>
      <c r="AA39" s="2346"/>
      <c r="AB39" s="2346"/>
      <c r="AC39" s="2346"/>
      <c r="AD39" s="2346"/>
      <c r="AE39" s="2346"/>
      <c r="AF39" s="2346"/>
      <c r="AG39" s="2346"/>
      <c r="AH39" s="2346"/>
      <c r="AI39" s="2346"/>
      <c r="AJ39" s="2346"/>
      <c r="AK39" s="2346"/>
      <c r="AL39" s="2366"/>
      <c r="AM39" s="2367"/>
      <c r="AN39" s="2367"/>
      <c r="AO39" s="2368"/>
      <c r="AP39" s="2366"/>
      <c r="AQ39" s="2367"/>
      <c r="AR39" s="2368"/>
      <c r="AS39" s="2369">
        <f t="shared" si="2"/>
        <v>0</v>
      </c>
      <c r="AT39" s="2370"/>
      <c r="AU39" s="2370"/>
      <c r="AV39" s="2370"/>
      <c r="AW39" s="2370"/>
      <c r="AX39" s="2371"/>
      <c r="AY39" s="2372">
        <f t="shared" si="3"/>
        <v>0</v>
      </c>
      <c r="AZ39" s="2373"/>
      <c r="BA39" s="2373"/>
      <c r="BB39" s="2373"/>
      <c r="BC39" s="2373"/>
      <c r="BD39" s="2374"/>
      <c r="BE39" s="1205"/>
    </row>
    <row r="40" spans="1:58" ht="15.75" customHeight="1">
      <c r="A40" s="1209"/>
      <c r="B40" s="2343" t="s">
        <v>1809</v>
      </c>
      <c r="C40" s="2344"/>
      <c r="D40" s="2344"/>
      <c r="E40" s="2344"/>
      <c r="F40" s="2344"/>
      <c r="G40" s="2344"/>
      <c r="H40" s="2344"/>
      <c r="I40" s="2344"/>
      <c r="J40" s="2345"/>
      <c r="K40" s="2345"/>
      <c r="L40" s="2345"/>
      <c r="M40" s="2345"/>
      <c r="N40" s="2345"/>
      <c r="O40" s="2345"/>
      <c r="P40" s="2345"/>
      <c r="Q40" s="2345"/>
      <c r="R40" s="2346"/>
      <c r="S40" s="2346"/>
      <c r="T40" s="2346"/>
      <c r="U40" s="2346"/>
      <c r="V40" s="2346"/>
      <c r="W40" s="2346"/>
      <c r="X40" s="2346"/>
      <c r="Y40" s="2346"/>
      <c r="Z40" s="2346"/>
      <c r="AA40" s="2346"/>
      <c r="AB40" s="2346"/>
      <c r="AC40" s="2346"/>
      <c r="AD40" s="2346"/>
      <c r="AE40" s="2346"/>
      <c r="AF40" s="2346"/>
      <c r="AG40" s="2346"/>
      <c r="AH40" s="2346"/>
      <c r="AI40" s="2346"/>
      <c r="AJ40" s="2346"/>
      <c r="AK40" s="2346"/>
      <c r="AL40" s="2366"/>
      <c r="AM40" s="2367"/>
      <c r="AN40" s="2367"/>
      <c r="AO40" s="2368"/>
      <c r="AP40" s="2366"/>
      <c r="AQ40" s="2367"/>
      <c r="AR40" s="2368"/>
      <c r="AS40" s="2369">
        <f t="shared" si="2"/>
        <v>0</v>
      </c>
      <c r="AT40" s="2370"/>
      <c r="AU40" s="2370"/>
      <c r="AV40" s="2370"/>
      <c r="AW40" s="2370"/>
      <c r="AX40" s="2371"/>
      <c r="AY40" s="2372">
        <f t="shared" si="3"/>
        <v>0</v>
      </c>
      <c r="AZ40" s="2373"/>
      <c r="BA40" s="2373"/>
      <c r="BB40" s="2373"/>
      <c r="BC40" s="2373"/>
      <c r="BD40" s="2374"/>
      <c r="BE40" s="1205"/>
    </row>
    <row r="41" spans="1:58" ht="15.75" customHeight="1">
      <c r="A41" s="1209"/>
      <c r="B41" s="2343" t="s">
        <v>1810</v>
      </c>
      <c r="C41" s="2344"/>
      <c r="D41" s="2344"/>
      <c r="E41" s="2344"/>
      <c r="F41" s="2344"/>
      <c r="G41" s="2344"/>
      <c r="H41" s="2344"/>
      <c r="I41" s="2344"/>
      <c r="J41" s="2345"/>
      <c r="K41" s="2345"/>
      <c r="L41" s="2345"/>
      <c r="M41" s="2345"/>
      <c r="N41" s="2345"/>
      <c r="O41" s="2345"/>
      <c r="P41" s="2345"/>
      <c r="Q41" s="2345"/>
      <c r="R41" s="2346"/>
      <c r="S41" s="2346"/>
      <c r="T41" s="2346"/>
      <c r="U41" s="2346"/>
      <c r="V41" s="2346"/>
      <c r="W41" s="2346"/>
      <c r="X41" s="2346"/>
      <c r="Y41" s="2346"/>
      <c r="Z41" s="2346"/>
      <c r="AA41" s="2346"/>
      <c r="AB41" s="2346"/>
      <c r="AC41" s="2346"/>
      <c r="AD41" s="2346"/>
      <c r="AE41" s="2346"/>
      <c r="AF41" s="2346"/>
      <c r="AG41" s="2346"/>
      <c r="AH41" s="2346"/>
      <c r="AI41" s="2346"/>
      <c r="AJ41" s="2346"/>
      <c r="AK41" s="2346"/>
      <c r="AL41" s="2366"/>
      <c r="AM41" s="2367"/>
      <c r="AN41" s="2367"/>
      <c r="AO41" s="2368"/>
      <c r="AP41" s="2366"/>
      <c r="AQ41" s="2367"/>
      <c r="AR41" s="2368"/>
      <c r="AS41" s="2369">
        <f t="shared" si="2"/>
        <v>0</v>
      </c>
      <c r="AT41" s="2370"/>
      <c r="AU41" s="2370"/>
      <c r="AV41" s="2370"/>
      <c r="AW41" s="2370"/>
      <c r="AX41" s="2371"/>
      <c r="AY41" s="2372">
        <f t="shared" si="3"/>
        <v>0</v>
      </c>
      <c r="AZ41" s="2373"/>
      <c r="BA41" s="2373"/>
      <c r="BB41" s="2373"/>
      <c r="BC41" s="2373"/>
      <c r="BD41" s="2374"/>
      <c r="BE41" s="1205"/>
    </row>
    <row r="42" spans="1:58" ht="15.75" customHeight="1">
      <c r="A42" s="1209"/>
      <c r="B42" s="2343" t="s">
        <v>1810</v>
      </c>
      <c r="C42" s="2344"/>
      <c r="D42" s="2344"/>
      <c r="E42" s="2344"/>
      <c r="F42" s="2344"/>
      <c r="G42" s="2344"/>
      <c r="H42" s="2344"/>
      <c r="I42" s="2344"/>
      <c r="J42" s="2345"/>
      <c r="K42" s="2345"/>
      <c r="L42" s="2345"/>
      <c r="M42" s="2345"/>
      <c r="N42" s="2345"/>
      <c r="O42" s="2345"/>
      <c r="P42" s="2345"/>
      <c r="Q42" s="2345"/>
      <c r="R42" s="2346"/>
      <c r="S42" s="2346"/>
      <c r="T42" s="2346"/>
      <c r="U42" s="2346"/>
      <c r="V42" s="2346"/>
      <c r="W42" s="2346"/>
      <c r="X42" s="2346"/>
      <c r="Y42" s="2346"/>
      <c r="Z42" s="2346"/>
      <c r="AA42" s="2346"/>
      <c r="AB42" s="2346"/>
      <c r="AC42" s="2346"/>
      <c r="AD42" s="2346"/>
      <c r="AE42" s="2346"/>
      <c r="AF42" s="2346"/>
      <c r="AG42" s="2346"/>
      <c r="AH42" s="2346"/>
      <c r="AI42" s="2346"/>
      <c r="AJ42" s="2346"/>
      <c r="AK42" s="2346"/>
      <c r="AL42" s="2366"/>
      <c r="AM42" s="2367"/>
      <c r="AN42" s="2367"/>
      <c r="AO42" s="2368"/>
      <c r="AP42" s="2366"/>
      <c r="AQ42" s="2367"/>
      <c r="AR42" s="2368"/>
      <c r="AS42" s="2369">
        <f t="shared" si="2"/>
        <v>0</v>
      </c>
      <c r="AT42" s="2370"/>
      <c r="AU42" s="2370"/>
      <c r="AV42" s="2370"/>
      <c r="AW42" s="2370"/>
      <c r="AX42" s="2371"/>
      <c r="AY42" s="2372">
        <f t="shared" si="3"/>
        <v>0</v>
      </c>
      <c r="AZ42" s="2373"/>
      <c r="BA42" s="2373"/>
      <c r="BB42" s="2373"/>
      <c r="BC42" s="2373"/>
      <c r="BD42" s="2374"/>
      <c r="BE42" s="1205"/>
    </row>
    <row r="43" spans="1:58" ht="15.75" customHeight="1">
      <c r="A43" s="1209"/>
      <c r="B43" s="2375" t="s">
        <v>1811</v>
      </c>
      <c r="C43" s="2376"/>
      <c r="D43" s="2376"/>
      <c r="E43" s="2376"/>
      <c r="F43" s="2376"/>
      <c r="G43" s="2376"/>
      <c r="H43" s="2376"/>
      <c r="I43" s="2376"/>
      <c r="J43" s="2345"/>
      <c r="K43" s="2345"/>
      <c r="L43" s="2345"/>
      <c r="M43" s="2345"/>
      <c r="N43" s="2345"/>
      <c r="O43" s="2345"/>
      <c r="P43" s="2345"/>
      <c r="Q43" s="2345"/>
      <c r="R43" s="2346"/>
      <c r="S43" s="2346"/>
      <c r="T43" s="2346"/>
      <c r="U43" s="2346"/>
      <c r="V43" s="2346"/>
      <c r="W43" s="2346"/>
      <c r="X43" s="2346"/>
      <c r="Y43" s="2346"/>
      <c r="Z43" s="2346"/>
      <c r="AA43" s="2346"/>
      <c r="AB43" s="2346"/>
      <c r="AC43" s="2346"/>
      <c r="AD43" s="2346"/>
      <c r="AE43" s="2346"/>
      <c r="AF43" s="2346"/>
      <c r="AG43" s="2346"/>
      <c r="AH43" s="2346"/>
      <c r="AI43" s="2346"/>
      <c r="AJ43" s="2346"/>
      <c r="AK43" s="2346"/>
      <c r="AL43" s="2366"/>
      <c r="AM43" s="2367"/>
      <c r="AN43" s="2367"/>
      <c r="AO43" s="2368"/>
      <c r="AP43" s="2366"/>
      <c r="AQ43" s="2367"/>
      <c r="AR43" s="2368"/>
      <c r="AS43" s="2369">
        <f t="shared" si="2"/>
        <v>0</v>
      </c>
      <c r="AT43" s="2370"/>
      <c r="AU43" s="2370"/>
      <c r="AV43" s="2370"/>
      <c r="AW43" s="2370"/>
      <c r="AX43" s="2371"/>
      <c r="AY43" s="2372">
        <f t="shared" si="3"/>
        <v>0</v>
      </c>
      <c r="AZ43" s="2373"/>
      <c r="BA43" s="2373"/>
      <c r="BB43" s="2373"/>
      <c r="BC43" s="2373"/>
      <c r="BD43" s="2374"/>
      <c r="BE43" s="1205"/>
    </row>
    <row r="44" spans="1:58" ht="15.75" customHeight="1">
      <c r="A44" s="1209"/>
      <c r="B44" s="2375" t="s">
        <v>1812</v>
      </c>
      <c r="C44" s="2376"/>
      <c r="D44" s="2376"/>
      <c r="E44" s="2376"/>
      <c r="F44" s="2376"/>
      <c r="G44" s="2376"/>
      <c r="H44" s="2376"/>
      <c r="I44" s="2376"/>
      <c r="J44" s="2345"/>
      <c r="K44" s="2345"/>
      <c r="L44" s="2345"/>
      <c r="M44" s="2345"/>
      <c r="N44" s="2345"/>
      <c r="O44" s="2345"/>
      <c r="P44" s="2345"/>
      <c r="Q44" s="2345"/>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66"/>
      <c r="AM44" s="2367"/>
      <c r="AN44" s="2367"/>
      <c r="AO44" s="2368"/>
      <c r="AP44" s="2366"/>
      <c r="AQ44" s="2367"/>
      <c r="AR44" s="2368"/>
      <c r="AS44" s="2369">
        <f t="shared" si="2"/>
        <v>0</v>
      </c>
      <c r="AT44" s="2370"/>
      <c r="AU44" s="2370"/>
      <c r="AV44" s="2370"/>
      <c r="AW44" s="2370"/>
      <c r="AX44" s="2371"/>
      <c r="AY44" s="2372">
        <f t="shared" si="3"/>
        <v>0</v>
      </c>
      <c r="AZ44" s="2373"/>
      <c r="BA44" s="2373"/>
      <c r="BB44" s="2373"/>
      <c r="BC44" s="2373"/>
      <c r="BD44" s="2374"/>
      <c r="BE44" s="1205"/>
    </row>
    <row r="45" spans="1:58" ht="15.75" customHeight="1">
      <c r="A45" s="1209"/>
      <c r="B45" s="2375" t="s">
        <v>1813</v>
      </c>
      <c r="C45" s="2376"/>
      <c r="D45" s="2376"/>
      <c r="E45" s="2376"/>
      <c r="F45" s="2376"/>
      <c r="G45" s="2376"/>
      <c r="H45" s="2376"/>
      <c r="I45" s="2376"/>
      <c r="J45" s="2345"/>
      <c r="K45" s="2345"/>
      <c r="L45" s="2345"/>
      <c r="M45" s="2345"/>
      <c r="N45" s="2345"/>
      <c r="O45" s="2345"/>
      <c r="P45" s="2345"/>
      <c r="Q45" s="2345"/>
      <c r="R45" s="2346"/>
      <c r="S45" s="2346"/>
      <c r="T45" s="2346"/>
      <c r="U45" s="2346"/>
      <c r="V45" s="2346"/>
      <c r="W45" s="2346"/>
      <c r="X45" s="2346"/>
      <c r="Y45" s="2346"/>
      <c r="Z45" s="2346"/>
      <c r="AA45" s="2346"/>
      <c r="AB45" s="2346"/>
      <c r="AC45" s="2346"/>
      <c r="AD45" s="2346"/>
      <c r="AE45" s="2346"/>
      <c r="AF45" s="2346"/>
      <c r="AG45" s="2346"/>
      <c r="AH45" s="2346"/>
      <c r="AI45" s="2346"/>
      <c r="AJ45" s="2346"/>
      <c r="AK45" s="2346"/>
      <c r="AL45" s="2366"/>
      <c r="AM45" s="2367"/>
      <c r="AN45" s="2367"/>
      <c r="AO45" s="2368"/>
      <c r="AP45" s="2366"/>
      <c r="AQ45" s="2367"/>
      <c r="AR45" s="2368"/>
      <c r="AS45" s="2369">
        <f t="shared" si="2"/>
        <v>0</v>
      </c>
      <c r="AT45" s="2370"/>
      <c r="AU45" s="2370"/>
      <c r="AV45" s="2370"/>
      <c r="AW45" s="2370"/>
      <c r="AX45" s="2371"/>
      <c r="AY45" s="2372">
        <f t="shared" si="3"/>
        <v>0</v>
      </c>
      <c r="AZ45" s="2373"/>
      <c r="BA45" s="2373"/>
      <c r="BB45" s="2373"/>
      <c r="BC45" s="2373"/>
      <c r="BD45" s="2374"/>
      <c r="BE45" s="1205"/>
    </row>
    <row r="46" spans="1:58" ht="15.75" customHeight="1">
      <c r="A46" s="1209"/>
      <c r="B46" s="2375" t="s">
        <v>1814</v>
      </c>
      <c r="C46" s="2376"/>
      <c r="D46" s="2376"/>
      <c r="E46" s="2376"/>
      <c r="F46" s="2376"/>
      <c r="G46" s="2376"/>
      <c r="H46" s="2376"/>
      <c r="I46" s="2376"/>
      <c r="J46" s="2345"/>
      <c r="K46" s="2345"/>
      <c r="L46" s="2345"/>
      <c r="M46" s="2345"/>
      <c r="N46" s="2345">
        <v>99</v>
      </c>
      <c r="O46" s="2345"/>
      <c r="P46" s="2345"/>
      <c r="Q46" s="2345"/>
      <c r="R46" s="2346"/>
      <c r="S46" s="2346"/>
      <c r="T46" s="2346"/>
      <c r="U46" s="2346"/>
      <c r="V46" s="2346"/>
      <c r="W46" s="2346"/>
      <c r="X46" s="2346"/>
      <c r="Y46" s="2346"/>
      <c r="Z46" s="2346"/>
      <c r="AA46" s="2346"/>
      <c r="AB46" s="2346"/>
      <c r="AC46" s="2346"/>
      <c r="AD46" s="2346"/>
      <c r="AE46" s="2346"/>
      <c r="AF46" s="2346"/>
      <c r="AG46" s="2346"/>
      <c r="AH46" s="2346"/>
      <c r="AI46" s="2346"/>
      <c r="AJ46" s="2346"/>
      <c r="AK46" s="2346"/>
      <c r="AL46" s="2366"/>
      <c r="AM46" s="2367"/>
      <c r="AN46" s="2367"/>
      <c r="AO46" s="2368"/>
      <c r="AP46" s="2366"/>
      <c r="AQ46" s="2367"/>
      <c r="AR46" s="2368"/>
      <c r="AS46" s="2369">
        <f t="shared" si="2"/>
        <v>0</v>
      </c>
      <c r="AT46" s="2370"/>
      <c r="AU46" s="2370"/>
      <c r="AV46" s="2370"/>
      <c r="AW46" s="2370"/>
      <c r="AX46" s="2371"/>
      <c r="AY46" s="2372">
        <f t="shared" si="3"/>
        <v>0</v>
      </c>
      <c r="AZ46" s="2373"/>
      <c r="BA46" s="2373"/>
      <c r="BB46" s="2373"/>
      <c r="BC46" s="2373"/>
      <c r="BD46" s="2374"/>
      <c r="BE46" s="1205"/>
    </row>
    <row r="47" spans="1:58" ht="15.75" customHeight="1" thickBot="1">
      <c r="A47" s="1209"/>
      <c r="B47" s="2389" t="s">
        <v>301</v>
      </c>
      <c r="C47" s="2390"/>
      <c r="D47" s="2390"/>
      <c r="E47" s="2390"/>
      <c r="F47" s="2390"/>
      <c r="G47" s="2390"/>
      <c r="H47" s="2390"/>
      <c r="I47" s="2390"/>
      <c r="J47" s="2391"/>
      <c r="K47" s="2391"/>
      <c r="L47" s="2391"/>
      <c r="M47" s="2391"/>
      <c r="N47" s="2391"/>
      <c r="O47" s="2391"/>
      <c r="P47" s="2391"/>
      <c r="Q47" s="2391"/>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77"/>
      <c r="AM47" s="2378"/>
      <c r="AN47" s="2378"/>
      <c r="AO47" s="2379"/>
      <c r="AP47" s="2377"/>
      <c r="AQ47" s="2378"/>
      <c r="AR47" s="2379"/>
      <c r="AS47" s="2369">
        <f t="shared" si="2"/>
        <v>0</v>
      </c>
      <c r="AT47" s="2370"/>
      <c r="AU47" s="2370"/>
      <c r="AV47" s="2370"/>
      <c r="AW47" s="2370"/>
      <c r="AX47" s="2371"/>
      <c r="AY47" s="2380">
        <f t="shared" si="3"/>
        <v>0</v>
      </c>
      <c r="AZ47" s="2381"/>
      <c r="BA47" s="2381"/>
      <c r="BB47" s="2381"/>
      <c r="BC47" s="2381"/>
      <c r="BD47" s="2382"/>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83" t="s">
        <v>1815</v>
      </c>
      <c r="C50" s="2384"/>
      <c r="D50" s="2384"/>
      <c r="E50" s="2384"/>
      <c r="F50" s="2384"/>
      <c r="G50" s="2384"/>
      <c r="H50" s="2384"/>
      <c r="I50" s="2384"/>
      <c r="J50" s="2384"/>
      <c r="K50" s="2384"/>
      <c r="L50" s="2384"/>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c r="AN50" s="2384"/>
      <c r="AO50" s="238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28" t="s">
        <v>1816</v>
      </c>
      <c r="C51" s="2229"/>
      <c r="D51" s="2229"/>
      <c r="E51" s="2229"/>
      <c r="F51" s="2229"/>
      <c r="G51" s="2229"/>
      <c r="H51" s="2229"/>
      <c r="I51" s="2229"/>
      <c r="J51" s="2229" t="s">
        <v>2476</v>
      </c>
      <c r="K51" s="2229"/>
      <c r="L51" s="2229"/>
      <c r="M51" s="2229"/>
      <c r="N51" s="2229"/>
      <c r="O51" s="2229"/>
      <c r="P51" s="2229"/>
      <c r="Q51" s="2229"/>
      <c r="R51" s="2386" t="s">
        <v>2477</v>
      </c>
      <c r="S51" s="2386"/>
      <c r="T51" s="2386"/>
      <c r="U51" s="2386"/>
      <c r="V51" s="2386"/>
      <c r="W51" s="2386"/>
      <c r="X51" s="2386"/>
      <c r="Y51" s="2386"/>
      <c r="Z51" s="2386" t="s">
        <v>1817</v>
      </c>
      <c r="AA51" s="2386"/>
      <c r="AB51" s="2386"/>
      <c r="AC51" s="2386"/>
      <c r="AD51" s="2386"/>
      <c r="AE51" s="2386"/>
      <c r="AF51" s="2386"/>
      <c r="AG51" s="2386"/>
      <c r="AH51" s="2386" t="s">
        <v>1818</v>
      </c>
      <c r="AI51" s="2386"/>
      <c r="AJ51" s="2386"/>
      <c r="AK51" s="2386"/>
      <c r="AL51" s="2386"/>
      <c r="AM51" s="2386"/>
      <c r="AN51" s="2386"/>
      <c r="AO51" s="238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75" t="s">
        <v>2184</v>
      </c>
      <c r="C52" s="2376"/>
      <c r="D52" s="2376"/>
      <c r="E52" s="2376"/>
      <c r="F52" s="2376"/>
      <c r="G52" s="2376"/>
      <c r="H52" s="2376"/>
      <c r="I52" s="2376"/>
      <c r="J52" s="2392">
        <v>0</v>
      </c>
      <c r="K52" s="2392"/>
      <c r="L52" s="2392"/>
      <c r="M52" s="2392"/>
      <c r="N52" s="2392"/>
      <c r="O52" s="2392"/>
      <c r="P52" s="2392"/>
      <c r="Q52" s="2392"/>
      <c r="R52" s="2393">
        <v>0</v>
      </c>
      <c r="S52" s="2393"/>
      <c r="T52" s="2393"/>
      <c r="U52" s="2393"/>
      <c r="V52" s="2393"/>
      <c r="W52" s="2393"/>
      <c r="X52" s="2393"/>
      <c r="Y52" s="2393"/>
      <c r="Z52" s="2394">
        <v>0</v>
      </c>
      <c r="AA52" s="2394"/>
      <c r="AB52" s="2394"/>
      <c r="AC52" s="2394"/>
      <c r="AD52" s="2394"/>
      <c r="AE52" s="2394"/>
      <c r="AF52" s="2394"/>
      <c r="AG52" s="2394"/>
      <c r="AH52" s="2395"/>
      <c r="AI52" s="2395"/>
      <c r="AJ52" s="2395"/>
      <c r="AK52" s="2395"/>
      <c r="AL52" s="2395"/>
      <c r="AM52" s="2395"/>
      <c r="AN52" s="2395"/>
      <c r="AO52" s="239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75" t="s">
        <v>2185</v>
      </c>
      <c r="C53" s="2376"/>
      <c r="D53" s="2376"/>
      <c r="E53" s="2376"/>
      <c r="F53" s="2376"/>
      <c r="G53" s="2376"/>
      <c r="H53" s="2376"/>
      <c r="I53" s="2376"/>
      <c r="J53" s="2392">
        <v>0</v>
      </c>
      <c r="K53" s="2392"/>
      <c r="L53" s="2392"/>
      <c r="M53" s="2392"/>
      <c r="N53" s="2392"/>
      <c r="O53" s="2392"/>
      <c r="P53" s="2392"/>
      <c r="Q53" s="2392"/>
      <c r="R53" s="2393">
        <v>0</v>
      </c>
      <c r="S53" s="2393"/>
      <c r="T53" s="2393"/>
      <c r="U53" s="2393"/>
      <c r="V53" s="2393"/>
      <c r="W53" s="2393"/>
      <c r="X53" s="2393"/>
      <c r="Y53" s="2393"/>
      <c r="Z53" s="2394">
        <v>0</v>
      </c>
      <c r="AA53" s="2394"/>
      <c r="AB53" s="2394"/>
      <c r="AC53" s="2394"/>
      <c r="AD53" s="2394"/>
      <c r="AE53" s="2394"/>
      <c r="AF53" s="2394"/>
      <c r="AG53" s="2394"/>
      <c r="AH53" s="2395"/>
      <c r="AI53" s="2395"/>
      <c r="AJ53" s="2395"/>
      <c r="AK53" s="2395"/>
      <c r="AL53" s="2395"/>
      <c r="AM53" s="2395"/>
      <c r="AN53" s="2395"/>
      <c r="AO53" s="239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75"/>
      <c r="C54" s="2376"/>
      <c r="D54" s="2376"/>
      <c r="E54" s="2376"/>
      <c r="F54" s="2376"/>
      <c r="G54" s="2376"/>
      <c r="H54" s="2376"/>
      <c r="I54" s="2376"/>
      <c r="J54" s="2392"/>
      <c r="K54" s="2392"/>
      <c r="L54" s="2392"/>
      <c r="M54" s="2392"/>
      <c r="N54" s="2392"/>
      <c r="O54" s="2392"/>
      <c r="P54" s="2392"/>
      <c r="Q54" s="2392"/>
      <c r="R54" s="2393"/>
      <c r="S54" s="2393"/>
      <c r="T54" s="2393"/>
      <c r="U54" s="2393"/>
      <c r="V54" s="2393"/>
      <c r="W54" s="2393"/>
      <c r="X54" s="2393"/>
      <c r="Y54" s="2393"/>
      <c r="Z54" s="2394"/>
      <c r="AA54" s="2394"/>
      <c r="AB54" s="2394"/>
      <c r="AC54" s="2394"/>
      <c r="AD54" s="2394"/>
      <c r="AE54" s="2394"/>
      <c r="AF54" s="2394"/>
      <c r="AG54" s="2394"/>
      <c r="AH54" s="2395"/>
      <c r="AI54" s="2395"/>
      <c r="AJ54" s="2395"/>
      <c r="AK54" s="2395"/>
      <c r="AL54" s="2395"/>
      <c r="AM54" s="2395"/>
      <c r="AN54" s="2395"/>
      <c r="AO54" s="239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75"/>
      <c r="C55" s="2376"/>
      <c r="D55" s="2376"/>
      <c r="E55" s="2376"/>
      <c r="F55" s="2376"/>
      <c r="G55" s="2376"/>
      <c r="H55" s="2376"/>
      <c r="I55" s="2376"/>
      <c r="J55" s="2392"/>
      <c r="K55" s="2392"/>
      <c r="L55" s="2392"/>
      <c r="M55" s="2392"/>
      <c r="N55" s="2392"/>
      <c r="O55" s="2392"/>
      <c r="P55" s="2392"/>
      <c r="Q55" s="2392"/>
      <c r="R55" s="2393"/>
      <c r="S55" s="2393"/>
      <c r="T55" s="2393"/>
      <c r="U55" s="2393"/>
      <c r="V55" s="2393"/>
      <c r="W55" s="2393"/>
      <c r="X55" s="2393"/>
      <c r="Y55" s="2393"/>
      <c r="Z55" s="2394"/>
      <c r="AA55" s="2394"/>
      <c r="AB55" s="2394"/>
      <c r="AC55" s="2394"/>
      <c r="AD55" s="2394"/>
      <c r="AE55" s="2394"/>
      <c r="AF55" s="2394"/>
      <c r="AG55" s="2394"/>
      <c r="AH55" s="2395"/>
      <c r="AI55" s="2395"/>
      <c r="AJ55" s="2395"/>
      <c r="AK55" s="2395"/>
      <c r="AL55" s="2395"/>
      <c r="AM55" s="2395"/>
      <c r="AN55" s="2395"/>
      <c r="AO55" s="2396"/>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75"/>
      <c r="C56" s="2376"/>
      <c r="D56" s="2376"/>
      <c r="E56" s="2376"/>
      <c r="F56" s="2376"/>
      <c r="G56" s="2376"/>
      <c r="H56" s="2376"/>
      <c r="I56" s="2376"/>
      <c r="J56" s="2392"/>
      <c r="K56" s="2392"/>
      <c r="L56" s="2392"/>
      <c r="M56" s="2392"/>
      <c r="N56" s="2392"/>
      <c r="O56" s="2392"/>
      <c r="P56" s="2392"/>
      <c r="Q56" s="2392"/>
      <c r="R56" s="2393"/>
      <c r="S56" s="2393"/>
      <c r="T56" s="2393"/>
      <c r="U56" s="2393"/>
      <c r="V56" s="2393"/>
      <c r="W56" s="2393"/>
      <c r="X56" s="2393"/>
      <c r="Y56" s="2393"/>
      <c r="Z56" s="2394"/>
      <c r="AA56" s="2394"/>
      <c r="AB56" s="2394"/>
      <c r="AC56" s="2394"/>
      <c r="AD56" s="2394"/>
      <c r="AE56" s="2394"/>
      <c r="AF56" s="2394"/>
      <c r="AG56" s="2394"/>
      <c r="AH56" s="2395"/>
      <c r="AI56" s="2395"/>
      <c r="AJ56" s="2395"/>
      <c r="AK56" s="2395"/>
      <c r="AL56" s="2395"/>
      <c r="AM56" s="2395"/>
      <c r="AN56" s="2395"/>
      <c r="AO56" s="239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48" t="s">
        <v>1697</v>
      </c>
      <c r="C57" s="2249"/>
      <c r="D57" s="2249"/>
      <c r="E57" s="2249"/>
      <c r="F57" s="2249"/>
      <c r="G57" s="2249"/>
      <c r="H57" s="2249"/>
      <c r="I57" s="2249"/>
      <c r="J57" s="2249"/>
      <c r="K57" s="2249"/>
      <c r="L57" s="2249"/>
      <c r="M57" s="2249"/>
      <c r="N57" s="2249"/>
      <c r="O57" s="2249"/>
      <c r="P57" s="2249"/>
      <c r="Q57" s="2249"/>
      <c r="R57" s="2406">
        <f>SUM(R52:Y56)</f>
        <v>0</v>
      </c>
      <c r="S57" s="2406"/>
      <c r="T57" s="2406"/>
      <c r="U57" s="2406"/>
      <c r="V57" s="2406"/>
      <c r="W57" s="2406"/>
      <c r="X57" s="2406"/>
      <c r="Y57" s="2406"/>
      <c r="Z57" s="2407">
        <f>SUM(Z52:AG56)</f>
        <v>0</v>
      </c>
      <c r="AA57" s="2407"/>
      <c r="AB57" s="2407"/>
      <c r="AC57" s="2407"/>
      <c r="AD57" s="2407"/>
      <c r="AE57" s="2407"/>
      <c r="AF57" s="2407"/>
      <c r="AG57" s="2407"/>
      <c r="AH57" s="2408"/>
      <c r="AI57" s="2408"/>
      <c r="AJ57" s="2408"/>
      <c r="AK57" s="2408"/>
      <c r="AL57" s="2408"/>
      <c r="AM57" s="2408"/>
      <c r="AN57" s="2408"/>
      <c r="AO57" s="2409"/>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10" t="s">
        <v>1816</v>
      </c>
      <c r="C59" s="2411"/>
      <c r="D59" s="2411"/>
      <c r="E59" s="2411"/>
      <c r="F59" s="2411"/>
      <c r="G59" s="2411"/>
      <c r="H59" s="2411"/>
      <c r="I59" s="2412"/>
      <c r="J59" s="2296" t="s">
        <v>2478</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9"/>
      <c r="AY59" s="1209"/>
      <c r="AZ59" s="1209"/>
      <c r="BA59" s="1209"/>
      <c r="BB59" s="1209"/>
      <c r="BC59" s="1209"/>
      <c r="BD59" s="1209"/>
      <c r="BE59" s="1205"/>
    </row>
    <row r="60" spans="1:58" ht="15.75" customHeight="1">
      <c r="A60" s="1209"/>
      <c r="B60" s="2397" t="str">
        <f>IF(B52="", "", B52)</f>
        <v>Services Company 1</v>
      </c>
      <c r="C60" s="2398"/>
      <c r="D60" s="2398"/>
      <c r="E60" s="2398"/>
      <c r="F60" s="2398"/>
      <c r="G60" s="2398"/>
      <c r="H60" s="2398"/>
      <c r="I60" s="2399"/>
      <c r="J60" s="2400"/>
      <c r="K60" s="2401"/>
      <c r="L60" s="240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c r="AS60" s="2401"/>
      <c r="AT60" s="2401"/>
      <c r="AU60" s="2401"/>
      <c r="AV60" s="2401"/>
      <c r="AW60" s="2402"/>
      <c r="AX60" s="1209"/>
      <c r="AY60" s="1209"/>
      <c r="AZ60" s="1209"/>
      <c r="BA60" s="1209"/>
      <c r="BB60" s="1209"/>
      <c r="BC60" s="1209"/>
      <c r="BD60" s="1209"/>
      <c r="BE60" s="1205"/>
    </row>
    <row r="61" spans="1:58" ht="15.75" customHeight="1">
      <c r="A61" s="1209"/>
      <c r="B61" s="2397" t="str">
        <f>IF(B53="", "", B53)</f>
        <v>Services Company 2</v>
      </c>
      <c r="C61" s="2398"/>
      <c r="D61" s="2398"/>
      <c r="E61" s="2398"/>
      <c r="F61" s="2398"/>
      <c r="G61" s="2398"/>
      <c r="H61" s="2398"/>
      <c r="I61" s="2399"/>
      <c r="J61" s="2400"/>
      <c r="K61" s="2401"/>
      <c r="L61" s="240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c r="AS61" s="2401"/>
      <c r="AT61" s="2401"/>
      <c r="AU61" s="2401"/>
      <c r="AV61" s="2401"/>
      <c r="AW61" s="2402"/>
      <c r="AX61" s="1209"/>
      <c r="AY61" s="1209"/>
      <c r="AZ61" s="1209"/>
      <c r="BA61" s="1209"/>
      <c r="BB61" s="1209"/>
      <c r="BC61" s="1209"/>
      <c r="BD61" s="1209"/>
      <c r="BE61" s="1205"/>
    </row>
    <row r="62" spans="1:58" ht="15.75" customHeight="1">
      <c r="A62" s="1209"/>
      <c r="B62" s="2397" t="str">
        <f>IF(B54="", "", B54)</f>
        <v/>
      </c>
      <c r="C62" s="2398"/>
      <c r="D62" s="2398"/>
      <c r="E62" s="2398"/>
      <c r="F62" s="2398"/>
      <c r="G62" s="2398"/>
      <c r="H62" s="2398"/>
      <c r="I62" s="2399"/>
      <c r="J62" s="2400"/>
      <c r="K62" s="2401"/>
      <c r="L62" s="240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c r="AS62" s="2401"/>
      <c r="AT62" s="2401"/>
      <c r="AU62" s="2401"/>
      <c r="AV62" s="2401"/>
      <c r="AW62" s="2402"/>
      <c r="AX62" s="1209"/>
      <c r="AY62" s="1209"/>
      <c r="AZ62" s="1209"/>
      <c r="BA62" s="1209"/>
      <c r="BB62" s="1209"/>
      <c r="BC62" s="1209"/>
      <c r="BD62" s="1209"/>
      <c r="BE62" s="1205"/>
    </row>
    <row r="63" spans="1:58" ht="15.75" customHeight="1">
      <c r="A63" s="1209"/>
      <c r="B63" s="2397" t="str">
        <f>IF(B55="", "", B55)</f>
        <v/>
      </c>
      <c r="C63" s="2398"/>
      <c r="D63" s="2398"/>
      <c r="E63" s="2398"/>
      <c r="F63" s="2398"/>
      <c r="G63" s="2398"/>
      <c r="H63" s="2398"/>
      <c r="I63" s="2399"/>
      <c r="J63" s="2400"/>
      <c r="K63" s="2401"/>
      <c r="L63" s="240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c r="AS63" s="2401"/>
      <c r="AT63" s="2401"/>
      <c r="AU63" s="2401"/>
      <c r="AV63" s="2401"/>
      <c r="AW63" s="2402"/>
      <c r="AX63" s="1209"/>
      <c r="AY63" s="1209"/>
      <c r="AZ63" s="1209"/>
      <c r="BA63" s="1209"/>
      <c r="BB63" s="1209"/>
      <c r="BC63" s="1209"/>
      <c r="BD63" s="1209"/>
      <c r="BE63" s="1205"/>
    </row>
    <row r="64" spans="1:58" ht="15.75" customHeight="1" thickBot="1">
      <c r="A64" s="1209"/>
      <c r="B64" s="2403" t="str">
        <f>IF(B56="", "", B56)</f>
        <v/>
      </c>
      <c r="C64" s="2404"/>
      <c r="D64" s="2404"/>
      <c r="E64" s="2404"/>
      <c r="F64" s="2404"/>
      <c r="G64" s="2404"/>
      <c r="H64" s="2404"/>
      <c r="I64" s="2405"/>
      <c r="J64" s="2413"/>
      <c r="K64" s="2414"/>
      <c r="L64" s="2414"/>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c r="AH64" s="2414"/>
      <c r="AI64" s="2414"/>
      <c r="AJ64" s="2414"/>
      <c r="AK64" s="2414"/>
      <c r="AL64" s="2414"/>
      <c r="AM64" s="2414"/>
      <c r="AN64" s="2414"/>
      <c r="AO64" s="2414"/>
      <c r="AP64" s="2414"/>
      <c r="AQ64" s="2414"/>
      <c r="AR64" s="2414"/>
      <c r="AS64" s="2414"/>
      <c r="AT64" s="2414"/>
      <c r="AU64" s="2414"/>
      <c r="AV64" s="2414"/>
      <c r="AW64" s="241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95" t="s">
        <v>1820</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9"/>
      <c r="AC68" s="2488" t="s">
        <v>1821</v>
      </c>
      <c r="AD68" s="2489"/>
      <c r="AE68" s="2489"/>
      <c r="AF68" s="2489"/>
      <c r="AG68" s="2489"/>
      <c r="AH68" s="2489"/>
      <c r="AI68" s="2489"/>
      <c r="AJ68" s="2489"/>
      <c r="AK68" s="2489"/>
      <c r="AL68" s="2489"/>
      <c r="AM68" s="2489"/>
      <c r="AN68" s="2489"/>
      <c r="AO68" s="2489"/>
      <c r="AP68" s="2489"/>
      <c r="AQ68" s="2489"/>
      <c r="AR68" s="2489"/>
      <c r="AS68" s="2489"/>
      <c r="AT68" s="2489"/>
      <c r="AU68" s="2489"/>
      <c r="AV68" s="2615" t="s">
        <v>677</v>
      </c>
      <c r="AW68" s="2448"/>
      <c r="AX68" s="2448"/>
      <c r="AY68" s="2448"/>
      <c r="AZ68" s="2448"/>
      <c r="BA68" s="2448"/>
      <c r="BB68" s="2448"/>
      <c r="BC68" s="2449"/>
      <c r="BD68" s="1209"/>
      <c r="BE68" s="1205"/>
      <c r="BM68" s="1254" t="s">
        <v>2479</v>
      </c>
    </row>
    <row r="69" spans="1:65" ht="15.75" customHeight="1" thickTop="1" thickBot="1">
      <c r="A69" s="1209"/>
      <c r="B69" s="2616" t="s">
        <v>1822</v>
      </c>
      <c r="C69" s="2617"/>
      <c r="D69" s="2617"/>
      <c r="E69" s="2617"/>
      <c r="F69" s="2617"/>
      <c r="G69" s="2617"/>
      <c r="H69" s="2617"/>
      <c r="I69" s="2617"/>
      <c r="J69" s="2617"/>
      <c r="K69" s="2617"/>
      <c r="L69" s="2617"/>
      <c r="M69" s="2617"/>
      <c r="N69" s="2617"/>
      <c r="O69" s="2618" t="s">
        <v>1823</v>
      </c>
      <c r="P69" s="2619"/>
      <c r="Q69" s="2619"/>
      <c r="R69" s="2619"/>
      <c r="S69" s="2619"/>
      <c r="T69" s="2619"/>
      <c r="U69" s="2619"/>
      <c r="V69" s="2619"/>
      <c r="W69" s="2619"/>
      <c r="X69" s="2619"/>
      <c r="Y69" s="2619"/>
      <c r="Z69" s="2619"/>
      <c r="AA69" s="2620"/>
      <c r="AB69" s="1209"/>
      <c r="AC69" s="2621" t="s">
        <v>1824</v>
      </c>
      <c r="AD69" s="2622"/>
      <c r="AE69" s="2622"/>
      <c r="AF69" s="2622"/>
      <c r="AG69" s="2622"/>
      <c r="AH69" s="2622"/>
      <c r="AI69" s="2622"/>
      <c r="AJ69" s="2622"/>
      <c r="AK69" s="2622"/>
      <c r="AL69" s="2622"/>
      <c r="AM69" s="2622"/>
      <c r="AN69" s="2622"/>
      <c r="AO69" s="2622"/>
      <c r="AP69" s="2622"/>
      <c r="AQ69" s="2622"/>
      <c r="AR69" s="2622"/>
      <c r="AS69" s="2622"/>
      <c r="AT69" s="2622"/>
      <c r="AU69" s="2622"/>
      <c r="AV69" s="2623"/>
      <c r="AW69" s="2624"/>
      <c r="AX69" s="2624"/>
      <c r="AY69" s="2624"/>
      <c r="AZ69" s="2624"/>
      <c r="BA69" s="2624"/>
      <c r="BB69" s="2624"/>
      <c r="BC69" s="2625"/>
      <c r="BD69" s="1209"/>
      <c r="BE69" s="1205"/>
      <c r="BM69" s="1253" t="s">
        <v>553</v>
      </c>
    </row>
    <row r="70" spans="1:65" ht="15.75" customHeight="1">
      <c r="A70" s="1209"/>
      <c r="B70" s="2343" t="s">
        <v>2480</v>
      </c>
      <c r="C70" s="2344"/>
      <c r="D70" s="2344"/>
      <c r="E70" s="2344"/>
      <c r="F70" s="2344"/>
      <c r="G70" s="2344"/>
      <c r="H70" s="2344"/>
      <c r="I70" s="2344"/>
      <c r="J70" s="2344"/>
      <c r="K70" s="2344"/>
      <c r="L70" s="2344"/>
      <c r="M70" s="2344"/>
      <c r="N70" s="2344"/>
      <c r="O70" s="2423">
        <v>0</v>
      </c>
      <c r="P70" s="2423"/>
      <c r="Q70" s="2423"/>
      <c r="R70" s="2423"/>
      <c r="S70" s="2423"/>
      <c r="T70" s="2423"/>
      <c r="U70" s="2423"/>
      <c r="V70" s="2423"/>
      <c r="W70" s="2423"/>
      <c r="X70" s="2423"/>
      <c r="Y70" s="2423"/>
      <c r="Z70" s="2423"/>
      <c r="AA70" s="2424"/>
      <c r="AB70" s="1209"/>
      <c r="AC70" s="2383" t="s">
        <v>1825</v>
      </c>
      <c r="AD70" s="2384"/>
      <c r="AE70" s="2384"/>
      <c r="AF70" s="2427"/>
      <c r="AG70" s="2427"/>
      <c r="AH70" s="2427"/>
      <c r="AI70" s="2427"/>
      <c r="AJ70" s="2427"/>
      <c r="AK70" s="2427"/>
      <c r="AL70" s="2427"/>
      <c r="AM70" s="2427"/>
      <c r="AN70" s="2427"/>
      <c r="AO70" s="2427"/>
      <c r="AP70" s="2427"/>
      <c r="AQ70" s="2427"/>
      <c r="AR70" s="2427"/>
      <c r="AS70" s="2427"/>
      <c r="AT70" s="2427"/>
      <c r="AU70" s="2428"/>
      <c r="AV70" s="1209"/>
      <c r="AW70" s="1209"/>
      <c r="AX70" s="1209"/>
      <c r="AY70" s="1209"/>
      <c r="AZ70" s="1209"/>
      <c r="BA70" s="1209"/>
      <c r="BB70" s="1209"/>
      <c r="BC70" s="1209"/>
      <c r="BD70" s="1209"/>
      <c r="BE70" s="1205"/>
      <c r="BM70" s="1252" t="s">
        <v>677</v>
      </c>
    </row>
    <row r="71" spans="1:65" ht="15.75" customHeight="1" thickBot="1">
      <c r="A71" s="1209"/>
      <c r="B71" s="2343" t="s">
        <v>2481</v>
      </c>
      <c r="C71" s="2344"/>
      <c r="D71" s="2344"/>
      <c r="E71" s="2344"/>
      <c r="F71" s="2344"/>
      <c r="G71" s="2344"/>
      <c r="H71" s="2344"/>
      <c r="I71" s="2344"/>
      <c r="J71" s="2344"/>
      <c r="K71" s="2344"/>
      <c r="L71" s="2344"/>
      <c r="M71" s="2344"/>
      <c r="N71" s="2344"/>
      <c r="O71" s="2423">
        <v>0</v>
      </c>
      <c r="P71" s="2423"/>
      <c r="Q71" s="2423"/>
      <c r="R71" s="2423"/>
      <c r="S71" s="2423"/>
      <c r="T71" s="2423"/>
      <c r="U71" s="2423"/>
      <c r="V71" s="2423"/>
      <c r="W71" s="2423"/>
      <c r="X71" s="2423"/>
      <c r="Y71" s="2423"/>
      <c r="Z71" s="2423"/>
      <c r="AA71" s="2424"/>
      <c r="AB71" s="1209"/>
      <c r="AC71" s="2429" t="s">
        <v>1826</v>
      </c>
      <c r="AD71" s="2430"/>
      <c r="AE71" s="2430"/>
      <c r="AF71" s="2414"/>
      <c r="AG71" s="2414"/>
      <c r="AH71" s="2414"/>
      <c r="AI71" s="2414"/>
      <c r="AJ71" s="2414"/>
      <c r="AK71" s="2414"/>
      <c r="AL71" s="2414"/>
      <c r="AM71" s="2414"/>
      <c r="AN71" s="2414"/>
      <c r="AO71" s="2414"/>
      <c r="AP71" s="2414"/>
      <c r="AQ71" s="2414"/>
      <c r="AR71" s="2414"/>
      <c r="AS71" s="2414"/>
      <c r="AT71" s="2414"/>
      <c r="AU71" s="2415"/>
      <c r="AV71" s="1209"/>
      <c r="AW71" s="1209"/>
      <c r="AX71" s="1209"/>
      <c r="AY71" s="1209"/>
      <c r="AZ71" s="1209"/>
      <c r="BA71" s="1209"/>
      <c r="BB71" s="1209"/>
      <c r="BC71" s="1209"/>
      <c r="BD71" s="1209"/>
      <c r="BE71" s="1205"/>
      <c r="BM71" s="1200" t="s">
        <v>2482</v>
      </c>
    </row>
    <row r="72" spans="1:65" ht="15.75" customHeight="1">
      <c r="A72" s="1209"/>
      <c r="B72" s="2343" t="s">
        <v>2483</v>
      </c>
      <c r="C72" s="2344"/>
      <c r="D72" s="2344"/>
      <c r="E72" s="2344"/>
      <c r="F72" s="2344"/>
      <c r="G72" s="2344"/>
      <c r="H72" s="2344"/>
      <c r="I72" s="2344"/>
      <c r="J72" s="2344"/>
      <c r="K72" s="2344"/>
      <c r="L72" s="2344"/>
      <c r="M72" s="2344"/>
      <c r="N72" s="2344"/>
      <c r="O72" s="2423">
        <v>0</v>
      </c>
      <c r="P72" s="2423"/>
      <c r="Q72" s="2423"/>
      <c r="R72" s="2423"/>
      <c r="S72" s="2423"/>
      <c r="T72" s="2423"/>
      <c r="U72" s="2423"/>
      <c r="V72" s="2423"/>
      <c r="W72" s="2423"/>
      <c r="X72" s="2423"/>
      <c r="Y72" s="2423"/>
      <c r="Z72" s="2423"/>
      <c r="AA72" s="2424"/>
      <c r="AB72" s="1209"/>
      <c r="AC72" s="2630" t="s">
        <v>2484</v>
      </c>
      <c r="AD72" s="2631"/>
      <c r="AE72" s="2631"/>
      <c r="AF72" s="2631"/>
      <c r="AG72" s="2631"/>
      <c r="AH72" s="2631"/>
      <c r="AI72" s="2631"/>
      <c r="AJ72" s="2631"/>
      <c r="AK72" s="2631"/>
      <c r="AL72" s="2631"/>
      <c r="AM72" s="2631"/>
      <c r="AN72" s="2631"/>
      <c r="AO72" s="2631"/>
      <c r="AP72" s="2631"/>
      <c r="AQ72" s="2631"/>
      <c r="AR72" s="2631"/>
      <c r="AS72" s="2631"/>
      <c r="AT72" s="2631"/>
      <c r="AU72" s="2631"/>
      <c r="AV72" s="2384"/>
      <c r="AW72" s="2384"/>
      <c r="AX72" s="2384"/>
      <c r="AY72" s="2384"/>
      <c r="AZ72" s="2384"/>
      <c r="BA72" s="2384"/>
      <c r="BB72" s="2384"/>
      <c r="BC72" s="2385"/>
      <c r="BD72" s="1209"/>
      <c r="BE72" s="1205"/>
    </row>
    <row r="73" spans="1:65" ht="15.75" customHeight="1">
      <c r="A73" s="1209"/>
      <c r="B73" s="2375" t="s">
        <v>2485</v>
      </c>
      <c r="C73" s="2376"/>
      <c r="D73" s="2376"/>
      <c r="E73" s="2376"/>
      <c r="F73" s="2376"/>
      <c r="G73" s="2376"/>
      <c r="H73" s="2376"/>
      <c r="I73" s="2376"/>
      <c r="J73" s="2376"/>
      <c r="K73" s="2376"/>
      <c r="L73" s="2376"/>
      <c r="M73" s="2376"/>
      <c r="N73" s="2376"/>
      <c r="O73" s="2423">
        <v>0</v>
      </c>
      <c r="P73" s="2423"/>
      <c r="Q73" s="2423"/>
      <c r="R73" s="2423"/>
      <c r="S73" s="2423"/>
      <c r="T73" s="2423"/>
      <c r="U73" s="2423"/>
      <c r="V73" s="2423"/>
      <c r="W73" s="2423"/>
      <c r="X73" s="2423"/>
      <c r="Y73" s="2423"/>
      <c r="Z73" s="2423"/>
      <c r="AA73" s="2424"/>
      <c r="AB73" s="1209"/>
      <c r="AC73" s="2416" t="s">
        <v>2186</v>
      </c>
      <c r="AD73" s="2417"/>
      <c r="AE73" s="2417"/>
      <c r="AF73" s="2417"/>
      <c r="AG73" s="2417"/>
      <c r="AH73" s="2417"/>
      <c r="AI73" s="2417"/>
      <c r="AJ73" s="2417"/>
      <c r="AK73" s="2417"/>
      <c r="AL73" s="2417"/>
      <c r="AM73" s="2417"/>
      <c r="AN73" s="2417"/>
      <c r="AO73" s="2417"/>
      <c r="AP73" s="2417"/>
      <c r="AQ73" s="2417"/>
      <c r="AR73" s="2417"/>
      <c r="AS73" s="2417"/>
      <c r="AT73" s="2417"/>
      <c r="AU73" s="2417"/>
      <c r="AV73" s="2417"/>
      <c r="AW73" s="2417"/>
      <c r="AX73" s="2417"/>
      <c r="AY73" s="2417"/>
      <c r="AZ73" s="2417"/>
      <c r="BA73" s="2417"/>
      <c r="BB73" s="2417"/>
      <c r="BC73" s="2418"/>
      <c r="BD73" s="1209"/>
      <c r="BE73" s="1205"/>
    </row>
    <row r="74" spans="1:65" ht="15.75" customHeight="1">
      <c r="A74" s="1209"/>
      <c r="B74" s="2422"/>
      <c r="C74" s="2392"/>
      <c r="D74" s="2392"/>
      <c r="E74" s="2392"/>
      <c r="F74" s="2392"/>
      <c r="G74" s="2392"/>
      <c r="H74" s="2392"/>
      <c r="I74" s="2392"/>
      <c r="J74" s="2392"/>
      <c r="K74" s="2392"/>
      <c r="L74" s="2392"/>
      <c r="M74" s="2392"/>
      <c r="N74" s="2392"/>
      <c r="O74" s="2423"/>
      <c r="P74" s="2423"/>
      <c r="Q74" s="2423"/>
      <c r="R74" s="2423"/>
      <c r="S74" s="2423"/>
      <c r="T74" s="2423"/>
      <c r="U74" s="2423"/>
      <c r="V74" s="2423"/>
      <c r="W74" s="2423"/>
      <c r="X74" s="2423"/>
      <c r="Y74" s="2423"/>
      <c r="Z74" s="2423"/>
      <c r="AA74" s="2424"/>
      <c r="AB74" s="1209"/>
      <c r="AC74" s="2416"/>
      <c r="AD74" s="2417"/>
      <c r="AE74" s="2417"/>
      <c r="AF74" s="2417"/>
      <c r="AG74" s="2417"/>
      <c r="AH74" s="2417"/>
      <c r="AI74" s="2417"/>
      <c r="AJ74" s="2417"/>
      <c r="AK74" s="2417"/>
      <c r="AL74" s="2417"/>
      <c r="AM74" s="2417"/>
      <c r="AN74" s="2417"/>
      <c r="AO74" s="2417"/>
      <c r="AP74" s="2417"/>
      <c r="AQ74" s="2417"/>
      <c r="AR74" s="2417"/>
      <c r="AS74" s="2417"/>
      <c r="AT74" s="2417"/>
      <c r="AU74" s="2417"/>
      <c r="AV74" s="2417"/>
      <c r="AW74" s="2417"/>
      <c r="AX74" s="2417"/>
      <c r="AY74" s="2417"/>
      <c r="AZ74" s="2417"/>
      <c r="BA74" s="2417"/>
      <c r="BB74" s="2417"/>
      <c r="BC74" s="2418"/>
      <c r="BD74" s="1209"/>
      <c r="BE74" s="1205"/>
    </row>
    <row r="75" spans="1:65" ht="15.75" customHeight="1" thickBot="1">
      <c r="A75" s="1209"/>
      <c r="B75" s="2425" t="s">
        <v>124</v>
      </c>
      <c r="C75" s="2426"/>
      <c r="D75" s="2426"/>
      <c r="E75" s="2426"/>
      <c r="F75" s="2426"/>
      <c r="G75" s="2426"/>
      <c r="H75" s="2426"/>
      <c r="I75" s="2426"/>
      <c r="J75" s="2426"/>
      <c r="K75" s="2426"/>
      <c r="L75" s="2426"/>
      <c r="M75" s="2426"/>
      <c r="N75" s="2426"/>
      <c r="O75" s="2606">
        <f>SUM(O70:AA74)</f>
        <v>0</v>
      </c>
      <c r="P75" s="2606"/>
      <c r="Q75" s="2606"/>
      <c r="R75" s="2606"/>
      <c r="S75" s="2606"/>
      <c r="T75" s="2606"/>
      <c r="U75" s="2606"/>
      <c r="V75" s="2606"/>
      <c r="W75" s="2606"/>
      <c r="X75" s="2606"/>
      <c r="Y75" s="2606"/>
      <c r="Z75" s="2606"/>
      <c r="AA75" s="2607"/>
      <c r="AB75" s="1209"/>
      <c r="AC75" s="2416"/>
      <c r="AD75" s="2417"/>
      <c r="AE75" s="2417"/>
      <c r="AF75" s="2417"/>
      <c r="AG75" s="2417"/>
      <c r="AH75" s="2417"/>
      <c r="AI75" s="2417"/>
      <c r="AJ75" s="2417"/>
      <c r="AK75" s="2417"/>
      <c r="AL75" s="2417"/>
      <c r="AM75" s="2417"/>
      <c r="AN75" s="2417"/>
      <c r="AO75" s="2417"/>
      <c r="AP75" s="2417"/>
      <c r="AQ75" s="2417"/>
      <c r="AR75" s="2417"/>
      <c r="AS75" s="2417"/>
      <c r="AT75" s="2417"/>
      <c r="AU75" s="2417"/>
      <c r="AV75" s="2417"/>
      <c r="AW75" s="2417"/>
      <c r="AX75" s="2417"/>
      <c r="AY75" s="2417"/>
      <c r="AZ75" s="2417"/>
      <c r="BA75" s="2417"/>
      <c r="BB75" s="2417"/>
      <c r="BC75" s="2418"/>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16"/>
      <c r="AD76" s="2417"/>
      <c r="AE76" s="2417"/>
      <c r="AF76" s="2417"/>
      <c r="AG76" s="2417"/>
      <c r="AH76" s="2417"/>
      <c r="AI76" s="2417"/>
      <c r="AJ76" s="2417"/>
      <c r="AK76" s="2417"/>
      <c r="AL76" s="2417"/>
      <c r="AM76" s="2417"/>
      <c r="AN76" s="2417"/>
      <c r="AO76" s="2417"/>
      <c r="AP76" s="2417"/>
      <c r="AQ76" s="2417"/>
      <c r="AR76" s="2417"/>
      <c r="AS76" s="2417"/>
      <c r="AT76" s="2417"/>
      <c r="AU76" s="2417"/>
      <c r="AV76" s="2417"/>
      <c r="AW76" s="2417"/>
      <c r="AX76" s="2417"/>
      <c r="AY76" s="2417"/>
      <c r="AZ76" s="2417"/>
      <c r="BA76" s="2417"/>
      <c r="BB76" s="2417"/>
      <c r="BC76" s="2418"/>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9"/>
      <c r="AD77" s="2420"/>
      <c r="AE77" s="2420"/>
      <c r="AF77" s="2420"/>
      <c r="AG77" s="2420"/>
      <c r="AH77" s="2420"/>
      <c r="AI77" s="2420"/>
      <c r="AJ77" s="2420"/>
      <c r="AK77" s="2420"/>
      <c r="AL77" s="2420"/>
      <c r="AM77" s="2420"/>
      <c r="AN77" s="2420"/>
      <c r="AO77" s="2420"/>
      <c r="AP77" s="2420"/>
      <c r="AQ77" s="2420"/>
      <c r="AR77" s="2420"/>
      <c r="AS77" s="2420"/>
      <c r="AT77" s="2420"/>
      <c r="AU77" s="2420"/>
      <c r="AV77" s="2420"/>
      <c r="AW77" s="2420"/>
      <c r="AX77" s="2420"/>
      <c r="AY77" s="2420"/>
      <c r="AZ77" s="2420"/>
      <c r="BA77" s="2420"/>
      <c r="BB77" s="2420"/>
      <c r="BC77" s="2421"/>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608"/>
      <c r="G79" s="2609"/>
      <c r="H79" s="2609"/>
      <c r="I79" s="2609"/>
      <c r="J79" s="2609"/>
      <c r="K79" s="2609"/>
      <c r="L79" s="2609"/>
      <c r="M79" s="2610"/>
      <c r="N79" s="2610"/>
      <c r="O79" s="2610"/>
      <c r="P79" s="2610"/>
      <c r="Q79" s="261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612" t="e">
        <f>BR96/SUM($BR$96:$BR$98)</f>
        <v>#DIV/0!</v>
      </c>
      <c r="P80" s="2613"/>
      <c r="Q80" s="261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26" t="s">
        <v>2552</v>
      </c>
      <c r="P81" s="2627"/>
      <c r="Q81" s="262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33" t="s">
        <v>2169</v>
      </c>
      <c r="C83" s="2234"/>
      <c r="D83" s="2234"/>
      <c r="E83" s="2234"/>
      <c r="F83" s="2234"/>
      <c r="G83" s="2234"/>
      <c r="H83" s="2234"/>
      <c r="I83" s="2234"/>
      <c r="J83" s="2234"/>
      <c r="K83" s="2234"/>
      <c r="L83" s="2234"/>
      <c r="M83" s="2234"/>
      <c r="N83" s="2234"/>
      <c r="O83" s="2234"/>
      <c r="P83" s="2234"/>
      <c r="Q83" s="2234"/>
      <c r="R83" s="2234"/>
      <c r="S83" s="2234"/>
      <c r="T83" s="2234"/>
      <c r="U83" s="2234"/>
      <c r="V83" s="2234"/>
      <c r="W83" s="2234"/>
      <c r="X83" s="2234"/>
      <c r="Y83" s="2234"/>
      <c r="Z83" s="2234"/>
      <c r="AA83" s="2234"/>
      <c r="AB83" s="2234"/>
      <c r="AC83" s="2234"/>
      <c r="AD83" s="2234"/>
      <c r="AE83" s="2234"/>
      <c r="AF83" s="2234"/>
      <c r="AG83" s="2234"/>
      <c r="AH83" s="2235"/>
      <c r="AI83" s="1209"/>
      <c r="AJ83" s="2269" t="s">
        <v>2619</v>
      </c>
      <c r="AK83" s="2270"/>
      <c r="AL83" s="2270"/>
      <c r="AM83" s="2270"/>
      <c r="AN83" s="2270"/>
      <c r="AO83" s="2270"/>
      <c r="AP83" s="2270"/>
      <c r="AQ83" s="2270"/>
      <c r="AR83" s="2270"/>
      <c r="AS83" s="2270"/>
      <c r="AT83" s="2270"/>
      <c r="AU83" s="2270"/>
      <c r="AV83" s="2270"/>
      <c r="AW83" s="2270"/>
      <c r="AX83" s="2270"/>
      <c r="AY83" s="2273" t="s">
        <v>553</v>
      </c>
      <c r="AZ83" s="2273"/>
      <c r="BA83" s="2273"/>
      <c r="BB83" s="2274"/>
      <c r="BC83" s="1209"/>
      <c r="BD83" s="1209"/>
      <c r="BE83" s="1205"/>
    </row>
    <row r="84" spans="1:70" ht="15.75" customHeight="1">
      <c r="A84" s="1209"/>
      <c r="B84" s="2228"/>
      <c r="C84" s="2229"/>
      <c r="D84" s="2229"/>
      <c r="E84" s="2229"/>
      <c r="F84" s="2229"/>
      <c r="G84" s="2229"/>
      <c r="H84" s="2229"/>
      <c r="I84" s="2229" t="s">
        <v>1827</v>
      </c>
      <c r="J84" s="2229"/>
      <c r="K84" s="2229"/>
      <c r="L84" s="2229"/>
      <c r="M84" s="2229"/>
      <c r="N84" s="2229"/>
      <c r="O84" s="2229" t="s">
        <v>1828</v>
      </c>
      <c r="P84" s="2229"/>
      <c r="Q84" s="2229"/>
      <c r="R84" s="2229"/>
      <c r="S84" s="2229"/>
      <c r="T84" s="2229"/>
      <c r="U84" s="2229"/>
      <c r="V84" s="2225" t="s">
        <v>2187</v>
      </c>
      <c r="W84" s="2225"/>
      <c r="X84" s="2225"/>
      <c r="Y84" s="2225"/>
      <c r="Z84" s="2225"/>
      <c r="AA84" s="2225"/>
      <c r="AB84" s="2226" t="s">
        <v>1829</v>
      </c>
      <c r="AC84" s="2226"/>
      <c r="AD84" s="2226"/>
      <c r="AE84" s="2226"/>
      <c r="AF84" s="2226"/>
      <c r="AG84" s="2226"/>
      <c r="AH84" s="2227"/>
      <c r="AI84" s="1209"/>
      <c r="AJ84" s="2271"/>
      <c r="AK84" s="2272"/>
      <c r="AL84" s="2272"/>
      <c r="AM84" s="2272"/>
      <c r="AN84" s="2272"/>
      <c r="AO84" s="2272"/>
      <c r="AP84" s="2272"/>
      <c r="AQ84" s="2272"/>
      <c r="AR84" s="2272"/>
      <c r="AS84" s="2272"/>
      <c r="AT84" s="2272"/>
      <c r="AU84" s="2272"/>
      <c r="AV84" s="2272"/>
      <c r="AW84" s="2272"/>
      <c r="AX84" s="2272"/>
      <c r="AY84" s="2275"/>
      <c r="AZ84" s="2275"/>
      <c r="BA84" s="2275"/>
      <c r="BB84" s="2276"/>
      <c r="BC84" s="1209"/>
      <c r="BD84" s="1209"/>
      <c r="BE84" s="1205"/>
    </row>
    <row r="85" spans="1:70" ht="15.75" customHeight="1">
      <c r="A85" s="1209"/>
      <c r="B85" s="2228"/>
      <c r="C85" s="2229"/>
      <c r="D85" s="2229"/>
      <c r="E85" s="2229"/>
      <c r="F85" s="2229"/>
      <c r="G85" s="2229"/>
      <c r="H85" s="2229"/>
      <c r="I85" s="2229"/>
      <c r="J85" s="2229"/>
      <c r="K85" s="2229"/>
      <c r="L85" s="2229"/>
      <c r="M85" s="2229"/>
      <c r="N85" s="2229"/>
      <c r="O85" s="2229"/>
      <c r="P85" s="2229"/>
      <c r="Q85" s="2229"/>
      <c r="R85" s="2229"/>
      <c r="S85" s="2229"/>
      <c r="T85" s="2229"/>
      <c r="U85" s="2229"/>
      <c r="V85" s="2225"/>
      <c r="W85" s="2225"/>
      <c r="X85" s="2225"/>
      <c r="Y85" s="2225"/>
      <c r="Z85" s="2225"/>
      <c r="AA85" s="2225"/>
      <c r="AB85" s="2226"/>
      <c r="AC85" s="2226"/>
      <c r="AD85" s="2226"/>
      <c r="AE85" s="2226"/>
      <c r="AF85" s="2226"/>
      <c r="AG85" s="2226"/>
      <c r="AH85" s="2227"/>
      <c r="AI85" s="1209"/>
      <c r="AJ85" s="2271"/>
      <c r="AK85" s="2272"/>
      <c r="AL85" s="2272"/>
      <c r="AM85" s="2272"/>
      <c r="AN85" s="2272"/>
      <c r="AO85" s="2272"/>
      <c r="AP85" s="2272"/>
      <c r="AQ85" s="2272"/>
      <c r="AR85" s="2272"/>
      <c r="AS85" s="2272"/>
      <c r="AT85" s="2272"/>
      <c r="AU85" s="2272"/>
      <c r="AV85" s="2272"/>
      <c r="AW85" s="2272"/>
      <c r="AX85" s="2272"/>
      <c r="AY85" s="2275"/>
      <c r="AZ85" s="2275"/>
      <c r="BA85" s="2275"/>
      <c r="BB85" s="2276"/>
      <c r="BC85" s="1209"/>
      <c r="BD85" s="1209"/>
      <c r="BE85" s="1205"/>
    </row>
    <row r="86" spans="1:70" ht="15.75" customHeight="1">
      <c r="A86" s="1209"/>
      <c r="B86" s="2228" t="s">
        <v>2170</v>
      </c>
      <c r="C86" s="2229"/>
      <c r="D86" s="2229"/>
      <c r="E86" s="2229"/>
      <c r="F86" s="2229"/>
      <c r="G86" s="2229"/>
      <c r="H86" s="2229"/>
      <c r="I86" s="2230">
        <v>0</v>
      </c>
      <c r="J86" s="2230"/>
      <c r="K86" s="2230"/>
      <c r="L86" s="2230"/>
      <c r="M86" s="2230"/>
      <c r="N86" s="2230"/>
      <c r="O86" s="2230">
        <v>0</v>
      </c>
      <c r="P86" s="2230"/>
      <c r="Q86" s="2230"/>
      <c r="R86" s="2230"/>
      <c r="S86" s="2230"/>
      <c r="T86" s="2230"/>
      <c r="U86" s="2230"/>
      <c r="V86" s="2230">
        <v>0</v>
      </c>
      <c r="W86" s="2230"/>
      <c r="X86" s="2230"/>
      <c r="Y86" s="2230"/>
      <c r="Z86" s="2230"/>
      <c r="AA86" s="2230"/>
      <c r="AB86" s="2230">
        <v>0</v>
      </c>
      <c r="AC86" s="2230"/>
      <c r="AD86" s="2230"/>
      <c r="AE86" s="2230"/>
      <c r="AF86" s="2230"/>
      <c r="AG86" s="2230"/>
      <c r="AH86" s="2236"/>
      <c r="AI86" s="1209"/>
      <c r="AJ86" s="2271"/>
      <c r="AK86" s="2272"/>
      <c r="AL86" s="2272"/>
      <c r="AM86" s="2272"/>
      <c r="AN86" s="2272"/>
      <c r="AO86" s="2272"/>
      <c r="AP86" s="2272"/>
      <c r="AQ86" s="2272"/>
      <c r="AR86" s="2272"/>
      <c r="AS86" s="2272"/>
      <c r="AT86" s="2272"/>
      <c r="AU86" s="2272"/>
      <c r="AV86" s="2272"/>
      <c r="AW86" s="2272"/>
      <c r="AX86" s="2272"/>
      <c r="AY86" s="2275"/>
      <c r="AZ86" s="2275"/>
      <c r="BA86" s="2275"/>
      <c r="BB86" s="2276"/>
      <c r="BC86" s="1209"/>
      <c r="BD86" s="1209"/>
      <c r="BE86" s="1205"/>
    </row>
    <row r="87" spans="1:70" ht="15.75" customHeight="1">
      <c r="A87" s="1209"/>
      <c r="B87" s="2228" t="s">
        <v>2171</v>
      </c>
      <c r="C87" s="2229"/>
      <c r="D87" s="2229"/>
      <c r="E87" s="2229"/>
      <c r="F87" s="2229"/>
      <c r="G87" s="2229"/>
      <c r="H87" s="2229"/>
      <c r="I87" s="2230">
        <v>0</v>
      </c>
      <c r="J87" s="2230"/>
      <c r="K87" s="2230"/>
      <c r="L87" s="2230"/>
      <c r="M87" s="2230"/>
      <c r="N87" s="2230"/>
      <c r="O87" s="2230">
        <v>0</v>
      </c>
      <c r="P87" s="2230"/>
      <c r="Q87" s="2230"/>
      <c r="R87" s="2230"/>
      <c r="S87" s="2230"/>
      <c r="T87" s="2230"/>
      <c r="U87" s="2230"/>
      <c r="V87" s="2230">
        <v>0</v>
      </c>
      <c r="W87" s="2230"/>
      <c r="X87" s="2230"/>
      <c r="Y87" s="2230"/>
      <c r="Z87" s="2230"/>
      <c r="AA87" s="2230"/>
      <c r="AB87" s="2230">
        <v>0</v>
      </c>
      <c r="AC87" s="2230"/>
      <c r="AD87" s="2230"/>
      <c r="AE87" s="2230"/>
      <c r="AF87" s="2230"/>
      <c r="AG87" s="2230"/>
      <c r="AH87" s="2236"/>
      <c r="AI87" s="1209"/>
      <c r="AJ87" s="2242" t="s">
        <v>2486</v>
      </c>
      <c r="AK87" s="2243"/>
      <c r="AL87" s="2243"/>
      <c r="AM87" s="2243"/>
      <c r="AN87" s="2243"/>
      <c r="AO87" s="2243"/>
      <c r="AP87" s="2243"/>
      <c r="AQ87" s="2243"/>
      <c r="AR87" s="2243"/>
      <c r="AS87" s="2243"/>
      <c r="AT87" s="2243"/>
      <c r="AU87" s="2243"/>
      <c r="AV87" s="2243"/>
      <c r="AW87" s="2243"/>
      <c r="AX87" s="2243"/>
      <c r="AY87" s="2243"/>
      <c r="AZ87" s="2243"/>
      <c r="BA87" s="2243"/>
      <c r="BB87" s="2244"/>
      <c r="BC87" s="1209"/>
      <c r="BD87" s="1209"/>
      <c r="BE87" s="1205"/>
    </row>
    <row r="88" spans="1:70" ht="15.75" customHeight="1" thickBot="1">
      <c r="A88" s="1209"/>
      <c r="B88" s="2248" t="s">
        <v>1830</v>
      </c>
      <c r="C88" s="2249"/>
      <c r="D88" s="2249"/>
      <c r="E88" s="2249"/>
      <c r="F88" s="2249"/>
      <c r="G88" s="2249"/>
      <c r="H88" s="2249"/>
      <c r="I88" s="2250">
        <v>0</v>
      </c>
      <c r="J88" s="2250"/>
      <c r="K88" s="2250"/>
      <c r="L88" s="2250"/>
      <c r="M88" s="2250"/>
      <c r="N88" s="2250"/>
      <c r="O88" s="2250">
        <v>0</v>
      </c>
      <c r="P88" s="2250"/>
      <c r="Q88" s="2250"/>
      <c r="R88" s="2250"/>
      <c r="S88" s="2250"/>
      <c r="T88" s="2250"/>
      <c r="U88" s="2250"/>
      <c r="V88" s="2250">
        <v>0</v>
      </c>
      <c r="W88" s="2250"/>
      <c r="X88" s="2250"/>
      <c r="Y88" s="2250"/>
      <c r="Z88" s="2250"/>
      <c r="AA88" s="2250"/>
      <c r="AB88" s="2250">
        <v>0</v>
      </c>
      <c r="AC88" s="2250"/>
      <c r="AD88" s="2250"/>
      <c r="AE88" s="2250"/>
      <c r="AF88" s="2250"/>
      <c r="AG88" s="2250"/>
      <c r="AH88" s="2251"/>
      <c r="AI88" s="1209"/>
      <c r="AJ88" s="2245"/>
      <c r="AK88" s="2246"/>
      <c r="AL88" s="2246"/>
      <c r="AM88" s="2246"/>
      <c r="AN88" s="2246"/>
      <c r="AO88" s="2246"/>
      <c r="AP88" s="2246"/>
      <c r="AQ88" s="2246"/>
      <c r="AR88" s="2246"/>
      <c r="AS88" s="2246"/>
      <c r="AT88" s="2246"/>
      <c r="AU88" s="2246"/>
      <c r="AV88" s="2246"/>
      <c r="AW88" s="2246"/>
      <c r="AX88" s="2246"/>
      <c r="AY88" s="2246"/>
      <c r="AZ88" s="2246"/>
      <c r="BA88" s="2246"/>
      <c r="BB88" s="2247"/>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29"/>
      <c r="G92" s="2610"/>
      <c r="H92" s="2610"/>
      <c r="I92" s="2610"/>
      <c r="J92" s="2610"/>
      <c r="K92" s="2610"/>
      <c r="L92" s="2610"/>
      <c r="M92" s="2610"/>
      <c r="N92" s="2610"/>
      <c r="O92" s="2610"/>
      <c r="P92" s="2610"/>
      <c r="Q92" s="261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612" t="e">
        <f>BR97/SUM($BR$96:$BR$98)</f>
        <v>#DIV/0!</v>
      </c>
      <c r="P93" s="2613"/>
      <c r="Q93" s="261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26" t="s">
        <v>2552</v>
      </c>
      <c r="P94" s="2627"/>
      <c r="Q94" s="262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33" t="s">
        <v>2616</v>
      </c>
      <c r="C96" s="2234"/>
      <c r="D96" s="2234"/>
      <c r="E96" s="2234"/>
      <c r="F96" s="2234"/>
      <c r="G96" s="2234"/>
      <c r="H96" s="2234"/>
      <c r="I96" s="2234"/>
      <c r="J96" s="2234"/>
      <c r="K96" s="2234"/>
      <c r="L96" s="2234"/>
      <c r="M96" s="2234"/>
      <c r="N96" s="2234"/>
      <c r="O96" s="2234"/>
      <c r="P96" s="2234"/>
      <c r="Q96" s="2234"/>
      <c r="R96" s="2234"/>
      <c r="S96" s="2234"/>
      <c r="T96" s="2234"/>
      <c r="U96" s="2234"/>
      <c r="V96" s="2234"/>
      <c r="W96" s="2234"/>
      <c r="X96" s="2234"/>
      <c r="Y96" s="2234"/>
      <c r="Z96" s="2234"/>
      <c r="AA96" s="2234"/>
      <c r="AB96" s="2234"/>
      <c r="AC96" s="2234"/>
      <c r="AD96" s="2234"/>
      <c r="AE96" s="2234"/>
      <c r="AF96" s="2234"/>
      <c r="AG96" s="2234"/>
      <c r="AH96" s="2235"/>
      <c r="AI96" s="1209"/>
      <c r="AJ96" s="2269" t="s">
        <v>2615</v>
      </c>
      <c r="AK96" s="2270"/>
      <c r="AL96" s="2270"/>
      <c r="AM96" s="2270"/>
      <c r="AN96" s="2270"/>
      <c r="AO96" s="2270"/>
      <c r="AP96" s="2270"/>
      <c r="AQ96" s="2270"/>
      <c r="AR96" s="2270"/>
      <c r="AS96" s="2270"/>
      <c r="AT96" s="2270"/>
      <c r="AU96" s="2270"/>
      <c r="AV96" s="2270"/>
      <c r="AW96" s="2270"/>
      <c r="AX96" s="2270"/>
      <c r="AY96" s="2273" t="s">
        <v>553</v>
      </c>
      <c r="AZ96" s="2273"/>
      <c r="BA96" s="2273"/>
      <c r="BB96" s="2274"/>
      <c r="BC96" s="1209"/>
      <c r="BD96" s="1209"/>
      <c r="BE96" s="1205"/>
      <c r="BQ96" s="1248" t="str">
        <f>Application!M243</f>
        <v>AHG Kooser, LLC</v>
      </c>
      <c r="BR96" s="1248">
        <f>Application!AH245</f>
        <v>0</v>
      </c>
    </row>
    <row r="97" spans="1:70" ht="15.75" customHeight="1">
      <c r="A97" s="1209"/>
      <c r="B97" s="2228"/>
      <c r="C97" s="2229"/>
      <c r="D97" s="2229"/>
      <c r="E97" s="2229"/>
      <c r="F97" s="2229"/>
      <c r="G97" s="2229"/>
      <c r="H97" s="2229"/>
      <c r="I97" s="2229" t="s">
        <v>1827</v>
      </c>
      <c r="J97" s="2229"/>
      <c r="K97" s="2229"/>
      <c r="L97" s="2229"/>
      <c r="M97" s="2229"/>
      <c r="N97" s="2229"/>
      <c r="O97" s="2229" t="s">
        <v>1828</v>
      </c>
      <c r="P97" s="2229"/>
      <c r="Q97" s="2229"/>
      <c r="R97" s="2229"/>
      <c r="S97" s="2229"/>
      <c r="T97" s="2229"/>
      <c r="U97" s="2229"/>
      <c r="V97" s="2225" t="s">
        <v>2187</v>
      </c>
      <c r="W97" s="2225"/>
      <c r="X97" s="2225"/>
      <c r="Y97" s="2225"/>
      <c r="Z97" s="2225"/>
      <c r="AA97" s="2225"/>
      <c r="AB97" s="2226" t="s">
        <v>1829</v>
      </c>
      <c r="AC97" s="2226"/>
      <c r="AD97" s="2226"/>
      <c r="AE97" s="2226"/>
      <c r="AF97" s="2226"/>
      <c r="AG97" s="2226"/>
      <c r="AH97" s="2227"/>
      <c r="AI97" s="1209"/>
      <c r="AJ97" s="2271"/>
      <c r="AK97" s="2272"/>
      <c r="AL97" s="2272"/>
      <c r="AM97" s="2272"/>
      <c r="AN97" s="2272"/>
      <c r="AO97" s="2272"/>
      <c r="AP97" s="2272"/>
      <c r="AQ97" s="2272"/>
      <c r="AR97" s="2272"/>
      <c r="AS97" s="2272"/>
      <c r="AT97" s="2272"/>
      <c r="AU97" s="2272"/>
      <c r="AV97" s="2272"/>
      <c r="AW97" s="2272"/>
      <c r="AX97" s="2272"/>
      <c r="AY97" s="2275"/>
      <c r="AZ97" s="2275"/>
      <c r="BA97" s="2275"/>
      <c r="BB97" s="2276"/>
      <c r="BC97" s="1209"/>
      <c r="BD97" s="1209"/>
      <c r="BE97" s="1205"/>
      <c r="BQ97" s="1248" t="str">
        <f>Application!M251</f>
        <v>CFAH Housing LLC</v>
      </c>
      <c r="BR97" s="1248">
        <f>Application!AH253</f>
        <v>0</v>
      </c>
    </row>
    <row r="98" spans="1:70" ht="15.75" customHeight="1">
      <c r="A98" s="1209"/>
      <c r="B98" s="2228"/>
      <c r="C98" s="2229"/>
      <c r="D98" s="2229"/>
      <c r="E98" s="2229"/>
      <c r="F98" s="2229"/>
      <c r="G98" s="2229"/>
      <c r="H98" s="2229"/>
      <c r="I98" s="2229"/>
      <c r="J98" s="2229"/>
      <c r="K98" s="2229"/>
      <c r="L98" s="2229"/>
      <c r="M98" s="2229"/>
      <c r="N98" s="2229"/>
      <c r="O98" s="2229"/>
      <c r="P98" s="2229"/>
      <c r="Q98" s="2229"/>
      <c r="R98" s="2229"/>
      <c r="S98" s="2229"/>
      <c r="T98" s="2229"/>
      <c r="U98" s="2229"/>
      <c r="V98" s="2225"/>
      <c r="W98" s="2225"/>
      <c r="X98" s="2225"/>
      <c r="Y98" s="2225"/>
      <c r="Z98" s="2225"/>
      <c r="AA98" s="2225"/>
      <c r="AB98" s="2226"/>
      <c r="AC98" s="2226"/>
      <c r="AD98" s="2226"/>
      <c r="AE98" s="2226"/>
      <c r="AF98" s="2226"/>
      <c r="AG98" s="2226"/>
      <c r="AH98" s="2227"/>
      <c r="AI98" s="1209"/>
      <c r="AJ98" s="2271"/>
      <c r="AK98" s="2272"/>
      <c r="AL98" s="2272"/>
      <c r="AM98" s="2272"/>
      <c r="AN98" s="2272"/>
      <c r="AO98" s="2272"/>
      <c r="AP98" s="2272"/>
      <c r="AQ98" s="2272"/>
      <c r="AR98" s="2272"/>
      <c r="AS98" s="2272"/>
      <c r="AT98" s="2272"/>
      <c r="AU98" s="2272"/>
      <c r="AV98" s="2272"/>
      <c r="AW98" s="2272"/>
      <c r="AX98" s="2272"/>
      <c r="AY98" s="2275"/>
      <c r="AZ98" s="2275"/>
      <c r="BA98" s="2275"/>
      <c r="BB98" s="2276"/>
      <c r="BC98" s="1209"/>
      <c r="BD98" s="1209"/>
      <c r="BE98" s="1205"/>
      <c r="BQ98" s="1248">
        <f>Application!M259</f>
        <v>0</v>
      </c>
      <c r="BR98" s="1248">
        <f>Application!AH261</f>
        <v>0</v>
      </c>
    </row>
    <row r="99" spans="1:70" ht="15.75" customHeight="1">
      <c r="A99" s="1209"/>
      <c r="B99" s="2228" t="s">
        <v>2170</v>
      </c>
      <c r="C99" s="2229"/>
      <c r="D99" s="2229"/>
      <c r="E99" s="2229"/>
      <c r="F99" s="2229"/>
      <c r="G99" s="2229"/>
      <c r="H99" s="2229"/>
      <c r="I99" s="2230">
        <v>0</v>
      </c>
      <c r="J99" s="2230"/>
      <c r="K99" s="2230"/>
      <c r="L99" s="2230"/>
      <c r="M99" s="2230"/>
      <c r="N99" s="2230"/>
      <c r="O99" s="2230">
        <v>0</v>
      </c>
      <c r="P99" s="2230"/>
      <c r="Q99" s="2230"/>
      <c r="R99" s="2230"/>
      <c r="S99" s="2230"/>
      <c r="T99" s="2230"/>
      <c r="U99" s="2230"/>
      <c r="V99" s="2230">
        <v>0</v>
      </c>
      <c r="W99" s="2230"/>
      <c r="X99" s="2230"/>
      <c r="Y99" s="2230"/>
      <c r="Z99" s="2230"/>
      <c r="AA99" s="2230"/>
      <c r="AB99" s="2230">
        <v>0</v>
      </c>
      <c r="AC99" s="2230"/>
      <c r="AD99" s="2230"/>
      <c r="AE99" s="2230"/>
      <c r="AF99" s="2230"/>
      <c r="AG99" s="2230"/>
      <c r="AH99" s="2236"/>
      <c r="AI99" s="1209"/>
      <c r="AJ99" s="2271"/>
      <c r="AK99" s="2272"/>
      <c r="AL99" s="2272"/>
      <c r="AM99" s="2272"/>
      <c r="AN99" s="2272"/>
      <c r="AO99" s="2272"/>
      <c r="AP99" s="2272"/>
      <c r="AQ99" s="2272"/>
      <c r="AR99" s="2272"/>
      <c r="AS99" s="2272"/>
      <c r="AT99" s="2272"/>
      <c r="AU99" s="2272"/>
      <c r="AV99" s="2272"/>
      <c r="AW99" s="2272"/>
      <c r="AX99" s="2272"/>
      <c r="AY99" s="2275"/>
      <c r="AZ99" s="2275"/>
      <c r="BA99" s="2275"/>
      <c r="BB99" s="2276"/>
      <c r="BC99" s="1209"/>
      <c r="BD99" s="1209"/>
      <c r="BE99" s="1205"/>
    </row>
    <row r="100" spans="1:70" ht="15.75" customHeight="1">
      <c r="A100" s="1209"/>
      <c r="B100" s="2228" t="s">
        <v>2171</v>
      </c>
      <c r="C100" s="2229"/>
      <c r="D100" s="2229"/>
      <c r="E100" s="2229"/>
      <c r="F100" s="2229"/>
      <c r="G100" s="2229"/>
      <c r="H100" s="2229"/>
      <c r="I100" s="2230">
        <v>0</v>
      </c>
      <c r="J100" s="2230"/>
      <c r="K100" s="2230"/>
      <c r="L100" s="2230"/>
      <c r="M100" s="2230"/>
      <c r="N100" s="2230"/>
      <c r="O100" s="2230">
        <v>0</v>
      </c>
      <c r="P100" s="2230"/>
      <c r="Q100" s="2230"/>
      <c r="R100" s="2230"/>
      <c r="S100" s="2230"/>
      <c r="T100" s="2230"/>
      <c r="U100" s="2230"/>
      <c r="V100" s="2230">
        <v>0</v>
      </c>
      <c r="W100" s="2230"/>
      <c r="X100" s="2230"/>
      <c r="Y100" s="2230"/>
      <c r="Z100" s="2230"/>
      <c r="AA100" s="2230"/>
      <c r="AB100" s="2230">
        <v>0</v>
      </c>
      <c r="AC100" s="2230"/>
      <c r="AD100" s="2230"/>
      <c r="AE100" s="2230"/>
      <c r="AF100" s="2230"/>
      <c r="AG100" s="2230"/>
      <c r="AH100" s="2236"/>
      <c r="AI100" s="1209"/>
      <c r="AJ100" s="2242" t="s">
        <v>2486</v>
      </c>
      <c r="AK100" s="2243"/>
      <c r="AL100" s="2243"/>
      <c r="AM100" s="2243"/>
      <c r="AN100" s="2243"/>
      <c r="AO100" s="2243"/>
      <c r="AP100" s="2243"/>
      <c r="AQ100" s="2243"/>
      <c r="AR100" s="2243"/>
      <c r="AS100" s="2243"/>
      <c r="AT100" s="2243"/>
      <c r="AU100" s="2243"/>
      <c r="AV100" s="2243"/>
      <c r="AW100" s="2243"/>
      <c r="AX100" s="2243"/>
      <c r="AY100" s="2243"/>
      <c r="AZ100" s="2243"/>
      <c r="BA100" s="2243"/>
      <c r="BB100" s="2244"/>
      <c r="BC100" s="1209"/>
      <c r="BD100" s="1209"/>
      <c r="BE100" s="1205"/>
    </row>
    <row r="101" spans="1:70" ht="15.75" customHeight="1" thickBot="1">
      <c r="A101" s="1209"/>
      <c r="B101" s="2248" t="s">
        <v>1830</v>
      </c>
      <c r="C101" s="2249"/>
      <c r="D101" s="2249"/>
      <c r="E101" s="2249"/>
      <c r="F101" s="2249"/>
      <c r="G101" s="2249"/>
      <c r="H101" s="2249"/>
      <c r="I101" s="2250">
        <v>0</v>
      </c>
      <c r="J101" s="2250"/>
      <c r="K101" s="2250"/>
      <c r="L101" s="2250"/>
      <c r="M101" s="2250"/>
      <c r="N101" s="2250"/>
      <c r="O101" s="2250">
        <v>0</v>
      </c>
      <c r="P101" s="2250"/>
      <c r="Q101" s="2250"/>
      <c r="R101" s="2250"/>
      <c r="S101" s="2250"/>
      <c r="T101" s="2250"/>
      <c r="U101" s="2250"/>
      <c r="V101" s="2250">
        <v>0</v>
      </c>
      <c r="W101" s="2250"/>
      <c r="X101" s="2250"/>
      <c r="Y101" s="2250"/>
      <c r="Z101" s="2250"/>
      <c r="AA101" s="2250"/>
      <c r="AB101" s="2250">
        <v>0</v>
      </c>
      <c r="AC101" s="2250"/>
      <c r="AD101" s="2250"/>
      <c r="AE101" s="2250"/>
      <c r="AF101" s="2250"/>
      <c r="AG101" s="2250"/>
      <c r="AH101" s="2251"/>
      <c r="AI101" s="1209"/>
      <c r="AJ101" s="2245"/>
      <c r="AK101" s="2246"/>
      <c r="AL101" s="2246"/>
      <c r="AM101" s="2246"/>
      <c r="AN101" s="2246"/>
      <c r="AO101" s="2246"/>
      <c r="AP101" s="2246"/>
      <c r="AQ101" s="2246"/>
      <c r="AR101" s="2246"/>
      <c r="AS101" s="2246"/>
      <c r="AT101" s="2246"/>
      <c r="AU101" s="2246"/>
      <c r="AV101" s="2246"/>
      <c r="AW101" s="2246"/>
      <c r="AX101" s="2246"/>
      <c r="AY101" s="2246"/>
      <c r="AZ101" s="2246"/>
      <c r="BA101" s="2246"/>
      <c r="BB101" s="2247"/>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67"/>
      <c r="G104" s="2568"/>
      <c r="H104" s="2568"/>
      <c r="I104" s="2568"/>
      <c r="J104" s="2568"/>
      <c r="K104" s="2568"/>
      <c r="L104" s="2568"/>
      <c r="M104" s="2568"/>
      <c r="N104" s="2568"/>
      <c r="O104" s="2568"/>
      <c r="P104" s="2568"/>
      <c r="Q104" s="2568"/>
      <c r="R104" s="256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26" t="e">
        <f>BR98/SUM(BR96:BR98)</f>
        <v>#DIV/0!</v>
      </c>
      <c r="P105" s="2627"/>
      <c r="Q105" s="2627"/>
      <c r="R105" s="262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88" t="s">
        <v>2612</v>
      </c>
      <c r="C107" s="2489"/>
      <c r="D107" s="2489"/>
      <c r="E107" s="2489"/>
      <c r="F107" s="2489"/>
      <c r="G107" s="2489"/>
      <c r="H107" s="2489"/>
      <c r="I107" s="2489"/>
      <c r="J107" s="2489"/>
      <c r="K107" s="2489"/>
      <c r="L107" s="2489"/>
      <c r="M107" s="2489"/>
      <c r="N107" s="2489"/>
      <c r="O107" s="2489"/>
      <c r="P107" s="2489"/>
      <c r="Q107" s="2489"/>
      <c r="R107" s="2489"/>
      <c r="S107" s="2489"/>
      <c r="T107" s="2489"/>
      <c r="U107" s="2489"/>
      <c r="V107" s="2489"/>
      <c r="W107" s="2489"/>
      <c r="X107" s="2489"/>
      <c r="Y107" s="2489"/>
      <c r="Z107" s="2489"/>
      <c r="AA107" s="2489"/>
      <c r="AB107" s="2489"/>
      <c r="AC107" s="2489"/>
      <c r="AD107" s="2489"/>
      <c r="AE107" s="2489"/>
      <c r="AF107" s="2489"/>
      <c r="AG107" s="2489"/>
      <c r="AH107" s="249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28"/>
      <c r="C108" s="2229"/>
      <c r="D108" s="2229"/>
      <c r="E108" s="2229"/>
      <c r="F108" s="2229"/>
      <c r="G108" s="2229"/>
      <c r="H108" s="2229"/>
      <c r="I108" s="2229" t="s">
        <v>1827</v>
      </c>
      <c r="J108" s="2229"/>
      <c r="K108" s="2229"/>
      <c r="L108" s="2229"/>
      <c r="M108" s="2229"/>
      <c r="N108" s="2229"/>
      <c r="O108" s="2229" t="s">
        <v>1828</v>
      </c>
      <c r="P108" s="2229"/>
      <c r="Q108" s="2229"/>
      <c r="R108" s="2229"/>
      <c r="S108" s="2229"/>
      <c r="T108" s="2229"/>
      <c r="U108" s="2229"/>
      <c r="V108" s="2225" t="s">
        <v>2187</v>
      </c>
      <c r="W108" s="2225"/>
      <c r="X108" s="2225"/>
      <c r="Y108" s="2225"/>
      <c r="Z108" s="2225"/>
      <c r="AA108" s="2225"/>
      <c r="AB108" s="2226" t="s">
        <v>1829</v>
      </c>
      <c r="AC108" s="2226"/>
      <c r="AD108" s="2226"/>
      <c r="AE108" s="2226"/>
      <c r="AF108" s="2226"/>
      <c r="AG108" s="2226"/>
      <c r="AH108" s="222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28"/>
      <c r="C109" s="2229"/>
      <c r="D109" s="2229"/>
      <c r="E109" s="2229"/>
      <c r="F109" s="2229"/>
      <c r="G109" s="2229"/>
      <c r="H109" s="2229"/>
      <c r="I109" s="2229"/>
      <c r="J109" s="2229"/>
      <c r="K109" s="2229"/>
      <c r="L109" s="2229"/>
      <c r="M109" s="2229"/>
      <c r="N109" s="2229"/>
      <c r="O109" s="2229"/>
      <c r="P109" s="2229"/>
      <c r="Q109" s="2229"/>
      <c r="R109" s="2229"/>
      <c r="S109" s="2229"/>
      <c r="T109" s="2229"/>
      <c r="U109" s="2229"/>
      <c r="V109" s="2225"/>
      <c r="W109" s="2225"/>
      <c r="X109" s="2225"/>
      <c r="Y109" s="2225"/>
      <c r="Z109" s="2225"/>
      <c r="AA109" s="2225"/>
      <c r="AB109" s="2226"/>
      <c r="AC109" s="2226"/>
      <c r="AD109" s="2226"/>
      <c r="AE109" s="2226"/>
      <c r="AF109" s="2226"/>
      <c r="AG109" s="2226"/>
      <c r="AH109" s="222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28" t="s">
        <v>2170</v>
      </c>
      <c r="C110" s="2229"/>
      <c r="D110" s="2229"/>
      <c r="E110" s="2229"/>
      <c r="F110" s="2229"/>
      <c r="G110" s="2229"/>
      <c r="H110" s="2229"/>
      <c r="I110" s="2230">
        <v>0</v>
      </c>
      <c r="J110" s="2230"/>
      <c r="K110" s="2230"/>
      <c r="L110" s="2230"/>
      <c r="M110" s="2230"/>
      <c r="N110" s="2230"/>
      <c r="O110" s="2230">
        <v>0</v>
      </c>
      <c r="P110" s="2230"/>
      <c r="Q110" s="2230"/>
      <c r="R110" s="2230"/>
      <c r="S110" s="2230"/>
      <c r="T110" s="2230"/>
      <c r="U110" s="2230"/>
      <c r="V110" s="2230">
        <v>0</v>
      </c>
      <c r="W110" s="2230"/>
      <c r="X110" s="2230"/>
      <c r="Y110" s="2230"/>
      <c r="Z110" s="2230"/>
      <c r="AA110" s="2230"/>
      <c r="AB110" s="2230">
        <v>0</v>
      </c>
      <c r="AC110" s="2230"/>
      <c r="AD110" s="2230"/>
      <c r="AE110" s="2230"/>
      <c r="AF110" s="2230"/>
      <c r="AG110" s="2230"/>
      <c r="AH110" s="2236"/>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28" t="s">
        <v>2171</v>
      </c>
      <c r="C111" s="2229"/>
      <c r="D111" s="2229"/>
      <c r="E111" s="2229"/>
      <c r="F111" s="2229"/>
      <c r="G111" s="2229"/>
      <c r="H111" s="2229"/>
      <c r="I111" s="2230">
        <v>0</v>
      </c>
      <c r="J111" s="2230"/>
      <c r="K111" s="2230"/>
      <c r="L111" s="2230"/>
      <c r="M111" s="2230"/>
      <c r="N111" s="2230"/>
      <c r="O111" s="2230">
        <v>0</v>
      </c>
      <c r="P111" s="2230"/>
      <c r="Q111" s="2230"/>
      <c r="R111" s="2230"/>
      <c r="S111" s="2230"/>
      <c r="T111" s="2230"/>
      <c r="U111" s="2230"/>
      <c r="V111" s="2230">
        <v>0</v>
      </c>
      <c r="W111" s="2230"/>
      <c r="X111" s="2230"/>
      <c r="Y111" s="2230"/>
      <c r="Z111" s="2230"/>
      <c r="AA111" s="2230"/>
      <c r="AB111" s="2230">
        <v>0</v>
      </c>
      <c r="AC111" s="2230"/>
      <c r="AD111" s="2230"/>
      <c r="AE111" s="2230"/>
      <c r="AF111" s="2230"/>
      <c r="AG111" s="2230"/>
      <c r="AH111" s="2236"/>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48" t="s">
        <v>1830</v>
      </c>
      <c r="C112" s="2249"/>
      <c r="D112" s="2249"/>
      <c r="E112" s="2249"/>
      <c r="F112" s="2249"/>
      <c r="G112" s="2249"/>
      <c r="H112" s="2249"/>
      <c r="I112" s="2250">
        <v>0</v>
      </c>
      <c r="J112" s="2250"/>
      <c r="K112" s="2250"/>
      <c r="L112" s="2250"/>
      <c r="M112" s="2250"/>
      <c r="N112" s="2250"/>
      <c r="O112" s="2250">
        <v>0</v>
      </c>
      <c r="P112" s="2250"/>
      <c r="Q112" s="2250"/>
      <c r="R112" s="2250"/>
      <c r="S112" s="2250"/>
      <c r="T112" s="2250"/>
      <c r="U112" s="2250"/>
      <c r="V112" s="2250">
        <v>0</v>
      </c>
      <c r="W112" s="2250"/>
      <c r="X112" s="2250"/>
      <c r="Y112" s="2250"/>
      <c r="Z112" s="2250"/>
      <c r="AA112" s="2250"/>
      <c r="AB112" s="2250">
        <v>0</v>
      </c>
      <c r="AC112" s="2250"/>
      <c r="AD112" s="2250"/>
      <c r="AE112" s="2250"/>
      <c r="AF112" s="2250"/>
      <c r="AG112" s="2250"/>
      <c r="AH112" s="225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67"/>
      <c r="G115" s="2568"/>
      <c r="H115" s="2568"/>
      <c r="I115" s="2568"/>
      <c r="J115" s="2568"/>
      <c r="K115" s="2568"/>
      <c r="L115" s="2568"/>
      <c r="M115" s="2568"/>
      <c r="N115" s="2568"/>
      <c r="O115" s="2568"/>
      <c r="P115" s="2568"/>
      <c r="Q115" s="2568"/>
      <c r="R115" s="256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69" t="s">
        <v>2487</v>
      </c>
      <c r="C117" s="2270"/>
      <c r="D117" s="2270"/>
      <c r="E117" s="2270"/>
      <c r="F117" s="2270"/>
      <c r="G117" s="2270"/>
      <c r="H117" s="2270"/>
      <c r="I117" s="2270"/>
      <c r="J117" s="2270"/>
      <c r="K117" s="2270"/>
      <c r="L117" s="2270"/>
      <c r="M117" s="2270"/>
      <c r="N117" s="2270"/>
      <c r="O117" s="2270"/>
      <c r="P117" s="2270"/>
      <c r="Q117" s="2273" t="s">
        <v>553</v>
      </c>
      <c r="R117" s="2273"/>
      <c r="S117" s="2273"/>
      <c r="T117" s="227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71"/>
      <c r="C118" s="2272"/>
      <c r="D118" s="2272"/>
      <c r="E118" s="2272"/>
      <c r="F118" s="2272"/>
      <c r="G118" s="2272"/>
      <c r="H118" s="2272"/>
      <c r="I118" s="2272"/>
      <c r="J118" s="2272"/>
      <c r="K118" s="2272"/>
      <c r="L118" s="2272"/>
      <c r="M118" s="2272"/>
      <c r="N118" s="2272"/>
      <c r="O118" s="2272"/>
      <c r="P118" s="2272"/>
      <c r="Q118" s="2275"/>
      <c r="R118" s="2275"/>
      <c r="S118" s="2275"/>
      <c r="T118" s="227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71"/>
      <c r="C119" s="2272"/>
      <c r="D119" s="2272"/>
      <c r="E119" s="2272"/>
      <c r="F119" s="2272"/>
      <c r="G119" s="2272"/>
      <c r="H119" s="2272"/>
      <c r="I119" s="2272"/>
      <c r="J119" s="2272"/>
      <c r="K119" s="2272"/>
      <c r="L119" s="2272"/>
      <c r="M119" s="2272"/>
      <c r="N119" s="2272"/>
      <c r="O119" s="2272"/>
      <c r="P119" s="2272"/>
      <c r="Q119" s="2275"/>
      <c r="R119" s="2275"/>
      <c r="S119" s="2275"/>
      <c r="T119" s="227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71"/>
      <c r="C120" s="2272"/>
      <c r="D120" s="2272"/>
      <c r="E120" s="2272"/>
      <c r="F120" s="2272"/>
      <c r="G120" s="2272"/>
      <c r="H120" s="2272"/>
      <c r="I120" s="2272"/>
      <c r="J120" s="2272"/>
      <c r="K120" s="2272"/>
      <c r="L120" s="2272"/>
      <c r="M120" s="2272"/>
      <c r="N120" s="2272"/>
      <c r="O120" s="2272"/>
      <c r="P120" s="2272"/>
      <c r="Q120" s="2275"/>
      <c r="R120" s="2275"/>
      <c r="S120" s="2275"/>
      <c r="T120" s="227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42" t="s">
        <v>2188</v>
      </c>
      <c r="C121" s="2243"/>
      <c r="D121" s="2243"/>
      <c r="E121" s="2243"/>
      <c r="F121" s="2243"/>
      <c r="G121" s="2243"/>
      <c r="H121" s="2243"/>
      <c r="I121" s="2243"/>
      <c r="J121" s="2243"/>
      <c r="K121" s="2243"/>
      <c r="L121" s="2243"/>
      <c r="M121" s="2243"/>
      <c r="N121" s="2243"/>
      <c r="O121" s="2243"/>
      <c r="P121" s="2243"/>
      <c r="Q121" s="2243"/>
      <c r="R121" s="2243"/>
      <c r="S121" s="2243"/>
      <c r="T121" s="2244"/>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45"/>
      <c r="C122" s="2246"/>
      <c r="D122" s="2246"/>
      <c r="E122" s="2246"/>
      <c r="F122" s="2246"/>
      <c r="G122" s="2246"/>
      <c r="H122" s="2246"/>
      <c r="I122" s="2246"/>
      <c r="J122" s="2246"/>
      <c r="K122" s="2246"/>
      <c r="L122" s="2246"/>
      <c r="M122" s="2246"/>
      <c r="N122" s="2246"/>
      <c r="O122" s="2246"/>
      <c r="P122" s="2246"/>
      <c r="Q122" s="2246"/>
      <c r="R122" s="2246"/>
      <c r="S122" s="2246"/>
      <c r="T122" s="2247"/>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69" t="s">
        <v>2172</v>
      </c>
      <c r="Y125" s="2270"/>
      <c r="Z125" s="2270"/>
      <c r="AA125" s="2270"/>
      <c r="AB125" s="2270"/>
      <c r="AC125" s="2270"/>
      <c r="AD125" s="2270"/>
      <c r="AE125" s="2270"/>
      <c r="AF125" s="2270"/>
      <c r="AG125" s="2270"/>
      <c r="AH125" s="2270"/>
      <c r="AI125" s="2270"/>
      <c r="AJ125" s="2270"/>
      <c r="AK125" s="2270"/>
      <c r="AL125" s="2270"/>
      <c r="AM125" s="2270"/>
      <c r="AN125" s="2270"/>
      <c r="AO125" s="2270"/>
      <c r="AP125" s="2270"/>
      <c r="AQ125" s="2270"/>
      <c r="AR125" s="2270"/>
      <c r="AS125" s="2270"/>
      <c r="AT125" s="2270"/>
      <c r="AU125" s="2270"/>
      <c r="AV125" s="2270"/>
      <c r="AW125" s="2270"/>
      <c r="AX125" s="2270"/>
      <c r="AY125" s="2270"/>
      <c r="AZ125" s="2270"/>
      <c r="BA125" s="2270"/>
      <c r="BB125" s="2270"/>
      <c r="BC125" s="2270"/>
      <c r="BD125" s="2431"/>
      <c r="BE125" s="1205"/>
    </row>
    <row r="126" spans="1:57" ht="15.75" customHeight="1">
      <c r="A126" s="1209"/>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271"/>
      <c r="Y126" s="2272"/>
      <c r="Z126" s="2272"/>
      <c r="AA126" s="2272"/>
      <c r="AB126" s="2272"/>
      <c r="AC126" s="2272"/>
      <c r="AD126" s="2272"/>
      <c r="AE126" s="2272"/>
      <c r="AF126" s="2272"/>
      <c r="AG126" s="2272"/>
      <c r="AH126" s="2272"/>
      <c r="AI126" s="2272"/>
      <c r="AJ126" s="2272"/>
      <c r="AK126" s="2272"/>
      <c r="AL126" s="2272"/>
      <c r="AM126" s="2272"/>
      <c r="AN126" s="2272"/>
      <c r="AO126" s="2272"/>
      <c r="AP126" s="2272"/>
      <c r="AQ126" s="2272"/>
      <c r="AR126" s="2272"/>
      <c r="AS126" s="2272"/>
      <c r="AT126" s="2272"/>
      <c r="AU126" s="2272"/>
      <c r="AV126" s="2272"/>
      <c r="AW126" s="2272"/>
      <c r="AX126" s="2272"/>
      <c r="AY126" s="2272"/>
      <c r="AZ126" s="2272"/>
      <c r="BA126" s="2272"/>
      <c r="BB126" s="2272"/>
      <c r="BC126" s="2272"/>
      <c r="BD126" s="2432"/>
      <c r="BE126" s="1205"/>
    </row>
    <row r="127" spans="1:57" ht="15.75" customHeight="1">
      <c r="A127" s="1209"/>
      <c r="B127" s="2436"/>
      <c r="C127" s="2437"/>
      <c r="D127" s="2437"/>
      <c r="E127" s="2437"/>
      <c r="F127" s="2437"/>
      <c r="G127" s="2437"/>
      <c r="H127" s="2437"/>
      <c r="I127" s="2229" t="s">
        <v>2173</v>
      </c>
      <c r="J127" s="2229"/>
      <c r="K127" s="2229"/>
      <c r="L127" s="2229"/>
      <c r="M127" s="2229"/>
      <c r="N127" s="2229"/>
      <c r="O127" s="2438" t="s">
        <v>2174</v>
      </c>
      <c r="P127" s="2438"/>
      <c r="Q127" s="2438"/>
      <c r="R127" s="2438"/>
      <c r="S127" s="2438"/>
      <c r="T127" s="2438"/>
      <c r="U127" s="2439"/>
      <c r="V127" s="1209"/>
      <c r="W127" s="1209"/>
      <c r="X127" s="2416" t="s">
        <v>2186</v>
      </c>
      <c r="Y127" s="2417"/>
      <c r="Z127" s="2417"/>
      <c r="AA127" s="2417"/>
      <c r="AB127" s="2417"/>
      <c r="AC127" s="2417"/>
      <c r="AD127" s="2417"/>
      <c r="AE127" s="2417"/>
      <c r="AF127" s="2417"/>
      <c r="AG127" s="2417"/>
      <c r="AH127" s="2417"/>
      <c r="AI127" s="2417"/>
      <c r="AJ127" s="2417"/>
      <c r="AK127" s="2417"/>
      <c r="AL127" s="2417"/>
      <c r="AM127" s="2417"/>
      <c r="AN127" s="2417"/>
      <c r="AO127" s="2417"/>
      <c r="AP127" s="2417"/>
      <c r="AQ127" s="2417"/>
      <c r="AR127" s="2417"/>
      <c r="AS127" s="2417"/>
      <c r="AT127" s="2417"/>
      <c r="AU127" s="2417"/>
      <c r="AV127" s="2417"/>
      <c r="AW127" s="2417"/>
      <c r="AX127" s="2417"/>
      <c r="AY127" s="2417"/>
      <c r="AZ127" s="2417"/>
      <c r="BA127" s="2417"/>
      <c r="BB127" s="2417"/>
      <c r="BC127" s="2417"/>
      <c r="BD127" s="2418"/>
      <c r="BE127" s="1205"/>
    </row>
    <row r="128" spans="1:57" ht="15.75" customHeight="1">
      <c r="A128" s="1209"/>
      <c r="B128" s="2442" t="s">
        <v>2175</v>
      </c>
      <c r="C128" s="2443"/>
      <c r="D128" s="2443"/>
      <c r="E128" s="2443"/>
      <c r="F128" s="2443"/>
      <c r="G128" s="2443"/>
      <c r="H128" s="2443"/>
      <c r="I128" s="2230">
        <v>0</v>
      </c>
      <c r="J128" s="2230"/>
      <c r="K128" s="2230"/>
      <c r="L128" s="2230"/>
      <c r="M128" s="2230"/>
      <c r="N128" s="2230"/>
      <c r="O128" s="2230">
        <v>0</v>
      </c>
      <c r="P128" s="2230"/>
      <c r="Q128" s="2230"/>
      <c r="R128" s="2230"/>
      <c r="S128" s="2230"/>
      <c r="T128" s="2230"/>
      <c r="U128" s="2236"/>
      <c r="V128" s="1209"/>
      <c r="W128" s="1209"/>
      <c r="X128" s="2416"/>
      <c r="Y128" s="2417"/>
      <c r="Z128" s="2417"/>
      <c r="AA128" s="2417"/>
      <c r="AB128" s="2417"/>
      <c r="AC128" s="2417"/>
      <c r="AD128" s="2417"/>
      <c r="AE128" s="2417"/>
      <c r="AF128" s="2417"/>
      <c r="AG128" s="2417"/>
      <c r="AH128" s="2417"/>
      <c r="AI128" s="2417"/>
      <c r="AJ128" s="2417"/>
      <c r="AK128" s="2417"/>
      <c r="AL128" s="2417"/>
      <c r="AM128" s="2417"/>
      <c r="AN128" s="2417"/>
      <c r="AO128" s="2417"/>
      <c r="AP128" s="2417"/>
      <c r="AQ128" s="2417"/>
      <c r="AR128" s="2417"/>
      <c r="AS128" s="2417"/>
      <c r="AT128" s="2417"/>
      <c r="AU128" s="2417"/>
      <c r="AV128" s="2417"/>
      <c r="AW128" s="2417"/>
      <c r="AX128" s="2417"/>
      <c r="AY128" s="2417"/>
      <c r="AZ128" s="2417"/>
      <c r="BA128" s="2417"/>
      <c r="BB128" s="2417"/>
      <c r="BC128" s="2417"/>
      <c r="BD128" s="2418"/>
      <c r="BE128" s="1205"/>
    </row>
    <row r="129" spans="1:57" ht="15.75" customHeight="1" thickBot="1">
      <c r="A129" s="1209"/>
      <c r="B129" s="2444" t="s">
        <v>2176</v>
      </c>
      <c r="C129" s="2445"/>
      <c r="D129" s="2445"/>
      <c r="E129" s="2445"/>
      <c r="F129" s="2445"/>
      <c r="G129" s="2445"/>
      <c r="H129" s="2445"/>
      <c r="I129" s="2250">
        <v>0</v>
      </c>
      <c r="J129" s="2250"/>
      <c r="K129" s="2250"/>
      <c r="L129" s="2250"/>
      <c r="M129" s="2250"/>
      <c r="N129" s="2250"/>
      <c r="O129" s="2440"/>
      <c r="P129" s="2440"/>
      <c r="Q129" s="2440"/>
      <c r="R129" s="2440"/>
      <c r="S129" s="2440"/>
      <c r="T129" s="2440"/>
      <c r="U129" s="2441"/>
      <c r="V129" s="1209"/>
      <c r="W129" s="1209"/>
      <c r="X129" s="2416"/>
      <c r="Y129" s="2417"/>
      <c r="Z129" s="2417"/>
      <c r="AA129" s="2417"/>
      <c r="AB129" s="2417"/>
      <c r="AC129" s="2417"/>
      <c r="AD129" s="2417"/>
      <c r="AE129" s="2417"/>
      <c r="AF129" s="2417"/>
      <c r="AG129" s="2417"/>
      <c r="AH129" s="2417"/>
      <c r="AI129" s="2417"/>
      <c r="AJ129" s="2417"/>
      <c r="AK129" s="2417"/>
      <c r="AL129" s="2417"/>
      <c r="AM129" s="2417"/>
      <c r="AN129" s="2417"/>
      <c r="AO129" s="2417"/>
      <c r="AP129" s="2417"/>
      <c r="AQ129" s="2417"/>
      <c r="AR129" s="2417"/>
      <c r="AS129" s="2417"/>
      <c r="AT129" s="2417"/>
      <c r="AU129" s="2417"/>
      <c r="AV129" s="2417"/>
      <c r="AW129" s="2417"/>
      <c r="AX129" s="2417"/>
      <c r="AY129" s="2417"/>
      <c r="AZ129" s="2417"/>
      <c r="BA129" s="2417"/>
      <c r="BB129" s="2417"/>
      <c r="BC129" s="2417"/>
      <c r="BD129" s="2418"/>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16"/>
      <c r="Y130" s="2417"/>
      <c r="Z130" s="2417"/>
      <c r="AA130" s="2417"/>
      <c r="AB130" s="2417"/>
      <c r="AC130" s="2417"/>
      <c r="AD130" s="2417"/>
      <c r="AE130" s="2417"/>
      <c r="AF130" s="2417"/>
      <c r="AG130" s="2417"/>
      <c r="AH130" s="2417"/>
      <c r="AI130" s="2417"/>
      <c r="AJ130" s="2417"/>
      <c r="AK130" s="2417"/>
      <c r="AL130" s="2417"/>
      <c r="AM130" s="2417"/>
      <c r="AN130" s="2417"/>
      <c r="AO130" s="2417"/>
      <c r="AP130" s="2417"/>
      <c r="AQ130" s="2417"/>
      <c r="AR130" s="2417"/>
      <c r="AS130" s="2417"/>
      <c r="AT130" s="2417"/>
      <c r="AU130" s="2417"/>
      <c r="AV130" s="2417"/>
      <c r="AW130" s="2417"/>
      <c r="AX130" s="2417"/>
      <c r="AY130" s="2417"/>
      <c r="AZ130" s="2417"/>
      <c r="BA130" s="2417"/>
      <c r="BB130" s="2417"/>
      <c r="BC130" s="2417"/>
      <c r="BD130" s="2418"/>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16"/>
      <c r="Y131" s="2417"/>
      <c r="Z131" s="2417"/>
      <c r="AA131" s="2417"/>
      <c r="AB131" s="2417"/>
      <c r="AC131" s="2417"/>
      <c r="AD131" s="2417"/>
      <c r="AE131" s="2417"/>
      <c r="AF131" s="2417"/>
      <c r="AG131" s="2417"/>
      <c r="AH131" s="2417"/>
      <c r="AI131" s="2417"/>
      <c r="AJ131" s="2417"/>
      <c r="AK131" s="2417"/>
      <c r="AL131" s="2417"/>
      <c r="AM131" s="2417"/>
      <c r="AN131" s="2417"/>
      <c r="AO131" s="2417"/>
      <c r="AP131" s="2417"/>
      <c r="AQ131" s="2417"/>
      <c r="AR131" s="2417"/>
      <c r="AS131" s="2417"/>
      <c r="AT131" s="2417"/>
      <c r="AU131" s="2417"/>
      <c r="AV131" s="2417"/>
      <c r="AW131" s="2417"/>
      <c r="AX131" s="2417"/>
      <c r="AY131" s="2417"/>
      <c r="AZ131" s="2417"/>
      <c r="BA131" s="2417"/>
      <c r="BB131" s="2417"/>
      <c r="BC131" s="2417"/>
      <c r="BD131" s="2418"/>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16"/>
      <c r="Y132" s="2417"/>
      <c r="Z132" s="2417"/>
      <c r="AA132" s="2417"/>
      <c r="AB132" s="2417"/>
      <c r="AC132" s="2417"/>
      <c r="AD132" s="2417"/>
      <c r="AE132" s="2417"/>
      <c r="AF132" s="2417"/>
      <c r="AG132" s="2417"/>
      <c r="AH132" s="2417"/>
      <c r="AI132" s="2417"/>
      <c r="AJ132" s="2417"/>
      <c r="AK132" s="2417"/>
      <c r="AL132" s="2417"/>
      <c r="AM132" s="2417"/>
      <c r="AN132" s="2417"/>
      <c r="AO132" s="2417"/>
      <c r="AP132" s="2417"/>
      <c r="AQ132" s="2417"/>
      <c r="AR132" s="2417"/>
      <c r="AS132" s="2417"/>
      <c r="AT132" s="2417"/>
      <c r="AU132" s="2417"/>
      <c r="AV132" s="2417"/>
      <c r="AW132" s="2417"/>
      <c r="AX132" s="2417"/>
      <c r="AY132" s="2417"/>
      <c r="AZ132" s="2417"/>
      <c r="BA132" s="2417"/>
      <c r="BB132" s="2417"/>
      <c r="BC132" s="2417"/>
      <c r="BD132" s="2418"/>
      <c r="BE132" s="1205"/>
    </row>
    <row r="133" spans="1:57" ht="15.75" customHeight="1">
      <c r="A133" s="1209"/>
      <c r="B133" s="2295" t="s">
        <v>1833</v>
      </c>
      <c r="C133" s="2296"/>
      <c r="D133" s="2296"/>
      <c r="E133" s="2296"/>
      <c r="F133" s="2296"/>
      <c r="G133" s="2296"/>
      <c r="H133" s="2296"/>
      <c r="I133" s="2296"/>
      <c r="J133" s="2296"/>
      <c r="K133" s="2296"/>
      <c r="L133" s="2296"/>
      <c r="M133" s="2296"/>
      <c r="N133" s="2296"/>
      <c r="O133" s="2296"/>
      <c r="P133" s="2296"/>
      <c r="Q133" s="2296"/>
      <c r="R133" s="2296"/>
      <c r="S133" s="2296"/>
      <c r="T133" s="2296"/>
      <c r="U133" s="2297"/>
      <c r="V133" s="1209"/>
      <c r="W133" s="1209"/>
      <c r="X133" s="2416"/>
      <c r="Y133" s="2417"/>
      <c r="Z133" s="2417"/>
      <c r="AA133" s="2417"/>
      <c r="AB133" s="2417"/>
      <c r="AC133" s="2417"/>
      <c r="AD133" s="2417"/>
      <c r="AE133" s="2417"/>
      <c r="AF133" s="2417"/>
      <c r="AG133" s="2417"/>
      <c r="AH133" s="2417"/>
      <c r="AI133" s="2417"/>
      <c r="AJ133" s="2417"/>
      <c r="AK133" s="2417"/>
      <c r="AL133" s="2417"/>
      <c r="AM133" s="2417"/>
      <c r="AN133" s="2417"/>
      <c r="AO133" s="2417"/>
      <c r="AP133" s="2417"/>
      <c r="AQ133" s="2417"/>
      <c r="AR133" s="2417"/>
      <c r="AS133" s="2417"/>
      <c r="AT133" s="2417"/>
      <c r="AU133" s="2417"/>
      <c r="AV133" s="2417"/>
      <c r="AW133" s="2417"/>
      <c r="AX133" s="2417"/>
      <c r="AY133" s="2417"/>
      <c r="AZ133" s="2417"/>
      <c r="BA133" s="2417"/>
      <c r="BB133" s="2417"/>
      <c r="BC133" s="2417"/>
      <c r="BD133" s="2418"/>
      <c r="BE133" s="1205"/>
    </row>
    <row r="134" spans="1:57" ht="15.75" customHeight="1">
      <c r="A134" s="1209"/>
      <c r="B134" s="2436"/>
      <c r="C134" s="2437"/>
      <c r="D134" s="2437"/>
      <c r="E134" s="2437"/>
      <c r="F134" s="2437"/>
      <c r="G134" s="2437"/>
      <c r="H134" s="2437"/>
      <c r="I134" s="2460" t="s">
        <v>1828</v>
      </c>
      <c r="J134" s="2460"/>
      <c r="K134" s="2460"/>
      <c r="L134" s="2460"/>
      <c r="M134" s="2460"/>
      <c r="N134" s="2460"/>
      <c r="O134" s="2460"/>
      <c r="P134" s="2460" t="s">
        <v>2187</v>
      </c>
      <c r="Q134" s="2460"/>
      <c r="R134" s="2460"/>
      <c r="S134" s="2460"/>
      <c r="T134" s="2460"/>
      <c r="U134" s="2461"/>
      <c r="V134" s="1209"/>
      <c r="W134" s="1209"/>
      <c r="X134" s="2416"/>
      <c r="Y134" s="2417"/>
      <c r="Z134" s="2417"/>
      <c r="AA134" s="2417"/>
      <c r="AB134" s="2417"/>
      <c r="AC134" s="2417"/>
      <c r="AD134" s="2417"/>
      <c r="AE134" s="2417"/>
      <c r="AF134" s="2417"/>
      <c r="AG134" s="2417"/>
      <c r="AH134" s="2417"/>
      <c r="AI134" s="2417"/>
      <c r="AJ134" s="2417"/>
      <c r="AK134" s="2417"/>
      <c r="AL134" s="2417"/>
      <c r="AM134" s="2417"/>
      <c r="AN134" s="2417"/>
      <c r="AO134" s="2417"/>
      <c r="AP134" s="2417"/>
      <c r="AQ134" s="2417"/>
      <c r="AR134" s="2417"/>
      <c r="AS134" s="2417"/>
      <c r="AT134" s="2417"/>
      <c r="AU134" s="2417"/>
      <c r="AV134" s="2417"/>
      <c r="AW134" s="2417"/>
      <c r="AX134" s="2417"/>
      <c r="AY134" s="2417"/>
      <c r="AZ134" s="2417"/>
      <c r="BA134" s="2417"/>
      <c r="BB134" s="2417"/>
      <c r="BC134" s="2417"/>
      <c r="BD134" s="2418"/>
      <c r="BE134" s="1205"/>
    </row>
    <row r="135" spans="1:57" ht="15.75" customHeight="1">
      <c r="A135" s="1209"/>
      <c r="B135" s="2436"/>
      <c r="C135" s="2437"/>
      <c r="D135" s="2437"/>
      <c r="E135" s="2437"/>
      <c r="F135" s="2437"/>
      <c r="G135" s="2437"/>
      <c r="H135" s="2437"/>
      <c r="I135" s="2460"/>
      <c r="J135" s="2460"/>
      <c r="K135" s="2460"/>
      <c r="L135" s="2460"/>
      <c r="M135" s="2460"/>
      <c r="N135" s="2460"/>
      <c r="O135" s="2460"/>
      <c r="P135" s="2460"/>
      <c r="Q135" s="2460"/>
      <c r="R135" s="2460"/>
      <c r="S135" s="2460"/>
      <c r="T135" s="2460"/>
      <c r="U135" s="2461"/>
      <c r="V135" s="1209"/>
      <c r="W135" s="1209"/>
      <c r="X135" s="2416"/>
      <c r="Y135" s="2417"/>
      <c r="Z135" s="2417"/>
      <c r="AA135" s="2417"/>
      <c r="AB135" s="2417"/>
      <c r="AC135" s="2417"/>
      <c r="AD135" s="2417"/>
      <c r="AE135" s="2417"/>
      <c r="AF135" s="2417"/>
      <c r="AG135" s="2417"/>
      <c r="AH135" s="2417"/>
      <c r="AI135" s="2417"/>
      <c r="AJ135" s="2417"/>
      <c r="AK135" s="2417"/>
      <c r="AL135" s="2417"/>
      <c r="AM135" s="2417"/>
      <c r="AN135" s="2417"/>
      <c r="AO135" s="2417"/>
      <c r="AP135" s="2417"/>
      <c r="AQ135" s="2417"/>
      <c r="AR135" s="2417"/>
      <c r="AS135" s="2417"/>
      <c r="AT135" s="2417"/>
      <c r="AU135" s="2417"/>
      <c r="AV135" s="2417"/>
      <c r="AW135" s="2417"/>
      <c r="AX135" s="2417"/>
      <c r="AY135" s="2417"/>
      <c r="AZ135" s="2417"/>
      <c r="BA135" s="2417"/>
      <c r="BB135" s="2417"/>
      <c r="BC135" s="2417"/>
      <c r="BD135" s="2418"/>
      <c r="BE135" s="1205"/>
    </row>
    <row r="136" spans="1:57" ht="15.75" customHeight="1">
      <c r="A136" s="1209"/>
      <c r="B136" s="2442" t="s">
        <v>2175</v>
      </c>
      <c r="C136" s="2443"/>
      <c r="D136" s="2443"/>
      <c r="E136" s="2443"/>
      <c r="F136" s="2443"/>
      <c r="G136" s="2443"/>
      <c r="H136" s="2443"/>
      <c r="I136" s="2230">
        <v>0</v>
      </c>
      <c r="J136" s="2230"/>
      <c r="K136" s="2230"/>
      <c r="L136" s="2230"/>
      <c r="M136" s="2230"/>
      <c r="N136" s="2230"/>
      <c r="O136" s="2230"/>
      <c r="P136" s="2230">
        <v>0</v>
      </c>
      <c r="Q136" s="2230"/>
      <c r="R136" s="2230"/>
      <c r="S136" s="2230"/>
      <c r="T136" s="2230"/>
      <c r="U136" s="2236"/>
      <c r="V136" s="1209"/>
      <c r="W136" s="1209"/>
      <c r="X136" s="2416"/>
      <c r="Y136" s="2417"/>
      <c r="Z136" s="2417"/>
      <c r="AA136" s="2417"/>
      <c r="AB136" s="2417"/>
      <c r="AC136" s="2417"/>
      <c r="AD136" s="2417"/>
      <c r="AE136" s="2417"/>
      <c r="AF136" s="2417"/>
      <c r="AG136" s="2417"/>
      <c r="AH136" s="2417"/>
      <c r="AI136" s="2417"/>
      <c r="AJ136" s="2417"/>
      <c r="AK136" s="2417"/>
      <c r="AL136" s="2417"/>
      <c r="AM136" s="2417"/>
      <c r="AN136" s="2417"/>
      <c r="AO136" s="2417"/>
      <c r="AP136" s="2417"/>
      <c r="AQ136" s="2417"/>
      <c r="AR136" s="2417"/>
      <c r="AS136" s="2417"/>
      <c r="AT136" s="2417"/>
      <c r="AU136" s="2417"/>
      <c r="AV136" s="2417"/>
      <c r="AW136" s="2417"/>
      <c r="AX136" s="2417"/>
      <c r="AY136" s="2417"/>
      <c r="AZ136" s="2417"/>
      <c r="BA136" s="2417"/>
      <c r="BB136" s="2417"/>
      <c r="BC136" s="2417"/>
      <c r="BD136" s="2418"/>
      <c r="BE136" s="1205"/>
    </row>
    <row r="137" spans="1:57" ht="15.75" customHeight="1" thickBot="1">
      <c r="A137" s="1209"/>
      <c r="B137" s="2444" t="s">
        <v>2176</v>
      </c>
      <c r="C137" s="2445"/>
      <c r="D137" s="2445"/>
      <c r="E137" s="2445"/>
      <c r="F137" s="2445"/>
      <c r="G137" s="2445"/>
      <c r="H137" s="2445"/>
      <c r="I137" s="2250">
        <v>0</v>
      </c>
      <c r="J137" s="2250"/>
      <c r="K137" s="2250"/>
      <c r="L137" s="2250"/>
      <c r="M137" s="2250"/>
      <c r="N137" s="2250"/>
      <c r="O137" s="2250"/>
      <c r="P137" s="2250">
        <v>0</v>
      </c>
      <c r="Q137" s="2250"/>
      <c r="R137" s="2250"/>
      <c r="S137" s="2250"/>
      <c r="T137" s="2250"/>
      <c r="U137" s="2251"/>
      <c r="V137" s="1209"/>
      <c r="W137" s="1209"/>
      <c r="X137" s="2419"/>
      <c r="Y137" s="2420"/>
      <c r="Z137" s="2420"/>
      <c r="AA137" s="2420"/>
      <c r="AB137" s="2420"/>
      <c r="AC137" s="2420"/>
      <c r="AD137" s="2420"/>
      <c r="AE137" s="2420"/>
      <c r="AF137" s="2420"/>
      <c r="AG137" s="2420"/>
      <c r="AH137" s="2420"/>
      <c r="AI137" s="2420"/>
      <c r="AJ137" s="2420"/>
      <c r="AK137" s="2420"/>
      <c r="AL137" s="2420"/>
      <c r="AM137" s="2420"/>
      <c r="AN137" s="2420"/>
      <c r="AO137" s="2420"/>
      <c r="AP137" s="2420"/>
      <c r="AQ137" s="2420"/>
      <c r="AR137" s="2420"/>
      <c r="AS137" s="2420"/>
      <c r="AT137" s="2420"/>
      <c r="AU137" s="2420"/>
      <c r="AV137" s="2420"/>
      <c r="AW137" s="2420"/>
      <c r="AX137" s="2420"/>
      <c r="AY137" s="2420"/>
      <c r="AZ137" s="2420"/>
      <c r="BA137" s="2420"/>
      <c r="BB137" s="2420"/>
      <c r="BC137" s="2420"/>
      <c r="BD137" s="2421"/>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46" t="s">
        <v>1834</v>
      </c>
      <c r="C139" s="2447"/>
      <c r="D139" s="2447"/>
      <c r="E139" s="2447"/>
      <c r="F139" s="2447"/>
      <c r="G139" s="2447"/>
      <c r="H139" s="2447"/>
      <c r="I139" s="2447"/>
      <c r="J139" s="2447"/>
      <c r="K139" s="2447"/>
      <c r="L139" s="2447"/>
      <c r="M139" s="2447"/>
      <c r="N139" s="2447"/>
      <c r="O139" s="2447"/>
      <c r="P139" s="2447"/>
      <c r="Q139" s="2447"/>
      <c r="R139" s="2447"/>
      <c r="S139" s="2447"/>
      <c r="T139" s="2447"/>
      <c r="U139" s="2447"/>
      <c r="V139" s="2447"/>
      <c r="W139" s="2447"/>
      <c r="X139" s="2447"/>
      <c r="Y139" s="2447"/>
      <c r="Z139" s="2447"/>
      <c r="AA139" s="2447"/>
      <c r="AB139" s="2447"/>
      <c r="AC139" s="2447"/>
      <c r="AD139" s="2447"/>
      <c r="AE139" s="2447"/>
      <c r="AF139" s="2447"/>
      <c r="AG139" s="2447"/>
      <c r="AH139" s="2448" t="s">
        <v>553</v>
      </c>
      <c r="AI139" s="2448"/>
      <c r="AJ139" s="2448"/>
      <c r="AK139" s="2448"/>
      <c r="AL139" s="2448"/>
      <c r="AM139" s="2448"/>
      <c r="AN139" s="2448"/>
      <c r="AO139" s="2448"/>
      <c r="AP139" s="2448"/>
      <c r="AQ139" s="2448"/>
      <c r="AR139" s="2448"/>
      <c r="AS139" s="2448"/>
      <c r="AT139" s="2448"/>
      <c r="AU139" s="2448"/>
      <c r="AV139" s="2448"/>
      <c r="AW139" s="2448"/>
      <c r="AX139" s="2449"/>
      <c r="AY139" s="1209"/>
      <c r="AZ139" s="1209"/>
      <c r="BA139" s="1209"/>
      <c r="BB139" s="1209"/>
      <c r="BC139" s="1209"/>
      <c r="BD139" s="1209"/>
      <c r="BE139" s="1205"/>
    </row>
    <row r="140" spans="1:57" ht="15.75" customHeight="1">
      <c r="A140" s="1209"/>
      <c r="B140" s="2450" t="s">
        <v>1835</v>
      </c>
      <c r="C140" s="2451"/>
      <c r="D140" s="2451"/>
      <c r="E140" s="2451"/>
      <c r="F140" s="2451"/>
      <c r="G140" s="2451"/>
      <c r="H140" s="2451"/>
      <c r="I140" s="2451"/>
      <c r="J140" s="2451"/>
      <c r="K140" s="2451"/>
      <c r="L140" s="2451"/>
      <c r="M140" s="2451"/>
      <c r="N140" s="2451"/>
      <c r="O140" s="2451"/>
      <c r="P140" s="2451"/>
      <c r="Q140" s="2451"/>
      <c r="R140" s="2452" t="s">
        <v>2189</v>
      </c>
      <c r="S140" s="2452"/>
      <c r="T140" s="2452"/>
      <c r="U140" s="2452"/>
      <c r="V140" s="2452"/>
      <c r="W140" s="2452"/>
      <c r="X140" s="2452"/>
      <c r="Y140" s="2452"/>
      <c r="Z140" s="2452"/>
      <c r="AA140" s="2452"/>
      <c r="AB140" s="2452"/>
      <c r="AC140" s="2452"/>
      <c r="AD140" s="2452"/>
      <c r="AE140" s="2452"/>
      <c r="AF140" s="2452"/>
      <c r="AG140" s="2452"/>
      <c r="AH140" s="2452"/>
      <c r="AI140" s="2452"/>
      <c r="AJ140" s="2452"/>
      <c r="AK140" s="2452"/>
      <c r="AL140" s="2452"/>
      <c r="AM140" s="2452"/>
      <c r="AN140" s="2452"/>
      <c r="AO140" s="2452"/>
      <c r="AP140" s="2452"/>
      <c r="AQ140" s="2452"/>
      <c r="AR140" s="2452"/>
      <c r="AS140" s="2452"/>
      <c r="AT140" s="2452"/>
      <c r="AU140" s="2452"/>
      <c r="AV140" s="2452"/>
      <c r="AW140" s="2452"/>
      <c r="AX140" s="2453"/>
      <c r="AY140" s="1209"/>
      <c r="AZ140" s="1209"/>
      <c r="BA140" s="1209"/>
      <c r="BB140" s="1209"/>
      <c r="BC140" s="1209" t="s">
        <v>251</v>
      </c>
      <c r="BD140" s="1209"/>
      <c r="BE140" s="1205"/>
    </row>
    <row r="141" spans="1:57" ht="15.75" customHeight="1">
      <c r="A141" s="1209"/>
      <c r="B141" s="2454" t="s">
        <v>2190</v>
      </c>
      <c r="C141" s="2455"/>
      <c r="D141" s="2455"/>
      <c r="E141" s="2455"/>
      <c r="F141" s="2455"/>
      <c r="G141" s="2455"/>
      <c r="H141" s="2455"/>
      <c r="I141" s="2455"/>
      <c r="J141" s="2455"/>
      <c r="K141" s="2455"/>
      <c r="L141" s="2455"/>
      <c r="M141" s="2455"/>
      <c r="N141" s="2455"/>
      <c r="O141" s="2455"/>
      <c r="P141" s="2455"/>
      <c r="Q141" s="2455"/>
      <c r="R141" s="2455"/>
      <c r="S141" s="2455"/>
      <c r="T141" s="2455"/>
      <c r="U141" s="2455"/>
      <c r="V141" s="2455"/>
      <c r="W141" s="2455"/>
      <c r="X141" s="2455"/>
      <c r="Y141" s="2455"/>
      <c r="Z141" s="2455"/>
      <c r="AA141" s="2455"/>
      <c r="AB141" s="2455"/>
      <c r="AC141" s="2455"/>
      <c r="AD141" s="2455"/>
      <c r="AE141" s="2455"/>
      <c r="AF141" s="2455"/>
      <c r="AG141" s="2455"/>
      <c r="AH141" s="2455"/>
      <c r="AI141" s="2455"/>
      <c r="AJ141" s="2455"/>
      <c r="AK141" s="2455"/>
      <c r="AL141" s="2455"/>
      <c r="AM141" s="2455"/>
      <c r="AN141" s="2455"/>
      <c r="AO141" s="2455"/>
      <c r="AP141" s="2455"/>
      <c r="AQ141" s="2455"/>
      <c r="AR141" s="2455"/>
      <c r="AS141" s="2455"/>
      <c r="AT141" s="2455"/>
      <c r="AU141" s="2455"/>
      <c r="AV141" s="2455"/>
      <c r="AW141" s="2455"/>
      <c r="AX141" s="2456"/>
      <c r="AY141" s="1209"/>
      <c r="AZ141" s="1209"/>
      <c r="BA141" s="1209"/>
      <c r="BB141" s="1209"/>
      <c r="BC141" s="1209"/>
      <c r="BD141" s="1209"/>
      <c r="BE141" s="1205"/>
    </row>
    <row r="142" spans="1:57" ht="15.75" customHeight="1">
      <c r="A142" s="1209"/>
      <c r="B142" s="2454"/>
      <c r="C142" s="2455"/>
      <c r="D142" s="2455"/>
      <c r="E142" s="2455"/>
      <c r="F142" s="2455"/>
      <c r="G142" s="2455"/>
      <c r="H142" s="2455"/>
      <c r="I142" s="2455"/>
      <c r="J142" s="2455"/>
      <c r="K142" s="2455"/>
      <c r="L142" s="2455"/>
      <c r="M142" s="2455"/>
      <c r="N142" s="2455"/>
      <c r="O142" s="2455"/>
      <c r="P142" s="2455"/>
      <c r="Q142" s="2455"/>
      <c r="R142" s="2455"/>
      <c r="S142" s="2455"/>
      <c r="T142" s="2455"/>
      <c r="U142" s="2455"/>
      <c r="V142" s="2455"/>
      <c r="W142" s="2455"/>
      <c r="X142" s="2455"/>
      <c r="Y142" s="2455"/>
      <c r="Z142" s="2455"/>
      <c r="AA142" s="2455"/>
      <c r="AB142" s="2455"/>
      <c r="AC142" s="2455"/>
      <c r="AD142" s="2455"/>
      <c r="AE142" s="2455"/>
      <c r="AF142" s="2455"/>
      <c r="AG142" s="2455"/>
      <c r="AH142" s="2455"/>
      <c r="AI142" s="2455"/>
      <c r="AJ142" s="2455"/>
      <c r="AK142" s="2455"/>
      <c r="AL142" s="2455"/>
      <c r="AM142" s="2455"/>
      <c r="AN142" s="2455"/>
      <c r="AO142" s="2455"/>
      <c r="AP142" s="2455"/>
      <c r="AQ142" s="2455"/>
      <c r="AR142" s="2455"/>
      <c r="AS142" s="2455"/>
      <c r="AT142" s="2455"/>
      <c r="AU142" s="2455"/>
      <c r="AV142" s="2455"/>
      <c r="AW142" s="2455"/>
      <c r="AX142" s="2456"/>
      <c r="AY142" s="1209"/>
      <c r="AZ142" s="1209"/>
      <c r="BA142" s="1209"/>
      <c r="BB142" s="1209"/>
      <c r="BC142" s="1209"/>
      <c r="BD142" s="1209"/>
      <c r="BE142" s="1205"/>
    </row>
    <row r="143" spans="1:57" ht="15.75" customHeight="1">
      <c r="A143" s="1209"/>
      <c r="B143" s="2454"/>
      <c r="C143" s="2455"/>
      <c r="D143" s="2455"/>
      <c r="E143" s="2455"/>
      <c r="F143" s="2455"/>
      <c r="G143" s="2455"/>
      <c r="H143" s="2455"/>
      <c r="I143" s="2455"/>
      <c r="J143" s="2455"/>
      <c r="K143" s="2455"/>
      <c r="L143" s="2455"/>
      <c r="M143" s="2455"/>
      <c r="N143" s="2455"/>
      <c r="O143" s="2455"/>
      <c r="P143" s="2455"/>
      <c r="Q143" s="2455"/>
      <c r="R143" s="2455"/>
      <c r="S143" s="2455"/>
      <c r="T143" s="2455"/>
      <c r="U143" s="2455"/>
      <c r="V143" s="2455"/>
      <c r="W143" s="2455"/>
      <c r="X143" s="2455"/>
      <c r="Y143" s="2455"/>
      <c r="Z143" s="2455"/>
      <c r="AA143" s="2455"/>
      <c r="AB143" s="2455"/>
      <c r="AC143" s="2455"/>
      <c r="AD143" s="2455"/>
      <c r="AE143" s="2455"/>
      <c r="AF143" s="2455"/>
      <c r="AG143" s="2455"/>
      <c r="AH143" s="2455"/>
      <c r="AI143" s="2455"/>
      <c r="AJ143" s="2455"/>
      <c r="AK143" s="2455"/>
      <c r="AL143" s="2455"/>
      <c r="AM143" s="2455"/>
      <c r="AN143" s="2455"/>
      <c r="AO143" s="2455"/>
      <c r="AP143" s="2455"/>
      <c r="AQ143" s="2455"/>
      <c r="AR143" s="2455"/>
      <c r="AS143" s="2455"/>
      <c r="AT143" s="2455"/>
      <c r="AU143" s="2455"/>
      <c r="AV143" s="2455"/>
      <c r="AW143" s="2455"/>
      <c r="AX143" s="2456"/>
      <c r="AY143" s="1209"/>
      <c r="AZ143" s="1209"/>
      <c r="BA143" s="1209"/>
      <c r="BB143" s="1209"/>
      <c r="BC143" s="1209"/>
      <c r="BD143" s="1209"/>
      <c r="BE143" s="1205"/>
    </row>
    <row r="144" spans="1:57" ht="15.75" customHeight="1">
      <c r="A144" s="1209"/>
      <c r="B144" s="2454"/>
      <c r="C144" s="2455"/>
      <c r="D144" s="2455"/>
      <c r="E144" s="2455"/>
      <c r="F144" s="2455"/>
      <c r="G144" s="2455"/>
      <c r="H144" s="2455"/>
      <c r="I144" s="2455"/>
      <c r="J144" s="2455"/>
      <c r="K144" s="2455"/>
      <c r="L144" s="2455"/>
      <c r="M144" s="2455"/>
      <c r="N144" s="2455"/>
      <c r="O144" s="2455"/>
      <c r="P144" s="2455"/>
      <c r="Q144" s="2455"/>
      <c r="R144" s="2455"/>
      <c r="S144" s="2455"/>
      <c r="T144" s="2455"/>
      <c r="U144" s="2455"/>
      <c r="V144" s="2455"/>
      <c r="W144" s="2455"/>
      <c r="X144" s="2455"/>
      <c r="Y144" s="2455"/>
      <c r="Z144" s="2455"/>
      <c r="AA144" s="2455"/>
      <c r="AB144" s="2455"/>
      <c r="AC144" s="2455"/>
      <c r="AD144" s="2455"/>
      <c r="AE144" s="2455"/>
      <c r="AF144" s="2455"/>
      <c r="AG144" s="2455"/>
      <c r="AH144" s="2455"/>
      <c r="AI144" s="2455"/>
      <c r="AJ144" s="2455"/>
      <c r="AK144" s="2455"/>
      <c r="AL144" s="2455"/>
      <c r="AM144" s="2455"/>
      <c r="AN144" s="2455"/>
      <c r="AO144" s="2455"/>
      <c r="AP144" s="2455"/>
      <c r="AQ144" s="2455"/>
      <c r="AR144" s="2455"/>
      <c r="AS144" s="2455"/>
      <c r="AT144" s="2455"/>
      <c r="AU144" s="2455"/>
      <c r="AV144" s="2455"/>
      <c r="AW144" s="2455"/>
      <c r="AX144" s="2456"/>
      <c r="AY144" s="1209"/>
      <c r="AZ144" s="1209"/>
      <c r="BA144" s="1209"/>
      <c r="BB144" s="1209"/>
      <c r="BC144" s="1209"/>
      <c r="BD144" s="1209"/>
      <c r="BE144" s="1205"/>
    </row>
    <row r="145" spans="1:57" ht="15.75" customHeight="1">
      <c r="A145" s="1209"/>
      <c r="B145" s="2454"/>
      <c r="C145" s="2455"/>
      <c r="D145" s="2455"/>
      <c r="E145" s="2455"/>
      <c r="F145" s="2455"/>
      <c r="G145" s="2455"/>
      <c r="H145" s="2455"/>
      <c r="I145" s="2455"/>
      <c r="J145" s="2455"/>
      <c r="K145" s="2455"/>
      <c r="L145" s="2455"/>
      <c r="M145" s="2455"/>
      <c r="N145" s="2455"/>
      <c r="O145" s="2455"/>
      <c r="P145" s="2455"/>
      <c r="Q145" s="2455"/>
      <c r="R145" s="2455"/>
      <c r="S145" s="2455"/>
      <c r="T145" s="2455"/>
      <c r="U145" s="2455"/>
      <c r="V145" s="2455"/>
      <c r="W145" s="2455"/>
      <c r="X145" s="2455"/>
      <c r="Y145" s="2455"/>
      <c r="Z145" s="2455"/>
      <c r="AA145" s="2455"/>
      <c r="AB145" s="2455"/>
      <c r="AC145" s="2455"/>
      <c r="AD145" s="2455"/>
      <c r="AE145" s="2455"/>
      <c r="AF145" s="2455"/>
      <c r="AG145" s="2455"/>
      <c r="AH145" s="2455"/>
      <c r="AI145" s="2455"/>
      <c r="AJ145" s="2455"/>
      <c r="AK145" s="2455"/>
      <c r="AL145" s="2455"/>
      <c r="AM145" s="2455"/>
      <c r="AN145" s="2455"/>
      <c r="AO145" s="2455"/>
      <c r="AP145" s="2455"/>
      <c r="AQ145" s="2455"/>
      <c r="AR145" s="2455"/>
      <c r="AS145" s="2455"/>
      <c r="AT145" s="2455"/>
      <c r="AU145" s="2455"/>
      <c r="AV145" s="2455"/>
      <c r="AW145" s="2455"/>
      <c r="AX145" s="2456"/>
      <c r="AY145" s="1209"/>
      <c r="AZ145" s="1209"/>
      <c r="BA145" s="1209"/>
      <c r="BB145" s="1209"/>
      <c r="BC145" s="1209"/>
      <c r="BD145" s="1209"/>
      <c r="BE145" s="1205"/>
    </row>
    <row r="146" spans="1:57" ht="15.75" customHeight="1">
      <c r="A146" s="1209"/>
      <c r="B146" s="2454"/>
      <c r="C146" s="2455"/>
      <c r="D146" s="2455"/>
      <c r="E146" s="2455"/>
      <c r="F146" s="2455"/>
      <c r="G146" s="2455"/>
      <c r="H146" s="2455"/>
      <c r="I146" s="2455"/>
      <c r="J146" s="2455"/>
      <c r="K146" s="2455"/>
      <c r="L146" s="2455"/>
      <c r="M146" s="2455"/>
      <c r="N146" s="2455"/>
      <c r="O146" s="2455"/>
      <c r="P146" s="2455"/>
      <c r="Q146" s="2455"/>
      <c r="R146" s="2455"/>
      <c r="S146" s="2455"/>
      <c r="T146" s="2455"/>
      <c r="U146" s="2455"/>
      <c r="V146" s="2455"/>
      <c r="W146" s="2455"/>
      <c r="X146" s="2455"/>
      <c r="Y146" s="2455"/>
      <c r="Z146" s="2455"/>
      <c r="AA146" s="2455"/>
      <c r="AB146" s="2455"/>
      <c r="AC146" s="2455"/>
      <c r="AD146" s="2455"/>
      <c r="AE146" s="2455"/>
      <c r="AF146" s="2455"/>
      <c r="AG146" s="2455"/>
      <c r="AH146" s="2455"/>
      <c r="AI146" s="2455"/>
      <c r="AJ146" s="2455"/>
      <c r="AK146" s="2455"/>
      <c r="AL146" s="2455"/>
      <c r="AM146" s="2455"/>
      <c r="AN146" s="2455"/>
      <c r="AO146" s="2455"/>
      <c r="AP146" s="2455"/>
      <c r="AQ146" s="2455"/>
      <c r="AR146" s="2455"/>
      <c r="AS146" s="2455"/>
      <c r="AT146" s="2455"/>
      <c r="AU146" s="2455"/>
      <c r="AV146" s="2455"/>
      <c r="AW146" s="2455"/>
      <c r="AX146" s="2456"/>
      <c r="AY146" s="1209"/>
      <c r="AZ146" s="1209"/>
      <c r="BA146" s="1209"/>
      <c r="BB146" s="1209"/>
      <c r="BC146" s="1209"/>
      <c r="BD146" s="1209"/>
      <c r="BE146" s="1205"/>
    </row>
    <row r="147" spans="1:57" ht="15.75" customHeight="1">
      <c r="A147" s="1209"/>
      <c r="B147" s="2454"/>
      <c r="C147" s="2455"/>
      <c r="D147" s="2455"/>
      <c r="E147" s="2455"/>
      <c r="F147" s="2455"/>
      <c r="G147" s="2455"/>
      <c r="H147" s="2455"/>
      <c r="I147" s="2455"/>
      <c r="J147" s="2455"/>
      <c r="K147" s="2455"/>
      <c r="L147" s="2455"/>
      <c r="M147" s="2455"/>
      <c r="N147" s="2455"/>
      <c r="O147" s="2455"/>
      <c r="P147" s="2455"/>
      <c r="Q147" s="2455"/>
      <c r="R147" s="2455"/>
      <c r="S147" s="2455"/>
      <c r="T147" s="2455"/>
      <c r="U147" s="2455"/>
      <c r="V147" s="2455"/>
      <c r="W147" s="2455"/>
      <c r="X147" s="2455"/>
      <c r="Y147" s="2455"/>
      <c r="Z147" s="2455"/>
      <c r="AA147" s="2455"/>
      <c r="AB147" s="2455"/>
      <c r="AC147" s="2455"/>
      <c r="AD147" s="2455"/>
      <c r="AE147" s="2455"/>
      <c r="AF147" s="2455"/>
      <c r="AG147" s="2455"/>
      <c r="AH147" s="2455"/>
      <c r="AI147" s="2455"/>
      <c r="AJ147" s="2455"/>
      <c r="AK147" s="2455"/>
      <c r="AL147" s="2455"/>
      <c r="AM147" s="2455"/>
      <c r="AN147" s="2455"/>
      <c r="AO147" s="2455"/>
      <c r="AP147" s="2455"/>
      <c r="AQ147" s="2455"/>
      <c r="AR147" s="2455"/>
      <c r="AS147" s="2455"/>
      <c r="AT147" s="2455"/>
      <c r="AU147" s="2455"/>
      <c r="AV147" s="2455"/>
      <c r="AW147" s="2455"/>
      <c r="AX147" s="2456"/>
      <c r="AY147" s="1209"/>
      <c r="AZ147" s="1209"/>
      <c r="BA147" s="1209"/>
      <c r="BB147" s="1209"/>
      <c r="BC147" s="1209"/>
      <c r="BD147" s="1209"/>
      <c r="BE147" s="1205"/>
    </row>
    <row r="148" spans="1:57" ht="15.75" customHeight="1">
      <c r="A148" s="1209"/>
      <c r="B148" s="2454"/>
      <c r="C148" s="2455"/>
      <c r="D148" s="2455"/>
      <c r="E148" s="2455"/>
      <c r="F148" s="2455"/>
      <c r="G148" s="2455"/>
      <c r="H148" s="2455"/>
      <c r="I148" s="2455"/>
      <c r="J148" s="2455"/>
      <c r="K148" s="2455"/>
      <c r="L148" s="2455"/>
      <c r="M148" s="2455"/>
      <c r="N148" s="2455"/>
      <c r="O148" s="2455"/>
      <c r="P148" s="2455"/>
      <c r="Q148" s="2455"/>
      <c r="R148" s="2455"/>
      <c r="S148" s="2455"/>
      <c r="T148" s="2455"/>
      <c r="U148" s="2455"/>
      <c r="V148" s="2455"/>
      <c r="W148" s="2455"/>
      <c r="X148" s="2455"/>
      <c r="Y148" s="2455"/>
      <c r="Z148" s="2455"/>
      <c r="AA148" s="2455"/>
      <c r="AB148" s="2455"/>
      <c r="AC148" s="2455"/>
      <c r="AD148" s="2455"/>
      <c r="AE148" s="2455"/>
      <c r="AF148" s="2455"/>
      <c r="AG148" s="2455"/>
      <c r="AH148" s="2455"/>
      <c r="AI148" s="2455"/>
      <c r="AJ148" s="2455"/>
      <c r="AK148" s="2455"/>
      <c r="AL148" s="2455"/>
      <c r="AM148" s="2455"/>
      <c r="AN148" s="2455"/>
      <c r="AO148" s="2455"/>
      <c r="AP148" s="2455"/>
      <c r="AQ148" s="2455"/>
      <c r="AR148" s="2455"/>
      <c r="AS148" s="2455"/>
      <c r="AT148" s="2455"/>
      <c r="AU148" s="2455"/>
      <c r="AV148" s="2455"/>
      <c r="AW148" s="2455"/>
      <c r="AX148" s="2456"/>
      <c r="AY148" s="1209"/>
      <c r="AZ148" s="1209"/>
      <c r="BA148" s="1209"/>
      <c r="BB148" s="1209"/>
      <c r="BC148" s="1209"/>
      <c r="BD148" s="1209"/>
      <c r="BE148" s="1205"/>
    </row>
    <row r="149" spans="1:57" ht="15.75" customHeight="1">
      <c r="A149" s="1209"/>
      <c r="B149" s="2454"/>
      <c r="C149" s="2455"/>
      <c r="D149" s="2455"/>
      <c r="E149" s="2455"/>
      <c r="F149" s="2455"/>
      <c r="G149" s="2455"/>
      <c r="H149" s="2455"/>
      <c r="I149" s="2455"/>
      <c r="J149" s="2455"/>
      <c r="K149" s="2455"/>
      <c r="L149" s="2455"/>
      <c r="M149" s="2455"/>
      <c r="N149" s="2455"/>
      <c r="O149" s="2455"/>
      <c r="P149" s="2455"/>
      <c r="Q149" s="2455"/>
      <c r="R149" s="2455"/>
      <c r="S149" s="2455"/>
      <c r="T149" s="2455"/>
      <c r="U149" s="2455"/>
      <c r="V149" s="2455"/>
      <c r="W149" s="2455"/>
      <c r="X149" s="2455"/>
      <c r="Y149" s="2455"/>
      <c r="Z149" s="2455"/>
      <c r="AA149" s="2455"/>
      <c r="AB149" s="2455"/>
      <c r="AC149" s="2455"/>
      <c r="AD149" s="2455"/>
      <c r="AE149" s="2455"/>
      <c r="AF149" s="2455"/>
      <c r="AG149" s="2455"/>
      <c r="AH149" s="2455"/>
      <c r="AI149" s="2455"/>
      <c r="AJ149" s="2455"/>
      <c r="AK149" s="2455"/>
      <c r="AL149" s="2455"/>
      <c r="AM149" s="2455"/>
      <c r="AN149" s="2455"/>
      <c r="AO149" s="2455"/>
      <c r="AP149" s="2455"/>
      <c r="AQ149" s="2455"/>
      <c r="AR149" s="2455"/>
      <c r="AS149" s="2455"/>
      <c r="AT149" s="2455"/>
      <c r="AU149" s="2455"/>
      <c r="AV149" s="2455"/>
      <c r="AW149" s="2455"/>
      <c r="AX149" s="2456"/>
      <c r="AY149" s="1209"/>
      <c r="AZ149" s="1209"/>
      <c r="BA149" s="1209"/>
      <c r="BB149" s="1209"/>
      <c r="BC149" s="1209"/>
      <c r="BD149" s="1209"/>
      <c r="BE149" s="1205"/>
    </row>
    <row r="150" spans="1:57" ht="15.75" customHeight="1" thickBot="1">
      <c r="A150" s="1209"/>
      <c r="B150" s="2457"/>
      <c r="C150" s="2458"/>
      <c r="D150" s="2458"/>
      <c r="E150" s="2458"/>
      <c r="F150" s="2458"/>
      <c r="G150" s="2458"/>
      <c r="H150" s="2458"/>
      <c r="I150" s="2458"/>
      <c r="J150" s="2458"/>
      <c r="K150" s="2458"/>
      <c r="L150" s="2458"/>
      <c r="M150" s="2458"/>
      <c r="N150" s="2458"/>
      <c r="O150" s="2458"/>
      <c r="P150" s="2458"/>
      <c r="Q150" s="2458"/>
      <c r="R150" s="2458"/>
      <c r="S150" s="2458"/>
      <c r="T150" s="2458"/>
      <c r="U150" s="2458"/>
      <c r="V150" s="2458"/>
      <c r="W150" s="2458"/>
      <c r="X150" s="2458"/>
      <c r="Y150" s="2458"/>
      <c r="Z150" s="2458"/>
      <c r="AA150" s="2458"/>
      <c r="AB150" s="2458"/>
      <c r="AC150" s="2458"/>
      <c r="AD150" s="2458"/>
      <c r="AE150" s="2458"/>
      <c r="AF150" s="2458"/>
      <c r="AG150" s="2458"/>
      <c r="AH150" s="2458"/>
      <c r="AI150" s="2458"/>
      <c r="AJ150" s="2458"/>
      <c r="AK150" s="2458"/>
      <c r="AL150" s="2458"/>
      <c r="AM150" s="2458"/>
      <c r="AN150" s="2458"/>
      <c r="AO150" s="2458"/>
      <c r="AP150" s="2458"/>
      <c r="AQ150" s="2458"/>
      <c r="AR150" s="2458"/>
      <c r="AS150" s="2458"/>
      <c r="AT150" s="2458"/>
      <c r="AU150" s="2458"/>
      <c r="AV150" s="2458"/>
      <c r="AW150" s="2458"/>
      <c r="AX150" s="2459"/>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83" t="s">
        <v>1837</v>
      </c>
      <c r="C154" s="2384"/>
      <c r="D154" s="2384"/>
      <c r="E154" s="2384"/>
      <c r="F154" s="2384"/>
      <c r="G154" s="2384"/>
      <c r="H154" s="2384"/>
      <c r="I154" s="2384"/>
      <c r="J154" s="2384"/>
      <c r="K154" s="2384"/>
      <c r="L154" s="2384"/>
      <c r="M154" s="2384"/>
      <c r="N154" s="2384"/>
      <c r="O154" s="2384"/>
      <c r="P154" s="2384"/>
      <c r="Q154" s="2384"/>
      <c r="R154" s="2384"/>
      <c r="S154" s="2384"/>
      <c r="T154" s="2384"/>
      <c r="U154" s="2385"/>
      <c r="V154" s="1209"/>
      <c r="W154" s="1217"/>
      <c r="X154" s="2383" t="s">
        <v>2192</v>
      </c>
      <c r="Y154" s="2384"/>
      <c r="Z154" s="2384"/>
      <c r="AA154" s="2384"/>
      <c r="AB154" s="2384"/>
      <c r="AC154" s="2384"/>
      <c r="AD154" s="2384"/>
      <c r="AE154" s="2384"/>
      <c r="AF154" s="2384"/>
      <c r="AG154" s="2384"/>
      <c r="AH154" s="2384"/>
      <c r="AI154" s="2384"/>
      <c r="AJ154" s="2384"/>
      <c r="AK154" s="2384"/>
      <c r="AL154" s="2384"/>
      <c r="AM154" s="2384"/>
      <c r="AN154" s="2384"/>
      <c r="AO154" s="2384"/>
      <c r="AP154" s="2384"/>
      <c r="AQ154" s="2385"/>
      <c r="AR154" s="1209"/>
      <c r="AS154" s="1209"/>
      <c r="AT154" s="1209"/>
      <c r="AU154" s="1209"/>
      <c r="AV154" s="1209"/>
      <c r="AW154" s="1209"/>
      <c r="AX154" s="1209"/>
      <c r="AY154" s="1209"/>
      <c r="AZ154" s="1209"/>
      <c r="BA154" s="1209"/>
      <c r="BB154" s="1209"/>
      <c r="BC154" s="1209"/>
      <c r="BD154" s="1209"/>
      <c r="BE154" s="1205"/>
    </row>
    <row r="155" spans="1:57" ht="15.75" customHeight="1">
      <c r="A155" s="1209"/>
      <c r="B155" s="2436"/>
      <c r="C155" s="2437"/>
      <c r="D155" s="2437"/>
      <c r="E155" s="2437"/>
      <c r="F155" s="2437"/>
      <c r="G155" s="2437"/>
      <c r="H155" s="2437"/>
      <c r="I155" s="2460" t="s">
        <v>1828</v>
      </c>
      <c r="J155" s="2460"/>
      <c r="K155" s="2460"/>
      <c r="L155" s="2460"/>
      <c r="M155" s="2460"/>
      <c r="N155" s="2460"/>
      <c r="O155" s="2460"/>
      <c r="P155" s="2460" t="s">
        <v>2193</v>
      </c>
      <c r="Q155" s="2460"/>
      <c r="R155" s="2460"/>
      <c r="S155" s="2460"/>
      <c r="T155" s="2460"/>
      <c r="U155" s="2461"/>
      <c r="V155" s="1209"/>
      <c r="W155" s="1209"/>
      <c r="X155" s="2436"/>
      <c r="Y155" s="2437"/>
      <c r="Z155" s="2437"/>
      <c r="AA155" s="2437"/>
      <c r="AB155" s="2437"/>
      <c r="AC155" s="2437"/>
      <c r="AD155" s="2437"/>
      <c r="AE155" s="2460" t="s">
        <v>1828</v>
      </c>
      <c r="AF155" s="2460"/>
      <c r="AG155" s="2460"/>
      <c r="AH155" s="2460"/>
      <c r="AI155" s="2460"/>
      <c r="AJ155" s="2460"/>
      <c r="AK155" s="2460"/>
      <c r="AL155" s="2460" t="s">
        <v>2187</v>
      </c>
      <c r="AM155" s="2460"/>
      <c r="AN155" s="2460"/>
      <c r="AO155" s="2460"/>
      <c r="AP155" s="2460"/>
      <c r="AQ155" s="2461"/>
      <c r="AR155" s="1209"/>
      <c r="AS155" s="1209"/>
      <c r="AT155" s="1209"/>
      <c r="AU155" s="1209"/>
      <c r="AV155" s="1209"/>
      <c r="AW155" s="1209"/>
      <c r="AX155" s="1209"/>
      <c r="AY155" s="1209"/>
      <c r="AZ155" s="1209"/>
      <c r="BA155" s="1209"/>
      <c r="BB155" s="1209"/>
      <c r="BC155" s="1209"/>
      <c r="BD155" s="1209"/>
      <c r="BE155" s="1205"/>
    </row>
    <row r="156" spans="1:57" ht="15.75" customHeight="1">
      <c r="A156" s="1209"/>
      <c r="B156" s="2436"/>
      <c r="C156" s="2437"/>
      <c r="D156" s="2437"/>
      <c r="E156" s="2437"/>
      <c r="F156" s="2437"/>
      <c r="G156" s="2437"/>
      <c r="H156" s="2437"/>
      <c r="I156" s="2460"/>
      <c r="J156" s="2460"/>
      <c r="K156" s="2460"/>
      <c r="L156" s="2460"/>
      <c r="M156" s="2460"/>
      <c r="N156" s="2460"/>
      <c r="O156" s="2460"/>
      <c r="P156" s="2460"/>
      <c r="Q156" s="2460"/>
      <c r="R156" s="2460"/>
      <c r="S156" s="2460"/>
      <c r="T156" s="2460"/>
      <c r="U156" s="2461"/>
      <c r="V156" s="1209"/>
      <c r="W156" s="1209"/>
      <c r="X156" s="2436"/>
      <c r="Y156" s="2437"/>
      <c r="Z156" s="2437"/>
      <c r="AA156" s="2437"/>
      <c r="AB156" s="2437"/>
      <c r="AC156" s="2437"/>
      <c r="AD156" s="2437"/>
      <c r="AE156" s="2460"/>
      <c r="AF156" s="2460"/>
      <c r="AG156" s="2460"/>
      <c r="AH156" s="2460"/>
      <c r="AI156" s="2460"/>
      <c r="AJ156" s="2460"/>
      <c r="AK156" s="2460"/>
      <c r="AL156" s="2460"/>
      <c r="AM156" s="2460"/>
      <c r="AN156" s="2460"/>
      <c r="AO156" s="2460"/>
      <c r="AP156" s="2460"/>
      <c r="AQ156" s="246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42" t="s">
        <v>2175</v>
      </c>
      <c r="C157" s="2443"/>
      <c r="D157" s="2443"/>
      <c r="E157" s="2443"/>
      <c r="F157" s="2443"/>
      <c r="G157" s="2443"/>
      <c r="H157" s="2443"/>
      <c r="I157" s="2230">
        <v>0</v>
      </c>
      <c r="J157" s="2230"/>
      <c r="K157" s="2230"/>
      <c r="L157" s="2230"/>
      <c r="M157" s="2230"/>
      <c r="N157" s="2230"/>
      <c r="O157" s="2230"/>
      <c r="P157" s="2230">
        <v>0</v>
      </c>
      <c r="Q157" s="2230"/>
      <c r="R157" s="2230"/>
      <c r="S157" s="2230"/>
      <c r="T157" s="2230"/>
      <c r="U157" s="2236"/>
      <c r="V157" s="1209"/>
      <c r="W157" s="1209"/>
      <c r="X157" s="2444" t="s">
        <v>2175</v>
      </c>
      <c r="Y157" s="2445"/>
      <c r="Z157" s="2445"/>
      <c r="AA157" s="2445"/>
      <c r="AB157" s="2445"/>
      <c r="AC157" s="2445"/>
      <c r="AD157" s="2445"/>
      <c r="AE157" s="2250">
        <v>0</v>
      </c>
      <c r="AF157" s="2250"/>
      <c r="AG157" s="2250"/>
      <c r="AH157" s="2250"/>
      <c r="AI157" s="2250"/>
      <c r="AJ157" s="2250"/>
      <c r="AK157" s="2250"/>
      <c r="AL157" s="2250">
        <v>0</v>
      </c>
      <c r="AM157" s="2250"/>
      <c r="AN157" s="2250"/>
      <c r="AO157" s="2250"/>
      <c r="AP157" s="2250"/>
      <c r="AQ157" s="225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44" t="s">
        <v>2176</v>
      </c>
      <c r="C158" s="2445"/>
      <c r="D158" s="2445"/>
      <c r="E158" s="2445"/>
      <c r="F158" s="2445"/>
      <c r="G158" s="2445"/>
      <c r="H158" s="2445"/>
      <c r="I158" s="2250">
        <v>0</v>
      </c>
      <c r="J158" s="2250"/>
      <c r="K158" s="2250"/>
      <c r="L158" s="2250"/>
      <c r="M158" s="2250"/>
      <c r="N158" s="2250"/>
      <c r="O158" s="2250"/>
      <c r="P158" s="2250">
        <v>0</v>
      </c>
      <c r="Q158" s="2250"/>
      <c r="R158" s="2250"/>
      <c r="S158" s="2250"/>
      <c r="T158" s="2250"/>
      <c r="U158" s="225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83" t="s">
        <v>2177</v>
      </c>
      <c r="D160" s="2384"/>
      <c r="E160" s="2384"/>
      <c r="F160" s="2384"/>
      <c r="G160" s="2384"/>
      <c r="H160" s="2384"/>
      <c r="I160" s="2384"/>
      <c r="J160" s="2384"/>
      <c r="K160" s="2384"/>
      <c r="L160" s="2384"/>
      <c r="M160" s="2384"/>
      <c r="N160" s="2384"/>
      <c r="O160" s="2384"/>
      <c r="P160" s="2384"/>
      <c r="Q160" s="2384"/>
      <c r="R160" s="2384"/>
      <c r="S160" s="2384"/>
      <c r="T160" s="2384"/>
      <c r="U160" s="2384"/>
      <c r="V160" s="2384"/>
      <c r="W160" s="2384"/>
      <c r="X160" s="2384"/>
      <c r="Y160" s="2384"/>
      <c r="Z160" s="2384"/>
      <c r="AA160" s="2384"/>
      <c r="AB160" s="2384"/>
      <c r="AC160" s="2384"/>
      <c r="AD160" s="2384"/>
      <c r="AE160" s="2384"/>
      <c r="AF160" s="2384"/>
      <c r="AG160" s="238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36" t="s">
        <v>1838</v>
      </c>
      <c r="D161" s="2437"/>
      <c r="E161" s="2437"/>
      <c r="F161" s="2437"/>
      <c r="G161" s="2437"/>
      <c r="H161" s="2437"/>
      <c r="I161" s="2437"/>
      <c r="J161" s="2437"/>
      <c r="K161" s="2437"/>
      <c r="L161" s="2437"/>
      <c r="M161" s="2437"/>
      <c r="N161" s="2437"/>
      <c r="O161" s="2437"/>
      <c r="P161" s="2437"/>
      <c r="Q161" s="2437" t="s">
        <v>1839</v>
      </c>
      <c r="R161" s="2437"/>
      <c r="S161" s="2437"/>
      <c r="T161" s="2226" t="s">
        <v>2178</v>
      </c>
      <c r="U161" s="2226"/>
      <c r="V161" s="2226"/>
      <c r="W161" s="2226"/>
      <c r="X161" s="2226"/>
      <c r="Y161" s="2226"/>
      <c r="Z161" s="2226"/>
      <c r="AA161" s="2226"/>
      <c r="AB161" s="2437" t="s">
        <v>1840</v>
      </c>
      <c r="AC161" s="2437"/>
      <c r="AD161" s="2437"/>
      <c r="AE161" s="2437"/>
      <c r="AF161" s="2437"/>
      <c r="AG161" s="2462"/>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63" t="s">
        <v>1841</v>
      </c>
      <c r="D162" s="2464"/>
      <c r="E162" s="2464"/>
      <c r="F162" s="2464"/>
      <c r="G162" s="2464"/>
      <c r="H162" s="2464"/>
      <c r="I162" s="2464"/>
      <c r="J162" s="2464"/>
      <c r="K162" s="2464"/>
      <c r="L162" s="2464"/>
      <c r="M162" s="2464"/>
      <c r="N162" s="2464"/>
      <c r="O162" s="2464"/>
      <c r="P162" s="2464"/>
      <c r="Q162" s="2465">
        <v>55</v>
      </c>
      <c r="R162" s="2465"/>
      <c r="S162" s="2465"/>
      <c r="T162" s="2466"/>
      <c r="U162" s="2466"/>
      <c r="V162" s="2466"/>
      <c r="W162" s="2466"/>
      <c r="X162" s="2466"/>
      <c r="Y162" s="2466"/>
      <c r="Z162" s="2466"/>
      <c r="AA162" s="2466"/>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63" t="s">
        <v>1842</v>
      </c>
      <c r="D163" s="2464"/>
      <c r="E163" s="2464"/>
      <c r="F163" s="2464"/>
      <c r="G163" s="2464"/>
      <c r="H163" s="2464"/>
      <c r="I163" s="2464"/>
      <c r="J163" s="2464"/>
      <c r="K163" s="2464"/>
      <c r="L163" s="2464"/>
      <c r="M163" s="2464"/>
      <c r="N163" s="2464"/>
      <c r="O163" s="2464"/>
      <c r="P163" s="2464"/>
      <c r="Q163" s="2465">
        <v>55</v>
      </c>
      <c r="R163" s="2465"/>
      <c r="S163" s="2465"/>
      <c r="T163" s="2469"/>
      <c r="U163" s="2469"/>
      <c r="V163" s="2469"/>
      <c r="W163" s="2469"/>
      <c r="X163" s="2469"/>
      <c r="Y163" s="2469"/>
      <c r="Z163" s="2469"/>
      <c r="AA163" s="246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63" t="s">
        <v>1843</v>
      </c>
      <c r="D164" s="2464"/>
      <c r="E164" s="2464"/>
      <c r="F164" s="2464"/>
      <c r="G164" s="2464"/>
      <c r="H164" s="2464"/>
      <c r="I164" s="2464"/>
      <c r="J164" s="2464"/>
      <c r="K164" s="2464"/>
      <c r="L164" s="2464"/>
      <c r="M164" s="2464"/>
      <c r="N164" s="2464"/>
      <c r="O164" s="2464"/>
      <c r="P164" s="2464"/>
      <c r="Q164" s="2465">
        <v>55</v>
      </c>
      <c r="R164" s="2465"/>
      <c r="S164" s="2465"/>
      <c r="T164" s="2466"/>
      <c r="U164" s="2466"/>
      <c r="V164" s="2466"/>
      <c r="W164" s="2466"/>
      <c r="X164" s="2466"/>
      <c r="Y164" s="2466"/>
      <c r="Z164" s="2466"/>
      <c r="AA164" s="2466"/>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63" t="s">
        <v>1814</v>
      </c>
      <c r="D165" s="2464"/>
      <c r="E165" s="2464"/>
      <c r="F165" s="2464"/>
      <c r="G165" s="2464"/>
      <c r="H165" s="2464"/>
      <c r="I165" s="2464"/>
      <c r="J165" s="2464"/>
      <c r="K165" s="2464"/>
      <c r="L165" s="2464"/>
      <c r="M165" s="2464"/>
      <c r="N165" s="2464"/>
      <c r="O165" s="2464"/>
      <c r="P165" s="2464"/>
      <c r="Q165" s="2465">
        <v>55</v>
      </c>
      <c r="R165" s="2465"/>
      <c r="S165" s="2465"/>
      <c r="T165" s="2466"/>
      <c r="U165" s="2466"/>
      <c r="V165" s="2466"/>
      <c r="W165" s="2466"/>
      <c r="X165" s="2466"/>
      <c r="Y165" s="2466"/>
      <c r="Z165" s="2466"/>
      <c r="AA165" s="2466"/>
      <c r="AB165" s="2467">
        <v>0</v>
      </c>
      <c r="AC165" s="2467"/>
      <c r="AD165" s="2467"/>
      <c r="AE165" s="2467"/>
      <c r="AF165" s="2467"/>
      <c r="AG165" s="246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63" t="s">
        <v>170</v>
      </c>
      <c r="D166" s="2464"/>
      <c r="E166" s="2464"/>
      <c r="F166" s="2470" t="s">
        <v>1844</v>
      </c>
      <c r="G166" s="2470"/>
      <c r="H166" s="2470"/>
      <c r="I166" s="2470"/>
      <c r="J166" s="2470"/>
      <c r="K166" s="2470"/>
      <c r="L166" s="2470"/>
      <c r="M166" s="2470"/>
      <c r="N166" s="2470"/>
      <c r="O166" s="2470"/>
      <c r="P166" s="2470"/>
      <c r="Q166" s="2465">
        <v>55</v>
      </c>
      <c r="R166" s="2465"/>
      <c r="S166" s="2465"/>
      <c r="T166" s="2469"/>
      <c r="U166" s="2469"/>
      <c r="V166" s="2469"/>
      <c r="W166" s="2469"/>
      <c r="X166" s="2469"/>
      <c r="Y166" s="2469"/>
      <c r="Z166" s="2469"/>
      <c r="AA166" s="2469"/>
      <c r="AB166" s="2467">
        <v>0</v>
      </c>
      <c r="AC166" s="2467"/>
      <c r="AD166" s="2467"/>
      <c r="AE166" s="2467"/>
      <c r="AF166" s="2467"/>
      <c r="AG166" s="246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63" t="s">
        <v>170</v>
      </c>
      <c r="D167" s="2464"/>
      <c r="E167" s="2464"/>
      <c r="F167" s="2470" t="s">
        <v>1844</v>
      </c>
      <c r="G167" s="2470"/>
      <c r="H167" s="2470"/>
      <c r="I167" s="2470"/>
      <c r="J167" s="2470"/>
      <c r="K167" s="2470"/>
      <c r="L167" s="2470"/>
      <c r="M167" s="2470"/>
      <c r="N167" s="2470"/>
      <c r="O167" s="2470"/>
      <c r="P167" s="2470"/>
      <c r="Q167" s="2465">
        <v>55</v>
      </c>
      <c r="R167" s="2465"/>
      <c r="S167" s="2465"/>
      <c r="T167" s="2469"/>
      <c r="U167" s="2469"/>
      <c r="V167" s="2469"/>
      <c r="W167" s="2469"/>
      <c r="X167" s="2469"/>
      <c r="Y167" s="2469"/>
      <c r="Z167" s="2469"/>
      <c r="AA167" s="2469"/>
      <c r="AB167" s="2467">
        <v>0</v>
      </c>
      <c r="AC167" s="2467"/>
      <c r="AD167" s="2467"/>
      <c r="AE167" s="2467"/>
      <c r="AF167" s="2467"/>
      <c r="AG167" s="2468"/>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71" t="s">
        <v>170</v>
      </c>
      <c r="D168" s="2472"/>
      <c r="E168" s="2472"/>
      <c r="F168" s="2473" t="s">
        <v>1844</v>
      </c>
      <c r="G168" s="2473"/>
      <c r="H168" s="2473"/>
      <c r="I168" s="2473"/>
      <c r="J168" s="2473"/>
      <c r="K168" s="2473"/>
      <c r="L168" s="2473"/>
      <c r="M168" s="2473"/>
      <c r="N168" s="2473"/>
      <c r="O168" s="2473"/>
      <c r="P168" s="2473"/>
      <c r="Q168" s="2474">
        <v>55</v>
      </c>
      <c r="R168" s="2474"/>
      <c r="S168" s="2474"/>
      <c r="T168" s="2475"/>
      <c r="U168" s="2475"/>
      <c r="V168" s="2475"/>
      <c r="W168" s="2475"/>
      <c r="X168" s="2475"/>
      <c r="Y168" s="2475"/>
      <c r="Z168" s="2475"/>
      <c r="AA168" s="2475"/>
      <c r="AB168" s="2476">
        <v>0</v>
      </c>
      <c r="AC168" s="2476"/>
      <c r="AD168" s="2476"/>
      <c r="AE168" s="2476"/>
      <c r="AF168" s="2476"/>
      <c r="AG168" s="2477"/>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88" t="s">
        <v>1845</v>
      </c>
      <c r="D170" s="2489"/>
      <c r="E170" s="2489"/>
      <c r="F170" s="2489"/>
      <c r="G170" s="2489"/>
      <c r="H170" s="2489"/>
      <c r="I170" s="2489"/>
      <c r="J170" s="2489"/>
      <c r="K170" s="2489"/>
      <c r="L170" s="2489"/>
      <c r="M170" s="2489"/>
      <c r="N170" s="2490"/>
      <c r="O170" s="1209"/>
      <c r="P170" s="2446" t="s">
        <v>1846</v>
      </c>
      <c r="Q170" s="2447"/>
      <c r="R170" s="2447"/>
      <c r="S170" s="2447"/>
      <c r="T170" s="2447"/>
      <c r="U170" s="2447"/>
      <c r="V170" s="2447"/>
      <c r="W170" s="2447"/>
      <c r="X170" s="2447"/>
      <c r="Y170" s="2447"/>
      <c r="Z170" s="2447"/>
      <c r="AA170" s="2447"/>
      <c r="AB170" s="2447"/>
      <c r="AC170" s="2447"/>
      <c r="AD170" s="2447"/>
      <c r="AE170" s="2447"/>
      <c r="AF170" s="2447"/>
      <c r="AG170" s="2447"/>
      <c r="AH170" s="2447"/>
      <c r="AI170" s="2447"/>
      <c r="AJ170" s="2447"/>
      <c r="AK170" s="2447"/>
      <c r="AL170" s="2447"/>
      <c r="AM170" s="2447"/>
      <c r="AN170" s="2447"/>
      <c r="AO170" s="249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36" t="s">
        <v>1847</v>
      </c>
      <c r="D171" s="2437"/>
      <c r="E171" s="2437"/>
      <c r="F171" s="2437"/>
      <c r="G171" s="2437"/>
      <c r="H171" s="2437"/>
      <c r="I171" s="2437" t="s">
        <v>1848</v>
      </c>
      <c r="J171" s="2437"/>
      <c r="K171" s="2437"/>
      <c r="L171" s="2437"/>
      <c r="M171" s="2437"/>
      <c r="N171" s="2462"/>
      <c r="O171" s="1209"/>
      <c r="P171" s="2416" t="s">
        <v>2186</v>
      </c>
      <c r="Q171" s="2417"/>
      <c r="R171" s="2417"/>
      <c r="S171" s="2417"/>
      <c r="T171" s="2417"/>
      <c r="U171" s="2417"/>
      <c r="V171" s="2417"/>
      <c r="W171" s="2417"/>
      <c r="X171" s="2417"/>
      <c r="Y171" s="2417"/>
      <c r="Z171" s="2417"/>
      <c r="AA171" s="2417"/>
      <c r="AB171" s="2417"/>
      <c r="AC171" s="2417"/>
      <c r="AD171" s="2417"/>
      <c r="AE171" s="2417"/>
      <c r="AF171" s="2417"/>
      <c r="AG171" s="2417"/>
      <c r="AH171" s="2417"/>
      <c r="AI171" s="2417"/>
      <c r="AJ171" s="2417"/>
      <c r="AK171" s="2417"/>
      <c r="AL171" s="2417"/>
      <c r="AM171" s="2417"/>
      <c r="AN171" s="2417"/>
      <c r="AO171" s="2418"/>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22"/>
      <c r="D172" s="2392"/>
      <c r="E172" s="2392"/>
      <c r="F172" s="2392"/>
      <c r="G172" s="2392"/>
      <c r="H172" s="2392"/>
      <c r="I172" s="2466"/>
      <c r="J172" s="2466"/>
      <c r="K172" s="2466"/>
      <c r="L172" s="2466"/>
      <c r="M172" s="2466"/>
      <c r="N172" s="2492"/>
      <c r="O172" s="1209"/>
      <c r="P172" s="2416"/>
      <c r="Q172" s="2417"/>
      <c r="R172" s="2417"/>
      <c r="S172" s="2417"/>
      <c r="T172" s="2417"/>
      <c r="U172" s="2417"/>
      <c r="V172" s="2417"/>
      <c r="W172" s="2417"/>
      <c r="X172" s="2417"/>
      <c r="Y172" s="2417"/>
      <c r="Z172" s="2417"/>
      <c r="AA172" s="2417"/>
      <c r="AB172" s="2417"/>
      <c r="AC172" s="2417"/>
      <c r="AD172" s="2417"/>
      <c r="AE172" s="2417"/>
      <c r="AF172" s="2417"/>
      <c r="AG172" s="2417"/>
      <c r="AH172" s="2417"/>
      <c r="AI172" s="2417"/>
      <c r="AJ172" s="2417"/>
      <c r="AK172" s="2417"/>
      <c r="AL172" s="2417"/>
      <c r="AM172" s="2417"/>
      <c r="AN172" s="2417"/>
      <c r="AO172" s="2418"/>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22"/>
      <c r="D173" s="2392"/>
      <c r="E173" s="2392"/>
      <c r="F173" s="2392"/>
      <c r="G173" s="2392"/>
      <c r="H173" s="2392"/>
      <c r="I173" s="2466"/>
      <c r="J173" s="2466"/>
      <c r="K173" s="2466"/>
      <c r="L173" s="2466"/>
      <c r="M173" s="2466"/>
      <c r="N173" s="2492"/>
      <c r="O173" s="1209"/>
      <c r="P173" s="2416"/>
      <c r="Q173" s="2417"/>
      <c r="R173" s="2417"/>
      <c r="S173" s="2417"/>
      <c r="T173" s="2417"/>
      <c r="U173" s="2417"/>
      <c r="V173" s="2417"/>
      <c r="W173" s="2417"/>
      <c r="X173" s="2417"/>
      <c r="Y173" s="2417"/>
      <c r="Z173" s="2417"/>
      <c r="AA173" s="2417"/>
      <c r="AB173" s="2417"/>
      <c r="AC173" s="2417"/>
      <c r="AD173" s="2417"/>
      <c r="AE173" s="2417"/>
      <c r="AF173" s="2417"/>
      <c r="AG173" s="2417"/>
      <c r="AH173" s="2417"/>
      <c r="AI173" s="2417"/>
      <c r="AJ173" s="2417"/>
      <c r="AK173" s="2417"/>
      <c r="AL173" s="2417"/>
      <c r="AM173" s="2417"/>
      <c r="AN173" s="2417"/>
      <c r="AO173" s="2418"/>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22"/>
      <c r="D174" s="2392"/>
      <c r="E174" s="2392"/>
      <c r="F174" s="2392"/>
      <c r="G174" s="2392"/>
      <c r="H174" s="2392"/>
      <c r="I174" s="2466"/>
      <c r="J174" s="2466"/>
      <c r="K174" s="2466"/>
      <c r="L174" s="2466"/>
      <c r="M174" s="2466"/>
      <c r="N174" s="2492"/>
      <c r="O174" s="1209"/>
      <c r="P174" s="2416"/>
      <c r="Q174" s="2417"/>
      <c r="R174" s="2417"/>
      <c r="S174" s="2417"/>
      <c r="T174" s="2417"/>
      <c r="U174" s="2417"/>
      <c r="V174" s="2417"/>
      <c r="W174" s="2417"/>
      <c r="X174" s="2417"/>
      <c r="Y174" s="2417"/>
      <c r="Z174" s="2417"/>
      <c r="AA174" s="2417"/>
      <c r="AB174" s="2417"/>
      <c r="AC174" s="2417"/>
      <c r="AD174" s="2417"/>
      <c r="AE174" s="2417"/>
      <c r="AF174" s="2417"/>
      <c r="AG174" s="2417"/>
      <c r="AH174" s="2417"/>
      <c r="AI174" s="2417"/>
      <c r="AJ174" s="2417"/>
      <c r="AK174" s="2417"/>
      <c r="AL174" s="2417"/>
      <c r="AM174" s="2417"/>
      <c r="AN174" s="2417"/>
      <c r="AO174" s="2418"/>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22"/>
      <c r="D175" s="2392"/>
      <c r="E175" s="2392"/>
      <c r="F175" s="2392"/>
      <c r="G175" s="2392"/>
      <c r="H175" s="2392"/>
      <c r="I175" s="2466"/>
      <c r="J175" s="2466"/>
      <c r="K175" s="2466"/>
      <c r="L175" s="2466"/>
      <c r="M175" s="2466"/>
      <c r="N175" s="2492"/>
      <c r="O175" s="1209"/>
      <c r="P175" s="2416"/>
      <c r="Q175" s="2417"/>
      <c r="R175" s="2417"/>
      <c r="S175" s="2417"/>
      <c r="T175" s="2417"/>
      <c r="U175" s="2417"/>
      <c r="V175" s="2417"/>
      <c r="W175" s="2417"/>
      <c r="X175" s="2417"/>
      <c r="Y175" s="2417"/>
      <c r="Z175" s="2417"/>
      <c r="AA175" s="2417"/>
      <c r="AB175" s="2417"/>
      <c r="AC175" s="2417"/>
      <c r="AD175" s="2417"/>
      <c r="AE175" s="2417"/>
      <c r="AF175" s="2417"/>
      <c r="AG175" s="2417"/>
      <c r="AH175" s="2417"/>
      <c r="AI175" s="2417"/>
      <c r="AJ175" s="2417"/>
      <c r="AK175" s="2417"/>
      <c r="AL175" s="2417"/>
      <c r="AM175" s="2417"/>
      <c r="AN175" s="2417"/>
      <c r="AO175" s="2418"/>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22"/>
      <c r="D176" s="2392"/>
      <c r="E176" s="2392"/>
      <c r="F176" s="2392"/>
      <c r="G176" s="2392"/>
      <c r="H176" s="2392"/>
      <c r="I176" s="2466"/>
      <c r="J176" s="2466"/>
      <c r="K176" s="2466"/>
      <c r="L176" s="2466"/>
      <c r="M176" s="2466"/>
      <c r="N176" s="2492"/>
      <c r="O176" s="1209"/>
      <c r="P176" s="2416"/>
      <c r="Q176" s="2417"/>
      <c r="R176" s="2417"/>
      <c r="S176" s="2417"/>
      <c r="T176" s="2417"/>
      <c r="U176" s="2417"/>
      <c r="V176" s="2417"/>
      <c r="W176" s="2417"/>
      <c r="X176" s="2417"/>
      <c r="Y176" s="2417"/>
      <c r="Z176" s="2417"/>
      <c r="AA176" s="2417"/>
      <c r="AB176" s="2417"/>
      <c r="AC176" s="2417"/>
      <c r="AD176" s="2417"/>
      <c r="AE176" s="2417"/>
      <c r="AF176" s="2417"/>
      <c r="AG176" s="2417"/>
      <c r="AH176" s="2417"/>
      <c r="AI176" s="2417"/>
      <c r="AJ176" s="2417"/>
      <c r="AK176" s="2417"/>
      <c r="AL176" s="2417"/>
      <c r="AM176" s="2417"/>
      <c r="AN176" s="2417"/>
      <c r="AO176" s="2418"/>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22"/>
      <c r="D177" s="2392"/>
      <c r="E177" s="2392"/>
      <c r="F177" s="2392"/>
      <c r="G177" s="2392"/>
      <c r="H177" s="2392"/>
      <c r="I177" s="2466"/>
      <c r="J177" s="2466"/>
      <c r="K177" s="2466"/>
      <c r="L177" s="2466"/>
      <c r="M177" s="2466"/>
      <c r="N177" s="2492"/>
      <c r="O177" s="1209"/>
      <c r="P177" s="2416"/>
      <c r="Q177" s="2417"/>
      <c r="R177" s="2417"/>
      <c r="S177" s="2417"/>
      <c r="T177" s="2417"/>
      <c r="U177" s="2417"/>
      <c r="V177" s="2417"/>
      <c r="W177" s="2417"/>
      <c r="X177" s="2417"/>
      <c r="Y177" s="2417"/>
      <c r="Z177" s="2417"/>
      <c r="AA177" s="2417"/>
      <c r="AB177" s="2417"/>
      <c r="AC177" s="2417"/>
      <c r="AD177" s="2417"/>
      <c r="AE177" s="2417"/>
      <c r="AF177" s="2417"/>
      <c r="AG177" s="2417"/>
      <c r="AH177" s="2417"/>
      <c r="AI177" s="2417"/>
      <c r="AJ177" s="2417"/>
      <c r="AK177" s="2417"/>
      <c r="AL177" s="2417"/>
      <c r="AM177" s="2417"/>
      <c r="AN177" s="2417"/>
      <c r="AO177" s="2418"/>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78"/>
      <c r="D178" s="2479"/>
      <c r="E178" s="2479"/>
      <c r="F178" s="2479"/>
      <c r="G178" s="2479"/>
      <c r="H178" s="2479"/>
      <c r="I178" s="2480"/>
      <c r="J178" s="2480"/>
      <c r="K178" s="2480"/>
      <c r="L178" s="2480"/>
      <c r="M178" s="2480"/>
      <c r="N178" s="2481"/>
      <c r="O178" s="1209"/>
      <c r="P178" s="2419"/>
      <c r="Q178" s="2420"/>
      <c r="R178" s="2420"/>
      <c r="S178" s="2420"/>
      <c r="T178" s="2420"/>
      <c r="U178" s="2420"/>
      <c r="V178" s="2420"/>
      <c r="W178" s="2420"/>
      <c r="X178" s="2420"/>
      <c r="Y178" s="2420"/>
      <c r="Z178" s="2420"/>
      <c r="AA178" s="2420"/>
      <c r="AB178" s="2420"/>
      <c r="AC178" s="2420"/>
      <c r="AD178" s="2420"/>
      <c r="AE178" s="2420"/>
      <c r="AF178" s="2420"/>
      <c r="AG178" s="2420"/>
      <c r="AH178" s="2420"/>
      <c r="AI178" s="2420"/>
      <c r="AJ178" s="2420"/>
      <c r="AK178" s="2420"/>
      <c r="AL178" s="2420"/>
      <c r="AM178" s="2420"/>
      <c r="AN178" s="2420"/>
      <c r="AO178" s="2421"/>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82" t="s">
        <v>2488</v>
      </c>
      <c r="D180" s="2483"/>
      <c r="E180" s="2483"/>
      <c r="F180" s="2483"/>
      <c r="G180" s="2483"/>
      <c r="H180" s="2483"/>
      <c r="I180" s="2483"/>
      <c r="J180" s="2483"/>
      <c r="K180" s="2483"/>
      <c r="L180" s="2483"/>
      <c r="M180" s="2483"/>
      <c r="N180" s="2483"/>
      <c r="O180" s="2483"/>
      <c r="P180" s="2483"/>
      <c r="Q180" s="2483"/>
      <c r="R180" s="2483"/>
      <c r="S180" s="2483"/>
      <c r="T180" s="2483"/>
      <c r="U180" s="2483"/>
      <c r="V180" s="2483"/>
      <c r="W180" s="2483"/>
      <c r="X180" s="2483"/>
      <c r="Y180" s="2483"/>
      <c r="Z180" s="2483"/>
      <c r="AA180" s="2483"/>
      <c r="AB180" s="2483"/>
      <c r="AC180" s="2483"/>
      <c r="AD180" s="2483"/>
      <c r="AE180" s="2484"/>
      <c r="AF180" s="1209"/>
      <c r="AG180" s="1209"/>
      <c r="AH180" s="2237" t="s">
        <v>2605</v>
      </c>
      <c r="AI180" s="2238"/>
      <c r="AJ180" s="2238"/>
      <c r="AK180" s="2238"/>
      <c r="AL180" s="2238"/>
      <c r="AM180" s="2238"/>
      <c r="AN180" s="2238"/>
      <c r="AO180" s="2238"/>
      <c r="AP180" s="2238"/>
      <c r="AQ180" s="2238"/>
      <c r="AR180" s="2238"/>
      <c r="AS180" s="2238"/>
      <c r="AT180" s="2238"/>
      <c r="AU180" s="2238"/>
      <c r="AV180" s="2238"/>
      <c r="AW180" s="2238"/>
      <c r="AX180" s="2238"/>
      <c r="AY180" s="2238"/>
      <c r="AZ180" s="2238"/>
      <c r="BA180" s="2238"/>
      <c r="BB180" s="2238"/>
      <c r="BC180" s="2238"/>
      <c r="BD180" s="2238"/>
      <c r="BE180" s="2239"/>
    </row>
    <row r="181" spans="1:57" ht="15.75" customHeight="1" thickBot="1">
      <c r="A181" s="1209"/>
      <c r="B181" s="1209"/>
      <c r="C181" s="2485"/>
      <c r="D181" s="2486"/>
      <c r="E181" s="2486"/>
      <c r="F181" s="2486"/>
      <c r="G181" s="2486"/>
      <c r="H181" s="2486"/>
      <c r="I181" s="2486"/>
      <c r="J181" s="2486"/>
      <c r="K181" s="2486"/>
      <c r="L181" s="2486"/>
      <c r="M181" s="2486"/>
      <c r="N181" s="2486"/>
      <c r="O181" s="2486"/>
      <c r="P181" s="2486"/>
      <c r="Q181" s="2486"/>
      <c r="R181" s="2486"/>
      <c r="S181" s="2486"/>
      <c r="T181" s="2486"/>
      <c r="U181" s="2486"/>
      <c r="V181" s="2486"/>
      <c r="W181" s="2486"/>
      <c r="X181" s="2486"/>
      <c r="Y181" s="2486"/>
      <c r="Z181" s="2486"/>
      <c r="AA181" s="2486"/>
      <c r="AB181" s="2486"/>
      <c r="AC181" s="2486"/>
      <c r="AD181" s="2486"/>
      <c r="AE181" s="2487"/>
      <c r="AF181" s="1209"/>
      <c r="AG181" s="1209"/>
      <c r="AH181" s="2240" t="s">
        <v>2626</v>
      </c>
      <c r="AI181" s="2240"/>
      <c r="AJ181" s="2240"/>
      <c r="AK181" s="2240"/>
      <c r="AL181" s="2240"/>
      <c r="AM181" s="2240"/>
      <c r="AN181" s="2240"/>
      <c r="AO181" s="2240"/>
      <c r="AP181" s="2240"/>
      <c r="AQ181" s="2240"/>
      <c r="AR181" s="2240"/>
      <c r="AS181" s="2240"/>
      <c r="AT181" s="2240"/>
      <c r="AU181" s="2240"/>
      <c r="AV181" s="2240"/>
      <c r="AW181" s="2240"/>
      <c r="AX181" s="2240"/>
      <c r="AY181" s="2240"/>
      <c r="AZ181" s="2240"/>
      <c r="BA181" s="2240"/>
      <c r="BB181" s="2240"/>
      <c r="BC181" s="2240"/>
      <c r="BD181" s="2240"/>
      <c r="BE181" s="2240"/>
    </row>
    <row r="182" spans="1:57" ht="15.75" customHeight="1">
      <c r="A182" s="1209"/>
      <c r="B182" s="1209"/>
      <c r="C182" s="2488" t="s">
        <v>1838</v>
      </c>
      <c r="D182" s="2489"/>
      <c r="E182" s="2489"/>
      <c r="F182" s="2489"/>
      <c r="G182" s="2489"/>
      <c r="H182" s="2489"/>
      <c r="I182" s="2489"/>
      <c r="J182" s="2489"/>
      <c r="K182" s="2489"/>
      <c r="L182" s="2489"/>
      <c r="M182" s="2489"/>
      <c r="N182" s="2489" t="s">
        <v>1849</v>
      </c>
      <c r="O182" s="2489"/>
      <c r="P182" s="2489"/>
      <c r="Q182" s="2489"/>
      <c r="R182" s="2489"/>
      <c r="S182" s="2489"/>
      <c r="T182" s="2489"/>
      <c r="U182" s="2384" t="s">
        <v>1838</v>
      </c>
      <c r="V182" s="2384"/>
      <c r="W182" s="2384"/>
      <c r="X182" s="2384"/>
      <c r="Y182" s="2384"/>
      <c r="Z182" s="2384"/>
      <c r="AA182" s="2384"/>
      <c r="AB182" s="2384"/>
      <c r="AC182" s="2384"/>
      <c r="AD182" s="2384"/>
      <c r="AE182" s="2385"/>
      <c r="AF182" s="1209"/>
      <c r="AG182" s="1209"/>
      <c r="AH182" s="2241" t="s">
        <v>2610</v>
      </c>
      <c r="AI182" s="2241"/>
      <c r="AJ182" s="2241"/>
      <c r="AK182" s="2241"/>
      <c r="AL182" s="2241"/>
      <c r="AM182" s="2241"/>
      <c r="AN182" s="2241"/>
      <c r="AO182" s="2241"/>
      <c r="AP182" s="2241"/>
      <c r="AQ182" s="2241"/>
      <c r="AR182" s="2241"/>
      <c r="AS182" s="2241"/>
      <c r="AT182" s="2241"/>
      <c r="AU182" s="2207">
        <v>2500000</v>
      </c>
      <c r="AV182" s="2207"/>
      <c r="AW182" s="2207"/>
      <c r="AX182" s="2207"/>
      <c r="AY182" s="2207"/>
      <c r="AZ182" s="2207"/>
      <c r="BA182" s="2207"/>
      <c r="BB182" s="2207"/>
      <c r="BC182" s="2215"/>
      <c r="BD182" s="2216"/>
      <c r="BE182" s="2217"/>
    </row>
    <row r="183" spans="1:57" ht="15.75" customHeight="1">
      <c r="A183" s="1209"/>
      <c r="B183" s="1209"/>
      <c r="C183" s="2231" t="s">
        <v>2489</v>
      </c>
      <c r="D183" s="2232"/>
      <c r="E183" s="2232"/>
      <c r="F183" s="2232"/>
      <c r="G183" s="2232"/>
      <c r="H183" s="2232"/>
      <c r="I183" s="2232"/>
      <c r="J183" s="2232"/>
      <c r="K183" s="2232"/>
      <c r="L183" s="2232"/>
      <c r="M183" s="2232"/>
      <c r="N183" s="2494">
        <f>'Sources and Uses Budget'!B105</f>
        <v>158715116</v>
      </c>
      <c r="O183" s="2494"/>
      <c r="P183" s="2494"/>
      <c r="Q183" s="2494"/>
      <c r="R183" s="2494"/>
      <c r="S183" s="2494"/>
      <c r="T183" s="2494"/>
      <c r="U183" s="2495"/>
      <c r="V183" s="2495"/>
      <c r="W183" s="2495"/>
      <c r="X183" s="2495"/>
      <c r="Y183" s="2495"/>
      <c r="Z183" s="2495"/>
      <c r="AA183" s="2495"/>
      <c r="AB183" s="2495"/>
      <c r="AC183" s="2495"/>
      <c r="AD183" s="2495"/>
      <c r="AE183" s="2496"/>
      <c r="AF183" s="1209"/>
      <c r="AG183" s="1209"/>
      <c r="AH183" s="2241" t="s">
        <v>2609</v>
      </c>
      <c r="AI183" s="2241"/>
      <c r="AJ183" s="2241"/>
      <c r="AK183" s="2241"/>
      <c r="AL183" s="2241"/>
      <c r="AM183" s="2241"/>
      <c r="AN183" s="2241"/>
      <c r="AO183" s="2241"/>
      <c r="AP183" s="2241"/>
      <c r="AQ183" s="2241"/>
      <c r="AR183" s="2241"/>
      <c r="AS183" s="2241"/>
      <c r="AT183" s="2241"/>
      <c r="AU183" s="2208">
        <f>MAX(0,Application!AG439-100)*20000</f>
        <v>1780000</v>
      </c>
      <c r="AV183" s="2208"/>
      <c r="AW183" s="2208"/>
      <c r="AX183" s="2208"/>
      <c r="AY183" s="2208"/>
      <c r="AZ183" s="2208"/>
      <c r="BA183" s="2208"/>
      <c r="BB183" s="2208"/>
      <c r="BC183" s="2212"/>
      <c r="BD183" s="2213"/>
      <c r="BE183" s="2214"/>
    </row>
    <row r="184" spans="1:57" ht="15.75" customHeight="1">
      <c r="A184" s="1209"/>
      <c r="B184" s="1209"/>
      <c r="C184" s="2231" t="s">
        <v>2490</v>
      </c>
      <c r="D184" s="2232"/>
      <c r="E184" s="2232"/>
      <c r="F184" s="2232"/>
      <c r="G184" s="2232"/>
      <c r="H184" s="2232"/>
      <c r="I184" s="2232"/>
      <c r="J184" s="2232"/>
      <c r="K184" s="2232"/>
      <c r="L184" s="2232"/>
      <c r="M184" s="2232"/>
      <c r="N184" s="2494">
        <f>N183/J29</f>
        <v>839762.51851851854</v>
      </c>
      <c r="O184" s="2494"/>
      <c r="P184" s="2494"/>
      <c r="Q184" s="2494"/>
      <c r="R184" s="2494"/>
      <c r="S184" s="2494"/>
      <c r="T184" s="2494"/>
      <c r="U184" s="1225"/>
      <c r="V184" s="1225"/>
      <c r="W184" s="1225"/>
      <c r="X184" s="1225"/>
      <c r="Y184" s="1225"/>
      <c r="Z184" s="1225"/>
      <c r="AA184" s="1225"/>
      <c r="AB184" s="1225"/>
      <c r="AC184" s="1225"/>
      <c r="AD184" s="1225"/>
      <c r="AE184" s="1224"/>
      <c r="AF184" s="1209"/>
      <c r="AG184" s="1209"/>
      <c r="AH184" s="2218" t="s">
        <v>2608</v>
      </c>
      <c r="AI184" s="2218"/>
      <c r="AJ184" s="2218"/>
      <c r="AK184" s="2218"/>
      <c r="AL184" s="2218"/>
      <c r="AM184" s="2218"/>
      <c r="AN184" s="2218"/>
      <c r="AO184" s="2218"/>
      <c r="AP184" s="2218"/>
      <c r="AQ184" s="2218"/>
      <c r="AR184" s="2218"/>
      <c r="AS184" s="2218"/>
      <c r="AT184" s="2218"/>
      <c r="AU184" s="2209">
        <f>AU182+AU183</f>
        <v>4280000</v>
      </c>
      <c r="AV184" s="2209"/>
      <c r="AW184" s="2209"/>
      <c r="AX184" s="2209"/>
      <c r="AY184" s="2209"/>
      <c r="AZ184" s="2209"/>
      <c r="BA184" s="2209"/>
      <c r="BB184" s="2209"/>
      <c r="BC184" s="2212"/>
      <c r="BD184" s="2213"/>
      <c r="BE184" s="2214"/>
    </row>
    <row r="185" spans="1:57" ht="15.75" customHeight="1">
      <c r="A185" s="1209"/>
      <c r="B185" s="1209"/>
      <c r="C185" s="2497" t="s">
        <v>2491</v>
      </c>
      <c r="D185" s="2498"/>
      <c r="E185" s="2498"/>
      <c r="F185" s="2498"/>
      <c r="G185" s="2498"/>
      <c r="H185" s="2498"/>
      <c r="I185" s="2498"/>
      <c r="J185" s="2498"/>
      <c r="K185" s="2498"/>
      <c r="L185" s="2498"/>
      <c r="M185" s="2498"/>
      <c r="N185" s="2423">
        <v>0</v>
      </c>
      <c r="O185" s="2423"/>
      <c r="P185" s="2423"/>
      <c r="Q185" s="2423"/>
      <c r="R185" s="2423"/>
      <c r="S185" s="2423"/>
      <c r="T185" s="2423"/>
      <c r="U185" s="2401"/>
      <c r="V185" s="2401"/>
      <c r="W185" s="2401"/>
      <c r="X185" s="2401"/>
      <c r="Y185" s="2401"/>
      <c r="Z185" s="2401"/>
      <c r="AA185" s="2401"/>
      <c r="AB185" s="2401"/>
      <c r="AC185" s="2401"/>
      <c r="AD185" s="2401"/>
      <c r="AE185" s="2402"/>
      <c r="AF185" s="1209"/>
      <c r="AG185" s="1209"/>
      <c r="AH185" s="2211" t="s">
        <v>2607</v>
      </c>
      <c r="AI185" s="2211"/>
      <c r="AJ185" s="2211"/>
      <c r="AK185" s="2211"/>
      <c r="AL185" s="2211"/>
      <c r="AM185" s="2211"/>
      <c r="AN185" s="2211"/>
      <c r="AO185" s="2211"/>
      <c r="AP185" s="2211"/>
      <c r="AQ185" s="2211"/>
      <c r="AR185" s="2211"/>
      <c r="AS185" s="2211"/>
      <c r="AT185" s="2211"/>
      <c r="AU185" s="2210" t="str">
        <f>IF(AU189-AU192&lt;=AU184,"Y","N")</f>
        <v>Y</v>
      </c>
      <c r="AV185" s="2210"/>
      <c r="AW185" s="2210"/>
      <c r="AX185" s="2210"/>
      <c r="AY185" s="2210"/>
      <c r="AZ185" s="2210"/>
      <c r="BA185" s="2210"/>
      <c r="BB185" s="2210"/>
      <c r="BC185" s="2212"/>
      <c r="BD185" s="2213"/>
      <c r="BE185" s="2214"/>
    </row>
    <row r="186" spans="1:57" ht="15.75" customHeight="1" thickBot="1">
      <c r="A186" s="1209"/>
      <c r="B186" s="1209"/>
      <c r="C186" s="2231" t="s">
        <v>2492</v>
      </c>
      <c r="D186" s="2232"/>
      <c r="E186" s="2232"/>
      <c r="F186" s="2232"/>
      <c r="G186" s="2232"/>
      <c r="H186" s="2232"/>
      <c r="I186" s="2232"/>
      <c r="J186" s="2232"/>
      <c r="K186" s="2232"/>
      <c r="L186" s="2232"/>
      <c r="M186" s="2232"/>
      <c r="N186" s="2493">
        <f>SUM('Sources and Uses Budget'!B85:B86)</f>
        <v>2801243</v>
      </c>
      <c r="O186" s="2493"/>
      <c r="P186" s="2493"/>
      <c r="Q186" s="2493"/>
      <c r="R186" s="2493"/>
      <c r="S186" s="2493"/>
      <c r="T186" s="2493"/>
      <c r="U186" s="2401"/>
      <c r="V186" s="2401"/>
      <c r="W186" s="2401"/>
      <c r="X186" s="2401"/>
      <c r="Y186" s="2401"/>
      <c r="Z186" s="2401"/>
      <c r="AA186" s="2401"/>
      <c r="AB186" s="2401"/>
      <c r="AC186" s="2401"/>
      <c r="AD186" s="2401"/>
      <c r="AE186" s="240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31" t="s">
        <v>2493</v>
      </c>
      <c r="D187" s="2232"/>
      <c r="E187" s="2232"/>
      <c r="F187" s="2232"/>
      <c r="G187" s="2232"/>
      <c r="H187" s="2232"/>
      <c r="I187" s="2232"/>
      <c r="J187" s="2232"/>
      <c r="K187" s="2232"/>
      <c r="L187" s="2232"/>
      <c r="M187" s="2232"/>
      <c r="N187" s="2493">
        <f>'Sources and Uses Budget'!B8</f>
        <v>339794</v>
      </c>
      <c r="O187" s="2493"/>
      <c r="P187" s="2493"/>
      <c r="Q187" s="2493"/>
      <c r="R187" s="2493"/>
      <c r="S187" s="2493"/>
      <c r="T187" s="2493"/>
      <c r="U187" s="2401"/>
      <c r="V187" s="2401"/>
      <c r="W187" s="2401"/>
      <c r="X187" s="2401"/>
      <c r="Y187" s="2401"/>
      <c r="Z187" s="2401"/>
      <c r="AA187" s="2401"/>
      <c r="AB187" s="2401"/>
      <c r="AC187" s="2401"/>
      <c r="AD187" s="2401"/>
      <c r="AE187" s="2402"/>
      <c r="AF187" s="1209"/>
      <c r="AG187" s="1209"/>
      <c r="AH187" s="2500" t="s">
        <v>1850</v>
      </c>
      <c r="AI187" s="2501"/>
      <c r="AJ187" s="2501"/>
      <c r="AK187" s="2501"/>
      <c r="AL187" s="2501"/>
      <c r="AM187" s="2501"/>
      <c r="AN187" s="2501"/>
      <c r="AO187" s="2501"/>
      <c r="AP187" s="2501"/>
      <c r="AQ187" s="2501"/>
      <c r="AR187" s="2501"/>
      <c r="AS187" s="2501"/>
      <c r="AT187" s="2501"/>
      <c r="AU187" s="2501"/>
      <c r="AV187" s="2501"/>
      <c r="AW187" s="2501"/>
      <c r="AX187" s="2501"/>
      <c r="AY187" s="2501"/>
      <c r="AZ187" s="2501"/>
      <c r="BA187" s="2501"/>
      <c r="BB187" s="2501"/>
      <c r="BC187" s="2501"/>
      <c r="BD187" s="2501"/>
      <c r="BE187" s="2502"/>
    </row>
    <row r="188" spans="1:57" ht="15.75" customHeight="1">
      <c r="A188" s="1209"/>
      <c r="B188" s="1209"/>
      <c r="C188" s="2231" t="s">
        <v>2494</v>
      </c>
      <c r="D188" s="2232"/>
      <c r="E188" s="2232"/>
      <c r="F188" s="2232"/>
      <c r="G188" s="2232"/>
      <c r="H188" s="2232"/>
      <c r="I188" s="2232"/>
      <c r="J188" s="2232"/>
      <c r="K188" s="2232"/>
      <c r="L188" s="2232"/>
      <c r="M188" s="2232"/>
      <c r="N188" s="2508">
        <v>0</v>
      </c>
      <c r="O188" s="2508"/>
      <c r="P188" s="2508"/>
      <c r="Q188" s="2508"/>
      <c r="R188" s="2508"/>
      <c r="S188" s="2508"/>
      <c r="T188" s="2508"/>
      <c r="U188" s="2401"/>
      <c r="V188" s="2401"/>
      <c r="W188" s="2401"/>
      <c r="X188" s="2401"/>
      <c r="Y188" s="2401"/>
      <c r="Z188" s="2401"/>
      <c r="AA188" s="2401"/>
      <c r="AB188" s="2401"/>
      <c r="AC188" s="2401"/>
      <c r="AD188" s="2401"/>
      <c r="AE188" s="2402"/>
      <c r="AF188" s="1209"/>
      <c r="AG188" s="1209"/>
      <c r="AH188" s="2503" t="s">
        <v>1850</v>
      </c>
      <c r="AI188" s="2503"/>
      <c r="AJ188" s="2503"/>
      <c r="AK188" s="2503"/>
      <c r="AL188" s="2503"/>
      <c r="AM188" s="2503"/>
      <c r="AN188" s="2503"/>
      <c r="AO188" s="2503"/>
      <c r="AP188" s="2503"/>
      <c r="AQ188" s="2503"/>
      <c r="AR188" s="2503"/>
      <c r="AS188" s="2503"/>
      <c r="AT188" s="2503"/>
      <c r="AU188" s="2504">
        <v>0</v>
      </c>
      <c r="AV188" s="2504"/>
      <c r="AW188" s="2504"/>
      <c r="AX188" s="2504"/>
      <c r="AY188" s="2504"/>
      <c r="AZ188" s="2504"/>
      <c r="BA188" s="2504"/>
      <c r="BB188" s="2504"/>
      <c r="BC188" s="2505"/>
      <c r="BD188" s="2506"/>
      <c r="BE188" s="2507"/>
    </row>
    <row r="189" spans="1:57" ht="15.75" customHeight="1">
      <c r="A189" s="1209"/>
      <c r="B189" s="1209"/>
      <c r="C189" s="2231" t="s">
        <v>2495</v>
      </c>
      <c r="D189" s="2232"/>
      <c r="E189" s="2232"/>
      <c r="F189" s="2232"/>
      <c r="G189" s="2232"/>
      <c r="H189" s="2232"/>
      <c r="I189" s="2232"/>
      <c r="J189" s="2232"/>
      <c r="K189" s="2232"/>
      <c r="L189" s="2232"/>
      <c r="M189" s="2232"/>
      <c r="N189" s="2508">
        <v>0</v>
      </c>
      <c r="O189" s="2508"/>
      <c r="P189" s="2508"/>
      <c r="Q189" s="2508"/>
      <c r="R189" s="2508"/>
      <c r="S189" s="2508"/>
      <c r="T189" s="2508"/>
      <c r="U189" s="2401"/>
      <c r="V189" s="2401"/>
      <c r="W189" s="2401"/>
      <c r="X189" s="2401"/>
      <c r="Y189" s="2401"/>
      <c r="Z189" s="2401"/>
      <c r="AA189" s="2401"/>
      <c r="AB189" s="2401"/>
      <c r="AC189" s="2401"/>
      <c r="AD189" s="2401"/>
      <c r="AE189" s="2402"/>
      <c r="AF189" s="1209"/>
      <c r="AG189" s="1209"/>
      <c r="AH189" s="2241" t="s">
        <v>2606</v>
      </c>
      <c r="AI189" s="2241"/>
      <c r="AJ189" s="2241"/>
      <c r="AK189" s="2241"/>
      <c r="AL189" s="2241"/>
      <c r="AM189" s="2241"/>
      <c r="AN189" s="2241"/>
      <c r="AO189" s="2241"/>
      <c r="AP189" s="2241"/>
      <c r="AQ189" s="2241"/>
      <c r="AR189" s="2241"/>
      <c r="AS189" s="2241"/>
      <c r="AT189" s="2241"/>
      <c r="AU189" s="2499"/>
      <c r="AV189" s="2499"/>
      <c r="AW189" s="2499"/>
      <c r="AX189" s="2499"/>
      <c r="AY189" s="2499"/>
      <c r="AZ189" s="2499"/>
      <c r="BA189" s="2499"/>
      <c r="BB189" s="2499"/>
      <c r="BC189" s="2212"/>
      <c r="BD189" s="2213"/>
      <c r="BE189" s="2214"/>
    </row>
    <row r="190" spans="1:57" ht="15.75" customHeight="1">
      <c r="A190" s="1209"/>
      <c r="B190" s="1209"/>
      <c r="C190" s="2534" t="s">
        <v>301</v>
      </c>
      <c r="D190" s="2465"/>
      <c r="E190" s="2533" t="s">
        <v>1844</v>
      </c>
      <c r="F190" s="2533"/>
      <c r="G190" s="2533"/>
      <c r="H190" s="2533"/>
      <c r="I190" s="2533"/>
      <c r="J190" s="2533"/>
      <c r="K190" s="2533"/>
      <c r="L190" s="2533"/>
      <c r="M190" s="2533"/>
      <c r="N190" s="2508">
        <v>0</v>
      </c>
      <c r="O190" s="2508"/>
      <c r="P190" s="2508"/>
      <c r="Q190" s="2508"/>
      <c r="R190" s="2508"/>
      <c r="S190" s="2508"/>
      <c r="T190" s="2508"/>
      <c r="U190" s="2401"/>
      <c r="V190" s="2401"/>
      <c r="W190" s="2401"/>
      <c r="X190" s="2401"/>
      <c r="Y190" s="2401"/>
      <c r="Z190" s="2401"/>
      <c r="AA190" s="2401"/>
      <c r="AB190" s="2401"/>
      <c r="AC190" s="2401"/>
      <c r="AD190" s="2401"/>
      <c r="AE190" s="2402"/>
      <c r="AF190" s="1209"/>
      <c r="AG190" s="1209"/>
      <c r="AH190" s="2218" t="s">
        <v>2605</v>
      </c>
      <c r="AI190" s="2218"/>
      <c r="AJ190" s="2218"/>
      <c r="AK190" s="2218"/>
      <c r="AL190" s="2218"/>
      <c r="AM190" s="2218"/>
      <c r="AN190" s="2218"/>
      <c r="AO190" s="2218"/>
      <c r="AP190" s="2218"/>
      <c r="AQ190" s="2218"/>
      <c r="AR190" s="2218"/>
      <c r="AS190" s="2218"/>
      <c r="AT190" s="2218"/>
      <c r="AU190" s="2209">
        <f>SUM(AU188:BB189)</f>
        <v>0</v>
      </c>
      <c r="AV190" s="2209"/>
      <c r="AW190" s="2209"/>
      <c r="AX190" s="2209"/>
      <c r="AY190" s="2209"/>
      <c r="AZ190" s="2209"/>
      <c r="BA190" s="2209"/>
      <c r="BB190" s="2209"/>
      <c r="BC190" s="2212"/>
      <c r="BD190" s="2213"/>
      <c r="BE190" s="2214"/>
    </row>
    <row r="191" spans="1:57" ht="15.75" customHeight="1" thickBot="1">
      <c r="A191" s="1209"/>
      <c r="B191" s="1209"/>
      <c r="C191" s="2422" t="s">
        <v>301</v>
      </c>
      <c r="D191" s="2392"/>
      <c r="E191" s="2533" t="s">
        <v>1844</v>
      </c>
      <c r="F191" s="2533"/>
      <c r="G191" s="2533"/>
      <c r="H191" s="2533"/>
      <c r="I191" s="2533"/>
      <c r="J191" s="2533"/>
      <c r="K191" s="2533"/>
      <c r="L191" s="2533"/>
      <c r="M191" s="2533"/>
      <c r="N191" s="2508">
        <v>0</v>
      </c>
      <c r="O191" s="2508"/>
      <c r="P191" s="2508"/>
      <c r="Q191" s="2508"/>
      <c r="R191" s="2508"/>
      <c r="S191" s="2508"/>
      <c r="T191" s="2508"/>
      <c r="U191" s="2401"/>
      <c r="V191" s="2401"/>
      <c r="W191" s="2401"/>
      <c r="X191" s="2401"/>
      <c r="Y191" s="2401"/>
      <c r="Z191" s="2401"/>
      <c r="AA191" s="2401"/>
      <c r="AB191" s="2401"/>
      <c r="AC191" s="2401"/>
      <c r="AD191" s="2401"/>
      <c r="AE191" s="240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15"/>
      <c r="BD191" s="2516"/>
      <c r="BE191" s="2517"/>
    </row>
    <row r="192" spans="1:57" ht="15.75" customHeight="1" thickBot="1">
      <c r="A192" s="1209"/>
      <c r="B192" s="1209"/>
      <c r="C192" s="2522" t="s">
        <v>301</v>
      </c>
      <c r="D192" s="2523"/>
      <c r="E192" s="2524" t="s">
        <v>1844</v>
      </c>
      <c r="F192" s="2524"/>
      <c r="G192" s="2524"/>
      <c r="H192" s="2524"/>
      <c r="I192" s="2524"/>
      <c r="J192" s="2524"/>
      <c r="K192" s="2524"/>
      <c r="L192" s="2524"/>
      <c r="M192" s="2525"/>
      <c r="N192" s="2526">
        <v>0</v>
      </c>
      <c r="O192" s="2526"/>
      <c r="P192" s="2526"/>
      <c r="Q192" s="2526"/>
      <c r="R192" s="2526"/>
      <c r="S192" s="2526"/>
      <c r="T192" s="2527"/>
      <c r="U192" s="2528"/>
      <c r="V192" s="2529"/>
      <c r="W192" s="2529"/>
      <c r="X192" s="2529"/>
      <c r="Y192" s="2529"/>
      <c r="Z192" s="2529"/>
      <c r="AA192" s="2529"/>
      <c r="AB192" s="2529"/>
      <c r="AC192" s="2529"/>
      <c r="AD192" s="2529"/>
      <c r="AE192" s="2530"/>
      <c r="AF192" s="1209"/>
      <c r="AG192" s="1209"/>
      <c r="AH192" s="2559" t="s">
        <v>1851</v>
      </c>
      <c r="AI192" s="2560"/>
      <c r="AJ192" s="2560"/>
      <c r="AK192" s="2560"/>
      <c r="AL192" s="2560"/>
      <c r="AM192" s="2560"/>
      <c r="AN192" s="2560"/>
      <c r="AO192" s="2560"/>
      <c r="AP192" s="2560"/>
      <c r="AQ192" s="2560"/>
      <c r="AR192" s="2560"/>
      <c r="AS192" s="2560"/>
      <c r="AT192" s="2560"/>
      <c r="AU192" s="2509"/>
      <c r="AV192" s="2509"/>
      <c r="AW192" s="2509"/>
      <c r="AX192" s="2509"/>
      <c r="AY192" s="2509"/>
      <c r="AZ192" s="2509"/>
      <c r="BA192" s="2509"/>
      <c r="BB192" s="2509"/>
      <c r="BC192" s="1222"/>
      <c r="BD192" s="1222"/>
      <c r="BE192" s="1221"/>
    </row>
    <row r="193" spans="1:57" ht="15.75" customHeight="1">
      <c r="A193" s="1209"/>
      <c r="B193" s="1209"/>
      <c r="C193" s="2518" t="s">
        <v>1852</v>
      </c>
      <c r="D193" s="2519"/>
      <c r="E193" s="2519"/>
      <c r="F193" s="2519"/>
      <c r="G193" s="2519"/>
      <c r="H193" s="2519"/>
      <c r="I193" s="2519"/>
      <c r="J193" s="2519"/>
      <c r="K193" s="2519"/>
      <c r="L193" s="2519"/>
      <c r="M193" s="2519"/>
      <c r="N193" s="2520">
        <f>SUM(N185:T192)</f>
        <v>3141037</v>
      </c>
      <c r="O193" s="2520"/>
      <c r="P193" s="2520"/>
      <c r="Q193" s="2520"/>
      <c r="R193" s="2520"/>
      <c r="S193" s="2520"/>
      <c r="T193" s="2521"/>
      <c r="U193" s="1209"/>
      <c r="V193" s="1209"/>
      <c r="W193" s="1209"/>
      <c r="X193" s="1209"/>
      <c r="Y193" s="1209"/>
      <c r="Z193" s="1209"/>
      <c r="AA193" s="1209"/>
      <c r="AB193" s="1209"/>
      <c r="AC193" s="1209"/>
      <c r="AD193" s="1209"/>
      <c r="AE193" s="1209"/>
      <c r="AF193" s="1209"/>
      <c r="AG193" s="1209"/>
      <c r="AH193" s="2531" t="s">
        <v>2604</v>
      </c>
      <c r="AI193" s="2531"/>
      <c r="AJ193" s="2531"/>
      <c r="AK193" s="2531"/>
      <c r="AL193" s="2531"/>
      <c r="AM193" s="2531"/>
      <c r="AN193" s="2531"/>
      <c r="AO193" s="2531"/>
      <c r="AP193" s="2531"/>
      <c r="AQ193" s="2531"/>
      <c r="AR193" s="2531"/>
      <c r="AS193" s="2531"/>
      <c r="AT193" s="2531"/>
      <c r="AU193" s="2531"/>
      <c r="AV193" s="2531"/>
      <c r="AW193" s="2531"/>
      <c r="AX193" s="2531"/>
      <c r="AY193" s="2531"/>
      <c r="AZ193" s="2531"/>
      <c r="BA193" s="2531"/>
      <c r="BB193" s="2531"/>
      <c r="BC193" s="2531"/>
      <c r="BD193" s="2531"/>
      <c r="BE193" s="2532"/>
    </row>
    <row r="194" spans="1:57" ht="15.75" customHeight="1" thickBot="1">
      <c r="A194" s="1209"/>
      <c r="B194" s="1209"/>
      <c r="C194" s="2561" t="s">
        <v>2496</v>
      </c>
      <c r="D194" s="2562"/>
      <c r="E194" s="2562"/>
      <c r="F194" s="2562"/>
      <c r="G194" s="2562"/>
      <c r="H194" s="2562"/>
      <c r="I194" s="2562"/>
      <c r="J194" s="2562"/>
      <c r="K194" s="2562"/>
      <c r="L194" s="2562"/>
      <c r="M194" s="2562"/>
      <c r="N194" s="2563">
        <f>(N183-N193)/J29</f>
        <v>823143.27513227519</v>
      </c>
      <c r="O194" s="2564"/>
      <c r="P194" s="2564"/>
      <c r="Q194" s="2564"/>
      <c r="R194" s="2564"/>
      <c r="S194" s="2564"/>
      <c r="T194" s="2565"/>
      <c r="U194" s="1220"/>
      <c r="V194" s="1209"/>
      <c r="W194" s="1209"/>
      <c r="X194" s="1209"/>
      <c r="Y194" s="1209"/>
      <c r="Z194" s="1209"/>
      <c r="AA194" s="1209"/>
      <c r="AB194" s="1209"/>
      <c r="AC194" s="1209"/>
      <c r="AD194" s="1209"/>
      <c r="AE194" s="1209"/>
      <c r="AF194" s="1209"/>
      <c r="AG194" s="1209"/>
      <c r="AH194" s="2531"/>
      <c r="AI194" s="2531"/>
      <c r="AJ194" s="2531"/>
      <c r="AK194" s="2531"/>
      <c r="AL194" s="2531"/>
      <c r="AM194" s="2531"/>
      <c r="AN194" s="2531"/>
      <c r="AO194" s="2531"/>
      <c r="AP194" s="2531"/>
      <c r="AQ194" s="2531"/>
      <c r="AR194" s="2531"/>
      <c r="AS194" s="2531"/>
      <c r="AT194" s="2531"/>
      <c r="AU194" s="2531"/>
      <c r="AV194" s="2531"/>
      <c r="AW194" s="2531"/>
      <c r="AX194" s="2531"/>
      <c r="AY194" s="2531"/>
      <c r="AZ194" s="2531"/>
      <c r="BA194" s="2531"/>
      <c r="BB194" s="2531"/>
      <c r="BC194" s="2531"/>
      <c r="BD194" s="2531"/>
      <c r="BE194" s="2532"/>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66"/>
      <c r="AI195" s="2566"/>
      <c r="AJ195" s="2566"/>
      <c r="AK195" s="2566"/>
      <c r="AL195" s="2566"/>
      <c r="AM195" s="2566"/>
      <c r="AN195" s="2566"/>
      <c r="AO195" s="2566"/>
      <c r="AP195" s="2566"/>
      <c r="AQ195" s="2566"/>
      <c r="AR195" s="2566"/>
      <c r="AS195" s="2510"/>
      <c r="AT195" s="2510"/>
      <c r="AU195" s="2510"/>
      <c r="AV195" s="2510"/>
      <c r="AW195" s="2510"/>
      <c r="AX195" s="2510"/>
      <c r="AY195" s="2510"/>
      <c r="AZ195" s="2510"/>
      <c r="BA195" s="2510"/>
      <c r="BB195" s="2510"/>
      <c r="BC195" s="2510"/>
      <c r="BD195" s="251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11" t="s">
        <v>2603</v>
      </c>
      <c r="D197" s="2512"/>
      <c r="E197" s="2512"/>
      <c r="F197" s="2512"/>
      <c r="G197" s="2512"/>
      <c r="H197" s="2512"/>
      <c r="I197" s="2512"/>
      <c r="J197" s="2512"/>
      <c r="K197" s="2512"/>
      <c r="L197" s="2512"/>
      <c r="M197" s="2512"/>
      <c r="N197" s="2512"/>
      <c r="O197" s="2512"/>
      <c r="P197" s="2512"/>
      <c r="Q197" s="2512"/>
      <c r="R197" s="2512"/>
      <c r="S197" s="2512"/>
      <c r="T197" s="2512"/>
      <c r="U197" s="2512"/>
      <c r="V197" s="2512"/>
      <c r="W197" s="2512"/>
      <c r="X197" s="2512"/>
      <c r="Y197" s="2512"/>
      <c r="Z197" s="2512"/>
      <c r="AA197" s="2512"/>
      <c r="AB197" s="2512"/>
      <c r="AC197" s="2512"/>
      <c r="AD197" s="2512"/>
      <c r="AE197" s="251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21" t="s">
        <v>2602</v>
      </c>
      <c r="D198" s="2221"/>
      <c r="E198" s="2221"/>
      <c r="F198" s="2221"/>
      <c r="G198" s="2221"/>
      <c r="H198" s="2221"/>
      <c r="I198" s="2221"/>
      <c r="J198" s="2221"/>
      <c r="K198" s="2221"/>
      <c r="L198" s="2221"/>
      <c r="M198" s="2221"/>
      <c r="N198" s="2221"/>
      <c r="O198" s="2222" t="s">
        <v>2601</v>
      </c>
      <c r="P198" s="2222"/>
      <c r="Q198" s="2222"/>
      <c r="R198" s="2222"/>
      <c r="S198" s="2222"/>
      <c r="T198" s="2222"/>
      <c r="U198" s="2222"/>
      <c r="V198" s="2222"/>
      <c r="W198" s="2222"/>
      <c r="X198" s="2222" t="s">
        <v>2600</v>
      </c>
      <c r="Y198" s="2222"/>
      <c r="Z198" s="2222"/>
      <c r="AA198" s="2222"/>
      <c r="AB198" s="2222"/>
      <c r="AC198" s="2222"/>
      <c r="AD198" s="2222"/>
      <c r="AE198" s="2222"/>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19" t="s">
        <v>2599</v>
      </c>
      <c r="D199" s="2219"/>
      <c r="E199" s="2219"/>
      <c r="F199" s="2219"/>
      <c r="G199" s="2219"/>
      <c r="H199" s="2219"/>
      <c r="I199" s="2219"/>
      <c r="J199" s="2219"/>
      <c r="K199" s="2219"/>
      <c r="L199" s="2219"/>
      <c r="M199" s="2219"/>
      <c r="N199" s="2219"/>
      <c r="O199" s="2514" t="s">
        <v>2598</v>
      </c>
      <c r="P199" s="2514"/>
      <c r="Q199" s="2514"/>
      <c r="R199" s="2514"/>
      <c r="S199" s="2514"/>
      <c r="T199" s="2514"/>
      <c r="U199" s="2514"/>
      <c r="V199" s="2514"/>
      <c r="W199" s="2514"/>
      <c r="X199" s="2535">
        <v>0.03</v>
      </c>
      <c r="Y199" s="2535"/>
      <c r="Z199" s="2535"/>
      <c r="AA199" s="2535"/>
      <c r="AB199" s="2535"/>
      <c r="AC199" s="2535"/>
      <c r="AD199" s="2535"/>
      <c r="AE199" s="2535"/>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19" t="s">
        <v>865</v>
      </c>
      <c r="D200" s="2219"/>
      <c r="E200" s="2219"/>
      <c r="F200" s="2219"/>
      <c r="G200" s="2219"/>
      <c r="H200" s="2219"/>
      <c r="I200" s="2219"/>
      <c r="J200" s="2219"/>
      <c r="K200" s="2219"/>
      <c r="L200" s="2219"/>
      <c r="M200" s="2219"/>
      <c r="N200" s="2219"/>
      <c r="O200" s="2514" t="s">
        <v>2598</v>
      </c>
      <c r="P200" s="2514"/>
      <c r="Q200" s="2514"/>
      <c r="R200" s="2514"/>
      <c r="S200" s="2514"/>
      <c r="T200" s="2514"/>
      <c r="U200" s="2514"/>
      <c r="V200" s="2514"/>
      <c r="W200" s="2514"/>
      <c r="X200" s="2535">
        <v>0.03</v>
      </c>
      <c r="Y200" s="2535"/>
      <c r="Z200" s="2535"/>
      <c r="AA200" s="2535"/>
      <c r="AB200" s="2535"/>
      <c r="AC200" s="2535"/>
      <c r="AD200" s="2535"/>
      <c r="AE200" s="2535"/>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19" t="s">
        <v>2597</v>
      </c>
      <c r="D201" s="2219"/>
      <c r="E201" s="2219"/>
      <c r="F201" s="2219"/>
      <c r="G201" s="2219"/>
      <c r="H201" s="2219"/>
      <c r="I201" s="2219"/>
      <c r="J201" s="2219"/>
      <c r="K201" s="2219"/>
      <c r="L201" s="2219"/>
      <c r="M201" s="2219"/>
      <c r="N201" s="2219"/>
      <c r="O201" s="2223">
        <f>SUM(O199:W200)</f>
        <v>0</v>
      </c>
      <c r="P201" s="2224"/>
      <c r="Q201" s="2224"/>
      <c r="R201" s="2224"/>
      <c r="S201" s="2224"/>
      <c r="T201" s="2224"/>
      <c r="U201" s="2224"/>
      <c r="V201" s="2224"/>
      <c r="W201" s="2224"/>
      <c r="X201" s="2224" t="s">
        <v>2596</v>
      </c>
      <c r="Y201" s="2224"/>
      <c r="Z201" s="2224"/>
      <c r="AA201" s="2224"/>
      <c r="AB201" s="2224"/>
      <c r="AC201" s="2224"/>
      <c r="AD201" s="2224"/>
      <c r="AE201" s="2224"/>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20" t="s">
        <v>2595</v>
      </c>
      <c r="D202" s="2220"/>
      <c r="E202" s="2220"/>
      <c r="F202" s="2220"/>
      <c r="G202" s="2220"/>
      <c r="H202" s="2220"/>
      <c r="I202" s="2220"/>
      <c r="J202" s="2220"/>
      <c r="K202" s="2220"/>
      <c r="L202" s="2220"/>
      <c r="M202" s="2220"/>
      <c r="N202" s="2220"/>
      <c r="O202" s="2220"/>
      <c r="P202" s="2220"/>
      <c r="Q202" s="2220"/>
      <c r="R202" s="2220"/>
      <c r="S202" s="2220"/>
      <c r="T202" s="2220"/>
      <c r="U202" s="2220"/>
      <c r="V202" s="2220"/>
      <c r="W202" s="2220"/>
      <c r="X202" s="2220"/>
      <c r="Y202" s="2220"/>
      <c r="Z202" s="2220"/>
      <c r="AA202" s="2220"/>
      <c r="AB202" s="2220"/>
      <c r="AC202" s="2220"/>
      <c r="AD202" s="2220"/>
      <c r="AE202" s="2220"/>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36" t="s">
        <v>2594</v>
      </c>
      <c r="D204" s="2537"/>
      <c r="E204" s="2537"/>
      <c r="F204" s="2537"/>
      <c r="G204" s="2537"/>
      <c r="H204" s="2537"/>
      <c r="I204" s="2537"/>
      <c r="J204" s="2537"/>
      <c r="K204" s="2537"/>
      <c r="L204" s="2537"/>
      <c r="M204" s="2537"/>
      <c r="N204" s="2537"/>
      <c r="O204" s="2537"/>
      <c r="P204" s="2537"/>
      <c r="Q204" s="2537"/>
      <c r="R204" s="2537"/>
      <c r="S204" s="2537"/>
      <c r="T204" s="2537"/>
      <c r="U204" s="2537"/>
      <c r="V204" s="2537"/>
      <c r="W204" s="2537"/>
      <c r="X204" s="2537"/>
      <c r="Y204" s="2537"/>
      <c r="Z204" s="2537"/>
      <c r="AA204" s="2537"/>
      <c r="AB204" s="2537"/>
      <c r="AC204" s="2537"/>
      <c r="AD204" s="2537"/>
      <c r="AE204" s="2537"/>
      <c r="AF204" s="2537"/>
      <c r="AG204" s="2537"/>
      <c r="AH204" s="2537"/>
      <c r="AI204" s="2537"/>
      <c r="AJ204" s="2537"/>
      <c r="AK204" s="253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39" t="s">
        <v>2593</v>
      </c>
      <c r="D205" s="2540"/>
      <c r="E205" s="2540"/>
      <c r="F205" s="2541"/>
      <c r="G205" s="2545" t="s">
        <v>2592</v>
      </c>
      <c r="H205" s="2540"/>
      <c r="I205" s="2540"/>
      <c r="J205" s="2540"/>
      <c r="K205" s="2540"/>
      <c r="L205" s="2540"/>
      <c r="M205" s="2540"/>
      <c r="N205" s="2540"/>
      <c r="O205" s="2541"/>
      <c r="P205" s="2547" t="s">
        <v>2591</v>
      </c>
      <c r="Q205" s="2548"/>
      <c r="R205" s="2548"/>
      <c r="S205" s="2548"/>
      <c r="T205" s="2549"/>
      <c r="U205" s="2553" t="s">
        <v>2590</v>
      </c>
      <c r="V205" s="2554"/>
      <c r="W205" s="2554"/>
      <c r="X205" s="2555"/>
      <c r="Y205" s="2553" t="s">
        <v>2589</v>
      </c>
      <c r="Z205" s="2554"/>
      <c r="AA205" s="2554"/>
      <c r="AB205" s="2555"/>
      <c r="AC205" s="2553" t="s">
        <v>2588</v>
      </c>
      <c r="AD205" s="2554"/>
      <c r="AE205" s="2554"/>
      <c r="AF205" s="2555"/>
      <c r="AG205" s="2545" t="s">
        <v>2587</v>
      </c>
      <c r="AH205" s="2540"/>
      <c r="AI205" s="2540"/>
      <c r="AJ205" s="2540"/>
      <c r="AK205" s="260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42"/>
      <c r="D206" s="2543"/>
      <c r="E206" s="2543"/>
      <c r="F206" s="2544"/>
      <c r="G206" s="2546"/>
      <c r="H206" s="2543"/>
      <c r="I206" s="2543"/>
      <c r="J206" s="2543"/>
      <c r="K206" s="2543"/>
      <c r="L206" s="2543"/>
      <c r="M206" s="2543"/>
      <c r="N206" s="2543"/>
      <c r="O206" s="2544"/>
      <c r="P206" s="2550"/>
      <c r="Q206" s="2551"/>
      <c r="R206" s="2551"/>
      <c r="S206" s="2551"/>
      <c r="T206" s="2552"/>
      <c r="U206" s="2556"/>
      <c r="V206" s="2557"/>
      <c r="W206" s="2557"/>
      <c r="X206" s="2558"/>
      <c r="Y206" s="2556"/>
      <c r="Z206" s="2557"/>
      <c r="AA206" s="2557"/>
      <c r="AB206" s="2558"/>
      <c r="AC206" s="2556"/>
      <c r="AD206" s="2557"/>
      <c r="AE206" s="2557"/>
      <c r="AF206" s="2558"/>
      <c r="AG206" s="2546"/>
      <c r="AH206" s="2543"/>
      <c r="AI206" s="2543"/>
      <c r="AJ206" s="2543"/>
      <c r="AK206" s="260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98">
        <v>1</v>
      </c>
      <c r="D207" s="2199"/>
      <c r="E207" s="2199"/>
      <c r="F207" s="2199"/>
      <c r="G207" s="2200" t="s">
        <v>2153</v>
      </c>
      <c r="H207" s="2200"/>
      <c r="I207" s="2200"/>
      <c r="J207" s="2200"/>
      <c r="K207" s="2200"/>
      <c r="L207" s="2200"/>
      <c r="M207" s="2200"/>
      <c r="N207" s="2200"/>
      <c r="O207" s="2200"/>
      <c r="P207" s="2201"/>
      <c r="Q207" s="2605"/>
      <c r="R207" s="2605"/>
      <c r="S207" s="2605"/>
      <c r="T207" s="2605"/>
      <c r="U207" s="2202" t="s">
        <v>2153</v>
      </c>
      <c r="V207" s="2202"/>
      <c r="W207" s="2202"/>
      <c r="X207" s="2202"/>
      <c r="Y207" s="2202" t="s">
        <v>2153</v>
      </c>
      <c r="Z207" s="2202"/>
      <c r="AA207" s="2202"/>
      <c r="AB207" s="2202"/>
      <c r="AC207" s="2203" t="s">
        <v>2153</v>
      </c>
      <c r="AD207" s="2203"/>
      <c r="AE207" s="2203"/>
      <c r="AF207" s="2203"/>
      <c r="AG207" s="2597"/>
      <c r="AH207" s="2598"/>
      <c r="AI207" s="2598"/>
      <c r="AJ207" s="2598"/>
      <c r="AK207" s="259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98">
        <v>2</v>
      </c>
      <c r="D208" s="2199"/>
      <c r="E208" s="2199"/>
      <c r="F208" s="2199"/>
      <c r="G208" s="2200" t="s">
        <v>2153</v>
      </c>
      <c r="H208" s="2200"/>
      <c r="I208" s="2200"/>
      <c r="J208" s="2200"/>
      <c r="K208" s="2200"/>
      <c r="L208" s="2200"/>
      <c r="M208" s="2200"/>
      <c r="N208" s="2200"/>
      <c r="O208" s="2200"/>
      <c r="P208" s="2201"/>
      <c r="Q208" s="2201"/>
      <c r="R208" s="2201"/>
      <c r="S208" s="2201"/>
      <c r="T208" s="2201"/>
      <c r="U208" s="2202" t="s">
        <v>2153</v>
      </c>
      <c r="V208" s="2202"/>
      <c r="W208" s="2202"/>
      <c r="X208" s="2202"/>
      <c r="Y208" s="2202" t="s">
        <v>2153</v>
      </c>
      <c r="Z208" s="2202"/>
      <c r="AA208" s="2202"/>
      <c r="AB208" s="2202"/>
      <c r="AC208" s="2203" t="s">
        <v>2153</v>
      </c>
      <c r="AD208" s="2203"/>
      <c r="AE208" s="2203"/>
      <c r="AF208" s="2203"/>
      <c r="AG208" s="2597"/>
      <c r="AH208" s="2598"/>
      <c r="AI208" s="2598"/>
      <c r="AJ208" s="2598"/>
      <c r="AK208" s="259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98">
        <v>3</v>
      </c>
      <c r="D209" s="2199"/>
      <c r="E209" s="2199"/>
      <c r="F209" s="2199"/>
      <c r="G209" s="2200" t="s">
        <v>2153</v>
      </c>
      <c r="H209" s="2200"/>
      <c r="I209" s="2200"/>
      <c r="J209" s="2200"/>
      <c r="K209" s="2200"/>
      <c r="L209" s="2200"/>
      <c r="M209" s="2200"/>
      <c r="N209" s="2200"/>
      <c r="O209" s="2200"/>
      <c r="P209" s="2201"/>
      <c r="Q209" s="2201"/>
      <c r="R209" s="2201"/>
      <c r="S209" s="2201"/>
      <c r="T209" s="2201"/>
      <c r="U209" s="2202" t="s">
        <v>2153</v>
      </c>
      <c r="V209" s="2202"/>
      <c r="W209" s="2202"/>
      <c r="X209" s="2202"/>
      <c r="Y209" s="2202" t="s">
        <v>2153</v>
      </c>
      <c r="Z209" s="2202"/>
      <c r="AA209" s="2202"/>
      <c r="AB209" s="2202"/>
      <c r="AC209" s="2203" t="s">
        <v>2153</v>
      </c>
      <c r="AD209" s="2203"/>
      <c r="AE209" s="2203"/>
      <c r="AF209" s="2203"/>
      <c r="AG209" s="2597"/>
      <c r="AH209" s="2598"/>
      <c r="AI209" s="2598"/>
      <c r="AJ209" s="2598"/>
      <c r="AK209" s="259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98">
        <v>4</v>
      </c>
      <c r="D210" s="2199"/>
      <c r="E210" s="2199"/>
      <c r="F210" s="2199"/>
      <c r="G210" s="2200" t="s">
        <v>2153</v>
      </c>
      <c r="H210" s="2200"/>
      <c r="I210" s="2200"/>
      <c r="J210" s="2200"/>
      <c r="K210" s="2200"/>
      <c r="L210" s="2200"/>
      <c r="M210" s="2200"/>
      <c r="N210" s="2200"/>
      <c r="O210" s="2200"/>
      <c r="P210" s="2201"/>
      <c r="Q210" s="2201"/>
      <c r="R210" s="2201"/>
      <c r="S210" s="2201"/>
      <c r="T210" s="2201"/>
      <c r="U210" s="2202" t="s">
        <v>2153</v>
      </c>
      <c r="V210" s="2202"/>
      <c r="W210" s="2202"/>
      <c r="X210" s="2202"/>
      <c r="Y210" s="2202" t="s">
        <v>2153</v>
      </c>
      <c r="Z210" s="2202"/>
      <c r="AA210" s="2202"/>
      <c r="AB210" s="2202"/>
      <c r="AC210" s="2203" t="s">
        <v>2153</v>
      </c>
      <c r="AD210" s="2203"/>
      <c r="AE210" s="2203"/>
      <c r="AF210" s="2203"/>
      <c r="AG210" s="2597"/>
      <c r="AH210" s="2598"/>
      <c r="AI210" s="2598"/>
      <c r="AJ210" s="2598"/>
      <c r="AK210" s="259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98">
        <v>5</v>
      </c>
      <c r="D211" s="2199"/>
      <c r="E211" s="2199"/>
      <c r="F211" s="2199"/>
      <c r="G211" s="2200"/>
      <c r="H211" s="2200"/>
      <c r="I211" s="2200"/>
      <c r="J211" s="2200"/>
      <c r="K211" s="2200"/>
      <c r="L211" s="2200"/>
      <c r="M211" s="2200"/>
      <c r="N211" s="2200"/>
      <c r="O211" s="2200"/>
      <c r="P211" s="2201"/>
      <c r="Q211" s="2201"/>
      <c r="R211" s="2201"/>
      <c r="S211" s="2201"/>
      <c r="T211" s="2201"/>
      <c r="U211" s="2202" t="s">
        <v>2153</v>
      </c>
      <c r="V211" s="2202"/>
      <c r="W211" s="2202"/>
      <c r="X211" s="2202"/>
      <c r="Y211" s="2202" t="s">
        <v>2153</v>
      </c>
      <c r="Z211" s="2202"/>
      <c r="AA211" s="2202"/>
      <c r="AB211" s="2202"/>
      <c r="AC211" s="2203" t="s">
        <v>2153</v>
      </c>
      <c r="AD211" s="2203"/>
      <c r="AE211" s="2203"/>
      <c r="AF211" s="2203"/>
      <c r="AG211" s="2597"/>
      <c r="AH211" s="2598"/>
      <c r="AI211" s="2598"/>
      <c r="AJ211" s="2598"/>
      <c r="AK211" s="259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98">
        <v>6</v>
      </c>
      <c r="D212" s="2199"/>
      <c r="E212" s="2199"/>
      <c r="F212" s="2199"/>
      <c r="G212" s="2200" t="s">
        <v>2153</v>
      </c>
      <c r="H212" s="2200"/>
      <c r="I212" s="2200"/>
      <c r="J212" s="2200"/>
      <c r="K212" s="2200"/>
      <c r="L212" s="2200"/>
      <c r="M212" s="2200"/>
      <c r="N212" s="2200"/>
      <c r="O212" s="2200"/>
      <c r="P212" s="2201"/>
      <c r="Q212" s="2201"/>
      <c r="R212" s="2201"/>
      <c r="S212" s="2201"/>
      <c r="T212" s="2201"/>
      <c r="U212" s="2202"/>
      <c r="V212" s="2202"/>
      <c r="W212" s="2202"/>
      <c r="X212" s="2202"/>
      <c r="Y212" s="2202"/>
      <c r="Z212" s="2202"/>
      <c r="AA212" s="2202"/>
      <c r="AB212" s="2202"/>
      <c r="AC212" s="2203" t="s">
        <v>2153</v>
      </c>
      <c r="AD212" s="2203"/>
      <c r="AE212" s="2203"/>
      <c r="AF212" s="2203"/>
      <c r="AG212" s="2597"/>
      <c r="AH212" s="2598"/>
      <c r="AI212" s="2598"/>
      <c r="AJ212" s="2598"/>
      <c r="AK212" s="259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98">
        <v>7</v>
      </c>
      <c r="D213" s="2199"/>
      <c r="E213" s="2199"/>
      <c r="F213" s="2199"/>
      <c r="G213" s="2204"/>
      <c r="H213" s="2205"/>
      <c r="I213" s="2205"/>
      <c r="J213" s="2205"/>
      <c r="K213" s="2205"/>
      <c r="L213" s="2205"/>
      <c r="M213" s="2205"/>
      <c r="N213" s="2205"/>
      <c r="O213" s="2206"/>
      <c r="P213" s="2201"/>
      <c r="Q213" s="2201"/>
      <c r="R213" s="2201"/>
      <c r="S213" s="2201"/>
      <c r="T213" s="2201"/>
      <c r="U213" s="2202"/>
      <c r="V213" s="2202"/>
      <c r="W213" s="2202"/>
      <c r="X213" s="2202"/>
      <c r="Y213" s="2202"/>
      <c r="Z213" s="2202"/>
      <c r="AA213" s="2202"/>
      <c r="AB213" s="2202"/>
      <c r="AC213" s="2203" t="s">
        <v>2153</v>
      </c>
      <c r="AD213" s="2203"/>
      <c r="AE213" s="2203"/>
      <c r="AF213" s="2203"/>
      <c r="AG213" s="2597"/>
      <c r="AH213" s="2598"/>
      <c r="AI213" s="2598"/>
      <c r="AJ213" s="2598"/>
      <c r="AK213" s="259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93" t="s">
        <v>2586</v>
      </c>
      <c r="D214" s="2194"/>
      <c r="E214" s="2194"/>
      <c r="F214" s="2194"/>
      <c r="G214" s="2194"/>
      <c r="H214" s="2194"/>
      <c r="I214" s="2194"/>
      <c r="J214" s="2194"/>
      <c r="K214" s="2194"/>
      <c r="L214" s="2194"/>
      <c r="M214" s="2194"/>
      <c r="N214" s="2194"/>
      <c r="O214" s="2194"/>
      <c r="P214" s="2195"/>
      <c r="Q214" s="2195"/>
      <c r="R214" s="2195"/>
      <c r="S214" s="2195"/>
      <c r="T214" s="2195"/>
      <c r="U214" s="2196">
        <v>0</v>
      </c>
      <c r="V214" s="2196"/>
      <c r="W214" s="2196"/>
      <c r="X214" s="2196"/>
      <c r="Y214" s="2196">
        <v>0</v>
      </c>
      <c r="Z214" s="2196"/>
      <c r="AA214" s="2196"/>
      <c r="AB214" s="2196"/>
      <c r="AC214" s="2197">
        <v>0</v>
      </c>
      <c r="AD214" s="2197"/>
      <c r="AE214" s="2197"/>
      <c r="AF214" s="2197"/>
      <c r="AG214" s="2600"/>
      <c r="AH214" s="2601"/>
      <c r="AI214" s="2601"/>
      <c r="AJ214" s="2601"/>
      <c r="AK214" s="2602"/>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73" t="s">
        <v>1853</v>
      </c>
      <c r="C219" s="2574"/>
      <c r="D219" s="2574"/>
      <c r="E219" s="2574"/>
      <c r="F219" s="2574"/>
      <c r="G219" s="2574"/>
      <c r="H219" s="2574"/>
      <c r="I219" s="2574"/>
      <c r="J219" s="2574"/>
      <c r="K219" s="2574"/>
      <c r="L219" s="2574"/>
      <c r="M219" s="2574"/>
      <c r="N219" s="2574"/>
      <c r="O219" s="2574"/>
      <c r="P219" s="2574"/>
      <c r="Q219" s="2574"/>
      <c r="R219" s="2574"/>
      <c r="S219" s="2574"/>
      <c r="T219" s="2574"/>
      <c r="U219" s="2574"/>
      <c r="V219" s="2574"/>
      <c r="W219" s="2574"/>
      <c r="X219" s="2574"/>
      <c r="Y219" s="2574"/>
      <c r="Z219" s="2574"/>
      <c r="AA219" s="2574"/>
      <c r="AB219" s="2574"/>
      <c r="AC219" s="2574"/>
      <c r="AD219" s="2574"/>
      <c r="AE219" s="2574"/>
      <c r="AF219" s="2574"/>
      <c r="AG219" s="2574"/>
      <c r="AH219" s="2574"/>
      <c r="AI219" s="2574"/>
      <c r="AJ219" s="2574"/>
      <c r="AK219" s="2574"/>
      <c r="AL219" s="2574"/>
      <c r="AM219" s="2574"/>
      <c r="AN219" s="2574"/>
      <c r="AO219" s="2574"/>
      <c r="AP219" s="2574"/>
      <c r="AQ219" s="2574"/>
      <c r="AR219" s="2574"/>
      <c r="AS219" s="2574"/>
      <c r="AT219" s="2574"/>
      <c r="AU219" s="2574"/>
      <c r="AV219" s="2574"/>
      <c r="AW219" s="2574"/>
      <c r="AX219" s="2574"/>
      <c r="AY219" s="2574"/>
      <c r="AZ219" s="2574"/>
      <c r="BA219" s="2574"/>
      <c r="BB219" s="2574"/>
      <c r="BC219" s="2574"/>
      <c r="BD219" s="2575"/>
      <c r="BE219" s="1205"/>
    </row>
    <row r="220" spans="1:57" ht="15.75" customHeight="1">
      <c r="A220" s="1209"/>
      <c r="B220" s="2576"/>
      <c r="C220" s="2577"/>
      <c r="D220" s="2577"/>
      <c r="E220" s="2577"/>
      <c r="F220" s="2577"/>
      <c r="G220" s="2577"/>
      <c r="H220" s="2577"/>
      <c r="I220" s="2577"/>
      <c r="J220" s="2577"/>
      <c r="K220" s="2577"/>
      <c r="L220" s="2577"/>
      <c r="M220" s="2577"/>
      <c r="N220" s="2577"/>
      <c r="O220" s="2577"/>
      <c r="P220" s="2577"/>
      <c r="Q220" s="2577"/>
      <c r="R220" s="2577"/>
      <c r="S220" s="2577"/>
      <c r="T220" s="2577"/>
      <c r="U220" s="2577"/>
      <c r="V220" s="2577"/>
      <c r="W220" s="2577"/>
      <c r="X220" s="2577"/>
      <c r="Y220" s="2577"/>
      <c r="Z220" s="2577"/>
      <c r="AA220" s="2577"/>
      <c r="AB220" s="2577"/>
      <c r="AC220" s="2577"/>
      <c r="AD220" s="2577"/>
      <c r="AE220" s="2577"/>
      <c r="AF220" s="2577"/>
      <c r="AG220" s="2577"/>
      <c r="AH220" s="2577"/>
      <c r="AI220" s="2577"/>
      <c r="AJ220" s="2577"/>
      <c r="AK220" s="2577"/>
      <c r="AL220" s="2577"/>
      <c r="AM220" s="2577"/>
      <c r="AN220" s="2577"/>
      <c r="AO220" s="2577"/>
      <c r="AP220" s="2577"/>
      <c r="AQ220" s="2577"/>
      <c r="AR220" s="2577"/>
      <c r="AS220" s="2577"/>
      <c r="AT220" s="2577"/>
      <c r="AU220" s="2577"/>
      <c r="AV220" s="2577"/>
      <c r="AW220" s="2577"/>
      <c r="AX220" s="2577"/>
      <c r="AY220" s="2577"/>
      <c r="AZ220" s="2577"/>
      <c r="BA220" s="2577"/>
      <c r="BB220" s="2577"/>
      <c r="BC220" s="2577"/>
      <c r="BD220" s="2578"/>
      <c r="BE220" s="1205"/>
    </row>
    <row r="221" spans="1:57" ht="15.75" customHeight="1">
      <c r="A221" s="1209"/>
      <c r="B221" s="2579" t="s">
        <v>1854</v>
      </c>
      <c r="C221" s="2580"/>
      <c r="D221" s="2580"/>
      <c r="E221" s="2580"/>
      <c r="F221" s="2580"/>
      <c r="G221" s="2580"/>
      <c r="H221" s="2580"/>
      <c r="I221" s="2580"/>
      <c r="J221" s="2580"/>
      <c r="K221" s="2580"/>
      <c r="L221" s="2580"/>
      <c r="M221" s="2580"/>
      <c r="N221" s="2580"/>
      <c r="O221" s="2580"/>
      <c r="P221" s="2580"/>
      <c r="Q221" s="2580"/>
      <c r="R221" s="2580"/>
      <c r="S221" s="2580"/>
      <c r="T221" s="2580"/>
      <c r="U221" s="2580"/>
      <c r="V221" s="2580"/>
      <c r="W221" s="2580"/>
      <c r="X221" s="2580"/>
      <c r="Y221" s="2580"/>
      <c r="Z221" s="2580"/>
      <c r="AA221" s="2580"/>
      <c r="AB221" s="2580"/>
      <c r="AC221" s="2580"/>
      <c r="AD221" s="2580"/>
      <c r="AE221" s="2580"/>
      <c r="AF221" s="2580"/>
      <c r="AG221" s="2580"/>
      <c r="AH221" s="2580"/>
      <c r="AI221" s="2580"/>
      <c r="AJ221" s="2580"/>
      <c r="AK221" s="2580"/>
      <c r="AL221" s="2580"/>
      <c r="AM221" s="2580"/>
      <c r="AN221" s="2580"/>
      <c r="AO221" s="2580"/>
      <c r="AP221" s="2580"/>
      <c r="AQ221" s="2580"/>
      <c r="AR221" s="2580"/>
      <c r="AS221" s="2580"/>
      <c r="AT221" s="2580"/>
      <c r="AU221" s="2580"/>
      <c r="AV221" s="2580"/>
      <c r="AW221" s="2580"/>
      <c r="AX221" s="2580"/>
      <c r="AY221" s="2580"/>
      <c r="AZ221" s="2580"/>
      <c r="BA221" s="2580"/>
      <c r="BB221" s="2580"/>
      <c r="BC221" s="2580"/>
      <c r="BD221" s="2581"/>
      <c r="BE221" s="1205"/>
    </row>
    <row r="222" spans="1:57" ht="15.75" customHeight="1">
      <c r="A222" s="1209"/>
      <c r="B222" s="2579" t="s">
        <v>1855</v>
      </c>
      <c r="C222" s="2580"/>
      <c r="D222" s="2580"/>
      <c r="E222" s="2580"/>
      <c r="F222" s="2580"/>
      <c r="G222" s="2580"/>
      <c r="H222" s="2580"/>
      <c r="I222" s="2580"/>
      <c r="J222" s="2580"/>
      <c r="K222" s="2580"/>
      <c r="L222" s="2580"/>
      <c r="M222" s="2580"/>
      <c r="N222" s="2580"/>
      <c r="O222" s="2580"/>
      <c r="P222" s="2580"/>
      <c r="Q222" s="2580"/>
      <c r="R222" s="2580"/>
      <c r="S222" s="2580"/>
      <c r="T222" s="2580"/>
      <c r="U222" s="2580"/>
      <c r="V222" s="2580"/>
      <c r="W222" s="2580"/>
      <c r="X222" s="2580"/>
      <c r="Y222" s="2580"/>
      <c r="Z222" s="2580"/>
      <c r="AA222" s="2580"/>
      <c r="AB222" s="2580"/>
      <c r="AC222" s="2580"/>
      <c r="AD222" s="2580"/>
      <c r="AE222" s="2580"/>
      <c r="AF222" s="2580"/>
      <c r="AG222" s="2580"/>
      <c r="AH222" s="2580"/>
      <c r="AI222" s="2580"/>
      <c r="AJ222" s="2580"/>
      <c r="AK222" s="2580"/>
      <c r="AL222" s="2580"/>
      <c r="AM222" s="2580"/>
      <c r="AN222" s="2580"/>
      <c r="AO222" s="2580"/>
      <c r="AP222" s="2580"/>
      <c r="AQ222" s="2580"/>
      <c r="AR222" s="2580"/>
      <c r="AS222" s="2580"/>
      <c r="AT222" s="2580"/>
      <c r="AU222" s="2580"/>
      <c r="AV222" s="2580"/>
      <c r="AW222" s="2580"/>
      <c r="AX222" s="2580"/>
      <c r="AY222" s="2580"/>
      <c r="AZ222" s="2580"/>
      <c r="BA222" s="2580"/>
      <c r="BB222" s="2580"/>
      <c r="BC222" s="2580"/>
      <c r="BD222" s="25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82" t="s">
        <v>1856</v>
      </c>
      <c r="C224" s="2583"/>
      <c r="D224" s="2583"/>
      <c r="E224" s="2583"/>
      <c r="F224" s="2583"/>
      <c r="G224" s="2583"/>
      <c r="H224" s="2583"/>
      <c r="I224" s="2583"/>
      <c r="J224" s="2583"/>
      <c r="K224" s="2583"/>
      <c r="L224" s="2583"/>
      <c r="M224" s="2583"/>
      <c r="N224" s="2583"/>
      <c r="O224" s="2583"/>
      <c r="P224" s="2583"/>
      <c r="Q224" s="2583"/>
      <c r="R224" s="2583"/>
      <c r="S224" s="2583"/>
      <c r="T224" s="2583"/>
      <c r="U224" s="2583"/>
      <c r="V224" s="2583"/>
      <c r="W224" s="2583"/>
      <c r="X224" s="2583"/>
      <c r="Y224" s="2583"/>
      <c r="Z224" s="2583"/>
      <c r="AA224" s="2583"/>
      <c r="AB224" s="2583"/>
      <c r="AC224" s="2583"/>
      <c r="AD224" s="2583"/>
      <c r="AE224" s="2583"/>
      <c r="AF224" s="2583"/>
      <c r="AG224" s="2583"/>
      <c r="AH224" s="2583"/>
      <c r="AI224" s="2583"/>
      <c r="AJ224" s="2583"/>
      <c r="AK224" s="2583"/>
      <c r="AL224" s="2583"/>
      <c r="AM224" s="2583"/>
      <c r="AN224" s="2583"/>
      <c r="AO224" s="2583"/>
      <c r="AP224" s="2583"/>
      <c r="AQ224" s="2583"/>
      <c r="AR224" s="2583"/>
      <c r="AS224" s="2583"/>
      <c r="AT224" s="2583"/>
      <c r="AU224" s="2583"/>
      <c r="AV224" s="2583"/>
      <c r="AW224" s="2583"/>
      <c r="AX224" s="2583"/>
      <c r="AY224" s="2583"/>
      <c r="AZ224" s="2583"/>
      <c r="BA224" s="2583"/>
      <c r="BB224" s="2583"/>
      <c r="BC224" s="2583"/>
      <c r="BD224" s="25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96" t="s">
        <v>1858</v>
      </c>
      <c r="I228" s="2596"/>
      <c r="J228" s="2596"/>
      <c r="K228" s="2596"/>
      <c r="L228" s="2596"/>
      <c r="M228" s="2596"/>
      <c r="N228" s="2596"/>
      <c r="O228" s="2596"/>
      <c r="P228" s="2596"/>
      <c r="Q228" s="2596"/>
      <c r="R228" s="2596"/>
      <c r="S228" s="2596"/>
      <c r="T228" s="2596"/>
      <c r="U228" s="2596"/>
      <c r="V228" s="2596"/>
      <c r="W228" s="2596"/>
      <c r="X228" s="2596"/>
      <c r="Y228" s="2596"/>
      <c r="Z228" s="2596"/>
      <c r="AA228" s="2596"/>
      <c r="AB228" s="2596"/>
      <c r="AC228" s="2596"/>
      <c r="AD228" s="2596"/>
      <c r="AE228" s="2596"/>
      <c r="AF228" s="2596"/>
      <c r="AG228" s="2596"/>
      <c r="AH228" s="2596"/>
      <c r="AI228" s="2596"/>
      <c r="AJ228" s="2596"/>
      <c r="AK228" s="2596"/>
      <c r="AL228" s="2596"/>
      <c r="AM228" s="2596"/>
      <c r="AN228" s="2596"/>
      <c r="AO228" s="2596"/>
      <c r="AP228" s="2596"/>
      <c r="AQ228" s="2596"/>
      <c r="AR228" s="2596"/>
      <c r="AS228" s="2596"/>
      <c r="AT228" s="2596"/>
      <c r="AU228" s="2596"/>
      <c r="AV228" s="2596"/>
      <c r="AW228" s="2596"/>
      <c r="AX228" s="2596"/>
      <c r="AY228" s="25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95" t="s">
        <v>2497</v>
      </c>
      <c r="I230" s="2595"/>
      <c r="J230" s="2595"/>
      <c r="K230" s="2595"/>
      <c r="L230" s="2595"/>
      <c r="M230" s="2595"/>
      <c r="N230" s="2595"/>
      <c r="O230" s="2595"/>
      <c r="P230" s="2595"/>
      <c r="Q230" s="2595"/>
      <c r="R230" s="2595"/>
      <c r="S230" s="2595"/>
      <c r="T230" s="2595"/>
      <c r="U230" s="2595"/>
      <c r="V230" s="2595"/>
      <c r="W230" s="2595"/>
      <c r="X230" s="2595"/>
      <c r="Y230" s="2595"/>
      <c r="Z230" s="2595"/>
      <c r="AA230" s="2595"/>
      <c r="AB230" s="2595"/>
      <c r="AC230" s="2595"/>
      <c r="AD230" s="2595"/>
      <c r="AE230" s="2595"/>
      <c r="AF230" s="2595"/>
      <c r="AG230" s="2595"/>
      <c r="AH230" s="2595"/>
      <c r="AI230" s="2595"/>
      <c r="AJ230" s="2595"/>
      <c r="AK230" s="2595"/>
      <c r="AL230" s="2595"/>
      <c r="AM230" s="2595"/>
      <c r="AN230" s="2595"/>
      <c r="AO230" s="2595"/>
      <c r="AP230" s="2595"/>
      <c r="AQ230" s="2595"/>
      <c r="AR230" s="2595"/>
      <c r="AS230" s="2595"/>
      <c r="AT230" s="2595"/>
      <c r="AU230" s="2595"/>
      <c r="AV230" s="2595"/>
      <c r="AW230" s="2595"/>
      <c r="AX230" s="2595"/>
      <c r="AY230" s="2595"/>
      <c r="AZ230" s="2595"/>
      <c r="BA230" s="1209"/>
      <c r="BB230" s="1209"/>
      <c r="BC230" s="1209"/>
      <c r="BD230" s="1205"/>
      <c r="BE230" s="1205"/>
    </row>
    <row r="231" spans="1:57" ht="15.75" customHeight="1">
      <c r="A231" s="1209"/>
      <c r="B231" s="1215"/>
      <c r="C231" s="1209"/>
      <c r="D231" s="1209"/>
      <c r="E231" s="1209"/>
      <c r="F231" s="1209"/>
      <c r="G231" s="1209"/>
      <c r="H231" s="2595"/>
      <c r="I231" s="2595"/>
      <c r="J231" s="2595"/>
      <c r="K231" s="2595"/>
      <c r="L231" s="2595"/>
      <c r="M231" s="2595"/>
      <c r="N231" s="2595"/>
      <c r="O231" s="2595"/>
      <c r="P231" s="2595"/>
      <c r="Q231" s="2595"/>
      <c r="R231" s="2595"/>
      <c r="S231" s="2595"/>
      <c r="T231" s="2595"/>
      <c r="U231" s="2595"/>
      <c r="V231" s="2595"/>
      <c r="W231" s="2595"/>
      <c r="X231" s="2595"/>
      <c r="Y231" s="2595"/>
      <c r="Z231" s="2595"/>
      <c r="AA231" s="2595"/>
      <c r="AB231" s="2595"/>
      <c r="AC231" s="2595"/>
      <c r="AD231" s="2595"/>
      <c r="AE231" s="2595"/>
      <c r="AF231" s="2595"/>
      <c r="AG231" s="2595"/>
      <c r="AH231" s="2595"/>
      <c r="AI231" s="2595"/>
      <c r="AJ231" s="2595"/>
      <c r="AK231" s="2595"/>
      <c r="AL231" s="2595"/>
      <c r="AM231" s="2595"/>
      <c r="AN231" s="2595"/>
      <c r="AO231" s="2595"/>
      <c r="AP231" s="2595"/>
      <c r="AQ231" s="2595"/>
      <c r="AR231" s="2595"/>
      <c r="AS231" s="2595"/>
      <c r="AT231" s="2595"/>
      <c r="AU231" s="2595"/>
      <c r="AV231" s="2595"/>
      <c r="AW231" s="2595"/>
      <c r="AX231" s="2595"/>
      <c r="AY231" s="2595"/>
      <c r="AZ231" s="2595"/>
      <c r="BA231" s="1209"/>
      <c r="BB231" s="1209"/>
      <c r="BC231" s="1209"/>
      <c r="BD231" s="1205"/>
      <c r="BE231" s="1205"/>
    </row>
    <row r="232" spans="1:57" ht="15.75" customHeight="1">
      <c r="A232" s="1209"/>
      <c r="B232" s="1215"/>
      <c r="C232" s="1209"/>
      <c r="D232" s="1209"/>
      <c r="E232" s="1209"/>
      <c r="F232" s="1209"/>
      <c r="G232" s="1209"/>
      <c r="H232" s="2595"/>
      <c r="I232" s="2595"/>
      <c r="J232" s="2595"/>
      <c r="K232" s="2595"/>
      <c r="L232" s="2595"/>
      <c r="M232" s="2595"/>
      <c r="N232" s="2595"/>
      <c r="O232" s="2595"/>
      <c r="P232" s="2595"/>
      <c r="Q232" s="2595"/>
      <c r="R232" s="2595"/>
      <c r="S232" s="2595"/>
      <c r="T232" s="2595"/>
      <c r="U232" s="2595"/>
      <c r="V232" s="2595"/>
      <c r="W232" s="2595"/>
      <c r="X232" s="2595"/>
      <c r="Y232" s="2595"/>
      <c r="Z232" s="2595"/>
      <c r="AA232" s="2595"/>
      <c r="AB232" s="2595"/>
      <c r="AC232" s="2595"/>
      <c r="AD232" s="2595"/>
      <c r="AE232" s="2595"/>
      <c r="AF232" s="2595"/>
      <c r="AG232" s="2595"/>
      <c r="AH232" s="2595"/>
      <c r="AI232" s="2595"/>
      <c r="AJ232" s="2595"/>
      <c r="AK232" s="2595"/>
      <c r="AL232" s="2595"/>
      <c r="AM232" s="2595"/>
      <c r="AN232" s="2595"/>
      <c r="AO232" s="2595"/>
      <c r="AP232" s="2595"/>
      <c r="AQ232" s="2595"/>
      <c r="AR232" s="2595"/>
      <c r="AS232" s="2595"/>
      <c r="AT232" s="2595"/>
      <c r="AU232" s="2595"/>
      <c r="AV232" s="2595"/>
      <c r="AW232" s="2595"/>
      <c r="AX232" s="2595"/>
      <c r="AY232" s="2595"/>
      <c r="AZ232" s="2595"/>
      <c r="BA232" s="1209"/>
      <c r="BB232" s="1209"/>
      <c r="BC232" s="1209"/>
      <c r="BD232" s="1205"/>
      <c r="BE232" s="1205"/>
    </row>
    <row r="233" spans="1:57" ht="15.75" customHeight="1">
      <c r="A233" s="1209"/>
      <c r="B233" s="1215"/>
      <c r="C233" s="1209"/>
      <c r="D233" s="1209"/>
      <c r="E233" s="1209"/>
      <c r="F233" s="1209"/>
      <c r="G233" s="1209"/>
      <c r="H233" s="2595"/>
      <c r="I233" s="2595"/>
      <c r="J233" s="2595"/>
      <c r="K233" s="2595"/>
      <c r="L233" s="2595"/>
      <c r="M233" s="2595"/>
      <c r="N233" s="2595"/>
      <c r="O233" s="2595"/>
      <c r="P233" s="2595"/>
      <c r="Q233" s="2595"/>
      <c r="R233" s="2595"/>
      <c r="S233" s="2595"/>
      <c r="T233" s="2595"/>
      <c r="U233" s="2595"/>
      <c r="V233" s="2595"/>
      <c r="W233" s="2595"/>
      <c r="X233" s="2595"/>
      <c r="Y233" s="2595"/>
      <c r="Z233" s="2595"/>
      <c r="AA233" s="2595"/>
      <c r="AB233" s="2595"/>
      <c r="AC233" s="2595"/>
      <c r="AD233" s="2595"/>
      <c r="AE233" s="2595"/>
      <c r="AF233" s="2595"/>
      <c r="AG233" s="2595"/>
      <c r="AH233" s="2595"/>
      <c r="AI233" s="2595"/>
      <c r="AJ233" s="2595"/>
      <c r="AK233" s="2595"/>
      <c r="AL233" s="2595"/>
      <c r="AM233" s="2595"/>
      <c r="AN233" s="2595"/>
      <c r="AO233" s="2595"/>
      <c r="AP233" s="2595"/>
      <c r="AQ233" s="2595"/>
      <c r="AR233" s="2595"/>
      <c r="AS233" s="2595"/>
      <c r="AT233" s="2595"/>
      <c r="AU233" s="2595"/>
      <c r="AV233" s="2595"/>
      <c r="AW233" s="2595"/>
      <c r="AX233" s="2595"/>
      <c r="AY233" s="2595"/>
      <c r="AZ233" s="25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94" t="s">
        <v>1859</v>
      </c>
      <c r="I235" s="2594"/>
      <c r="J235" s="2594"/>
      <c r="K235" s="2594"/>
      <c r="L235" s="2594"/>
      <c r="M235" s="2594"/>
      <c r="N235" s="2594"/>
      <c r="O235" s="2594"/>
      <c r="P235" s="2594"/>
      <c r="Q235" s="2594"/>
      <c r="R235" s="2594"/>
      <c r="S235" s="2594"/>
      <c r="T235" s="2594"/>
      <c r="U235" s="2594"/>
      <c r="V235" s="2594"/>
      <c r="W235" s="2594"/>
      <c r="X235" s="2594"/>
      <c r="Y235" s="2594"/>
      <c r="Z235" s="2594"/>
      <c r="AA235" s="2594"/>
      <c r="AB235" s="2594"/>
      <c r="AC235" s="2594"/>
      <c r="AD235" s="2594"/>
      <c r="AE235" s="2594"/>
      <c r="AF235" s="2594"/>
      <c r="AG235" s="2594"/>
      <c r="AH235" s="2594"/>
      <c r="AI235" s="2594"/>
      <c r="AJ235" s="2594"/>
      <c r="AK235" s="2594"/>
      <c r="AL235" s="2594"/>
      <c r="AM235" s="2594"/>
      <c r="AN235" s="2594"/>
      <c r="AO235" s="2594"/>
      <c r="AP235" s="2594"/>
      <c r="AQ235" s="2594"/>
      <c r="AR235" s="2594"/>
      <c r="AS235" s="2594"/>
      <c r="AT235" s="2594"/>
      <c r="AU235" s="2594"/>
      <c r="AV235" s="25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70" t="s">
        <v>1860</v>
      </c>
      <c r="I237" s="2570"/>
      <c r="J237" s="2570"/>
      <c r="K237" s="2570"/>
      <c r="L237" s="1211"/>
      <c r="M237" s="1211"/>
      <c r="N237" s="1211"/>
      <c r="O237" s="1211"/>
      <c r="P237" s="1211"/>
      <c r="Q237" s="1211"/>
      <c r="R237" s="1211"/>
      <c r="S237" s="2591"/>
      <c r="T237" s="2592"/>
      <c r="U237" s="2592"/>
      <c r="V237" s="2592"/>
      <c r="W237" s="2592"/>
      <c r="X237" s="2592"/>
      <c r="Y237" s="2592"/>
      <c r="Z237" s="2592"/>
      <c r="AA237" s="2592"/>
      <c r="AB237" s="2592"/>
      <c r="AC237" s="2592"/>
      <c r="AD237" s="2592"/>
      <c r="AE237" s="2592"/>
      <c r="AF237" s="2592"/>
      <c r="AG237" s="2592"/>
      <c r="AH237" s="2592"/>
      <c r="AI237" s="2592"/>
      <c r="AJ237" s="25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70" t="s">
        <v>1861</v>
      </c>
      <c r="I239" s="2570"/>
      <c r="J239" s="2570"/>
      <c r="K239" s="1213"/>
      <c r="L239" s="1211"/>
      <c r="M239" s="1211"/>
      <c r="N239" s="1211"/>
      <c r="O239" s="1211"/>
      <c r="P239" s="1211"/>
      <c r="Q239" s="1211"/>
      <c r="R239" s="1211"/>
      <c r="S239" s="2588"/>
      <c r="T239" s="2589"/>
      <c r="U239" s="2589"/>
      <c r="V239" s="2589"/>
      <c r="W239" s="2589"/>
      <c r="X239" s="2589"/>
      <c r="Y239" s="2589"/>
      <c r="Z239" s="2589"/>
      <c r="AA239" s="2589"/>
      <c r="AB239" s="2589"/>
      <c r="AC239" s="2589"/>
      <c r="AD239" s="2589"/>
      <c r="AE239" s="2589"/>
      <c r="AF239" s="2589"/>
      <c r="AG239" s="2589"/>
      <c r="AH239" s="2589"/>
      <c r="AI239" s="2589"/>
      <c r="AJ239" s="25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70" t="s">
        <v>443</v>
      </c>
      <c r="I241" s="2570"/>
      <c r="J241" s="1213"/>
      <c r="K241" s="1213"/>
      <c r="L241" s="1211"/>
      <c r="M241" s="1211"/>
      <c r="N241" s="1211"/>
      <c r="O241" s="1211"/>
      <c r="P241" s="1211"/>
      <c r="Q241" s="1211"/>
      <c r="R241" s="1211"/>
      <c r="S241" s="2588"/>
      <c r="T241" s="2589"/>
      <c r="U241" s="2589"/>
      <c r="V241" s="2589"/>
      <c r="W241" s="2589"/>
      <c r="X241" s="2589"/>
      <c r="Y241" s="2589"/>
      <c r="Z241" s="2589"/>
      <c r="AA241" s="2589"/>
      <c r="AB241" s="2589"/>
      <c r="AC241" s="2589"/>
      <c r="AD241" s="2589"/>
      <c r="AE241" s="2589"/>
      <c r="AF241" s="2589"/>
      <c r="AG241" s="2589"/>
      <c r="AH241" s="2589"/>
      <c r="AI241" s="2589"/>
      <c r="AJ241" s="25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71" t="s">
        <v>1862</v>
      </c>
      <c r="I243" s="2571"/>
      <c r="J243" s="2571"/>
      <c r="K243" s="2571"/>
      <c r="L243" s="2571"/>
      <c r="M243" s="2571"/>
      <c r="N243" s="2571"/>
      <c r="O243" s="2571"/>
      <c r="P243" s="1211"/>
      <c r="Q243" s="1211"/>
      <c r="R243" s="1211"/>
      <c r="S243" s="2588"/>
      <c r="T243" s="2589"/>
      <c r="U243" s="2589"/>
      <c r="V243" s="2589"/>
      <c r="W243" s="2589"/>
      <c r="X243" s="2589"/>
      <c r="Y243" s="2589"/>
      <c r="Z243" s="2589"/>
      <c r="AA243" s="2589"/>
      <c r="AB243" s="2589"/>
      <c r="AC243" s="2589"/>
      <c r="AD243" s="2589"/>
      <c r="AE243" s="2589"/>
      <c r="AF243" s="2589"/>
      <c r="AG243" s="2589"/>
      <c r="AH243" s="2589"/>
      <c r="AI243" s="2589"/>
      <c r="AJ243" s="25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72" t="s">
        <v>1863</v>
      </c>
      <c r="I245" s="2572"/>
      <c r="J245" s="1211"/>
      <c r="K245" s="1211"/>
      <c r="L245" s="1211"/>
      <c r="M245" s="1211"/>
      <c r="N245" s="1211"/>
      <c r="O245" s="1211"/>
      <c r="P245" s="1211"/>
      <c r="Q245" s="1211"/>
      <c r="R245" s="1211"/>
      <c r="S245" s="2585"/>
      <c r="T245" s="2586"/>
      <c r="U245" s="2586"/>
      <c r="V245" s="2586"/>
      <c r="W245" s="2586"/>
      <c r="X245" s="2586"/>
      <c r="Y245" s="2586"/>
      <c r="Z245" s="2586"/>
      <c r="AA245" s="2586"/>
      <c r="AB245" s="2586"/>
      <c r="AC245" s="2586"/>
      <c r="AD245" s="2586"/>
      <c r="AE245" s="2586"/>
      <c r="AF245" s="2586"/>
      <c r="AG245" s="2586"/>
      <c r="AH245" s="2586"/>
      <c r="AI245" s="2586"/>
      <c r="AJ245" s="25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AI78" sqref="AI78"/>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82" t="s">
        <v>1389</v>
      </c>
      <c r="B1" s="2682"/>
      <c r="C1" s="2682"/>
      <c r="D1" s="2682"/>
      <c r="E1" s="2682"/>
      <c r="F1" s="2682"/>
      <c r="G1" s="2682"/>
      <c r="H1" s="2682"/>
      <c r="I1" s="2682"/>
      <c r="J1" s="2682"/>
      <c r="K1" s="2682"/>
      <c r="L1" s="2682"/>
      <c r="M1" s="2682"/>
      <c r="N1" s="2682"/>
      <c r="O1" s="2682"/>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row>
    <row r="2" spans="1:40" ht="12.95" customHeight="1" thickBot="1">
      <c r="A2" s="2683"/>
      <c r="B2" s="2683"/>
      <c r="C2" s="2683"/>
      <c r="D2" s="2683"/>
      <c r="E2" s="268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83"/>
      <c r="AN2" s="2683"/>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62" t="str">
        <f xml:space="preserve"> IF(T25=100%,'Sources and Basis Breakdown'!G2,'Sources and Basis Breakdown'!F2)</f>
        <v>30% PVC for New Const/
Rehabilitation
NON-DDA/
NON-QCT Building(s)</v>
      </c>
      <c r="U7" s="2662"/>
      <c r="V7" s="2662"/>
      <c r="W7" s="2662"/>
      <c r="X7" s="2662"/>
      <c r="Y7" s="2662" t="str">
        <f>IF(T25=100%,"",'Sources and Basis Breakdown'!G2)</f>
        <v/>
      </c>
      <c r="Z7" s="2662"/>
      <c r="AA7" s="2662"/>
      <c r="AB7" s="2662"/>
      <c r="AC7" s="2662"/>
      <c r="AD7" s="2662" t="str">
        <f xml:space="preserve"> IF(T25=100%, 'Sources and Basis Breakdown'!J2,'Sources and Basis Breakdown'!I2)</f>
        <v>30% PVC for Acquisition
NON-DDA/
NON-QCT Building(s)</v>
      </c>
      <c r="AE7" s="2662"/>
      <c r="AF7" s="2662"/>
      <c r="AG7" s="2662"/>
      <c r="AH7" s="2662"/>
      <c r="AI7" s="2662" t="str">
        <f>IF(T25=100%,"",'Sources and Basis Breakdown'!J2)</f>
        <v/>
      </c>
      <c r="AJ7" s="2662"/>
      <c r="AK7" s="2662"/>
      <c r="AL7" s="2662"/>
      <c r="AM7" s="2662"/>
    </row>
    <row r="8" spans="1:40" ht="12.95" customHeight="1">
      <c r="B8" s="438"/>
      <c r="T8" s="2662"/>
      <c r="U8" s="2662"/>
      <c r="V8" s="2662"/>
      <c r="W8" s="2662"/>
      <c r="X8" s="2662"/>
      <c r="Y8" s="2662"/>
      <c r="Z8" s="2662"/>
      <c r="AA8" s="2662"/>
      <c r="AB8" s="2662"/>
      <c r="AC8" s="2662"/>
      <c r="AD8" s="2662"/>
      <c r="AE8" s="2662"/>
      <c r="AF8" s="2662"/>
      <c r="AG8" s="2662"/>
      <c r="AH8" s="2662"/>
      <c r="AI8" s="2662"/>
      <c r="AJ8" s="2662"/>
      <c r="AK8" s="2662"/>
      <c r="AL8" s="2662"/>
      <c r="AM8" s="2662"/>
    </row>
    <row r="9" spans="1:40" ht="12.95" customHeight="1">
      <c r="B9" s="438"/>
      <c r="T9" s="2662"/>
      <c r="U9" s="2662"/>
      <c r="V9" s="2662"/>
      <c r="W9" s="2662"/>
      <c r="X9" s="2662"/>
      <c r="Y9" s="2662"/>
      <c r="Z9" s="2662"/>
      <c r="AA9" s="2662"/>
      <c r="AB9" s="2662"/>
      <c r="AC9" s="2662"/>
      <c r="AD9" s="2662"/>
      <c r="AE9" s="2662"/>
      <c r="AF9" s="2662"/>
      <c r="AG9" s="2662"/>
      <c r="AH9" s="2662"/>
      <c r="AI9" s="2662"/>
      <c r="AJ9" s="2662"/>
      <c r="AK9" s="2662"/>
      <c r="AL9" s="2662"/>
      <c r="AM9" s="2662"/>
    </row>
    <row r="10" spans="1:40" ht="12.95" customHeight="1">
      <c r="B10" s="439"/>
      <c r="C10" s="440"/>
      <c r="D10" s="440"/>
      <c r="E10" s="440"/>
      <c r="F10" s="440"/>
      <c r="G10" s="440"/>
      <c r="H10" s="440"/>
      <c r="I10" s="440"/>
      <c r="J10" s="440"/>
      <c r="K10" s="440"/>
      <c r="L10" s="440"/>
      <c r="M10" s="440"/>
      <c r="N10" s="440"/>
      <c r="O10" s="440"/>
      <c r="P10" s="440"/>
      <c r="Q10" s="440"/>
      <c r="R10" s="440"/>
      <c r="S10" s="440"/>
      <c r="T10" s="2662"/>
      <c r="U10" s="2662"/>
      <c r="V10" s="2662"/>
      <c r="W10" s="2662"/>
      <c r="X10" s="2662"/>
      <c r="Y10" s="2662"/>
      <c r="Z10" s="2662"/>
      <c r="AA10" s="2662"/>
      <c r="AB10" s="2662"/>
      <c r="AC10" s="2662"/>
      <c r="AD10" s="2662"/>
      <c r="AE10" s="2662"/>
      <c r="AF10" s="2662"/>
      <c r="AG10" s="2662"/>
      <c r="AH10" s="2662"/>
      <c r="AI10" s="2662"/>
      <c r="AJ10" s="2662"/>
      <c r="AK10" s="2662"/>
      <c r="AL10" s="2662"/>
      <c r="AM10" s="2662"/>
    </row>
    <row r="11" spans="1:40" ht="12.95" customHeight="1">
      <c r="B11" s="2645" t="s">
        <v>376</v>
      </c>
      <c r="C11" s="2646"/>
      <c r="D11" s="2646"/>
      <c r="E11" s="2646"/>
      <c r="F11" s="2646"/>
      <c r="G11" s="2646"/>
      <c r="H11" s="2646"/>
      <c r="I11" s="2646"/>
      <c r="J11" s="2646"/>
      <c r="K11" s="2646"/>
      <c r="L11" s="2646"/>
      <c r="M11" s="2646"/>
      <c r="N11" s="2646"/>
      <c r="O11" s="2646"/>
      <c r="P11" s="2646"/>
      <c r="Q11" s="2646"/>
      <c r="R11" s="2646"/>
      <c r="S11" s="2647"/>
      <c r="T11" s="2684">
        <f>IF('Sources and Basis Breakdown'!F107=0,'Sources and Basis Breakdown'!E107,'Sources and Basis Breakdown'!F107)</f>
        <v>148330212</v>
      </c>
      <c r="U11" s="2685"/>
      <c r="V11" s="2685"/>
      <c r="W11" s="2685"/>
      <c r="X11" s="2685"/>
      <c r="Y11" s="2684">
        <f>IF(Y7="",0,IF('Sources and Basis Breakdown'!G107+'Sources and Basis Breakdown'!F107='Sources and Basis Breakdown'!E107,'Sources and Basis Breakdown'!G107,0))</f>
        <v>0</v>
      </c>
      <c r="Z11" s="2685"/>
      <c r="AA11" s="2685"/>
      <c r="AB11" s="2685"/>
      <c r="AC11" s="2685"/>
      <c r="AD11" s="2685">
        <f>IF('Sources and Basis Breakdown'!I107=0,'Sources and Basis Breakdown'!H107,'Sources and Basis Breakdown'!I107)</f>
        <v>0</v>
      </c>
      <c r="AE11" s="2685"/>
      <c r="AF11" s="2685"/>
      <c r="AG11" s="2685"/>
      <c r="AH11" s="2685"/>
      <c r="AI11" s="2685">
        <f>IF(Y7="",0,IF('Sources and Basis Breakdown'!I107+'Sources and Basis Breakdown'!J107='Sources and Basis Breakdown'!H107,'Sources and Basis Breakdown'!J107,0))</f>
        <v>0</v>
      </c>
      <c r="AJ11" s="2685"/>
      <c r="AK11" s="2685"/>
      <c r="AL11" s="2685"/>
      <c r="AM11" s="2685"/>
    </row>
    <row r="12" spans="1:40" ht="12.95" customHeight="1">
      <c r="B12" s="2686" t="s">
        <v>505</v>
      </c>
      <c r="C12" s="1288"/>
      <c r="D12" s="1288"/>
      <c r="E12" s="1288"/>
      <c r="F12" s="1288"/>
      <c r="G12" s="1288"/>
      <c r="H12" s="1288"/>
      <c r="I12" s="1288"/>
      <c r="J12" s="1288"/>
      <c r="K12" s="1288"/>
      <c r="L12" s="1288"/>
      <c r="M12" s="1288"/>
      <c r="N12" s="1288"/>
      <c r="O12" s="1288"/>
      <c r="P12" s="1288"/>
      <c r="Q12" s="1288"/>
      <c r="R12" s="1288"/>
      <c r="S12" s="2687"/>
      <c r="T12" s="2677"/>
      <c r="U12" s="2678"/>
      <c r="V12" s="2678"/>
      <c r="W12" s="2678"/>
      <c r="X12" s="2679"/>
      <c r="Y12" s="2677"/>
      <c r="Z12" s="2678"/>
      <c r="AA12" s="2678"/>
      <c r="AB12" s="2678"/>
      <c r="AC12" s="2679"/>
      <c r="AD12" s="2677"/>
      <c r="AE12" s="2678"/>
      <c r="AF12" s="2678"/>
      <c r="AG12" s="2678"/>
      <c r="AH12" s="2679"/>
      <c r="AI12" s="2677"/>
      <c r="AJ12" s="2678"/>
      <c r="AK12" s="2678"/>
      <c r="AL12" s="2678"/>
      <c r="AM12" s="2679"/>
    </row>
    <row r="13" spans="1:40" ht="12.95" customHeight="1">
      <c r="B13" s="467"/>
      <c r="C13" s="2688" t="s">
        <v>506</v>
      </c>
      <c r="D13" s="2688"/>
      <c r="E13" s="2688"/>
      <c r="F13" s="2688"/>
      <c r="G13" s="2688"/>
      <c r="H13" s="2688"/>
      <c r="I13" s="2688"/>
      <c r="J13" s="2688"/>
      <c r="K13" s="2688"/>
      <c r="L13" s="2688"/>
      <c r="M13" s="2688"/>
      <c r="N13" s="2688"/>
      <c r="O13" s="2688"/>
      <c r="P13" s="2688"/>
      <c r="Q13" s="2688"/>
      <c r="R13" s="2688"/>
      <c r="S13" s="2689"/>
      <c r="T13" s="2680"/>
      <c r="U13" s="2681"/>
      <c r="V13" s="2681"/>
      <c r="W13" s="2681"/>
      <c r="X13" s="2681"/>
      <c r="Y13" s="2680"/>
      <c r="Z13" s="2681"/>
      <c r="AA13" s="2681"/>
      <c r="AB13" s="2681"/>
      <c r="AC13" s="2681"/>
      <c r="AD13" s="2681"/>
      <c r="AE13" s="2681"/>
      <c r="AF13" s="2681"/>
      <c r="AG13" s="2681"/>
      <c r="AH13" s="2681"/>
      <c r="AI13" s="2681"/>
      <c r="AJ13" s="2681"/>
      <c r="AK13" s="2681"/>
      <c r="AL13" s="2681"/>
      <c r="AM13" s="2681"/>
    </row>
    <row r="14" spans="1:40" ht="12.95" customHeight="1">
      <c r="B14" s="467"/>
      <c r="C14" s="2688" t="s">
        <v>507</v>
      </c>
      <c r="D14" s="2688"/>
      <c r="E14" s="2688"/>
      <c r="F14" s="2688"/>
      <c r="G14" s="2688"/>
      <c r="H14" s="2688"/>
      <c r="I14" s="2688"/>
      <c r="J14" s="2688"/>
      <c r="K14" s="2688"/>
      <c r="L14" s="2688"/>
      <c r="M14" s="2688"/>
      <c r="N14" s="2688"/>
      <c r="O14" s="2688"/>
      <c r="P14" s="2688"/>
      <c r="Q14" s="2688"/>
      <c r="R14" s="2688"/>
      <c r="S14" s="2689"/>
      <c r="T14" s="2670"/>
      <c r="U14" s="2671"/>
      <c r="V14" s="2671"/>
      <c r="W14" s="2671"/>
      <c r="X14" s="2671"/>
      <c r="Y14" s="2670"/>
      <c r="Z14" s="2671"/>
      <c r="AA14" s="2671"/>
      <c r="AB14" s="2671"/>
      <c r="AC14" s="2671"/>
      <c r="AD14" s="2671"/>
      <c r="AE14" s="2671"/>
      <c r="AF14" s="2671"/>
      <c r="AG14" s="2671"/>
      <c r="AH14" s="2671"/>
      <c r="AI14" s="2671"/>
      <c r="AJ14" s="2671"/>
      <c r="AK14" s="2671"/>
      <c r="AL14" s="2671"/>
      <c r="AM14" s="2671"/>
    </row>
    <row r="15" spans="1:40" ht="12.95" customHeight="1">
      <c r="B15" s="467"/>
      <c r="C15" s="2688" t="s">
        <v>508</v>
      </c>
      <c r="D15" s="2688"/>
      <c r="E15" s="2688"/>
      <c r="F15" s="2688"/>
      <c r="G15" s="2688"/>
      <c r="H15" s="2688"/>
      <c r="I15" s="2688"/>
      <c r="J15" s="2688"/>
      <c r="K15" s="2688"/>
      <c r="L15" s="2688"/>
      <c r="M15" s="2688"/>
      <c r="N15" s="2688"/>
      <c r="O15" s="2688"/>
      <c r="P15" s="2688"/>
      <c r="Q15" s="2688"/>
      <c r="R15" s="2688"/>
      <c r="S15" s="2689"/>
      <c r="T15" s="2670"/>
      <c r="U15" s="2671"/>
      <c r="V15" s="2671"/>
      <c r="W15" s="2671"/>
      <c r="X15" s="2671"/>
      <c r="Y15" s="2670"/>
      <c r="Z15" s="2671"/>
      <c r="AA15" s="2671"/>
      <c r="AB15" s="2671"/>
      <c r="AC15" s="2671"/>
      <c r="AD15" s="2671"/>
      <c r="AE15" s="2671"/>
      <c r="AF15" s="2671"/>
      <c r="AG15" s="2671"/>
      <c r="AH15" s="2671"/>
      <c r="AI15" s="2671"/>
      <c r="AJ15" s="2671"/>
      <c r="AK15" s="2671"/>
      <c r="AL15" s="2671"/>
      <c r="AM15" s="2671"/>
    </row>
    <row r="16" spans="1:40" ht="12.95" customHeight="1">
      <c r="B16" s="467"/>
      <c r="C16" s="2688" t="s">
        <v>814</v>
      </c>
      <c r="D16" s="2688"/>
      <c r="E16" s="2688"/>
      <c r="F16" s="2688"/>
      <c r="G16" s="2688"/>
      <c r="H16" s="2688"/>
      <c r="I16" s="2688"/>
      <c r="J16" s="2688"/>
      <c r="K16" s="2688"/>
      <c r="L16" s="2688"/>
      <c r="M16" s="2688"/>
      <c r="N16" s="2688"/>
      <c r="O16" s="2688"/>
      <c r="P16" s="2688"/>
      <c r="Q16" s="2688"/>
      <c r="R16" s="2688"/>
      <c r="S16" s="2689"/>
      <c r="T16" s="2670"/>
      <c r="U16" s="2671"/>
      <c r="V16" s="2671"/>
      <c r="W16" s="2671"/>
      <c r="X16" s="2671"/>
      <c r="Y16" s="2670"/>
      <c r="Z16" s="2671"/>
      <c r="AA16" s="2671"/>
      <c r="AB16" s="2671"/>
      <c r="AC16" s="2671"/>
      <c r="AD16" s="2671"/>
      <c r="AE16" s="2671"/>
      <c r="AF16" s="2671"/>
      <c r="AG16" s="2671"/>
      <c r="AH16" s="2671"/>
      <c r="AI16" s="2671"/>
      <c r="AJ16" s="2671"/>
      <c r="AK16" s="2671"/>
      <c r="AL16" s="2671"/>
      <c r="AM16" s="2671"/>
    </row>
    <row r="17" spans="1:40" ht="12.95" customHeight="1">
      <c r="B17" s="467"/>
      <c r="C17" s="2688" t="s">
        <v>509</v>
      </c>
      <c r="D17" s="2688"/>
      <c r="E17" s="2688"/>
      <c r="F17" s="2688"/>
      <c r="G17" s="2688"/>
      <c r="H17" s="2688"/>
      <c r="I17" s="2688"/>
      <c r="J17" s="2688"/>
      <c r="K17" s="2688"/>
      <c r="L17" s="2688"/>
      <c r="M17" s="2688"/>
      <c r="N17" s="2688"/>
      <c r="O17" s="2688"/>
      <c r="P17" s="2688"/>
      <c r="Q17" s="2688"/>
      <c r="R17" s="2688"/>
      <c r="S17" s="2689"/>
      <c r="T17" s="2670"/>
      <c r="U17" s="2671"/>
      <c r="V17" s="2671"/>
      <c r="W17" s="2671"/>
      <c r="X17" s="2671"/>
      <c r="Y17" s="2670"/>
      <c r="Z17" s="2671"/>
      <c r="AA17" s="2671"/>
      <c r="AB17" s="2671"/>
      <c r="AC17" s="2671"/>
      <c r="AD17" s="2671"/>
      <c r="AE17" s="2671"/>
      <c r="AF17" s="2671"/>
      <c r="AG17" s="2671"/>
      <c r="AH17" s="2671"/>
      <c r="AI17" s="2671"/>
      <c r="AJ17" s="2671"/>
      <c r="AK17" s="2671"/>
      <c r="AL17" s="2671"/>
      <c r="AM17" s="2671"/>
    </row>
    <row r="18" spans="1:40" ht="12.95" customHeight="1">
      <c r="A18"/>
      <c r="B18" s="1194"/>
      <c r="C18" s="1655" t="s">
        <v>979</v>
      </c>
      <c r="D18" s="1655"/>
      <c r="E18" s="1655"/>
      <c r="F18" s="1655"/>
      <c r="G18" s="1655"/>
      <c r="H18" s="1655"/>
      <c r="I18" s="1655"/>
      <c r="J18" s="1655"/>
      <c r="K18" s="1655"/>
      <c r="L18" s="1655"/>
      <c r="M18" s="1655"/>
      <c r="N18" s="1655"/>
      <c r="O18" s="1655"/>
      <c r="P18" s="1655"/>
      <c r="Q18" s="1655"/>
      <c r="R18" s="1655"/>
      <c r="S18" s="1656"/>
      <c r="T18" s="2670"/>
      <c r="U18" s="2671"/>
      <c r="V18" s="2671"/>
      <c r="W18" s="2671"/>
      <c r="X18" s="2671"/>
      <c r="Y18" s="2670"/>
      <c r="Z18" s="2671"/>
      <c r="AA18" s="2671"/>
      <c r="AB18" s="2671"/>
      <c r="AC18" s="2671"/>
      <c r="AD18" s="2671"/>
      <c r="AE18" s="2671"/>
      <c r="AF18" s="2671"/>
      <c r="AG18" s="2671"/>
      <c r="AH18" s="2671"/>
      <c r="AI18" s="2671"/>
      <c r="AJ18" s="2671"/>
      <c r="AK18" s="2671"/>
      <c r="AL18" s="2671"/>
      <c r="AM18" s="2671"/>
    </row>
    <row r="19" spans="1:40" ht="12.95" customHeight="1">
      <c r="B19" s="1194"/>
      <c r="C19" s="1655" t="s">
        <v>979</v>
      </c>
      <c r="D19" s="1655"/>
      <c r="E19" s="1655"/>
      <c r="F19" s="1655"/>
      <c r="G19" s="1655"/>
      <c r="H19" s="1655"/>
      <c r="I19" s="1655"/>
      <c r="J19" s="1655"/>
      <c r="K19" s="1655"/>
      <c r="L19" s="1655"/>
      <c r="M19" s="1655"/>
      <c r="N19" s="1655"/>
      <c r="O19" s="1655"/>
      <c r="P19" s="1655"/>
      <c r="Q19" s="1655"/>
      <c r="R19" s="1655"/>
      <c r="S19" s="1656"/>
      <c r="T19" s="2670"/>
      <c r="U19" s="2671"/>
      <c r="V19" s="2671"/>
      <c r="W19" s="2671"/>
      <c r="X19" s="2671"/>
      <c r="Y19" s="2670"/>
      <c r="Z19" s="2671"/>
      <c r="AA19" s="2671"/>
      <c r="AB19" s="2671"/>
      <c r="AC19" s="2671"/>
      <c r="AD19" s="2671"/>
      <c r="AE19" s="2671"/>
      <c r="AF19" s="2671"/>
      <c r="AG19" s="2671"/>
      <c r="AH19" s="2671"/>
      <c r="AI19" s="2671"/>
      <c r="AJ19" s="2671"/>
      <c r="AK19" s="2671"/>
      <c r="AL19" s="2671"/>
      <c r="AM19" s="2671"/>
    </row>
    <row r="20" spans="1:40" ht="12.95" customHeight="1">
      <c r="B20" s="2645" t="s">
        <v>510</v>
      </c>
      <c r="C20" s="2646"/>
      <c r="D20" s="2646"/>
      <c r="E20" s="2646"/>
      <c r="F20" s="2646"/>
      <c r="G20" s="2646"/>
      <c r="H20" s="2646"/>
      <c r="I20" s="2646"/>
      <c r="J20" s="2646"/>
      <c r="K20" s="2646"/>
      <c r="L20" s="2646"/>
      <c r="M20" s="2646"/>
      <c r="N20" s="2646"/>
      <c r="O20" s="2646"/>
      <c r="P20" s="2646"/>
      <c r="Q20" s="2646"/>
      <c r="R20" s="2646"/>
      <c r="S20" s="2647"/>
      <c r="T20" s="2661">
        <f>SUM(T13:X19)</f>
        <v>0</v>
      </c>
      <c r="U20" s="2639"/>
      <c r="V20" s="2639"/>
      <c r="W20" s="2639"/>
      <c r="X20" s="2639"/>
      <c r="Y20" s="2661">
        <f>SUM(Y13:AC19)</f>
        <v>0</v>
      </c>
      <c r="Z20" s="2639"/>
      <c r="AA20" s="2639"/>
      <c r="AB20" s="2639"/>
      <c r="AC20" s="2639"/>
      <c r="AD20" s="2649">
        <f>SUM(AD13:AH19)</f>
        <v>0</v>
      </c>
      <c r="AE20" s="2660"/>
      <c r="AF20" s="2660"/>
      <c r="AG20" s="2660"/>
      <c r="AH20" s="2661"/>
      <c r="AI20" s="2649">
        <f>SUM(AI13:AM19)</f>
        <v>0</v>
      </c>
      <c r="AJ20" s="2660"/>
      <c r="AK20" s="2660"/>
      <c r="AL20" s="2660"/>
      <c r="AM20" s="2661"/>
    </row>
    <row r="21" spans="1:40" ht="12.95" customHeight="1">
      <c r="B21" s="2645" t="s">
        <v>1372</v>
      </c>
      <c r="C21" s="2646"/>
      <c r="D21" s="2646"/>
      <c r="E21" s="2646"/>
      <c r="F21" s="2646"/>
      <c r="G21" s="2646"/>
      <c r="H21" s="2646"/>
      <c r="I21" s="2646"/>
      <c r="J21" s="2646"/>
      <c r="K21" s="2646"/>
      <c r="L21" s="2646"/>
      <c r="M21" s="2646"/>
      <c r="N21" s="2646"/>
      <c r="O21" s="2646"/>
      <c r="P21" s="2646"/>
      <c r="Q21" s="2646"/>
      <c r="R21" s="2646"/>
      <c r="S21" s="2647"/>
      <c r="T21" s="2670"/>
      <c r="U21" s="2671"/>
      <c r="V21" s="2671"/>
      <c r="W21" s="2671"/>
      <c r="X21" s="2671"/>
      <c r="Y21" s="2670"/>
      <c r="Z21" s="2671"/>
      <c r="AA21" s="2671"/>
      <c r="AB21" s="2671"/>
      <c r="AC21" s="2671"/>
      <c r="AD21" s="2677"/>
      <c r="AE21" s="2678"/>
      <c r="AF21" s="2678"/>
      <c r="AG21" s="2678"/>
      <c r="AH21" s="2679"/>
      <c r="AI21" s="2677"/>
      <c r="AJ21" s="2678"/>
      <c r="AK21" s="2678"/>
      <c r="AL21" s="2678"/>
      <c r="AM21" s="2679"/>
    </row>
    <row r="22" spans="1:40" ht="12.95" customHeight="1">
      <c r="B22" s="2645" t="s">
        <v>511</v>
      </c>
      <c r="C22" s="2646"/>
      <c r="D22" s="2646"/>
      <c r="E22" s="2646"/>
      <c r="F22" s="2646"/>
      <c r="G22" s="2646"/>
      <c r="H22" s="2646"/>
      <c r="I22" s="2646"/>
      <c r="J22" s="2646"/>
      <c r="K22" s="2646"/>
      <c r="L22" s="2646"/>
      <c r="M22" s="2646"/>
      <c r="N22" s="2646"/>
      <c r="O22" s="2646"/>
      <c r="P22" s="2646"/>
      <c r="Q22" s="2646"/>
      <c r="R22" s="2646"/>
      <c r="S22" s="2647"/>
      <c r="T22" s="2666">
        <f>(ABS(T20)+ABS(T21))*-1</f>
        <v>0</v>
      </c>
      <c r="U22" s="2667"/>
      <c r="V22" s="2667"/>
      <c r="W22" s="2667"/>
      <c r="X22" s="2667"/>
      <c r="Y22" s="2666">
        <f>(Y20+Y21)*-1</f>
        <v>0</v>
      </c>
      <c r="Z22" s="2667"/>
      <c r="AA22" s="2667"/>
      <c r="AB22" s="2667"/>
      <c r="AC22" s="2667"/>
      <c r="AD22" s="2668">
        <f>(AD20)*-1</f>
        <v>0</v>
      </c>
      <c r="AE22" s="2669"/>
      <c r="AF22" s="2669"/>
      <c r="AG22" s="2669"/>
      <c r="AH22" s="2666"/>
      <c r="AI22" s="2668">
        <f>(AI20)*-1</f>
        <v>0</v>
      </c>
      <c r="AJ22" s="2669"/>
      <c r="AK22" s="2669"/>
      <c r="AL22" s="2669"/>
      <c r="AM22" s="2666"/>
    </row>
    <row r="23" spans="1:40" ht="12.95" customHeight="1">
      <c r="B23" s="2645" t="s">
        <v>512</v>
      </c>
      <c r="C23" s="2646"/>
      <c r="D23" s="2646"/>
      <c r="E23" s="2646"/>
      <c r="F23" s="2646"/>
      <c r="G23" s="2646"/>
      <c r="H23" s="2646"/>
      <c r="I23" s="2646"/>
      <c r="J23" s="2646"/>
      <c r="K23" s="2646"/>
      <c r="L23" s="2646"/>
      <c r="M23" s="2646"/>
      <c r="N23" s="2646"/>
      <c r="O23" s="2646"/>
      <c r="P23" s="2646"/>
      <c r="Q23" s="2646"/>
      <c r="R23" s="2646"/>
      <c r="S23" s="2647"/>
      <c r="T23" s="2661">
        <f>T11+T22</f>
        <v>148330212</v>
      </c>
      <c r="U23" s="2639"/>
      <c r="V23" s="2639"/>
      <c r="W23" s="2639"/>
      <c r="X23" s="2639"/>
      <c r="Y23" s="2661">
        <f>Y11+Y22</f>
        <v>0</v>
      </c>
      <c r="Z23" s="2639"/>
      <c r="AA23" s="2639"/>
      <c r="AB23" s="2639"/>
      <c r="AC23" s="2639"/>
      <c r="AD23" s="2661">
        <f>AD11+AD22</f>
        <v>0</v>
      </c>
      <c r="AE23" s="2639"/>
      <c r="AF23" s="2639"/>
      <c r="AG23" s="2639"/>
      <c r="AH23" s="2639"/>
      <c r="AI23" s="2661">
        <f>AI11+AI22</f>
        <v>0</v>
      </c>
      <c r="AJ23" s="2639"/>
      <c r="AK23" s="2639"/>
      <c r="AL23" s="2639"/>
      <c r="AM23" s="2639"/>
    </row>
    <row r="24" spans="1:40" ht="12.95" customHeight="1">
      <c r="B24" s="2645" t="s">
        <v>980</v>
      </c>
      <c r="C24" s="2646"/>
      <c r="D24" s="2646"/>
      <c r="E24" s="2646"/>
      <c r="F24" s="2646"/>
      <c r="G24" s="2646"/>
      <c r="H24" s="2646"/>
      <c r="I24" s="2646"/>
      <c r="J24" s="2646"/>
      <c r="K24" s="2646"/>
      <c r="L24" s="2646"/>
      <c r="M24" s="2646"/>
      <c r="N24" s="2646"/>
      <c r="O24" s="2646"/>
      <c r="P24" s="2646"/>
      <c r="Q24" s="2646"/>
      <c r="R24" s="2646"/>
      <c r="S24" s="2647"/>
      <c r="T24" s="2649">
        <f>Application!AJ1052</f>
        <v>315831200.80000001</v>
      </c>
      <c r="U24" s="2660"/>
      <c r="V24" s="2660"/>
      <c r="W24" s="2660"/>
      <c r="X24" s="2660"/>
      <c r="Y24" s="2660"/>
      <c r="Z24" s="2660"/>
      <c r="AA24" s="2660"/>
      <c r="AB24" s="2660"/>
      <c r="AC24" s="2660"/>
      <c r="AD24" s="2660"/>
      <c r="AE24" s="2660"/>
      <c r="AF24" s="2660"/>
      <c r="AG24" s="2660"/>
      <c r="AH24" s="2660"/>
      <c r="AI24" s="2660"/>
      <c r="AJ24" s="2660"/>
      <c r="AK24" s="2660"/>
      <c r="AL24" s="2660"/>
      <c r="AM24" s="2661"/>
    </row>
    <row r="25" spans="1:40" ht="12.95" customHeight="1">
      <c r="B25" s="2692" t="s">
        <v>1373</v>
      </c>
      <c r="C25" s="2693"/>
      <c r="D25" s="2693"/>
      <c r="E25" s="2693"/>
      <c r="F25" s="2693"/>
      <c r="G25" s="2693"/>
      <c r="H25" s="2693"/>
      <c r="I25" s="2693"/>
      <c r="J25" s="2693"/>
      <c r="K25" s="2693"/>
      <c r="L25" s="2693"/>
      <c r="M25" s="2693"/>
      <c r="N25" s="2693"/>
      <c r="O25" s="2693"/>
      <c r="P25" s="2693"/>
      <c r="Q25" s="2693"/>
      <c r="R25" s="2693"/>
      <c r="S25" s="2694"/>
      <c r="T25" s="2674">
        <f>IF(OR(Application!T196="yes",Application!T195="yes"),1.3,1)</f>
        <v>1</v>
      </c>
      <c r="U25" s="2675"/>
      <c r="V25" s="2675"/>
      <c r="W25" s="2675"/>
      <c r="X25" s="2675"/>
      <c r="Y25" s="2674">
        <v>1</v>
      </c>
      <c r="Z25" s="2675"/>
      <c r="AA25" s="2675"/>
      <c r="AB25" s="2675"/>
      <c r="AC25" s="2675"/>
      <c r="AD25" s="2674">
        <v>1</v>
      </c>
      <c r="AE25" s="2675"/>
      <c r="AF25" s="2675"/>
      <c r="AG25" s="2675"/>
      <c r="AH25" s="2676"/>
      <c r="AI25" s="2674">
        <v>1</v>
      </c>
      <c r="AJ25" s="2675"/>
      <c r="AK25" s="2675"/>
      <c r="AL25" s="2675"/>
      <c r="AM25" s="2676"/>
    </row>
    <row r="26" spans="1:40" ht="12.95" customHeight="1">
      <c r="B26" s="2645" t="s">
        <v>513</v>
      </c>
      <c r="C26" s="2646"/>
      <c r="D26" s="2646"/>
      <c r="E26" s="2646"/>
      <c r="F26" s="2646"/>
      <c r="G26" s="2646"/>
      <c r="H26" s="2646"/>
      <c r="I26" s="2646"/>
      <c r="J26" s="2646"/>
      <c r="K26" s="2646"/>
      <c r="L26" s="2646"/>
      <c r="M26" s="2646"/>
      <c r="N26" s="2646"/>
      <c r="O26" s="2646"/>
      <c r="P26" s="2646"/>
      <c r="Q26" s="2646"/>
      <c r="R26" s="2646"/>
      <c r="S26" s="2647"/>
      <c r="T26" s="2661">
        <f>T23*T25</f>
        <v>148330212</v>
      </c>
      <c r="U26" s="2639"/>
      <c r="V26" s="2639"/>
      <c r="W26" s="2639"/>
      <c r="X26" s="2639"/>
      <c r="Y26" s="2661">
        <f>Y23*Y25</f>
        <v>0</v>
      </c>
      <c r="Z26" s="2639"/>
      <c r="AA26" s="2639"/>
      <c r="AB26" s="2639"/>
      <c r="AC26" s="2639"/>
      <c r="AD26" s="2661">
        <f>AD23*AD25</f>
        <v>0</v>
      </c>
      <c r="AE26" s="2639"/>
      <c r="AF26" s="2639"/>
      <c r="AG26" s="2639"/>
      <c r="AH26" s="2639"/>
      <c r="AI26" s="2661">
        <f>AI23*AI25</f>
        <v>0</v>
      </c>
      <c r="AJ26" s="2639"/>
      <c r="AK26" s="2639"/>
      <c r="AL26" s="2639"/>
      <c r="AM26" s="2639"/>
    </row>
    <row r="27" spans="1:40" ht="12.95" customHeight="1">
      <c r="A27" s="441"/>
      <c r="B27" s="2695" t="s">
        <v>427</v>
      </c>
      <c r="C27" s="2696"/>
      <c r="D27" s="2696"/>
      <c r="E27" s="2696"/>
      <c r="F27" s="2696"/>
      <c r="G27" s="2696"/>
      <c r="H27" s="2696"/>
      <c r="I27" s="2696"/>
      <c r="J27" s="2696"/>
      <c r="K27" s="2696"/>
      <c r="L27" s="2696"/>
      <c r="M27" s="2696"/>
      <c r="N27" s="2696"/>
      <c r="O27" s="2696"/>
      <c r="P27" s="2696"/>
      <c r="Q27" s="2696"/>
      <c r="R27" s="2696"/>
      <c r="S27" s="2697"/>
      <c r="T27" s="2672">
        <f>Application!$AG$445</f>
        <v>1</v>
      </c>
      <c r="U27" s="2673"/>
      <c r="V27" s="2673"/>
      <c r="W27" s="2673"/>
      <c r="X27" s="2673"/>
      <c r="Y27" s="2672">
        <f>Application!$AG$445</f>
        <v>1</v>
      </c>
      <c r="Z27" s="2673"/>
      <c r="AA27" s="2673"/>
      <c r="AB27" s="2673"/>
      <c r="AC27" s="2673"/>
      <c r="AD27" s="2672">
        <f>Application!$AG$445</f>
        <v>1</v>
      </c>
      <c r="AE27" s="2673"/>
      <c r="AF27" s="2673"/>
      <c r="AG27" s="2673"/>
      <c r="AH27" s="2673"/>
      <c r="AI27" s="2672">
        <f>Application!$AG$445</f>
        <v>1</v>
      </c>
      <c r="AJ27" s="2673"/>
      <c r="AK27" s="2673"/>
      <c r="AL27" s="2673"/>
      <c r="AM27" s="2673"/>
    </row>
    <row r="28" spans="1:40" ht="12.95" customHeight="1">
      <c r="A28" s="435"/>
      <c r="B28" s="2645" t="s">
        <v>514</v>
      </c>
      <c r="C28" s="2646"/>
      <c r="D28" s="2646"/>
      <c r="E28" s="2646"/>
      <c r="F28" s="2646"/>
      <c r="G28" s="2646"/>
      <c r="H28" s="2646"/>
      <c r="I28" s="2646"/>
      <c r="J28" s="2646"/>
      <c r="K28" s="2646"/>
      <c r="L28" s="2646"/>
      <c r="M28" s="2646"/>
      <c r="N28" s="2646"/>
      <c r="O28" s="2646"/>
      <c r="P28" s="2646"/>
      <c r="Q28" s="2646"/>
      <c r="R28" s="2646"/>
      <c r="S28" s="2647"/>
      <c r="T28" s="2661">
        <f>IF(ISERROR((T26*T27)),0,(T26*T27))</f>
        <v>148330212</v>
      </c>
      <c r="U28" s="2639"/>
      <c r="V28" s="2639"/>
      <c r="W28" s="2639"/>
      <c r="X28" s="2639"/>
      <c r="Y28" s="2661">
        <f>IF(ISERROR((Y26*Y27)),0,(Y26*Y27))</f>
        <v>0</v>
      </c>
      <c r="Z28" s="2639"/>
      <c r="AA28" s="2639"/>
      <c r="AB28" s="2639"/>
      <c r="AC28" s="2639"/>
      <c r="AD28" s="2661">
        <f>IF(ISERROR((AD26*AD27)),0,(AD26*AD27))</f>
        <v>0</v>
      </c>
      <c r="AE28" s="2639"/>
      <c r="AF28" s="2639"/>
      <c r="AG28" s="2639"/>
      <c r="AH28" s="2639"/>
      <c r="AI28" s="2661">
        <f>IF(ISERROR((AI26*AI27)),0,(AI26*AI27))</f>
        <v>0</v>
      </c>
      <c r="AJ28" s="2639"/>
      <c r="AK28" s="2639"/>
      <c r="AL28" s="2639"/>
      <c r="AM28" s="2639"/>
    </row>
    <row r="29" spans="1:40" ht="12.95" customHeight="1">
      <c r="B29" s="2645" t="s">
        <v>531</v>
      </c>
      <c r="C29" s="2646"/>
      <c r="D29" s="2646"/>
      <c r="E29" s="2646"/>
      <c r="F29" s="2646"/>
      <c r="G29" s="2646"/>
      <c r="H29" s="2646"/>
      <c r="I29" s="2646"/>
      <c r="J29" s="2646"/>
      <c r="K29" s="2646"/>
      <c r="L29" s="2646"/>
      <c r="M29" s="2646"/>
      <c r="N29" s="2646"/>
      <c r="O29" s="2646"/>
      <c r="P29" s="2646"/>
      <c r="Q29" s="2646"/>
      <c r="R29" s="2646"/>
      <c r="S29" s="2647"/>
      <c r="T29" s="2649">
        <f>T28+Y28+AD28+AI28</f>
        <v>148330212</v>
      </c>
      <c r="U29" s="2660"/>
      <c r="V29" s="2660"/>
      <c r="W29" s="2660"/>
      <c r="X29" s="2660"/>
      <c r="Y29" s="2660"/>
      <c r="Z29" s="2660"/>
      <c r="AA29" s="2660"/>
      <c r="AB29" s="2660"/>
      <c r="AC29" s="2660"/>
      <c r="AD29" s="2660"/>
      <c r="AE29" s="2660"/>
      <c r="AF29" s="2660"/>
      <c r="AG29" s="2660"/>
      <c r="AH29" s="2660"/>
      <c r="AI29" s="2660"/>
      <c r="AJ29" s="2660"/>
      <c r="AK29" s="2660"/>
      <c r="AL29" s="2660"/>
      <c r="AM29" s="2661"/>
    </row>
    <row r="30" spans="1:40" ht="12.95" customHeight="1">
      <c r="B30" s="2665" t="s">
        <v>1375</v>
      </c>
      <c r="C30" s="2665"/>
      <c r="D30" s="2665"/>
      <c r="E30" s="2665"/>
      <c r="F30" s="2665"/>
      <c r="G30" s="2665"/>
      <c r="H30" s="2665"/>
      <c r="I30" s="2665"/>
      <c r="J30" s="2665"/>
      <c r="K30" s="2665"/>
      <c r="L30" s="2665"/>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row>
    <row r="31" spans="1:40" ht="12.95" customHeight="1">
      <c r="B31" s="2665" t="s">
        <v>1374</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2" t="s">
        <v>1255</v>
      </c>
      <c r="Z35" s="2662"/>
      <c r="AA35" s="2662"/>
      <c r="AB35" s="2662"/>
      <c r="AC35" s="2662"/>
      <c r="AD35" s="2663" t="s">
        <v>370</v>
      </c>
      <c r="AE35" s="2663"/>
      <c r="AF35" s="2663"/>
      <c r="AG35" s="2663"/>
      <c r="AH35" s="2663"/>
    </row>
    <row r="36" spans="1:76" ht="12.95" customHeight="1">
      <c r="B36" s="438"/>
      <c r="X36" s="443"/>
      <c r="Y36" s="2662"/>
      <c r="Z36" s="2662"/>
      <c r="AA36" s="2662"/>
      <c r="AB36" s="2662"/>
      <c r="AC36" s="2662"/>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2"/>
      <c r="Z37" s="2662"/>
      <c r="AA37" s="2662"/>
      <c r="AB37" s="2662"/>
      <c r="AC37" s="2662"/>
      <c r="AD37" s="2663"/>
      <c r="AE37" s="2663"/>
      <c r="AF37" s="2663"/>
      <c r="AG37" s="2663"/>
      <c r="AH37" s="2663"/>
    </row>
    <row r="38" spans="1:76" ht="12.95" customHeight="1">
      <c r="A38" s="435"/>
      <c r="B38" s="2645" t="s">
        <v>514</v>
      </c>
      <c r="C38" s="2646"/>
      <c r="D38" s="2646"/>
      <c r="E38" s="2646"/>
      <c r="F38" s="2646"/>
      <c r="G38" s="2646"/>
      <c r="H38" s="2646"/>
      <c r="I38" s="2646"/>
      <c r="J38" s="2646"/>
      <c r="K38" s="2646"/>
      <c r="L38" s="2646"/>
      <c r="M38" s="2646"/>
      <c r="N38" s="2646"/>
      <c r="O38" s="2646"/>
      <c r="P38" s="2646"/>
      <c r="Q38" s="2646"/>
      <c r="R38" s="2646"/>
      <c r="S38" s="2646"/>
      <c r="T38" s="2646"/>
      <c r="U38" s="2646"/>
      <c r="V38" s="2646"/>
      <c r="W38" s="2646"/>
      <c r="X38" s="2647"/>
      <c r="Y38" s="2639">
        <f>IF(T24&gt;=(T23+Y23+AD23+AI23),T28+Y28,0)</f>
        <v>148330212</v>
      </c>
      <c r="Z38" s="2639"/>
      <c r="AA38" s="2639"/>
      <c r="AB38" s="2639"/>
      <c r="AC38" s="2639"/>
      <c r="AD38" s="2639">
        <f>IF(T24&gt;=(T23+Y23+AD23+AI23),AD28+AI28,0)</f>
        <v>0</v>
      </c>
      <c r="AE38" s="2639"/>
      <c r="AF38" s="2639"/>
      <c r="AG38" s="2639"/>
      <c r="AH38" s="2639"/>
    </row>
    <row r="39" spans="1:76" ht="12.95" customHeight="1">
      <c r="B39" s="2645" t="s">
        <v>1880</v>
      </c>
      <c r="C39" s="2646"/>
      <c r="D39" s="2646"/>
      <c r="E39" s="2646"/>
      <c r="F39" s="2646"/>
      <c r="G39" s="2646"/>
      <c r="H39" s="2646"/>
      <c r="I39" s="2646"/>
      <c r="J39" s="2646"/>
      <c r="K39" s="2646"/>
      <c r="L39" s="2646"/>
      <c r="M39" s="2646"/>
      <c r="N39" s="2646"/>
      <c r="O39" s="2646"/>
      <c r="P39" s="2646"/>
      <c r="Q39" s="2646"/>
      <c r="R39" s="2646"/>
      <c r="S39" s="2646"/>
      <c r="T39" s="2646"/>
      <c r="U39" s="2646"/>
      <c r="V39" s="2646"/>
      <c r="W39" s="2646"/>
      <c r="X39" s="2647"/>
      <c r="Y39" s="2664">
        <v>0.04</v>
      </c>
      <c r="Z39" s="2664"/>
      <c r="AA39" s="2664"/>
      <c r="AB39" s="2664"/>
      <c r="AC39" s="2664"/>
      <c r="AD39" s="2664">
        <v>0.04</v>
      </c>
      <c r="AE39" s="2664"/>
      <c r="AF39" s="2664"/>
      <c r="AG39" s="2664"/>
      <c r="AH39" s="2664"/>
    </row>
    <row r="40" spans="1:76" ht="12.95" customHeight="1">
      <c r="A40" s="435"/>
      <c r="B40" s="2645" t="s">
        <v>650</v>
      </c>
      <c r="C40" s="2646"/>
      <c r="D40" s="2646"/>
      <c r="E40" s="2646"/>
      <c r="F40" s="2646"/>
      <c r="G40" s="2646"/>
      <c r="H40" s="2646"/>
      <c r="I40" s="2646"/>
      <c r="J40" s="2646"/>
      <c r="K40" s="2646"/>
      <c r="L40" s="2646"/>
      <c r="M40" s="2646"/>
      <c r="N40" s="2646"/>
      <c r="O40" s="2646"/>
      <c r="P40" s="2646"/>
      <c r="Q40" s="2646"/>
      <c r="R40" s="2646"/>
      <c r="S40" s="2646"/>
      <c r="T40" s="2646"/>
      <c r="U40" s="2646"/>
      <c r="V40" s="2646"/>
      <c r="W40" s="2646"/>
      <c r="X40" s="2647"/>
      <c r="Y40" s="2639">
        <f>ROUND(Y38*Y39,0)</f>
        <v>5933208</v>
      </c>
      <c r="Z40" s="2639"/>
      <c r="AA40" s="2639"/>
      <c r="AB40" s="2639"/>
      <c r="AC40" s="2639"/>
      <c r="AD40" s="2661">
        <f>ROUND(AD38*AD39,0)</f>
        <v>0</v>
      </c>
      <c r="AE40" s="2639"/>
      <c r="AF40" s="2639"/>
      <c r="AG40" s="2639"/>
      <c r="AH40" s="2639"/>
    </row>
    <row r="41" spans="1:76" ht="12.95" customHeight="1">
      <c r="B41" s="2645" t="s">
        <v>651</v>
      </c>
      <c r="C41" s="2646"/>
      <c r="D41" s="2646"/>
      <c r="E41" s="2646"/>
      <c r="F41" s="2646"/>
      <c r="G41" s="2646"/>
      <c r="H41" s="2646"/>
      <c r="I41" s="2646"/>
      <c r="J41" s="2646"/>
      <c r="K41" s="2646"/>
      <c r="L41" s="2646"/>
      <c r="M41" s="2646"/>
      <c r="N41" s="2646"/>
      <c r="O41" s="2646"/>
      <c r="P41" s="2646"/>
      <c r="Q41" s="2646"/>
      <c r="R41" s="2646"/>
      <c r="S41" s="2646"/>
      <c r="T41" s="2646"/>
      <c r="U41" s="2646"/>
      <c r="V41" s="2646"/>
      <c r="W41" s="2646"/>
      <c r="X41" s="2647"/>
      <c r="Y41" s="2649">
        <f>Y40+AD40</f>
        <v>5933208</v>
      </c>
      <c r="Z41" s="2660"/>
      <c r="AA41" s="2660"/>
      <c r="AB41" s="2660"/>
      <c r="AC41" s="2660"/>
      <c r="AD41" s="2660"/>
      <c r="AE41" s="2660"/>
      <c r="AF41" s="2660"/>
      <c r="AG41" s="2660"/>
      <c r="AH41" s="266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59" t="s">
        <v>1385</v>
      </c>
      <c r="B44" s="2659"/>
      <c r="C44" s="2659"/>
      <c r="D44" s="2659"/>
      <c r="E44" s="2659"/>
      <c r="F44" s="2659"/>
      <c r="G44" s="2659"/>
      <c r="H44" s="2659"/>
      <c r="I44" s="2659"/>
      <c r="J44" s="2659"/>
      <c r="K44" s="2659"/>
      <c r="L44" s="2659"/>
      <c r="M44" s="2659"/>
      <c r="N44" s="2659"/>
      <c r="O44" s="2659"/>
      <c r="P44" s="2659"/>
      <c r="Q44" s="2659"/>
      <c r="R44" s="2659"/>
      <c r="S44" s="2659"/>
      <c r="T44" s="2659"/>
      <c r="U44" s="2659"/>
      <c r="V44" s="2659"/>
      <c r="W44" s="2659"/>
      <c r="X44" s="2659"/>
      <c r="Y44" s="2659"/>
      <c r="Z44" s="2659"/>
      <c r="AA44" s="2659"/>
      <c r="AB44" s="2659"/>
      <c r="AC44" s="2659"/>
      <c r="AD44" s="2659"/>
      <c r="AE44" s="2659"/>
      <c r="AF44" s="2659"/>
      <c r="AG44" s="2659"/>
      <c r="AH44" s="2659"/>
      <c r="AI44" s="2659"/>
      <c r="AJ44" s="2659"/>
      <c r="AK44" s="2659"/>
      <c r="AL44" s="2659"/>
      <c r="AM44" s="2659"/>
      <c r="AN44" s="2659"/>
      <c r="AO44" s="2659"/>
      <c r="AP44" s="2659"/>
      <c r="AQ44" s="2659"/>
      <c r="AR44" s="2659"/>
      <c r="AS44" s="2659"/>
      <c r="AT44" s="2659"/>
      <c r="AU44" s="2659"/>
      <c r="AV44" s="2659"/>
      <c r="AW44" s="2659"/>
      <c r="AX44" s="2659"/>
      <c r="AY44" s="2659"/>
      <c r="AZ44" s="2659"/>
      <c r="BA44" s="2659"/>
      <c r="BB44" s="2659"/>
      <c r="BC44" s="2659"/>
      <c r="BD44" s="2659"/>
      <c r="BE44" s="2659"/>
      <c r="BF44" s="2659"/>
      <c r="BG44" s="2659"/>
      <c r="BH44" s="2659"/>
      <c r="BI44" s="2659"/>
      <c r="BJ44" s="2659"/>
      <c r="BK44" s="2659"/>
      <c r="BL44" s="2659"/>
      <c r="BM44" s="2659"/>
      <c r="BN44" s="2659"/>
      <c r="BO44" s="2659"/>
      <c r="BP44" s="2659"/>
      <c r="BQ44" s="2659"/>
      <c r="BR44" s="2659"/>
      <c r="BS44" s="2659"/>
      <c r="BT44" s="2659"/>
      <c r="BU44" s="2659"/>
      <c r="BV44" s="2659"/>
      <c r="BW44" s="2659"/>
      <c r="BX44" s="2659"/>
    </row>
    <row r="45" spans="1:76" s="218" customFormat="1" ht="12.95" customHeight="1" thickTop="1"/>
    <row r="46" spans="1:76" ht="12.95" customHeight="1">
      <c r="A46" s="435" t="s">
        <v>594</v>
      </c>
      <c r="C46" s="435" t="s">
        <v>283</v>
      </c>
    </row>
    <row r="47" spans="1:76" ht="12.95" customHeight="1">
      <c r="D47" s="435" t="s">
        <v>284</v>
      </c>
      <c r="AB47" s="2653">
        <f>'Sources and Uses Budget'!B105-MAX(IF('Sources and Uses Budget'!B15="",0,'Sources and Uses Budget'!B15),IF(Application!AG394="",0,Application!AG394))</f>
        <v>158715116</v>
      </c>
      <c r="AC47" s="2654"/>
      <c r="AD47" s="2654"/>
      <c r="AE47" s="2654"/>
      <c r="AF47" s="2655"/>
    </row>
    <row r="48" spans="1:76" ht="12.95" customHeight="1">
      <c r="D48" s="435" t="s">
        <v>21</v>
      </c>
      <c r="AB48" s="2653">
        <f>Application!AO639-MAX(IF('Sources and Uses Budget'!B15="",0,'Sources and Uses Budget'!B15),IF(Application!AG394="",0,Application!AG394))</f>
        <v>76621647</v>
      </c>
      <c r="AC48" s="2654"/>
      <c r="AD48" s="2654"/>
      <c r="AE48" s="2654"/>
      <c r="AF48" s="2655"/>
    </row>
    <row r="49" spans="1:76" ht="12.95" customHeight="1">
      <c r="D49" s="435" t="s">
        <v>91</v>
      </c>
      <c r="AB49" s="2653">
        <f>AB47-AB48</f>
        <v>82093469</v>
      </c>
      <c r="AC49" s="2654"/>
      <c r="AD49" s="2654"/>
      <c r="AE49" s="2654"/>
      <c r="AF49" s="2655"/>
    </row>
    <row r="50" spans="1:76" ht="12.95" customHeight="1">
      <c r="D50" s="435" t="s">
        <v>689</v>
      </c>
      <c r="AA50" s="446"/>
      <c r="AB50" s="2641">
        <v>0.90090029999999999</v>
      </c>
      <c r="AC50" s="2642"/>
      <c r="AD50" s="2642"/>
      <c r="AE50" s="2642"/>
      <c r="AF50" s="2643"/>
    </row>
    <row r="51" spans="1:76" s="448" customFormat="1" ht="12.95" customHeight="1">
      <c r="A51" s="433"/>
      <c r="B51" s="433"/>
      <c r="C51" s="433"/>
      <c r="D51" s="433"/>
      <c r="E51" s="2652" t="s">
        <v>2040</v>
      </c>
      <c r="F51" s="2652"/>
      <c r="G51" s="2652"/>
      <c r="H51" s="2652"/>
      <c r="I51" s="2652"/>
      <c r="J51" s="2652"/>
      <c r="K51" s="2652"/>
      <c r="L51" s="2652"/>
      <c r="M51" s="2652"/>
      <c r="N51" s="2652"/>
      <c r="O51" s="2652"/>
      <c r="P51" s="2652"/>
      <c r="Q51" s="2652"/>
      <c r="R51" s="2652"/>
      <c r="S51" s="2652"/>
      <c r="T51" s="2652"/>
      <c r="U51" s="2652"/>
      <c r="V51" s="2652"/>
      <c r="W51" s="2652"/>
      <c r="X51" s="2652"/>
      <c r="Y51" s="2652"/>
      <c r="Z51" s="2652"/>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2"/>
      <c r="F52" s="2652"/>
      <c r="G52" s="2652"/>
      <c r="H52" s="2652"/>
      <c r="I52" s="2652"/>
      <c r="J52" s="2652"/>
      <c r="K52" s="2652"/>
      <c r="L52" s="2652"/>
      <c r="M52" s="2652"/>
      <c r="N52" s="2652"/>
      <c r="O52" s="2652"/>
      <c r="P52" s="2652"/>
      <c r="Q52" s="2652"/>
      <c r="R52" s="2652"/>
      <c r="S52" s="2652"/>
      <c r="T52" s="2652"/>
      <c r="U52" s="2652"/>
      <c r="V52" s="2652"/>
      <c r="W52" s="2652"/>
      <c r="X52" s="2652"/>
      <c r="Y52" s="2652"/>
      <c r="Z52" s="2652"/>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53">
        <f>ROUND(IF(ISERROR((AB49/AB50)),0,(AB49/AB50)),0)</f>
        <v>91123811</v>
      </c>
      <c r="AC54" s="2654"/>
      <c r="AD54" s="2654"/>
      <c r="AE54" s="2654"/>
      <c r="AF54" s="2655"/>
    </row>
    <row r="55" spans="1:76" ht="12.95" customHeight="1">
      <c r="D55" s="435" t="s">
        <v>334</v>
      </c>
      <c r="AB55" s="2653">
        <f>(AB54/10)</f>
        <v>9112381.0999999996</v>
      </c>
      <c r="AC55" s="2654"/>
      <c r="AD55" s="2654"/>
      <c r="AE55" s="2654"/>
      <c r="AF55" s="2655"/>
    </row>
    <row r="56" spans="1:76" ht="12.95" customHeight="1">
      <c r="D56" s="435" t="s">
        <v>765</v>
      </c>
      <c r="AB56" s="2656">
        <f>(IF((Y41&lt;AB55),Y41,AB55))</f>
        <v>5933208</v>
      </c>
      <c r="AC56" s="2657"/>
      <c r="AD56" s="2657"/>
      <c r="AE56" s="2657"/>
      <c r="AF56" s="2658"/>
    </row>
    <row r="57" spans="1:76" ht="12.95" customHeight="1">
      <c r="D57" s="435" t="s">
        <v>764</v>
      </c>
      <c r="AB57" s="2653">
        <f>ROUND((10*AB56*AB50),0)</f>
        <v>53452289</v>
      </c>
      <c r="AC57" s="2654"/>
      <c r="AD57" s="2654"/>
      <c r="AE57" s="2654"/>
      <c r="AF57" s="2655"/>
    </row>
    <row r="58" spans="1:76" ht="12.95" customHeight="1">
      <c r="D58" s="435"/>
      <c r="AB58" s="454"/>
      <c r="AC58" s="454"/>
      <c r="AD58" s="454"/>
      <c r="AE58" s="454"/>
      <c r="AF58" s="454"/>
    </row>
    <row r="59" spans="1:76" ht="12.95" customHeight="1">
      <c r="D59" s="435" t="s">
        <v>763</v>
      </c>
      <c r="AB59" s="2637">
        <f>AB49-AB57</f>
        <v>28641180</v>
      </c>
      <c r="AC59" s="2637"/>
      <c r="AD59" s="2637"/>
      <c r="AE59" s="2637"/>
      <c r="AF59" s="2637"/>
    </row>
    <row r="60" spans="1:76" ht="12.95" customHeight="1">
      <c r="D60" s="435"/>
      <c r="AB60" s="454"/>
      <c r="AC60" s="454"/>
      <c r="AD60" s="454"/>
      <c r="AE60" s="454"/>
      <c r="AF60" s="454"/>
    </row>
    <row r="61" spans="1:76" s="218" customFormat="1" ht="12.95" customHeight="1" thickBot="1">
      <c r="A61" s="2659" t="str">
        <f>IF(Application!AP205="yes","Farmworker State Credit", "State Credit" )</f>
        <v>State Credit</v>
      </c>
      <c r="B61" s="2659"/>
      <c r="C61" s="2659"/>
      <c r="D61" s="2659"/>
      <c r="E61" s="2659"/>
      <c r="F61" s="2659"/>
      <c r="G61" s="2659"/>
      <c r="H61" s="2659"/>
      <c r="I61" s="2659"/>
      <c r="J61" s="2659"/>
      <c r="K61" s="2659"/>
      <c r="L61" s="2659"/>
      <c r="M61" s="2659"/>
      <c r="N61" s="2659"/>
      <c r="O61" s="2659"/>
      <c r="P61" s="2659"/>
      <c r="Q61" s="2659"/>
      <c r="R61" s="2659"/>
      <c r="S61" s="2659"/>
      <c r="T61" s="2659"/>
      <c r="U61" s="2659"/>
      <c r="V61" s="2659"/>
      <c r="W61" s="2659"/>
      <c r="X61" s="2659"/>
      <c r="Y61" s="2659"/>
      <c r="Z61" s="2659"/>
      <c r="AA61" s="2659"/>
      <c r="AB61" s="2659"/>
      <c r="AC61" s="2659"/>
      <c r="AD61" s="2659"/>
      <c r="AE61" s="2659"/>
      <c r="AF61" s="2659"/>
      <c r="AG61" s="2659"/>
      <c r="AH61" s="2659"/>
      <c r="AI61" s="2659"/>
      <c r="AJ61" s="2659"/>
      <c r="AK61" s="2659"/>
      <c r="AL61" s="2659"/>
      <c r="AM61" s="2659"/>
      <c r="AN61" s="2659"/>
      <c r="AO61" s="2659"/>
      <c r="AP61" s="2659"/>
      <c r="AQ61" s="2659"/>
      <c r="AR61" s="2659"/>
      <c r="AS61" s="2659"/>
      <c r="AT61" s="2659"/>
      <c r="AU61" s="2659"/>
      <c r="AV61" s="2659"/>
      <c r="AW61" s="2659"/>
      <c r="AX61" s="2659"/>
      <c r="AY61" s="2659"/>
      <c r="AZ61" s="2659"/>
      <c r="BA61" s="2659"/>
      <c r="BB61" s="2659"/>
      <c r="BC61" s="2659"/>
      <c r="BD61" s="2659"/>
      <c r="BE61" s="2659"/>
      <c r="BF61" s="2659"/>
      <c r="BG61" s="2659"/>
      <c r="BH61" s="2659"/>
      <c r="BI61" s="2659"/>
      <c r="BJ61" s="2659"/>
      <c r="BK61" s="2659"/>
      <c r="BL61" s="2659"/>
      <c r="BM61" s="2659"/>
      <c r="BN61" s="2659"/>
      <c r="BO61" s="2659"/>
      <c r="BP61" s="2659"/>
      <c r="BQ61" s="2659"/>
      <c r="BR61" s="2659"/>
      <c r="BS61" s="2659"/>
      <c r="BT61" s="2659"/>
      <c r="BU61" s="2659"/>
      <c r="BV61" s="2659"/>
      <c r="BW61" s="2659"/>
      <c r="BX61" s="2659"/>
    </row>
    <row r="62" spans="1:76" s="218" customFormat="1" ht="12.95" customHeight="1" thickTop="1"/>
    <row r="63" spans="1:76" ht="12.95" customHeight="1">
      <c r="A63" s="435" t="s">
        <v>597</v>
      </c>
      <c r="C63" s="219" t="s">
        <v>1356</v>
      </c>
      <c r="Y63" s="2648" t="s">
        <v>1002</v>
      </c>
      <c r="Z63" s="2648"/>
      <c r="AA63" s="2648"/>
      <c r="AB63" s="2648"/>
      <c r="AC63" s="2648"/>
      <c r="AD63" s="2648" t="s">
        <v>370</v>
      </c>
      <c r="AE63" s="2648"/>
      <c r="AF63" s="2648"/>
      <c r="AG63" s="2648"/>
      <c r="AH63" s="2648"/>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49">
        <f>IF(Application!Z205="(select)",0,((T23*T27)+Y28))</f>
        <v>148330212</v>
      </c>
      <c r="Z64" s="2650"/>
      <c r="AA64" s="2650"/>
      <c r="AB64" s="2650"/>
      <c r="AC64" s="2651"/>
      <c r="AD64" s="2649">
        <f>IF(AND(OR(Application!D211="At-Risk",Application!D211="At-Risk and Special Needs"),Application!M358="yes"),AD28+AI28,0)</f>
        <v>0</v>
      </c>
      <c r="AE64" s="2650"/>
      <c r="AF64" s="2650"/>
      <c r="AG64" s="2650"/>
      <c r="AH64" s="2651"/>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38">
        <f>IF(Application!AP205="yes",0.75,IF(Application!Z204="15% set-aside",0.13,IF(Application!Z204="15% set-aside with qualifying low value rehab",0.95,0.3)))</f>
        <v>0.3</v>
      </c>
      <c r="Z67" s="2638"/>
      <c r="AA67" s="2638"/>
      <c r="AB67" s="2638"/>
      <c r="AC67" s="2638"/>
      <c r="AD67" s="2638">
        <f>IF(Application!Z204="15% set-aside with qualifying low value rehab", 0.95,0.13)</f>
        <v>0.13</v>
      </c>
      <c r="AE67" s="2638"/>
      <c r="AF67" s="2638"/>
      <c r="AG67" s="2638"/>
      <c r="AH67" s="2638"/>
    </row>
    <row r="68" spans="1:36" ht="12.95" customHeight="1">
      <c r="C68" s="435"/>
      <c r="D68" s="219" t="s">
        <v>1358</v>
      </c>
      <c r="Y68" s="2639">
        <f>ROUND(Y64*Y67,0)</f>
        <v>44499064</v>
      </c>
      <c r="Z68" s="2640"/>
      <c r="AA68" s="2640"/>
      <c r="AB68" s="2640"/>
      <c r="AC68" s="2640"/>
      <c r="AD68" s="2639">
        <f>ROUND(AD64*AD67,0)</f>
        <v>0</v>
      </c>
      <c r="AE68" s="2640"/>
      <c r="AF68" s="2640"/>
      <c r="AG68" s="2640"/>
      <c r="AH68" s="2640"/>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41">
        <v>0.88</v>
      </c>
      <c r="AC71" s="2642"/>
      <c r="AD71" s="2642"/>
      <c r="AE71" s="2642"/>
      <c r="AF71" s="2643"/>
    </row>
    <row r="72" spans="1:36" ht="12.95" customHeight="1">
      <c r="A72" s="435"/>
      <c r="C72" s="435"/>
      <c r="D72" s="435"/>
      <c r="E72" s="2644" t="s">
        <v>1360</v>
      </c>
      <c r="F72" s="2644"/>
      <c r="G72" s="2644"/>
      <c r="H72" s="2644"/>
      <c r="I72" s="2644"/>
      <c r="J72" s="2644"/>
      <c r="K72" s="2644"/>
      <c r="L72" s="2644"/>
      <c r="M72" s="2644"/>
      <c r="N72" s="2644"/>
      <c r="O72" s="2644"/>
      <c r="P72" s="2644"/>
      <c r="Q72" s="2644"/>
      <c r="R72" s="2644"/>
      <c r="S72" s="2644"/>
      <c r="T72" s="2644"/>
      <c r="U72" s="2644"/>
      <c r="V72" s="2644"/>
      <c r="W72" s="2644"/>
      <c r="X72" s="2644"/>
      <c r="Y72" s="2644"/>
      <c r="Z72" s="2644"/>
      <c r="AA72" s="2644"/>
      <c r="AB72" s="471"/>
      <c r="AC72" s="471"/>
    </row>
    <row r="73" spans="1:36" ht="12.95" customHeight="1">
      <c r="A73" s="435"/>
      <c r="C73" s="435"/>
      <c r="D73" s="435"/>
      <c r="E73" s="2644"/>
      <c r="F73" s="2644"/>
      <c r="G73" s="2644"/>
      <c r="H73" s="2644"/>
      <c r="I73" s="2644"/>
      <c r="J73" s="2644"/>
      <c r="K73" s="2644"/>
      <c r="L73" s="2644"/>
      <c r="M73" s="2644"/>
      <c r="N73" s="2644"/>
      <c r="O73" s="2644"/>
      <c r="P73" s="2644"/>
      <c r="Q73" s="2644"/>
      <c r="R73" s="2644"/>
      <c r="S73" s="2644"/>
      <c r="T73" s="2644"/>
      <c r="U73" s="2644"/>
      <c r="V73" s="2644"/>
      <c r="W73" s="2644"/>
      <c r="X73" s="2644"/>
      <c r="Y73" s="2644"/>
      <c r="Z73" s="2644"/>
      <c r="AA73" s="2644"/>
      <c r="AB73" s="471"/>
      <c r="AC73" s="471"/>
    </row>
    <row r="74" spans="1:36" ht="12.95" customHeight="1">
      <c r="A74" s="435"/>
      <c r="C74" s="435"/>
      <c r="D74" s="435"/>
      <c r="E74" s="2644"/>
      <c r="F74" s="2644"/>
      <c r="G74" s="2644"/>
      <c r="H74" s="2644"/>
      <c r="I74" s="2644"/>
      <c r="J74" s="2644"/>
      <c r="K74" s="2644"/>
      <c r="L74" s="2644"/>
      <c r="M74" s="2644"/>
      <c r="N74" s="2644"/>
      <c r="O74" s="2644"/>
      <c r="P74" s="2644"/>
      <c r="Q74" s="2644"/>
      <c r="R74" s="2644"/>
      <c r="S74" s="2644"/>
      <c r="T74" s="2644"/>
      <c r="U74" s="2644"/>
      <c r="V74" s="2644"/>
      <c r="W74" s="2644"/>
      <c r="X74" s="2644"/>
      <c r="Y74" s="2644"/>
      <c r="Z74" s="2644"/>
      <c r="AA74" s="264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32">
        <f>ROUND(IF(ISERROR((AB59/AB71)),0,(AB59/AB71)),0)</f>
        <v>32546795</v>
      </c>
      <c r="AC76" s="2632"/>
      <c r="AD76" s="2632"/>
      <c r="AE76" s="2632"/>
      <c r="AF76" s="2632"/>
    </row>
    <row r="77" spans="1:36" ht="12.95" customHeight="1">
      <c r="C77" s="435"/>
      <c r="D77" s="219" t="s">
        <v>1362</v>
      </c>
      <c r="AB77" s="2633">
        <f>IF((Y68+AD68&lt;AB76),Y68+AD68,AB76)</f>
        <v>32546795</v>
      </c>
      <c r="AC77" s="2634"/>
      <c r="AD77" s="2634"/>
      <c r="AE77" s="2634"/>
      <c r="AF77" s="2635"/>
    </row>
    <row r="78" spans="1:36" ht="12.95" customHeight="1">
      <c r="C78" s="435"/>
      <c r="D78" s="219" t="s">
        <v>1363</v>
      </c>
      <c r="AB78" s="2636">
        <f>AB77*AB71</f>
        <v>28641179.600000001</v>
      </c>
      <c r="AC78" s="2636"/>
      <c r="AD78" s="2636"/>
      <c r="AE78" s="2636"/>
      <c r="AF78" s="2636"/>
    </row>
    <row r="79" spans="1:36" ht="12.95" customHeight="1">
      <c r="C79" s="435"/>
      <c r="D79" s="435"/>
      <c r="AB79" s="456"/>
      <c r="AC79" s="456"/>
      <c r="AD79" s="456"/>
      <c r="AE79" s="456"/>
      <c r="AF79" s="456"/>
    </row>
    <row r="80" spans="1:36" ht="12.95" customHeight="1">
      <c r="D80" s="435" t="s">
        <v>763</v>
      </c>
      <c r="AB80" s="2637">
        <f>AB49-(AB57+AB78)</f>
        <v>0.40000000596046448</v>
      </c>
      <c r="AC80" s="2637"/>
      <c r="AD80" s="2637"/>
      <c r="AE80" s="2637"/>
      <c r="AF80" s="2637"/>
    </row>
    <row r="81" spans="1:78" ht="12.95" customHeight="1">
      <c r="F81" s="556"/>
      <c r="J81" s="556" t="str">
        <f>IF(AB80&gt;0,"FUNDING GAP MUST NOT EXCEED ZERO","")</f>
        <v>FUNDING GAP MUST NOT EXCEED ZERO</v>
      </c>
    </row>
    <row r="82" spans="1:78" ht="12.95" customHeight="1">
      <c r="D82" s="557"/>
    </row>
    <row r="83" spans="1:78" ht="12.95" customHeight="1" thickBot="1">
      <c r="A83" s="2659"/>
      <c r="B83" s="2659"/>
      <c r="C83" s="2659"/>
      <c r="D83" s="2659"/>
      <c r="E83" s="2659"/>
      <c r="F83" s="2659"/>
      <c r="G83" s="2659"/>
      <c r="H83" s="2659"/>
      <c r="I83" s="2659"/>
      <c r="J83" s="2659"/>
      <c r="K83" s="2659"/>
      <c r="L83" s="2659"/>
      <c r="M83" s="2659"/>
      <c r="N83" s="2659"/>
      <c r="O83" s="2659"/>
      <c r="P83" s="2659"/>
      <c r="Q83" s="2659"/>
      <c r="R83" s="2659"/>
      <c r="S83" s="2659"/>
      <c r="T83" s="2659"/>
      <c r="U83" s="2659"/>
      <c r="V83" s="2659"/>
      <c r="W83" s="2659"/>
      <c r="X83" s="2659"/>
      <c r="Y83" s="2659"/>
      <c r="Z83" s="2659"/>
      <c r="AA83" s="2659"/>
      <c r="AB83" s="2659"/>
      <c r="AC83" s="2659"/>
      <c r="AD83" s="2659"/>
      <c r="AE83" s="2659"/>
      <c r="AF83" s="2659"/>
      <c r="AG83" s="2659"/>
      <c r="AH83" s="2659"/>
      <c r="AI83" s="2659"/>
      <c r="AJ83" s="2659"/>
      <c r="AK83" s="2659"/>
      <c r="AL83" s="2659"/>
      <c r="AM83" s="2659"/>
      <c r="AN83" s="2659"/>
      <c r="AO83" s="2659"/>
      <c r="AP83" s="2659"/>
      <c r="AQ83" s="2659"/>
      <c r="AR83" s="2659"/>
      <c r="AS83" s="2659"/>
      <c r="AT83" s="2659"/>
      <c r="AU83" s="2659"/>
      <c r="AV83" s="2659"/>
      <c r="AW83" s="2659"/>
      <c r="AX83" s="2659"/>
      <c r="AY83" s="2659"/>
      <c r="AZ83" s="2659"/>
      <c r="BA83" s="2659"/>
      <c r="BB83" s="2659"/>
      <c r="BC83" s="2659"/>
      <c r="BD83" s="2659"/>
      <c r="BE83" s="2659"/>
      <c r="BF83" s="2659"/>
      <c r="BG83" s="2659"/>
      <c r="BH83" s="2659"/>
      <c r="BI83" s="2659"/>
      <c r="BJ83" s="2659"/>
      <c r="BK83" s="2659"/>
      <c r="BL83" s="2659"/>
      <c r="BM83" s="2659"/>
      <c r="BN83" s="2659"/>
      <c r="BO83" s="2659"/>
      <c r="BP83" s="2659"/>
      <c r="BQ83" s="2659"/>
      <c r="BR83" s="2659"/>
      <c r="BS83" s="2659"/>
      <c r="BT83" s="2659"/>
      <c r="BU83" s="2659"/>
      <c r="BV83" s="2659"/>
      <c r="BW83" s="2659"/>
      <c r="BX83" s="2659"/>
    </row>
    <row r="84" spans="1:78" ht="12.95" customHeight="1" thickTop="1"/>
    <row r="85" spans="1:78" ht="12.95" customHeight="1">
      <c r="A85" s="435"/>
      <c r="C85" s="219"/>
    </row>
    <row r="86" spans="1:78" ht="12.95" customHeight="1">
      <c r="D86" s="219"/>
      <c r="AB86" s="2691"/>
      <c r="AC86" s="2691"/>
      <c r="AD86" s="2691"/>
      <c r="AE86" s="2691"/>
      <c r="AF86" s="2691"/>
    </row>
    <row r="87" spans="1:78" ht="12.95" customHeight="1" thickBot="1">
      <c r="D87" s="219"/>
      <c r="AB87" s="2690"/>
      <c r="AC87" s="2690"/>
      <c r="AD87" s="2690"/>
      <c r="AE87" s="2690"/>
      <c r="AF87" s="269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L43" sqref="L4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8" t="s">
        <v>924</v>
      </c>
      <c r="B1" s="2698"/>
      <c r="C1" s="2698"/>
      <c r="D1" s="2698"/>
      <c r="E1" s="2698"/>
      <c r="F1" s="2698"/>
      <c r="G1" s="2698"/>
      <c r="H1" s="2698"/>
      <c r="I1" s="2698"/>
      <c r="J1" s="2698"/>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SRO/Studio</v>
      </c>
      <c r="B4" s="1121">
        <f>Application!G718</f>
        <v>11</v>
      </c>
      <c r="C4" s="1122"/>
      <c r="D4" s="459">
        <f>Application!O718</f>
        <v>936</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39</v>
      </c>
      <c r="C5" s="1122"/>
      <c r="D5" s="459">
        <f>Application!O719</f>
        <v>1515</v>
      </c>
      <c r="E5" s="460"/>
      <c r="F5" s="1123"/>
      <c r="G5" s="459">
        <f t="shared" ref="G5:G38" si="2">F5*B5</f>
        <v>0</v>
      </c>
      <c r="H5" s="460"/>
      <c r="I5" s="459" t="str">
        <f t="shared" si="0"/>
        <v/>
      </c>
      <c r="J5" s="459" t="str">
        <f t="shared" si="1"/>
        <v/>
      </c>
      <c r="K5" s="218"/>
      <c r="L5" s="328"/>
    </row>
    <row r="6" spans="1:12">
      <c r="A6" s="459" t="str">
        <f>Application!B720</f>
        <v>SRO/Studio</v>
      </c>
      <c r="B6" s="1121">
        <f>Application!G720</f>
        <v>25</v>
      </c>
      <c r="C6" s="1122"/>
      <c r="D6" s="459">
        <f>Application!O720</f>
        <v>1827</v>
      </c>
      <c r="E6" s="460"/>
      <c r="F6" s="1123"/>
      <c r="G6" s="459">
        <f t="shared" si="2"/>
        <v>0</v>
      </c>
      <c r="H6" s="460"/>
      <c r="I6" s="459" t="str">
        <f t="shared" si="0"/>
        <v/>
      </c>
      <c r="J6" s="459" t="str">
        <f t="shared" si="1"/>
        <v/>
      </c>
      <c r="K6" s="218"/>
      <c r="L6" s="328"/>
    </row>
    <row r="7" spans="1:12">
      <c r="A7" s="459" t="str">
        <f>Application!B721</f>
        <v>1 Bedroom</v>
      </c>
      <c r="B7" s="1121">
        <f>Application!G721</f>
        <v>2</v>
      </c>
      <c r="C7" s="1122"/>
      <c r="D7" s="459">
        <f>Application!O721</f>
        <v>1003</v>
      </c>
      <c r="E7" s="460"/>
      <c r="F7" s="1123"/>
      <c r="G7" s="459">
        <f t="shared" si="2"/>
        <v>0</v>
      </c>
      <c r="H7" s="460"/>
      <c r="I7" s="459" t="str">
        <f t="shared" si="0"/>
        <v/>
      </c>
      <c r="J7" s="459" t="str">
        <f t="shared" si="1"/>
        <v/>
      </c>
      <c r="K7" s="218"/>
      <c r="L7" s="328"/>
    </row>
    <row r="8" spans="1:12">
      <c r="A8" s="459" t="str">
        <f>Application!B722</f>
        <v>1 Bedroom</v>
      </c>
      <c r="B8" s="1121">
        <f>Application!G722</f>
        <v>10</v>
      </c>
      <c r="C8" s="1122" t="s">
        <v>386</v>
      </c>
      <c r="D8" s="459">
        <f>Application!O722</f>
        <v>1003</v>
      </c>
      <c r="E8" s="460"/>
      <c r="F8" s="1123">
        <v>2963</v>
      </c>
      <c r="G8" s="459">
        <f t="shared" si="2"/>
        <v>29630</v>
      </c>
      <c r="H8" s="460"/>
      <c r="I8" s="459">
        <f t="shared" si="0"/>
        <v>1960</v>
      </c>
      <c r="J8" s="459">
        <f t="shared" si="1"/>
        <v>19600</v>
      </c>
      <c r="K8" s="218"/>
      <c r="L8" s="328"/>
    </row>
    <row r="9" spans="1:12">
      <c r="A9" s="459" t="str">
        <f>Application!B723</f>
        <v>1 Bedroom</v>
      </c>
      <c r="B9" s="1121">
        <f>Application!G723</f>
        <v>3</v>
      </c>
      <c r="C9" s="1122"/>
      <c r="D9" s="459">
        <f>Application!O723</f>
        <v>1620</v>
      </c>
      <c r="E9" s="460"/>
      <c r="F9" s="1123"/>
      <c r="G9" s="459">
        <f t="shared" si="2"/>
        <v>0</v>
      </c>
      <c r="H9" s="460"/>
      <c r="I9" s="459" t="str">
        <f t="shared" si="0"/>
        <v/>
      </c>
      <c r="J9" s="459" t="str">
        <f t="shared" si="1"/>
        <v/>
      </c>
      <c r="K9" s="218"/>
      <c r="L9" s="328"/>
    </row>
    <row r="10" spans="1:12">
      <c r="A10" s="459" t="str">
        <f>Application!B724</f>
        <v>1 Bedroom</v>
      </c>
      <c r="B10" s="1121">
        <f>Application!G724</f>
        <v>3</v>
      </c>
      <c r="C10" s="1122"/>
      <c r="D10" s="459">
        <f>Application!O724</f>
        <v>1954</v>
      </c>
      <c r="E10" s="460"/>
      <c r="F10" s="1123"/>
      <c r="G10" s="459">
        <f t="shared" si="2"/>
        <v>0</v>
      </c>
      <c r="H10" s="460"/>
      <c r="I10" s="459" t="str">
        <f t="shared" si="0"/>
        <v/>
      </c>
      <c r="J10" s="459" t="str">
        <f t="shared" si="1"/>
        <v/>
      </c>
      <c r="K10" s="218"/>
      <c r="L10" s="328"/>
    </row>
    <row r="11" spans="1:12">
      <c r="A11" s="459" t="str">
        <f>Application!B725</f>
        <v>2 Bedrooms</v>
      </c>
      <c r="B11" s="1121">
        <f>Application!G725</f>
        <v>3</v>
      </c>
      <c r="C11" s="1122"/>
      <c r="D11" s="459">
        <f>Application!O725</f>
        <v>1204</v>
      </c>
      <c r="E11" s="460"/>
      <c r="F11" s="1123"/>
      <c r="G11" s="459">
        <f t="shared" si="2"/>
        <v>0</v>
      </c>
      <c r="H11" s="460"/>
      <c r="I11" s="459" t="str">
        <f t="shared" si="0"/>
        <v/>
      </c>
      <c r="J11" s="459" t="str">
        <f t="shared" si="1"/>
        <v/>
      </c>
      <c r="K11" s="218"/>
      <c r="L11" s="328"/>
    </row>
    <row r="12" spans="1:12">
      <c r="A12" s="459" t="str">
        <f>Application!B726</f>
        <v>2 Bedrooms</v>
      </c>
      <c r="B12" s="1121">
        <f>Application!G726</f>
        <v>10</v>
      </c>
      <c r="C12" s="1122" t="s">
        <v>386</v>
      </c>
      <c r="D12" s="459">
        <f>Application!O726</f>
        <v>1204</v>
      </c>
      <c r="E12" s="460"/>
      <c r="F12" s="1123">
        <v>3445</v>
      </c>
      <c r="G12" s="459">
        <f t="shared" si="2"/>
        <v>34450</v>
      </c>
      <c r="H12" s="460"/>
      <c r="I12" s="459">
        <f t="shared" si="0"/>
        <v>2241</v>
      </c>
      <c r="J12" s="459">
        <f t="shared" si="1"/>
        <v>22410</v>
      </c>
      <c r="K12" s="218"/>
      <c r="L12" s="328"/>
    </row>
    <row r="13" spans="1:12">
      <c r="A13" s="459" t="str">
        <f>Application!B727</f>
        <v>2 Bedrooms</v>
      </c>
      <c r="B13" s="1121">
        <f>Application!G727</f>
        <v>11</v>
      </c>
      <c r="C13" s="1122"/>
      <c r="D13" s="459">
        <f>Application!O727</f>
        <v>1934</v>
      </c>
      <c r="E13" s="460"/>
      <c r="F13" s="1123"/>
      <c r="G13" s="459">
        <f t="shared" si="2"/>
        <v>0</v>
      </c>
      <c r="H13" s="460"/>
      <c r="I13" s="459" t="str">
        <f t="shared" si="0"/>
        <v/>
      </c>
      <c r="J13" s="459" t="str">
        <f t="shared" si="1"/>
        <v/>
      </c>
      <c r="K13" s="218"/>
      <c r="L13" s="328"/>
    </row>
    <row r="14" spans="1:12">
      <c r="A14" s="459" t="str">
        <f>Application!B728</f>
        <v>2 Bedrooms</v>
      </c>
      <c r="B14" s="1121">
        <f>Application!G728</f>
        <v>24</v>
      </c>
      <c r="C14" s="1122"/>
      <c r="D14" s="459">
        <f>Application!O728</f>
        <v>2336</v>
      </c>
      <c r="E14" s="460"/>
      <c r="F14" s="1123"/>
      <c r="G14" s="459">
        <f t="shared" si="2"/>
        <v>0</v>
      </c>
      <c r="H14" s="460"/>
      <c r="I14" s="459" t="str">
        <f t="shared" si="0"/>
        <v/>
      </c>
      <c r="J14" s="459" t="str">
        <f t="shared" si="1"/>
        <v/>
      </c>
      <c r="K14" s="218"/>
      <c r="L14" s="328"/>
    </row>
    <row r="15" spans="1:12">
      <c r="A15" s="459" t="str">
        <f>Application!B729</f>
        <v>3 Bedrooms</v>
      </c>
      <c r="B15" s="1121">
        <f>Application!G729</f>
        <v>4</v>
      </c>
      <c r="C15" s="1122"/>
      <c r="D15" s="459">
        <f>Application!O729</f>
        <v>1391</v>
      </c>
      <c r="E15" s="460"/>
      <c r="F15" s="1123"/>
      <c r="G15" s="459">
        <f t="shared" si="2"/>
        <v>0</v>
      </c>
      <c r="H15" s="460"/>
      <c r="I15" s="459" t="str">
        <f t="shared" si="0"/>
        <v/>
      </c>
      <c r="J15" s="459" t="str">
        <f t="shared" si="1"/>
        <v/>
      </c>
      <c r="K15" s="218"/>
      <c r="L15" s="328"/>
    </row>
    <row r="16" spans="1:12">
      <c r="A16" s="459" t="str">
        <f>Application!B730</f>
        <v>3 Bedrooms</v>
      </c>
      <c r="B16" s="1121">
        <f>Application!G730</f>
        <v>10</v>
      </c>
      <c r="C16" s="1122" t="s">
        <v>386</v>
      </c>
      <c r="D16" s="459">
        <f>Application!O730</f>
        <v>1391</v>
      </c>
      <c r="E16" s="460"/>
      <c r="F16" s="1123">
        <v>4247</v>
      </c>
      <c r="G16" s="459">
        <f t="shared" si="2"/>
        <v>42470</v>
      </c>
      <c r="H16" s="460"/>
      <c r="I16" s="459">
        <f t="shared" si="0"/>
        <v>2856</v>
      </c>
      <c r="J16" s="459">
        <f t="shared" si="1"/>
        <v>28560</v>
      </c>
      <c r="K16" s="218"/>
      <c r="L16" s="328"/>
    </row>
    <row r="17" spans="1:12">
      <c r="A17" s="459" t="str">
        <f>Application!B731</f>
        <v>3 Bedrooms</v>
      </c>
      <c r="B17" s="1121">
        <f>Application!G731</f>
        <v>12</v>
      </c>
      <c r="C17" s="1122"/>
      <c r="D17" s="459">
        <f>Application!O731</f>
        <v>2227</v>
      </c>
      <c r="E17" s="460"/>
      <c r="F17" s="1123"/>
      <c r="G17" s="459">
        <f t="shared" si="2"/>
        <v>0</v>
      </c>
      <c r="H17" s="460"/>
      <c r="I17" s="459" t="str">
        <f t="shared" si="0"/>
        <v/>
      </c>
      <c r="J17" s="459" t="str">
        <f t="shared" si="1"/>
        <v/>
      </c>
      <c r="K17" s="218"/>
      <c r="L17" s="328"/>
    </row>
    <row r="18" spans="1:12">
      <c r="A18" s="459" t="str">
        <f>Application!B732</f>
        <v>3 Bedrooms</v>
      </c>
      <c r="B18" s="1121">
        <f>Application!G732</f>
        <v>22</v>
      </c>
      <c r="C18" s="1122"/>
      <c r="D18" s="459">
        <f>Application!O732</f>
        <v>2691</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336204</v>
      </c>
      <c r="E40" s="460"/>
      <c r="F40" s="460"/>
      <c r="G40" s="463">
        <f>SUM(G4:G38)*12</f>
        <v>1278600</v>
      </c>
      <c r="H40" s="464"/>
      <c r="I40" s="462"/>
      <c r="J40" s="463">
        <f>SUM(J4:J38)*12</f>
        <v>846840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35" sqref="E3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4034448</v>
      </c>
      <c r="G4" s="235">
        <f>E4*$C$4</f>
        <v>4135309.1999999997</v>
      </c>
      <c r="I4" s="235">
        <f>G4*$C$4</f>
        <v>4238691.93</v>
      </c>
      <c r="K4" s="235">
        <f>I4*$C$4</f>
        <v>4344659.2282499997</v>
      </c>
      <c r="M4" s="235">
        <f>K4*$C$4</f>
        <v>4453275.7089562491</v>
      </c>
      <c r="O4" s="235">
        <f>M4*$C$4</f>
        <v>4564607.6016801549</v>
      </c>
      <c r="Q4" s="235">
        <f>O4*$C$4</f>
        <v>4678722.791722158</v>
      </c>
      <c r="S4" s="235">
        <f>Q4*$C$4</f>
        <v>4795690.8615152119</v>
      </c>
      <c r="U4" s="235">
        <f>S4*$C$4</f>
        <v>4915583.1330530914</v>
      </c>
      <c r="W4" s="235">
        <f>U4*$C$4</f>
        <v>5038472.7113794181</v>
      </c>
      <c r="Y4" s="235">
        <f>W4*$C$4</f>
        <v>5164434.5291639036</v>
      </c>
      <c r="AA4" s="235">
        <f>Y4*$C$4</f>
        <v>5293545.3923930004</v>
      </c>
      <c r="AC4" s="235">
        <f>AA4*$C$4</f>
        <v>5425884.0272028251</v>
      </c>
      <c r="AE4" s="235">
        <f>AC4*$C$4</f>
        <v>5561531.1278828951</v>
      </c>
      <c r="AG4" s="235">
        <f>AE4*$C$4</f>
        <v>5700569.4060799666</v>
      </c>
    </row>
    <row r="5" spans="1:34" s="225" customFormat="1" ht="14.25">
      <c r="B5" s="225" t="s">
        <v>849</v>
      </c>
      <c r="C5" s="254">
        <v>6.5000000000000002E-2</v>
      </c>
      <c r="E5" s="237">
        <f>-E4*$C$5</f>
        <v>-262239.12</v>
      </c>
      <c r="F5" s="237"/>
      <c r="G5" s="237">
        <f>-G4*$C$5</f>
        <v>-268795.098</v>
      </c>
      <c r="H5" s="237"/>
      <c r="I5" s="237">
        <f>-I4*$C$5</f>
        <v>-275514.97544999997</v>
      </c>
      <c r="J5" s="237"/>
      <c r="K5" s="237">
        <f>-K4*$C$5</f>
        <v>-282402.84983625001</v>
      </c>
      <c r="L5" s="237"/>
      <c r="M5" s="237">
        <f>-M4*$C$5</f>
        <v>-289462.92108215619</v>
      </c>
      <c r="N5" s="237"/>
      <c r="O5" s="237">
        <f>-O4*$C$5</f>
        <v>-296699.49410921009</v>
      </c>
      <c r="P5" s="237"/>
      <c r="Q5" s="237">
        <f>-Q4*$C$5</f>
        <v>-304116.98146194028</v>
      </c>
      <c r="R5" s="237"/>
      <c r="S5" s="237">
        <f>-S4*$C$5</f>
        <v>-311719.90599848877</v>
      </c>
      <c r="T5" s="237"/>
      <c r="U5" s="237">
        <f>-U4*$C$5</f>
        <v>-319512.90364845097</v>
      </c>
      <c r="V5" s="237"/>
      <c r="W5" s="237">
        <f>-W4*$C$5</f>
        <v>-327500.72623966221</v>
      </c>
      <c r="X5" s="237"/>
      <c r="Y5" s="237">
        <f>-Y4*$C$5</f>
        <v>-335688.24439565372</v>
      </c>
      <c r="Z5" s="237"/>
      <c r="AA5" s="237">
        <f>-AA4*$C$5</f>
        <v>-344080.45050554501</v>
      </c>
      <c r="AB5" s="237"/>
      <c r="AC5" s="237">
        <f>-AC4*$C$5</f>
        <v>-352682.46176818362</v>
      </c>
      <c r="AD5" s="237"/>
      <c r="AE5" s="237">
        <f>-AE4*$C$5</f>
        <v>-361499.52331238816</v>
      </c>
      <c r="AF5" s="237"/>
      <c r="AG5" s="237">
        <f>-AG4*$C$5</f>
        <v>-370537.01139519783</v>
      </c>
    </row>
    <row r="6" spans="1:34" s="225" customFormat="1" ht="14.25">
      <c r="A6" s="225" t="s">
        <v>847</v>
      </c>
      <c r="C6" s="253">
        <v>1.0249999999999999</v>
      </c>
      <c r="E6" s="238">
        <f>Application!Z809</f>
        <v>846840</v>
      </c>
      <c r="F6" s="238"/>
      <c r="G6" s="238">
        <f>E6*$C$6</f>
        <v>868010.99999999988</v>
      </c>
      <c r="H6" s="238"/>
      <c r="I6" s="238">
        <f>G6*$C$6</f>
        <v>889711.27499999979</v>
      </c>
      <c r="J6" s="238"/>
      <c r="K6" s="238">
        <f>I6*$C$6</f>
        <v>911954.05687499966</v>
      </c>
      <c r="L6" s="238"/>
      <c r="M6" s="238">
        <f>K6*$C$6</f>
        <v>934752.90829687461</v>
      </c>
      <c r="N6" s="238"/>
      <c r="O6" s="238">
        <f>M6*$C$6</f>
        <v>958121.73100429634</v>
      </c>
      <c r="P6" s="238"/>
      <c r="Q6" s="238">
        <f>O6*$C$6</f>
        <v>982074.77427940362</v>
      </c>
      <c r="R6" s="238"/>
      <c r="S6" s="238">
        <f>Q6*$C$6</f>
        <v>1006626.6436363886</v>
      </c>
      <c r="T6" s="238"/>
      <c r="U6" s="238">
        <f>S6*$C$6</f>
        <v>1031792.3097272982</v>
      </c>
      <c r="V6" s="238"/>
      <c r="W6" s="238">
        <f>U6*$C$6</f>
        <v>1057587.1174704805</v>
      </c>
      <c r="X6" s="238"/>
      <c r="Y6" s="238">
        <f>W6*$C$6</f>
        <v>1084026.7954072424</v>
      </c>
      <c r="Z6" s="238"/>
      <c r="AA6" s="238">
        <f>Y6*$C$6</f>
        <v>1111127.4652924233</v>
      </c>
      <c r="AB6" s="238"/>
      <c r="AC6" s="238">
        <f>AA6*$C$6</f>
        <v>1138905.6519247338</v>
      </c>
      <c r="AD6" s="238"/>
      <c r="AE6" s="238">
        <f>AC6*$C$6</f>
        <v>1167378.2932228521</v>
      </c>
      <c r="AF6" s="238"/>
      <c r="AG6" s="238">
        <f>AE6*$C$6</f>
        <v>1196562.7505534233</v>
      </c>
    </row>
    <row r="7" spans="1:34" s="225" customFormat="1" ht="14.25">
      <c r="B7" s="225" t="s">
        <v>849</v>
      </c>
      <c r="C7" s="254">
        <v>6.5000000000000002E-2</v>
      </c>
      <c r="E7" s="237">
        <f>-E6*$C$7</f>
        <v>-55044.6</v>
      </c>
      <c r="F7" s="237"/>
      <c r="G7" s="237">
        <f>-G6*$C$7</f>
        <v>-56420.714999999997</v>
      </c>
      <c r="H7" s="237"/>
      <c r="I7" s="237">
        <f>-I6*$C$7</f>
        <v>-57831.232874999987</v>
      </c>
      <c r="J7" s="237"/>
      <c r="K7" s="237">
        <f>-K6*$C$7</f>
        <v>-59277.013696874979</v>
      </c>
      <c r="L7" s="237"/>
      <c r="M7" s="237">
        <f>-M6*$C$7</f>
        <v>-60758.939039296849</v>
      </c>
      <c r="N7" s="237"/>
      <c r="O7" s="237">
        <f>-O6*$C$7</f>
        <v>-62277.912515279262</v>
      </c>
      <c r="P7" s="237"/>
      <c r="Q7" s="237">
        <f>-Q6*$C$7</f>
        <v>-63834.860328161238</v>
      </c>
      <c r="R7" s="237"/>
      <c r="S7" s="237">
        <f>-S6*$C$7</f>
        <v>-65430.731836365259</v>
      </c>
      <c r="T7" s="237"/>
      <c r="U7" s="237">
        <f>-U6*$C$7</f>
        <v>-67066.500132274392</v>
      </c>
      <c r="V7" s="237"/>
      <c r="W7" s="237">
        <f>-W6*$C$7</f>
        <v>-68743.162635581233</v>
      </c>
      <c r="X7" s="237"/>
      <c r="Y7" s="237">
        <f>-Y6*$C$7</f>
        <v>-70461.741701470761</v>
      </c>
      <c r="Z7" s="237"/>
      <c r="AA7" s="237">
        <f>-AA6*$C$7</f>
        <v>-72223.285244007508</v>
      </c>
      <c r="AB7" s="237"/>
      <c r="AC7" s="237">
        <f>-AC6*$C$7</f>
        <v>-74028.8673751077</v>
      </c>
      <c r="AD7" s="237"/>
      <c r="AE7" s="237">
        <f>-AE6*$C$7</f>
        <v>-75879.589059485384</v>
      </c>
      <c r="AF7" s="237"/>
      <c r="AG7" s="237">
        <f>-AG6*$C$7</f>
        <v>-77776.578785972524</v>
      </c>
    </row>
    <row r="8" spans="1:34" s="225" customFormat="1" ht="14.25">
      <c r="A8" s="225" t="s">
        <v>289</v>
      </c>
      <c r="C8" s="253">
        <v>1.0249999999999999</v>
      </c>
      <c r="E8" s="238">
        <f>Application!Z817</f>
        <v>47920</v>
      </c>
      <c r="F8" s="238"/>
      <c r="G8" s="238">
        <f>E8*$C$8</f>
        <v>49117.999999999993</v>
      </c>
      <c r="H8" s="238"/>
      <c r="I8" s="238">
        <f>G8*$C$8</f>
        <v>50345.94999999999</v>
      </c>
      <c r="J8" s="238"/>
      <c r="K8" s="238">
        <f>I8*$C$8</f>
        <v>51604.598749999983</v>
      </c>
      <c r="L8" s="238"/>
      <c r="M8" s="238">
        <f>K8*$C$8</f>
        <v>52894.713718749976</v>
      </c>
      <c r="N8" s="238"/>
      <c r="O8" s="238">
        <f>M8*$C$8</f>
        <v>54217.081561718718</v>
      </c>
      <c r="P8" s="238"/>
      <c r="Q8" s="238">
        <f>O8*$C$8</f>
        <v>55572.508600761685</v>
      </c>
      <c r="R8" s="238"/>
      <c r="S8" s="238">
        <f>Q8*$C$8</f>
        <v>56961.821315780719</v>
      </c>
      <c r="T8" s="238"/>
      <c r="U8" s="238">
        <f>S8*$C$8</f>
        <v>58385.866848675229</v>
      </c>
      <c r="V8" s="238"/>
      <c r="W8" s="238">
        <f>U8*$C$8</f>
        <v>59845.513519892105</v>
      </c>
      <c r="X8" s="238"/>
      <c r="Y8" s="238">
        <f>W8*$C$8</f>
        <v>61341.651357889401</v>
      </c>
      <c r="Z8" s="238"/>
      <c r="AA8" s="238">
        <f>Y8*$C$8</f>
        <v>62875.192641836627</v>
      </c>
      <c r="AB8" s="238"/>
      <c r="AC8" s="238">
        <f>AA8*$C$8</f>
        <v>64447.072457882539</v>
      </c>
      <c r="AD8" s="238"/>
      <c r="AE8" s="238">
        <f>AC8*$C$8</f>
        <v>66058.249269329594</v>
      </c>
      <c r="AF8" s="238"/>
      <c r="AG8" s="238">
        <f>AE8*$C$8</f>
        <v>67709.705501062825</v>
      </c>
    </row>
    <row r="9" spans="1:34" s="225" customFormat="1" ht="14.25">
      <c r="B9" s="225" t="s">
        <v>849</v>
      </c>
      <c r="C9" s="254">
        <v>0</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4611924.28</v>
      </c>
      <c r="G11" s="239">
        <f>SUM(G4:G10)</f>
        <v>4727222.3870000001</v>
      </c>
      <c r="I11" s="239">
        <f>SUM(I4:I10)</f>
        <v>4845402.9466749998</v>
      </c>
      <c r="K11" s="239">
        <f>SUM(K4:K10)</f>
        <v>4966538.0203418741</v>
      </c>
      <c r="M11" s="239">
        <f>SUM(M4:M10)</f>
        <v>5090701.4708504202</v>
      </c>
      <c r="O11" s="239">
        <f>SUM(O4:O10)</f>
        <v>5217969.0076216804</v>
      </c>
      <c r="Q11" s="239">
        <f>SUM(Q4:Q10)</f>
        <v>5348418.2328122221</v>
      </c>
      <c r="S11" s="239">
        <f>SUM(S4:S10)</f>
        <v>5482128.6886325264</v>
      </c>
      <c r="U11" s="239">
        <f>SUM(U4:U10)</f>
        <v>5619181.9058483392</v>
      </c>
      <c r="W11" s="239">
        <f>SUM(W4:W10)</f>
        <v>5759661.4534945469</v>
      </c>
      <c r="Y11" s="239">
        <f>SUM(Y4:Y10)</f>
        <v>5903652.9898319105</v>
      </c>
      <c r="AA11" s="239">
        <f>SUM(AA4:AA10)</f>
        <v>6051244.3145777071</v>
      </c>
      <c r="AC11" s="239">
        <f>SUM(AC4:AC10)</f>
        <v>6202525.4224421503</v>
      </c>
      <c r="AE11" s="239">
        <f>SUM(AE4:AE10)</f>
        <v>6357588.5580032039</v>
      </c>
      <c r="AG11" s="239">
        <f>SUM(AG4:AG10)</f>
        <v>6516528.2719532829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273200</v>
      </c>
      <c r="G15" s="235">
        <f>E15*$C$14</f>
        <v>282762</v>
      </c>
      <c r="I15" s="235">
        <f>G15*$C$14</f>
        <v>292658.67</v>
      </c>
      <c r="K15" s="235">
        <f>I15*$C$14</f>
        <v>302901.72344999993</v>
      </c>
      <c r="M15" s="235">
        <f>K15*$C$14</f>
        <v>313503.28377074993</v>
      </c>
      <c r="O15" s="235">
        <f>M15*$C$14</f>
        <v>324475.89870272618</v>
      </c>
      <c r="Q15" s="235">
        <f>O15*$C$14</f>
        <v>335832.55515732156</v>
      </c>
      <c r="S15" s="235">
        <f>Q15*$C$14</f>
        <v>347586.69458782778</v>
      </c>
      <c r="U15" s="235">
        <f>S15*$C$14</f>
        <v>359752.22889840172</v>
      </c>
      <c r="W15" s="235">
        <f>U15*$C$14</f>
        <v>372343.55690984573</v>
      </c>
      <c r="Y15" s="235">
        <f>W15*$C$14</f>
        <v>385375.58140169032</v>
      </c>
      <c r="AA15" s="235">
        <f>Y15*$C$14</f>
        <v>398863.72675074945</v>
      </c>
      <c r="AC15" s="235">
        <f>AA15*$C$14</f>
        <v>412823.95718702563</v>
      </c>
      <c r="AE15" s="235">
        <f>AC15*$C$14</f>
        <v>427272.79568857152</v>
      </c>
      <c r="AG15" s="235">
        <f>AE15*$C$14</f>
        <v>442227.34353767149</v>
      </c>
    </row>
    <row r="16" spans="1:34" s="225" customFormat="1" ht="14.25">
      <c r="A16" s="225" t="s">
        <v>345</v>
      </c>
      <c r="C16" s="249"/>
      <c r="E16" s="238">
        <f>Application!W849</f>
        <v>185285</v>
      </c>
      <c r="F16" s="238"/>
      <c r="G16" s="238">
        <f t="shared" ref="G16:AG21" si="0">E16*$C$14</f>
        <v>191769.97499999998</v>
      </c>
      <c r="H16" s="238"/>
      <c r="I16" s="238">
        <f t="shared" si="0"/>
        <v>198481.92412499996</v>
      </c>
      <c r="J16" s="238"/>
      <c r="K16" s="238">
        <f t="shared" si="0"/>
        <v>205428.79146937493</v>
      </c>
      <c r="L16" s="238"/>
      <c r="M16" s="238">
        <f t="shared" si="0"/>
        <v>212618.79917080305</v>
      </c>
      <c r="N16" s="238"/>
      <c r="O16" s="238">
        <f t="shared" si="0"/>
        <v>220060.45714178114</v>
      </c>
      <c r="P16" s="238"/>
      <c r="Q16" s="238">
        <f t="shared" si="0"/>
        <v>227762.57314174346</v>
      </c>
      <c r="R16" s="238"/>
      <c r="S16" s="238">
        <f t="shared" si="0"/>
        <v>235734.26320170445</v>
      </c>
      <c r="T16" s="238"/>
      <c r="U16" s="238">
        <f t="shared" si="0"/>
        <v>243984.96241376409</v>
      </c>
      <c r="V16" s="238"/>
      <c r="W16" s="238">
        <f t="shared" si="0"/>
        <v>252524.43609824582</v>
      </c>
      <c r="X16" s="238"/>
      <c r="Y16" s="238">
        <f t="shared" si="0"/>
        <v>261362.79136168439</v>
      </c>
      <c r="Z16" s="238"/>
      <c r="AA16" s="238">
        <f t="shared" si="0"/>
        <v>270510.48905934329</v>
      </c>
      <c r="AB16" s="238"/>
      <c r="AC16" s="238">
        <f t="shared" si="0"/>
        <v>279978.35617642029</v>
      </c>
      <c r="AD16" s="238"/>
      <c r="AE16" s="238">
        <f t="shared" si="0"/>
        <v>289777.598642595</v>
      </c>
      <c r="AF16" s="238"/>
      <c r="AG16" s="238">
        <f t="shared" si="0"/>
        <v>299919.8145950858</v>
      </c>
    </row>
    <row r="17" spans="1:33" s="225" customFormat="1" ht="14.25">
      <c r="A17" s="225" t="s">
        <v>569</v>
      </c>
      <c r="C17" s="249"/>
      <c r="E17" s="238">
        <f>Application!W855</f>
        <v>184000</v>
      </c>
      <c r="F17" s="238"/>
      <c r="G17" s="238">
        <f t="shared" si="0"/>
        <v>190439.99999999997</v>
      </c>
      <c r="H17" s="238"/>
      <c r="I17" s="238">
        <f t="shared" si="0"/>
        <v>197105.39999999997</v>
      </c>
      <c r="J17" s="238"/>
      <c r="K17" s="238">
        <f t="shared" si="0"/>
        <v>204004.08899999995</v>
      </c>
      <c r="L17" s="238"/>
      <c r="M17" s="238">
        <f t="shared" si="0"/>
        <v>211144.23211499993</v>
      </c>
      <c r="N17" s="238"/>
      <c r="O17" s="238">
        <f t="shared" si="0"/>
        <v>218534.28023902493</v>
      </c>
      <c r="P17" s="238"/>
      <c r="Q17" s="238">
        <f t="shared" si="0"/>
        <v>226182.9800473908</v>
      </c>
      <c r="R17" s="238"/>
      <c r="S17" s="238">
        <f t="shared" si="0"/>
        <v>234099.38434904945</v>
      </c>
      <c r="T17" s="238"/>
      <c r="U17" s="238">
        <f t="shared" si="0"/>
        <v>242292.86280126616</v>
      </c>
      <c r="V17" s="238"/>
      <c r="W17" s="238">
        <f t="shared" si="0"/>
        <v>250773.11299931046</v>
      </c>
      <c r="X17" s="238"/>
      <c r="Y17" s="238">
        <f t="shared" si="0"/>
        <v>259550.17195428631</v>
      </c>
      <c r="Z17" s="238"/>
      <c r="AA17" s="238">
        <f t="shared" si="0"/>
        <v>268634.4279726863</v>
      </c>
      <c r="AB17" s="238"/>
      <c r="AC17" s="238">
        <f t="shared" si="0"/>
        <v>278036.63295173028</v>
      </c>
      <c r="AD17" s="238"/>
      <c r="AE17" s="238">
        <f t="shared" si="0"/>
        <v>287767.91510504083</v>
      </c>
      <c r="AF17" s="238"/>
      <c r="AG17" s="238">
        <f t="shared" si="0"/>
        <v>297839.79213371722</v>
      </c>
    </row>
    <row r="18" spans="1:33" s="225" customFormat="1" ht="14.25">
      <c r="A18" s="225" t="s">
        <v>853</v>
      </c>
      <c r="C18" s="249"/>
      <c r="E18" s="238">
        <f>Application!W862</f>
        <v>332618</v>
      </c>
      <c r="F18" s="238"/>
      <c r="G18" s="238">
        <f t="shared" si="0"/>
        <v>344259.62999999995</v>
      </c>
      <c r="H18" s="238"/>
      <c r="I18" s="238">
        <f t="shared" si="0"/>
        <v>356308.71704999992</v>
      </c>
      <c r="J18" s="238"/>
      <c r="K18" s="238">
        <f t="shared" si="0"/>
        <v>368779.52214674989</v>
      </c>
      <c r="L18" s="238"/>
      <c r="M18" s="238">
        <f t="shared" si="0"/>
        <v>381686.80542188609</v>
      </c>
      <c r="N18" s="238"/>
      <c r="O18" s="238">
        <f t="shared" si="0"/>
        <v>395045.84361165209</v>
      </c>
      <c r="P18" s="238"/>
      <c r="Q18" s="238">
        <f t="shared" si="0"/>
        <v>408872.44813805987</v>
      </c>
      <c r="R18" s="238"/>
      <c r="S18" s="238">
        <f t="shared" si="0"/>
        <v>423182.98382289195</v>
      </c>
      <c r="T18" s="238"/>
      <c r="U18" s="238">
        <f t="shared" si="0"/>
        <v>437994.38825669314</v>
      </c>
      <c r="V18" s="238"/>
      <c r="W18" s="238">
        <f t="shared" si="0"/>
        <v>453324.19184567739</v>
      </c>
      <c r="X18" s="238"/>
      <c r="Y18" s="238">
        <f t="shared" si="0"/>
        <v>469190.53856027604</v>
      </c>
      <c r="Z18" s="238"/>
      <c r="AA18" s="238">
        <f t="shared" si="0"/>
        <v>485612.20740988565</v>
      </c>
      <c r="AB18" s="238"/>
      <c r="AC18" s="238">
        <f t="shared" si="0"/>
        <v>502608.6346692316</v>
      </c>
      <c r="AD18" s="238"/>
      <c r="AE18" s="238">
        <f t="shared" si="0"/>
        <v>520199.93688265467</v>
      </c>
      <c r="AF18" s="238"/>
      <c r="AG18" s="238">
        <f t="shared" si="0"/>
        <v>538406.93467354751</v>
      </c>
    </row>
    <row r="19" spans="1:33" s="225" customFormat="1" ht="14.25">
      <c r="A19" s="225" t="s">
        <v>155</v>
      </c>
      <c r="C19" s="249"/>
      <c r="E19" s="238">
        <f>Application!W863</f>
        <v>210100</v>
      </c>
      <c r="F19" s="238"/>
      <c r="G19" s="238">
        <f t="shared" si="0"/>
        <v>217453.49999999997</v>
      </c>
      <c r="H19" s="238"/>
      <c r="I19" s="238">
        <f t="shared" si="0"/>
        <v>225064.37249999994</v>
      </c>
      <c r="J19" s="238"/>
      <c r="K19" s="238">
        <f t="shared" si="0"/>
        <v>232941.62553749993</v>
      </c>
      <c r="L19" s="238"/>
      <c r="M19" s="238">
        <f t="shared" si="0"/>
        <v>241094.58243131242</v>
      </c>
      <c r="N19" s="238"/>
      <c r="O19" s="238">
        <f t="shared" si="0"/>
        <v>249532.89281640833</v>
      </c>
      <c r="P19" s="238"/>
      <c r="Q19" s="238">
        <f t="shared" si="0"/>
        <v>258266.54406498262</v>
      </c>
      <c r="R19" s="238"/>
      <c r="S19" s="238">
        <f t="shared" si="0"/>
        <v>267305.87310725701</v>
      </c>
      <c r="T19" s="238"/>
      <c r="U19" s="238">
        <f t="shared" si="0"/>
        <v>276661.57866601099</v>
      </c>
      <c r="V19" s="238"/>
      <c r="W19" s="238">
        <f t="shared" si="0"/>
        <v>286344.73391932133</v>
      </c>
      <c r="X19" s="238"/>
      <c r="Y19" s="238">
        <f t="shared" si="0"/>
        <v>296366.79960649757</v>
      </c>
      <c r="Z19" s="238"/>
      <c r="AA19" s="238">
        <f t="shared" si="0"/>
        <v>306739.63759272499</v>
      </c>
      <c r="AB19" s="238"/>
      <c r="AC19" s="238">
        <f t="shared" si="0"/>
        <v>317475.52490847034</v>
      </c>
      <c r="AD19" s="238"/>
      <c r="AE19" s="238">
        <f t="shared" si="0"/>
        <v>328587.16828026675</v>
      </c>
      <c r="AF19" s="238"/>
      <c r="AG19" s="238">
        <f t="shared" si="0"/>
        <v>340087.71917007607</v>
      </c>
    </row>
    <row r="20" spans="1:33" s="225" customFormat="1" ht="14.25">
      <c r="A20" s="225" t="s">
        <v>391</v>
      </c>
      <c r="C20" s="249"/>
      <c r="E20" s="238">
        <f>Application!W872</f>
        <v>214250</v>
      </c>
      <c r="F20" s="238"/>
      <c r="G20" s="238">
        <f t="shared" si="0"/>
        <v>221748.74999999997</v>
      </c>
      <c r="H20" s="238"/>
      <c r="I20" s="238">
        <f t="shared" si="0"/>
        <v>229509.95624999996</v>
      </c>
      <c r="J20" s="238"/>
      <c r="K20" s="238">
        <f t="shared" si="0"/>
        <v>237542.80471874995</v>
      </c>
      <c r="L20" s="238"/>
      <c r="M20" s="238">
        <f t="shared" si="0"/>
        <v>245856.80288390617</v>
      </c>
      <c r="N20" s="238"/>
      <c r="O20" s="238">
        <f t="shared" si="0"/>
        <v>254461.79098484287</v>
      </c>
      <c r="P20" s="238"/>
      <c r="Q20" s="238">
        <f t="shared" si="0"/>
        <v>263367.95366931235</v>
      </c>
      <c r="R20" s="238"/>
      <c r="S20" s="238">
        <f t="shared" si="0"/>
        <v>272585.83204773825</v>
      </c>
      <c r="T20" s="238"/>
      <c r="U20" s="238">
        <f t="shared" si="0"/>
        <v>282126.33616940904</v>
      </c>
      <c r="V20" s="238"/>
      <c r="W20" s="238">
        <f t="shared" si="0"/>
        <v>292000.75793533836</v>
      </c>
      <c r="X20" s="238"/>
      <c r="Y20" s="238">
        <f t="shared" si="0"/>
        <v>302220.78446307516</v>
      </c>
      <c r="Z20" s="238"/>
      <c r="AA20" s="238">
        <f t="shared" si="0"/>
        <v>312798.51191928278</v>
      </c>
      <c r="AB20" s="238"/>
      <c r="AC20" s="238">
        <f t="shared" si="0"/>
        <v>323746.45983645768</v>
      </c>
      <c r="AD20" s="238"/>
      <c r="AE20" s="238">
        <f t="shared" si="0"/>
        <v>335077.58593073365</v>
      </c>
      <c r="AF20" s="238"/>
      <c r="AG20" s="238">
        <f t="shared" si="0"/>
        <v>346805.30143830931</v>
      </c>
    </row>
    <row r="21" spans="1:33" s="225" customFormat="1" ht="14.25">
      <c r="A21" s="242" t="s">
        <v>2772</v>
      </c>
      <c r="B21" s="242"/>
      <c r="C21" s="249"/>
      <c r="E21" s="248">
        <f>Application!W879</f>
        <v>18001</v>
      </c>
      <c r="F21" s="238"/>
      <c r="G21" s="248">
        <f t="shared" si="0"/>
        <v>18631.035</v>
      </c>
      <c r="H21" s="238"/>
      <c r="I21" s="248">
        <f t="shared" si="0"/>
        <v>19283.121224999999</v>
      </c>
      <c r="J21" s="238"/>
      <c r="K21" s="248">
        <f t="shared" si="0"/>
        <v>19958.030467874996</v>
      </c>
      <c r="L21" s="238"/>
      <c r="M21" s="248">
        <f t="shared" si="0"/>
        <v>20656.561534250621</v>
      </c>
      <c r="N21" s="238"/>
      <c r="O21" s="248">
        <f t="shared" si="0"/>
        <v>21379.541187949391</v>
      </c>
      <c r="P21" s="238"/>
      <c r="Q21" s="248">
        <f t="shared" si="0"/>
        <v>22127.825129527617</v>
      </c>
      <c r="R21" s="238"/>
      <c r="S21" s="248">
        <f t="shared" si="0"/>
        <v>22902.29900906108</v>
      </c>
      <c r="T21" s="238"/>
      <c r="U21" s="248">
        <f t="shared" si="0"/>
        <v>23703.879474378216</v>
      </c>
      <c r="V21" s="238"/>
      <c r="W21" s="248">
        <f t="shared" si="0"/>
        <v>24533.515255981452</v>
      </c>
      <c r="X21" s="238"/>
      <c r="Y21" s="248">
        <f t="shared" si="0"/>
        <v>25392.188289940801</v>
      </c>
      <c r="Z21" s="238"/>
      <c r="AA21" s="248">
        <f t="shared" si="0"/>
        <v>26280.914880088727</v>
      </c>
      <c r="AB21" s="238"/>
      <c r="AC21" s="248">
        <f t="shared" si="0"/>
        <v>27200.746900891831</v>
      </c>
      <c r="AD21" s="238"/>
      <c r="AE21" s="248">
        <f t="shared" si="0"/>
        <v>28152.773042423043</v>
      </c>
      <c r="AF21" s="238"/>
      <c r="AG21" s="248">
        <f t="shared" si="0"/>
        <v>29138.120098907846</v>
      </c>
    </row>
    <row r="22" spans="1:33" s="239" customFormat="1" ht="15">
      <c r="A22" s="239" t="s">
        <v>854</v>
      </c>
      <c r="C22" s="249"/>
      <c r="E22" s="239">
        <f>SUM(E15:E21)</f>
        <v>1417454</v>
      </c>
      <c r="G22" s="239">
        <f>SUM(G15:G21)</f>
        <v>1467064.89</v>
      </c>
      <c r="I22" s="239">
        <f>SUM(I15:I21)</f>
        <v>1518412.1611499998</v>
      </c>
      <c r="K22" s="239">
        <f>SUM(K15:K21)</f>
        <v>1571556.5867902495</v>
      </c>
      <c r="M22" s="239">
        <f>SUM(M15:M21)</f>
        <v>1626561.0673279082</v>
      </c>
      <c r="O22" s="239">
        <f>SUM(O15:O21)</f>
        <v>1683490.7046843851</v>
      </c>
      <c r="Q22" s="239">
        <f>SUM(Q15:Q21)</f>
        <v>1742412.8793483383</v>
      </c>
      <c r="S22" s="239">
        <f>SUM(S15:S21)</f>
        <v>1803397.33012553</v>
      </c>
      <c r="U22" s="239">
        <f>SUM(U15:U21)</f>
        <v>1866516.2366799233</v>
      </c>
      <c r="W22" s="239">
        <f>SUM(W15:W21)</f>
        <v>1931844.3049637205</v>
      </c>
      <c r="Y22" s="239">
        <f>SUM(Y15:Y21)</f>
        <v>1999458.8556374507</v>
      </c>
      <c r="AA22" s="239">
        <f>SUM(AA15:AA21)</f>
        <v>2069439.9155847614</v>
      </c>
      <c r="AC22" s="239">
        <f>SUM(AC15:AC21)</f>
        <v>2141870.3126302278</v>
      </c>
      <c r="AE22" s="239">
        <f>SUM(AE15:AE21)</f>
        <v>2216835.7735722857</v>
      </c>
      <c r="AG22" s="239">
        <f>SUM(AG15:AG21)</f>
        <v>2294425.0256473157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v>0</v>
      </c>
      <c r="E24" s="945">
        <f>Application!W876</f>
        <v>0</v>
      </c>
      <c r="F24" s="238"/>
      <c r="G24" s="238">
        <v>1</v>
      </c>
      <c r="H24" s="238"/>
      <c r="I24" s="238">
        <v>1</v>
      </c>
      <c r="J24" s="238"/>
      <c r="K24" s="238">
        <v>1</v>
      </c>
      <c r="L24" s="238"/>
      <c r="M24" s="238">
        <v>1</v>
      </c>
      <c r="N24" s="238"/>
      <c r="O24" s="238">
        <v>1</v>
      </c>
      <c r="P24" s="238"/>
      <c r="Q24" s="238">
        <v>1</v>
      </c>
      <c r="R24" s="238"/>
      <c r="S24" s="238">
        <v>1</v>
      </c>
      <c r="T24" s="238"/>
      <c r="U24" s="238">
        <v>1</v>
      </c>
      <c r="V24" s="238"/>
      <c r="W24" s="238">
        <v>1</v>
      </c>
      <c r="X24" s="238"/>
      <c r="Y24" s="238">
        <v>1</v>
      </c>
      <c r="Z24" s="238"/>
      <c r="AA24" s="238">
        <v>1</v>
      </c>
      <c r="AB24" s="238"/>
      <c r="AC24" s="238">
        <v>1</v>
      </c>
      <c r="AD24" s="238"/>
      <c r="AE24" s="238">
        <v>1</v>
      </c>
      <c r="AF24" s="238"/>
      <c r="AG24" s="238">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v>
      </c>
      <c r="E26" s="238">
        <f>Application!AC887</f>
        <v>22000</v>
      </c>
      <c r="F26" s="238"/>
      <c r="G26" s="238">
        <f>E26*$C$26</f>
        <v>22000</v>
      </c>
      <c r="H26" s="238"/>
      <c r="I26" s="238">
        <f>G26*$C$26</f>
        <v>22000</v>
      </c>
      <c r="J26" s="238"/>
      <c r="K26" s="238">
        <f>I26*$C$26</f>
        <v>22000</v>
      </c>
      <c r="L26" s="238"/>
      <c r="M26" s="238">
        <f>K26*$C$26</f>
        <v>22000</v>
      </c>
      <c r="N26" s="238"/>
      <c r="O26" s="238">
        <f>M26*$C$26</f>
        <v>22000</v>
      </c>
      <c r="P26" s="238"/>
      <c r="Q26" s="238">
        <f>O26*$C$26</f>
        <v>22000</v>
      </c>
      <c r="R26" s="238"/>
      <c r="S26" s="238">
        <f>Q26*$C$26</f>
        <v>22000</v>
      </c>
      <c r="T26" s="238"/>
      <c r="U26" s="238">
        <f>S26*$C$26</f>
        <v>22000</v>
      </c>
      <c r="V26" s="238"/>
      <c r="W26" s="238">
        <f>U26*$C$26</f>
        <v>22000</v>
      </c>
      <c r="X26" s="238"/>
      <c r="Y26" s="238">
        <f>W26*$C$26</f>
        <v>22000</v>
      </c>
      <c r="Z26" s="238"/>
      <c r="AA26" s="238">
        <f>Y26*$C$26</f>
        <v>22000</v>
      </c>
      <c r="AB26" s="238"/>
      <c r="AC26" s="238">
        <f>AA26*$C$26</f>
        <v>22000</v>
      </c>
      <c r="AD26" s="238"/>
      <c r="AE26" s="238">
        <f>AC26*$C$26</f>
        <v>22000</v>
      </c>
      <c r="AF26" s="238"/>
      <c r="AG26" s="238">
        <f>AE26*$C$26</f>
        <v>22000</v>
      </c>
    </row>
    <row r="27" spans="1:33" s="225" customFormat="1" ht="14.25">
      <c r="A27" s="225" t="s">
        <v>856</v>
      </c>
      <c r="C27" s="253">
        <v>1</v>
      </c>
      <c r="E27" s="238">
        <f>Application!AC888</f>
        <v>95000</v>
      </c>
      <c r="F27" s="238"/>
      <c r="G27" s="238">
        <f>E27*$C$27</f>
        <v>95000</v>
      </c>
      <c r="H27" s="238"/>
      <c r="I27" s="238">
        <f>G27*$C$27</f>
        <v>95000</v>
      </c>
      <c r="J27" s="238"/>
      <c r="K27" s="238">
        <f>I27*$C$27</f>
        <v>95000</v>
      </c>
      <c r="L27" s="238"/>
      <c r="M27" s="238">
        <f>K27*$C$27</f>
        <v>95000</v>
      </c>
      <c r="N27" s="238"/>
      <c r="O27" s="238">
        <f>M27*$C$27</f>
        <v>95000</v>
      </c>
      <c r="P27" s="238"/>
      <c r="Q27" s="238">
        <f>O27*$C$27</f>
        <v>95000</v>
      </c>
      <c r="R27" s="238"/>
      <c r="S27" s="238">
        <f>Q27*$C$27</f>
        <v>95000</v>
      </c>
      <c r="T27" s="238"/>
      <c r="U27" s="238">
        <f>S27*$C$27</f>
        <v>95000</v>
      </c>
      <c r="V27" s="238"/>
      <c r="W27" s="238">
        <f>U27*$C$27</f>
        <v>95000</v>
      </c>
      <c r="X27" s="238"/>
      <c r="Y27" s="238">
        <f>W27*$C$27</f>
        <v>95000</v>
      </c>
      <c r="Z27" s="238"/>
      <c r="AA27" s="238">
        <f>Y27*$C$27</f>
        <v>95000</v>
      </c>
      <c r="AB27" s="238"/>
      <c r="AC27" s="238">
        <f>AA27*$C$27</f>
        <v>95000</v>
      </c>
      <c r="AD27" s="238"/>
      <c r="AE27" s="238">
        <f>AC27*$C$27</f>
        <v>95000</v>
      </c>
      <c r="AF27" s="238"/>
      <c r="AG27" s="238">
        <f>AE27*$C$27</f>
        <v>95000</v>
      </c>
    </row>
    <row r="28" spans="1:33" s="225" customFormat="1" ht="14.25">
      <c r="A28" s="225" t="s">
        <v>857</v>
      </c>
      <c r="C28" s="253"/>
      <c r="E28" s="238">
        <f>Application!AC889</f>
        <v>57300</v>
      </c>
      <c r="F28" s="238"/>
      <c r="G28" s="238">
        <f>$E$28</f>
        <v>57300</v>
      </c>
      <c r="H28" s="238"/>
      <c r="I28" s="238">
        <f>$E$28</f>
        <v>57300</v>
      </c>
      <c r="J28" s="238"/>
      <c r="K28" s="238">
        <f>$E$28</f>
        <v>57300</v>
      </c>
      <c r="L28" s="238"/>
      <c r="M28" s="238">
        <f>$E$28</f>
        <v>57300</v>
      </c>
      <c r="N28" s="238"/>
      <c r="O28" s="238">
        <f>$E$28</f>
        <v>57300</v>
      </c>
      <c r="P28" s="238"/>
      <c r="Q28" s="238">
        <f>$E$28</f>
        <v>57300</v>
      </c>
      <c r="R28" s="238"/>
      <c r="S28" s="238">
        <f>$E$28</f>
        <v>57300</v>
      </c>
      <c r="T28" s="238"/>
      <c r="U28" s="238">
        <f>$E$28</f>
        <v>57300</v>
      </c>
      <c r="V28" s="238"/>
      <c r="W28" s="238">
        <f>$E$28</f>
        <v>57300</v>
      </c>
      <c r="X28" s="238"/>
      <c r="Y28" s="238">
        <f>$E$28</f>
        <v>57300</v>
      </c>
      <c r="Z28" s="238"/>
      <c r="AA28" s="238">
        <f>$E$28</f>
        <v>57300</v>
      </c>
      <c r="AB28" s="238"/>
      <c r="AC28" s="238">
        <f>$E$28</f>
        <v>57300</v>
      </c>
      <c r="AD28" s="238"/>
      <c r="AE28" s="238">
        <f>$E$28</f>
        <v>57300</v>
      </c>
      <c r="AF28" s="238"/>
      <c r="AG28" s="238">
        <f>$E$28</f>
        <v>57300</v>
      </c>
    </row>
    <row r="29" spans="1:33" s="225" customFormat="1" ht="14.25">
      <c r="A29" s="225" t="s">
        <v>1868</v>
      </c>
      <c r="C29" s="253"/>
      <c r="E29" s="238">
        <f>Application!AC890</f>
        <v>93010</v>
      </c>
      <c r="F29" s="238"/>
      <c r="G29" s="238">
        <f>$E$29</f>
        <v>93010</v>
      </c>
      <c r="H29" s="238"/>
      <c r="I29" s="238">
        <f>$E$29</f>
        <v>93010</v>
      </c>
      <c r="J29" s="238"/>
      <c r="K29" s="238">
        <f>$E$29</f>
        <v>93010</v>
      </c>
      <c r="L29" s="238"/>
      <c r="M29" s="238">
        <f>$E$29</f>
        <v>93010</v>
      </c>
      <c r="N29" s="238"/>
      <c r="O29" s="238">
        <f>$E$29</f>
        <v>93010</v>
      </c>
      <c r="P29" s="238"/>
      <c r="Q29" s="238">
        <f>$E$29</f>
        <v>93010</v>
      </c>
      <c r="R29" s="238"/>
      <c r="S29" s="238">
        <f>$E$29</f>
        <v>93010</v>
      </c>
      <c r="T29" s="238"/>
      <c r="U29" s="238">
        <f>$E$29</f>
        <v>93010</v>
      </c>
      <c r="V29" s="238"/>
      <c r="W29" s="238">
        <f>$E$29</f>
        <v>93010</v>
      </c>
      <c r="X29" s="238"/>
      <c r="Y29" s="238">
        <f>$E$29</f>
        <v>93010</v>
      </c>
      <c r="Z29" s="238"/>
      <c r="AA29" s="238">
        <f>$E$29</f>
        <v>93010</v>
      </c>
      <c r="AB29" s="238"/>
      <c r="AC29" s="238">
        <f>$E$29</f>
        <v>93010</v>
      </c>
      <c r="AD29" s="238"/>
      <c r="AE29" s="238">
        <f>$E$29</f>
        <v>93010</v>
      </c>
      <c r="AF29" s="238"/>
      <c r="AG29" s="238">
        <f>$E$29</f>
        <v>93010</v>
      </c>
    </row>
    <row r="30" spans="1:33" s="225" customFormat="1" ht="14.25">
      <c r="A30" s="225" t="s">
        <v>855</v>
      </c>
      <c r="C30" s="253">
        <v>1.02</v>
      </c>
      <c r="E30" s="238">
        <f>Application!AC891</f>
        <v>25000</v>
      </c>
      <c r="F30" s="238"/>
      <c r="G30" s="238">
        <f>E30*$C$30</f>
        <v>25500</v>
      </c>
      <c r="H30" s="238"/>
      <c r="I30" s="238">
        <f>G30*$C$30</f>
        <v>26010</v>
      </c>
      <c r="J30" s="238"/>
      <c r="K30" s="238">
        <f>I30*$C$30</f>
        <v>26530.2</v>
      </c>
      <c r="L30" s="238"/>
      <c r="M30" s="238">
        <f>K30*$C$30</f>
        <v>27060.804</v>
      </c>
      <c r="N30" s="238"/>
      <c r="O30" s="238">
        <f>M30*$C$30</f>
        <v>27602.020080000002</v>
      </c>
      <c r="P30" s="238"/>
      <c r="Q30" s="238">
        <f>O30*$C$30</f>
        <v>28154.060481600001</v>
      </c>
      <c r="R30" s="238"/>
      <c r="S30" s="238">
        <f>Q30*$C$30</f>
        <v>28717.141691232002</v>
      </c>
      <c r="T30" s="238"/>
      <c r="U30" s="238">
        <f>S30*$C$30</f>
        <v>29291.484525056643</v>
      </c>
      <c r="V30" s="238"/>
      <c r="W30" s="238">
        <f>U30*$C$30</f>
        <v>29877.314215557777</v>
      </c>
      <c r="X30" s="238"/>
      <c r="Y30" s="238">
        <f>W30*$C$30</f>
        <v>30474.860499868933</v>
      </c>
      <c r="Z30" s="238"/>
      <c r="AA30" s="238">
        <f>Y30*$C$30</f>
        <v>31084.357709866312</v>
      </c>
      <c r="AB30" s="238"/>
      <c r="AC30" s="238">
        <f>AA30*$C$30</f>
        <v>31706.044864063639</v>
      </c>
      <c r="AD30" s="238"/>
      <c r="AE30" s="238">
        <f>AC30*$C$30</f>
        <v>32340.165761344913</v>
      </c>
      <c r="AF30" s="238"/>
      <c r="AG30" s="238">
        <f>AE30*$C$30</f>
        <v>32986.969076571811</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f>Application!C893</f>
        <v>0</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1709764</v>
      </c>
      <c r="G35" s="239">
        <f>SUM(G22:G33)</f>
        <v>1759875.89</v>
      </c>
      <c r="I35" s="239">
        <f>SUM(I22:I33)</f>
        <v>1811733.1611499998</v>
      </c>
      <c r="K35" s="239">
        <f>SUM(K22:K33)</f>
        <v>1865397.7867902494</v>
      </c>
      <c r="M35" s="239">
        <f>SUM(M22:M33)</f>
        <v>1920932.8713279082</v>
      </c>
      <c r="O35" s="239">
        <f>SUM(O22:O33)</f>
        <v>1978403.724764385</v>
      </c>
      <c r="Q35" s="239">
        <f>SUM(Q22:Q33)</f>
        <v>2037877.9398299383</v>
      </c>
      <c r="S35" s="239">
        <f>SUM(S22:S33)</f>
        <v>2099425.4718167619</v>
      </c>
      <c r="U35" s="239">
        <f>SUM(U22:U33)</f>
        <v>2163118.7212049798</v>
      </c>
      <c r="W35" s="239">
        <f>SUM(W22:W33)</f>
        <v>2229032.6191792781</v>
      </c>
      <c r="Y35" s="239">
        <f>SUM(Y22:Y33)</f>
        <v>2297244.7161373198</v>
      </c>
      <c r="AA35" s="239">
        <f>SUM(AA22:AA33)</f>
        <v>2367835.2732946281</v>
      </c>
      <c r="AC35" s="239">
        <f>SUM(AC22:AC33)</f>
        <v>2440887.3574942914</v>
      </c>
      <c r="AE35" s="239">
        <f>SUM(AE22:AE33)</f>
        <v>2516486.9393336307</v>
      </c>
      <c r="AG35" s="239">
        <f>SUM(AG22:AG33)</f>
        <v>2594722.9947238876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2902160.2800000003</v>
      </c>
      <c r="G37" s="239">
        <f>G11-G35</f>
        <v>2967346.4970000004</v>
      </c>
      <c r="I37" s="239">
        <f>I11-I35</f>
        <v>3033669.7855249997</v>
      </c>
      <c r="K37" s="239">
        <f>K11-K35</f>
        <v>3101140.2335516247</v>
      </c>
      <c r="M37" s="239">
        <f>M11-M35</f>
        <v>3169768.5995225119</v>
      </c>
      <c r="O37" s="239">
        <f>O11-O35</f>
        <v>3239565.2828572951</v>
      </c>
      <c r="Q37" s="239">
        <f>Q11-Q35</f>
        <v>3310540.292982284</v>
      </c>
      <c r="S37" s="239">
        <f>S11-S35</f>
        <v>3382703.2168157646</v>
      </c>
      <c r="U37" s="239">
        <f>U11-U35</f>
        <v>3456063.1846433594</v>
      </c>
      <c r="W37" s="239">
        <f>W11-W35</f>
        <v>3530628.8343152688</v>
      </c>
      <c r="Y37" s="239">
        <f>Y11-Y35</f>
        <v>3606408.2736945907</v>
      </c>
      <c r="AA37" s="239">
        <f>AA11-AA35</f>
        <v>3683409.041283079</v>
      </c>
      <c r="AC37" s="239">
        <f>AC11-AC35</f>
        <v>3761638.0649478589</v>
      </c>
      <c r="AE37" s="239">
        <f>AE11-AE35</f>
        <v>3841101.6186695732</v>
      </c>
      <c r="AG37" s="239">
        <f>AG11-AG35</f>
        <v>3921805.2772293952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 Real Estate Capital, LLC</v>
      </c>
      <c r="B40" s="242"/>
      <c r="C40" s="236"/>
      <c r="E40" s="238">
        <f>Application!AF627</f>
        <v>2502559</v>
      </c>
      <c r="F40" s="238"/>
      <c r="G40" s="238">
        <f>$E$40</f>
        <v>2502559</v>
      </c>
      <c r="H40" s="238"/>
      <c r="I40" s="238">
        <f>$E$40</f>
        <v>2502559</v>
      </c>
      <c r="J40" s="238"/>
      <c r="K40" s="238">
        <f>$E$40</f>
        <v>2502559</v>
      </c>
      <c r="L40" s="238"/>
      <c r="M40" s="238">
        <f>$E$40</f>
        <v>2502559</v>
      </c>
      <c r="N40" s="238"/>
      <c r="O40" s="238">
        <f>$E$40</f>
        <v>2502559</v>
      </c>
      <c r="P40" s="238"/>
      <c r="Q40" s="238">
        <f>$E$40</f>
        <v>2502559</v>
      </c>
      <c r="R40" s="238"/>
      <c r="S40" s="238">
        <f>$E$40</f>
        <v>2502559</v>
      </c>
      <c r="T40" s="238"/>
      <c r="U40" s="238">
        <f>$E$40</f>
        <v>2502559</v>
      </c>
      <c r="V40" s="238"/>
      <c r="W40" s="238">
        <f>$E$40</f>
        <v>2502559</v>
      </c>
      <c r="X40" s="238"/>
      <c r="Y40" s="238">
        <f>$E$40</f>
        <v>2502559</v>
      </c>
      <c r="Z40" s="238"/>
      <c r="AA40" s="238">
        <f>$E$40</f>
        <v>2502559</v>
      </c>
      <c r="AB40" s="238"/>
      <c r="AC40" s="238">
        <f>$E$40</f>
        <v>2502559</v>
      </c>
      <c r="AD40" s="238"/>
      <c r="AE40" s="238">
        <f>$E$40</f>
        <v>2502559</v>
      </c>
      <c r="AF40" s="238"/>
      <c r="AG40" s="238">
        <f>$E$40</f>
        <v>2502559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2502559</v>
      </c>
      <c r="G43" s="239">
        <f>SUM(G40:G42)</f>
        <v>2502559</v>
      </c>
      <c r="I43" s="239">
        <f>SUM(I40:I42)</f>
        <v>2502559</v>
      </c>
      <c r="K43" s="239">
        <f>SUM(K40:K42)</f>
        <v>2502559</v>
      </c>
      <c r="M43" s="239">
        <f>SUM(M40:M42)</f>
        <v>2502559</v>
      </c>
      <c r="O43" s="239">
        <f>SUM(O40:O42)</f>
        <v>2502559</v>
      </c>
      <c r="Q43" s="239">
        <f>SUM(Q40:Q42)</f>
        <v>2502559</v>
      </c>
      <c r="S43" s="239">
        <f>SUM(S40:S42)</f>
        <v>2502559</v>
      </c>
      <c r="U43" s="239">
        <f>SUM(U40:U42)</f>
        <v>2502559</v>
      </c>
      <c r="W43" s="239">
        <f>SUM(W40:W42)</f>
        <v>2502559</v>
      </c>
      <c r="Y43" s="239">
        <f>SUM(Y40:Y42)</f>
        <v>2502559</v>
      </c>
      <c r="AA43" s="239">
        <f>SUM(AA40:AA42)</f>
        <v>2502559</v>
      </c>
      <c r="AC43" s="239">
        <f>SUM(AC40:AC42)</f>
        <v>2502559</v>
      </c>
      <c r="AE43" s="239">
        <f>SUM(AE40:AE42)</f>
        <v>2502559</v>
      </c>
      <c r="AG43" s="239">
        <f>SUM(AG40:AG42)</f>
        <v>2502559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399601.28000000026</v>
      </c>
      <c r="G45" s="239">
        <f>G37-G43</f>
        <v>464787.49700000044</v>
      </c>
      <c r="I45" s="239">
        <f>I37-I43</f>
        <v>531110.78552499972</v>
      </c>
      <c r="K45" s="239">
        <f>K37-K43</f>
        <v>598581.2335516247</v>
      </c>
      <c r="M45" s="239">
        <f>M37-M43</f>
        <v>667209.59952251194</v>
      </c>
      <c r="O45" s="239">
        <f>O37-O43</f>
        <v>737006.28285729513</v>
      </c>
      <c r="Q45" s="239">
        <f>Q37-Q43</f>
        <v>807981.29298228398</v>
      </c>
      <c r="S45" s="239">
        <f>S37-S43</f>
        <v>880144.21681576455</v>
      </c>
      <c r="U45" s="239">
        <f>U37-U43</f>
        <v>953504.18464335939</v>
      </c>
      <c r="W45" s="239">
        <f>W37-W43</f>
        <v>1028069.8343152688</v>
      </c>
      <c r="Y45" s="239">
        <f>Y37-Y43</f>
        <v>1103849.2736945907</v>
      </c>
      <c r="AA45" s="239">
        <f>AA37-AA43</f>
        <v>1180850.041283079</v>
      </c>
      <c r="AC45" s="239">
        <f>AC37-AC43</f>
        <v>1259079.0649478589</v>
      </c>
      <c r="AE45" s="239">
        <f>AE37-AE43</f>
        <v>1338542.6186695732</v>
      </c>
      <c r="AG45" s="239">
        <f>AG37-AG43</f>
        <v>1419246.2772293952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8.1068049877384002E-2</v>
      </c>
      <c r="G47" s="243">
        <f>G45/(G4+G6+G8)</f>
        <v>9.199271294401988E-2</v>
      </c>
      <c r="I47" s="243">
        <f>I45/(I4+I6+I8)</f>
        <v>0.10255580442860816</v>
      </c>
      <c r="K47" s="243">
        <f>K45/(K4+K6+K8)</f>
        <v>0.11276500826576101</v>
      </c>
      <c r="M47" s="243">
        <f>M45/(M4+M6+M8)</f>
        <v>0.12262800979467818</v>
      </c>
      <c r="O47" s="243">
        <f>O45/(O4+O6+O8)</f>
        <v>0.13215229771163498</v>
      </c>
      <c r="Q47" s="243">
        <f>Q45/(Q4+Q6+Q8)</f>
        <v>0.1413451687762699</v>
      </c>
      <c r="S47" s="243">
        <f>S45/(S4+S6+S8)</f>
        <v>0.15021373240220867</v>
      </c>
      <c r="U47" s="243">
        <f>U45/(U4+U6+U8)</f>
        <v>0.15876491513483923</v>
      </c>
      <c r="W47" s="243">
        <f>W45/(W4+W6+W8)</f>
        <v>0.16700546501897651</v>
      </c>
      <c r="Y47" s="243">
        <f>Y45/(Y4+Y6+Y8)</f>
        <v>0.1749419558590993</v>
      </c>
      <c r="AA47" s="243">
        <f>AA45/(AA4+AA6+AA8)</f>
        <v>0.18258079137476646</v>
      </c>
      <c r="AC47" s="243">
        <f>AC45/(AC4+AC6+AC8)</f>
        <v>0.18992820925376347</v>
      </c>
      <c r="AE47" s="243">
        <f>AE45/(AE4+AE6+AE8)</f>
        <v>0.19699028510546052</v>
      </c>
      <c r="AG47" s="243">
        <f>AG45/(AG4+AG6+AG8)</f>
        <v>0.20377293631681273</v>
      </c>
    </row>
    <row r="48" spans="1:33" s="243" customFormat="1" ht="14.25">
      <c r="A48" s="243" t="s">
        <v>863</v>
      </c>
      <c r="C48" s="236"/>
      <c r="E48" s="243">
        <f>E45/E43</f>
        <v>0.15967706655467473</v>
      </c>
      <c r="G48" s="243">
        <f>G45/G43</f>
        <v>0.18572489080177548</v>
      </c>
      <c r="I48" s="243">
        <f>I45/I43</f>
        <v>0.21222707857237322</v>
      </c>
      <c r="K48" s="243">
        <f>K45/K43</f>
        <v>0.23918766093092098</v>
      </c>
      <c r="M48" s="243">
        <f>M45/M43</f>
        <v>0.26661093685404097</v>
      </c>
      <c r="O48" s="243">
        <f>O45/O43</f>
        <v>0.29450106185600222</v>
      </c>
      <c r="Q48" s="243">
        <f>Q45/Q43</f>
        <v>0.32286203561325988</v>
      </c>
      <c r="S48" s="243">
        <f>S45/S43</f>
        <v>0.3516976889718742</v>
      </c>
      <c r="U48" s="243">
        <f>U45/U43</f>
        <v>0.38101167031161282</v>
      </c>
      <c r="W48" s="243">
        <f>W45/W43</f>
        <v>0.41080743123949076</v>
      </c>
      <c r="Y48" s="243">
        <f>Y45/Y43</f>
        <v>0.44108821158445843</v>
      </c>
      <c r="AA48" s="243">
        <f>AA45/AA43</f>
        <v>0.47185702366380933</v>
      </c>
      <c r="AC48" s="243">
        <f>AC45/AC43</f>
        <v>0.50311663579074817</v>
      </c>
      <c r="AE48" s="243">
        <f>AE45/AE43</f>
        <v>0.53486955499134015</v>
      </c>
      <c r="AG48" s="243">
        <f>AG45/AG43</f>
        <v>0.56711800889785025</v>
      </c>
    </row>
    <row r="49" spans="1:35" s="244" customFormat="1" ht="14.25">
      <c r="A49" s="244" t="s">
        <v>861</v>
      </c>
      <c r="C49" s="245"/>
      <c r="E49" s="244">
        <f>E37/E43</f>
        <v>1.1596770665546747</v>
      </c>
      <c r="G49" s="244">
        <f>G37/G43</f>
        <v>1.1857248908017755</v>
      </c>
      <c r="I49" s="244">
        <f>I37/I43</f>
        <v>1.2122270785723732</v>
      </c>
      <c r="K49" s="244">
        <f>K37/K43</f>
        <v>1.2391876609309209</v>
      </c>
      <c r="M49" s="244">
        <f>M37/M43</f>
        <v>1.266610936854041</v>
      </c>
      <c r="O49" s="244">
        <f>O37/O43</f>
        <v>1.2945010618560022</v>
      </c>
      <c r="Q49" s="244">
        <f>Q37/Q43</f>
        <v>1.3228620356132599</v>
      </c>
      <c r="S49" s="244">
        <f>S37/S43</f>
        <v>1.3516976889718741</v>
      </c>
      <c r="U49" s="244">
        <f>U37/U43</f>
        <v>1.3810116703116129</v>
      </c>
      <c r="W49" s="244">
        <f>W37/W43</f>
        <v>1.4108074312394907</v>
      </c>
      <c r="Y49" s="244">
        <f>Y37/Y43</f>
        <v>1.4410882115844583</v>
      </c>
      <c r="AA49" s="244">
        <f>AA37/AA43</f>
        <v>1.4718570236638093</v>
      </c>
      <c r="AC49" s="244">
        <f>AC37/AC43</f>
        <v>1.5031166357907482</v>
      </c>
      <c r="AE49" s="244">
        <f>AE37/AE43</f>
        <v>1.5348695549913403</v>
      </c>
      <c r="AG49" s="244">
        <f>AG37/AG43</f>
        <v>1.5671180088978502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1" t="s">
        <v>2771</v>
      </c>
      <c r="B52" s="2701"/>
      <c r="C52" s="270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17500</v>
      </c>
      <c r="G53" s="995">
        <f>E53*$C$53</f>
        <v>18112.5</v>
      </c>
      <c r="I53" s="995">
        <f>G53*$C$53</f>
        <v>18746.4375</v>
      </c>
      <c r="K53" s="995">
        <f>I53*$C$53</f>
        <v>19402.5628125</v>
      </c>
      <c r="M53" s="995">
        <f>K53*$C$53</f>
        <v>20081.6525109375</v>
      </c>
      <c r="O53" s="995">
        <f>M53*$C$53</f>
        <v>20784.510348820309</v>
      </c>
      <c r="Q53" s="995">
        <f>O53*$C$53</f>
        <v>21511.96821102902</v>
      </c>
      <c r="S53" s="995">
        <f>Q53*$C$53</f>
        <v>22264.887098415034</v>
      </c>
      <c r="U53" s="995">
        <f>S53*$C$53</f>
        <v>23044.158146859558</v>
      </c>
      <c r="W53" s="995">
        <f>U53*$C$53</f>
        <v>23850.703681999639</v>
      </c>
      <c r="Y53" s="995">
        <f>W53*$C$53</f>
        <v>24685.478310869625</v>
      </c>
      <c r="AA53" s="995">
        <f>Y53*$C$53</f>
        <v>25549.470051750061</v>
      </c>
      <c r="AC53" s="995">
        <f>AA53*$C$53</f>
        <v>26443.701503561311</v>
      </c>
      <c r="AE53" s="995">
        <f>AC53*$C$53</f>
        <v>27369.231056185956</v>
      </c>
      <c r="AG53" s="995">
        <f>AE53*$C$53</f>
        <v>28327.154143152464</v>
      </c>
    </row>
    <row r="54" spans="1:35" s="3" customFormat="1">
      <c r="A54" s="3" t="s">
        <v>866</v>
      </c>
      <c r="C54" s="993"/>
      <c r="E54" s="1000">
        <v>7500</v>
      </c>
      <c r="F54" s="995"/>
      <c r="G54" s="995">
        <f>E54*$C$53</f>
        <v>7762.4999999999991</v>
      </c>
      <c r="H54" s="995"/>
      <c r="I54" s="995">
        <f t="shared" ref="G54:AG57" si="1">G54*$C$53</f>
        <v>8034.1874999999982</v>
      </c>
      <c r="J54" s="995"/>
      <c r="K54" s="995">
        <f t="shared" si="1"/>
        <v>8315.3840624999975</v>
      </c>
      <c r="L54" s="995"/>
      <c r="M54" s="995">
        <f t="shared" si="1"/>
        <v>8606.4225046874963</v>
      </c>
      <c r="N54" s="995"/>
      <c r="O54" s="995">
        <f t="shared" si="1"/>
        <v>8907.6472923515576</v>
      </c>
      <c r="P54" s="995"/>
      <c r="Q54" s="995">
        <f t="shared" si="1"/>
        <v>9219.4149475838622</v>
      </c>
      <c r="R54" s="995"/>
      <c r="S54" s="995">
        <f t="shared" si="1"/>
        <v>9542.0944707492963</v>
      </c>
      <c r="T54" s="995"/>
      <c r="U54" s="995">
        <f t="shared" si="1"/>
        <v>9876.0677772255203</v>
      </c>
      <c r="V54" s="995"/>
      <c r="W54" s="995">
        <f t="shared" si="1"/>
        <v>10221.730149428413</v>
      </c>
      <c r="X54" s="995"/>
      <c r="Y54" s="995">
        <f t="shared" si="1"/>
        <v>10579.490704658407</v>
      </c>
      <c r="Z54" s="995"/>
      <c r="AA54" s="995">
        <f t="shared" si="1"/>
        <v>10949.77287932145</v>
      </c>
      <c r="AB54" s="995"/>
      <c r="AC54" s="995">
        <f t="shared" si="1"/>
        <v>11333.014930097699</v>
      </c>
      <c r="AD54" s="995"/>
      <c r="AE54" s="995">
        <f t="shared" si="1"/>
        <v>11729.670452651118</v>
      </c>
      <c r="AF54" s="995"/>
      <c r="AG54" s="995">
        <f t="shared" si="1"/>
        <v>12140.208918493907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25875</v>
      </c>
      <c r="H58" s="995"/>
      <c r="I58" s="995">
        <f>SUM(I53:I57)</f>
        <v>26780.625</v>
      </c>
      <c r="J58" s="995"/>
      <c r="K58" s="995">
        <f>SUM(K53:K57)</f>
        <v>27717.946874999998</v>
      </c>
      <c r="L58" s="995"/>
      <c r="M58" s="995">
        <f>SUM(M53:M57)</f>
        <v>28688.075015624996</v>
      </c>
      <c r="N58" s="995"/>
      <c r="O58" s="995">
        <f>SUM(O53:O57)</f>
        <v>29692.157641171867</v>
      </c>
      <c r="P58" s="995"/>
      <c r="Q58" s="995">
        <f>SUM(Q53:Q57)</f>
        <v>30731.38315861288</v>
      </c>
      <c r="R58" s="995"/>
      <c r="S58" s="995">
        <f>SUM(S53:S57)</f>
        <v>31806.981569164331</v>
      </c>
      <c r="T58" s="995"/>
      <c r="U58" s="995">
        <f>SUM(U53:U57)</f>
        <v>32920.225924085076</v>
      </c>
      <c r="V58" s="995"/>
      <c r="W58" s="995">
        <f>SUM(W53:W57)</f>
        <v>34072.433831428054</v>
      </c>
      <c r="X58" s="995"/>
      <c r="Y58" s="995">
        <f>SUM(Y53:Y57)</f>
        <v>35264.969015528033</v>
      </c>
      <c r="Z58" s="995"/>
      <c r="AA58" s="995">
        <f>SUM(AA53:AA57)</f>
        <v>36499.242931071509</v>
      </c>
      <c r="AB58" s="995"/>
      <c r="AC58" s="995">
        <f>SUM(AC53:AC57)</f>
        <v>37776.716433659007</v>
      </c>
      <c r="AD58" s="995"/>
      <c r="AE58" s="995">
        <f>SUM(AE53:AE57)</f>
        <v>39098.901508837072</v>
      </c>
      <c r="AF58" s="995"/>
      <c r="AG58" s="995">
        <f>SUM(AG53:AG57)</f>
        <v>40467.363061646371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374601.28000000026</v>
      </c>
      <c r="G60" s="997">
        <f>G45-G58</f>
        <v>438912.49700000044</v>
      </c>
      <c r="I60" s="997">
        <f>I45-I58</f>
        <v>504330.16052499972</v>
      </c>
      <c r="K60" s="997">
        <f>K45-K58</f>
        <v>570863.28667662467</v>
      </c>
      <c r="M60" s="997">
        <f>M45-M58</f>
        <v>638521.52450688696</v>
      </c>
      <c r="O60" s="997">
        <f>O45-O58</f>
        <v>707314.1252161233</v>
      </c>
      <c r="Q60" s="997">
        <f>Q45-Q58</f>
        <v>777249.9098236711</v>
      </c>
      <c r="S60" s="997">
        <f>S45-S58</f>
        <v>848337.23524660023</v>
      </c>
      <c r="U60" s="997">
        <f>U45-U58</f>
        <v>920583.95871927426</v>
      </c>
      <c r="W60" s="997">
        <f>W45-W58</f>
        <v>993997.40048384073</v>
      </c>
      <c r="Y60" s="997">
        <f>Y45-Y58</f>
        <v>1068584.3046790627</v>
      </c>
      <c r="AA60" s="997">
        <f>AA45-AA58</f>
        <v>1144350.7983520075</v>
      </c>
      <c r="AC60" s="997">
        <f>AC45-AC58</f>
        <v>1221302.3485142</v>
      </c>
      <c r="AE60" s="997">
        <f>AE45-AE58</f>
        <v>1299443.7171607362</v>
      </c>
      <c r="AG60" s="997">
        <f>AG45-AG58</f>
        <v>1378778.9141677488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187300.64000000013</v>
      </c>
      <c r="G62" s="997">
        <f>G60*$C$62</f>
        <v>219456.24850000022</v>
      </c>
      <c r="I62" s="997">
        <f>I60*$C$62</f>
        <v>252165.08026249986</v>
      </c>
      <c r="K62" s="997">
        <f>K60*$C$62</f>
        <v>285431.64333831234</v>
      </c>
      <c r="M62" s="997">
        <f>M60*$C$62</f>
        <v>319260.76225344348</v>
      </c>
      <c r="O62" s="997">
        <f>O60*$C$62</f>
        <v>353657.06260806165</v>
      </c>
      <c r="Q62" s="997">
        <f>Q60*$C$62</f>
        <v>388624.95491183555</v>
      </c>
      <c r="S62" s="997">
        <f>S60*$C$62</f>
        <v>424168.61762330012</v>
      </c>
      <c r="U62" s="997">
        <f>U60*$C$62</f>
        <v>460291.97935963713</v>
      </c>
      <c r="W62" s="997">
        <f>W60*$C$62</f>
        <v>496998.70024192036</v>
      </c>
      <c r="Y62" s="997">
        <f>Y60*$C$62</f>
        <v>534292.15233953134</v>
      </c>
      <c r="AA62" s="997">
        <f>AA60*$C$62</f>
        <v>572175.39917600376</v>
      </c>
      <c r="AC62" s="997">
        <f>AC60*$C$62</f>
        <v>610651.17425709998</v>
      </c>
      <c r="AE62" s="997">
        <f>AE60*$C$62</f>
        <v>649721.85858036811</v>
      </c>
      <c r="AG62" s="997">
        <f>AG60*$C$62</f>
        <v>689389.45708387438</v>
      </c>
    </row>
    <row r="63" spans="1:35" s="997" customFormat="1">
      <c r="A63" s="2701" t="s">
        <v>2770</v>
      </c>
      <c r="B63" s="2701"/>
      <c r="C63" s="270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2638</v>
      </c>
      <c r="B66" s="999"/>
      <c r="C66" s="998"/>
      <c r="E66" s="999">
        <f>E60*$C$65*(19/21)</f>
        <v>169462.48380952392</v>
      </c>
      <c r="F66" s="999"/>
      <c r="G66" s="999">
        <f t="shared" ref="G66:AG66" si="2">G60*$C$65*(19/21)</f>
        <v>198555.6534047621</v>
      </c>
      <c r="H66" s="999"/>
      <c r="I66" s="999">
        <f t="shared" si="2"/>
        <v>228149.35833273796</v>
      </c>
      <c r="J66" s="999"/>
      <c r="K66" s="999">
        <f t="shared" si="2"/>
        <v>258247.67730609211</v>
      </c>
      <c r="L66" s="999"/>
      <c r="M66" s="999">
        <f t="shared" si="2"/>
        <v>288854.97537216317</v>
      </c>
      <c r="N66" s="999"/>
      <c r="O66" s="999">
        <f t="shared" si="2"/>
        <v>319975.43759777007</v>
      </c>
      <c r="P66" s="999"/>
      <c r="Q66" s="999">
        <f t="shared" si="2"/>
        <v>351613.05444404169</v>
      </c>
      <c r="R66" s="999"/>
      <c r="S66" s="999">
        <f t="shared" si="2"/>
        <v>383771.60642108106</v>
      </c>
      <c r="T66" s="999"/>
      <c r="U66" s="999">
        <f t="shared" si="2"/>
        <v>416454.64799205266</v>
      </c>
      <c r="V66" s="999"/>
      <c r="W66" s="999">
        <f t="shared" si="2"/>
        <v>449665.49069507082</v>
      </c>
      <c r="X66" s="999"/>
      <c r="Y66" s="999">
        <f t="shared" si="2"/>
        <v>483407.18545005214</v>
      </c>
      <c r="Z66" s="999"/>
      <c r="AA66" s="999">
        <f t="shared" si="2"/>
        <v>517682.50401638437</v>
      </c>
      <c r="AB66" s="999"/>
      <c r="AC66" s="999">
        <f t="shared" si="2"/>
        <v>552493.91956594761</v>
      </c>
      <c r="AD66" s="999"/>
      <c r="AE66" s="999">
        <f t="shared" si="2"/>
        <v>587843.58633461874</v>
      </c>
      <c r="AF66" s="999"/>
      <c r="AG66" s="999">
        <f t="shared" si="2"/>
        <v>623733.31831398164</v>
      </c>
    </row>
    <row r="67" spans="1:35" s="995" customFormat="1">
      <c r="A67" s="1000" t="s">
        <v>2669</v>
      </c>
      <c r="B67" s="1000"/>
      <c r="C67" s="1005"/>
      <c r="E67" s="999">
        <f>E60*$C$65*(2/21)</f>
        <v>17838.156190476202</v>
      </c>
      <c r="F67" s="999"/>
      <c r="G67" s="999">
        <f t="shared" ref="G67:AG67" si="3">G60*$C$65*(2/21)</f>
        <v>20900.595095238114</v>
      </c>
      <c r="H67" s="999"/>
      <c r="I67" s="999">
        <f t="shared" si="3"/>
        <v>24015.72192976189</v>
      </c>
      <c r="J67" s="999"/>
      <c r="K67" s="999">
        <f t="shared" si="3"/>
        <v>27183.966032220222</v>
      </c>
      <c r="L67" s="999"/>
      <c r="M67" s="999">
        <f t="shared" si="3"/>
        <v>30405.786881280328</v>
      </c>
      <c r="N67" s="999"/>
      <c r="O67" s="999">
        <f t="shared" si="3"/>
        <v>33681.625010291587</v>
      </c>
      <c r="P67" s="999"/>
      <c r="Q67" s="999">
        <f t="shared" si="3"/>
        <v>37011.900467793857</v>
      </c>
      <c r="R67" s="999"/>
      <c r="S67" s="999">
        <f t="shared" si="3"/>
        <v>40397.011202219059</v>
      </c>
      <c r="T67" s="999"/>
      <c r="U67" s="999">
        <f t="shared" si="3"/>
        <v>43837.331367584484</v>
      </c>
      <c r="V67" s="999"/>
      <c r="W67" s="999">
        <f t="shared" si="3"/>
        <v>47333.209546849554</v>
      </c>
      <c r="X67" s="999"/>
      <c r="Y67" s="999">
        <f t="shared" si="3"/>
        <v>50884.966889479176</v>
      </c>
      <c r="Z67" s="999"/>
      <c r="AA67" s="999">
        <f t="shared" si="3"/>
        <v>54492.895159619402</v>
      </c>
      <c r="AB67" s="999"/>
      <c r="AC67" s="999">
        <f t="shared" si="3"/>
        <v>58157.254691152375</v>
      </c>
      <c r="AD67" s="999"/>
      <c r="AE67" s="999">
        <f t="shared" si="3"/>
        <v>61878.272245749336</v>
      </c>
      <c r="AF67" s="999"/>
      <c r="AG67" s="999">
        <f t="shared" si="3"/>
        <v>65656.138769892801</v>
      </c>
    </row>
    <row r="68" spans="1:35" s="995" customFormat="1">
      <c r="A68" s="1000"/>
      <c r="B68" s="1000"/>
      <c r="C68" s="1005"/>
      <c r="E68" s="1000"/>
      <c r="G68" s="995">
        <f t="shared" ref="G68:AG69" si="4">E68*$C$66</f>
        <v>0</v>
      </c>
      <c r="I68" s="995">
        <f t="shared" si="4"/>
        <v>0</v>
      </c>
      <c r="K68" s="995">
        <f t="shared" si="4"/>
        <v>0</v>
      </c>
      <c r="M68" s="995">
        <f t="shared" si="4"/>
        <v>0</v>
      </c>
      <c r="O68" s="995">
        <f t="shared" si="4"/>
        <v>0</v>
      </c>
      <c r="Q68" s="995">
        <f t="shared" si="4"/>
        <v>0</v>
      </c>
      <c r="S68" s="995">
        <f t="shared" si="4"/>
        <v>0</v>
      </c>
      <c r="U68" s="995">
        <f t="shared" si="4"/>
        <v>0</v>
      </c>
      <c r="W68" s="995">
        <f t="shared" si="4"/>
        <v>0</v>
      </c>
      <c r="Y68" s="995">
        <f t="shared" si="4"/>
        <v>0</v>
      </c>
      <c r="AA68" s="995">
        <f t="shared" si="4"/>
        <v>0</v>
      </c>
      <c r="AC68" s="995">
        <f t="shared" si="4"/>
        <v>0</v>
      </c>
      <c r="AE68" s="995">
        <f t="shared" si="4"/>
        <v>0</v>
      </c>
      <c r="AG68" s="995">
        <f t="shared" si="4"/>
        <v>0</v>
      </c>
    </row>
    <row r="69" spans="1:35" s="995" customFormat="1">
      <c r="A69" s="1000"/>
      <c r="B69" s="1000"/>
      <c r="C69" s="1005"/>
      <c r="E69" s="1002"/>
      <c r="G69" s="1003">
        <f t="shared" si="4"/>
        <v>0</v>
      </c>
      <c r="I69" s="1003">
        <f t="shared" si="4"/>
        <v>0</v>
      </c>
      <c r="K69" s="1003">
        <f t="shared" si="4"/>
        <v>0</v>
      </c>
      <c r="M69" s="1003">
        <f t="shared" si="4"/>
        <v>0</v>
      </c>
      <c r="O69" s="1003">
        <f t="shared" si="4"/>
        <v>0</v>
      </c>
      <c r="Q69" s="1003">
        <f t="shared" si="4"/>
        <v>0</v>
      </c>
      <c r="S69" s="1003">
        <f t="shared" si="4"/>
        <v>0</v>
      </c>
      <c r="U69" s="1003">
        <f t="shared" si="4"/>
        <v>0</v>
      </c>
      <c r="W69" s="1003">
        <f t="shared" si="4"/>
        <v>0</v>
      </c>
      <c r="Y69" s="1003">
        <f t="shared" si="4"/>
        <v>0</v>
      </c>
      <c r="AA69" s="1003">
        <f t="shared" si="4"/>
        <v>0</v>
      </c>
      <c r="AC69" s="1003">
        <f t="shared" si="4"/>
        <v>0</v>
      </c>
      <c r="AE69" s="1003">
        <f t="shared" si="4"/>
        <v>0</v>
      </c>
      <c r="AG69" s="1003">
        <f t="shared" si="4"/>
        <v>0</v>
      </c>
    </row>
    <row r="70" spans="1:35" s="995" customFormat="1">
      <c r="A70" s="997" t="s">
        <v>864</v>
      </c>
      <c r="C70" s="1005"/>
      <c r="E70" s="995">
        <f>SUM(E66:E69)</f>
        <v>187300.64000000013</v>
      </c>
      <c r="G70" s="995">
        <f>SUM(G66:G69)</f>
        <v>219456.24850000022</v>
      </c>
      <c r="I70" s="995">
        <f>SUM(I66:I69)</f>
        <v>252165.08026249986</v>
      </c>
      <c r="K70" s="995">
        <f>SUM(K66:K69)</f>
        <v>285431.64333831234</v>
      </c>
      <c r="M70" s="995">
        <f>SUM(M66:M69)</f>
        <v>319260.76225344348</v>
      </c>
      <c r="O70" s="995">
        <f>SUM(O66:O69)</f>
        <v>353657.06260806165</v>
      </c>
      <c r="Q70" s="995">
        <f>SUM(Q66:Q69)</f>
        <v>388624.95491183555</v>
      </c>
      <c r="S70" s="995">
        <f>SUM(S66:S69)</f>
        <v>424168.61762330012</v>
      </c>
      <c r="U70" s="995">
        <f>SUM(U66:U69)</f>
        <v>460291.97935963713</v>
      </c>
      <c r="W70" s="995">
        <f>SUM(W66:W69)</f>
        <v>496998.70024192036</v>
      </c>
      <c r="Y70" s="995">
        <f>SUM(Y66:Y69)</f>
        <v>534292.15233953134</v>
      </c>
      <c r="AA70" s="995">
        <f>SUM(AA66:AA69)</f>
        <v>572175.39917600376</v>
      </c>
      <c r="AC70" s="995">
        <f>SUM(AC66:AC69)</f>
        <v>610651.17425709998</v>
      </c>
      <c r="AE70" s="995">
        <f>SUM(AE66:AE69)</f>
        <v>649721.85858036811</v>
      </c>
      <c r="AG70" s="995">
        <f>SUM(AG66:AG69)</f>
        <v>689389.45708387438</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99" t="s">
        <v>1910</v>
      </c>
      <c r="B77" s="2700"/>
      <c r="C77" s="2700"/>
      <c r="D77" s="2700"/>
      <c r="E77" s="2700"/>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339793</v>
      </c>
      <c r="C6" s="286">
        <f>'Sources and Uses Budget'!$C5</f>
        <v>339793</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1</v>
      </c>
      <c r="C8" s="286">
        <f>'Sources and Uses Budget'!$C7</f>
        <v>1</v>
      </c>
      <c r="D8" s="290">
        <f t="shared" si="0"/>
        <v>0</v>
      </c>
      <c r="E8" s="288"/>
      <c r="F8" s="287"/>
      <c r="G8" s="383"/>
    </row>
    <row r="9" spans="1:7" s="380" customFormat="1">
      <c r="A9" s="396" t="s">
        <v>601</v>
      </c>
      <c r="B9" s="290">
        <f>SUM(B5:B8)</f>
        <v>339794</v>
      </c>
      <c r="C9" s="290">
        <f>SUM(C5:C8)</f>
        <v>339794</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339794</v>
      </c>
      <c r="C13" s="290">
        <f>SUM(C9+C12)</f>
        <v>339794</v>
      </c>
      <c r="D13" s="290">
        <f t="shared" si="0"/>
        <v>0</v>
      </c>
      <c r="E13" s="288"/>
      <c r="F13" s="287"/>
      <c r="G13" s="383"/>
    </row>
    <row r="14" spans="1:7" s="380" customFormat="1">
      <c r="A14" s="397" t="s">
        <v>917</v>
      </c>
      <c r="B14" s="286">
        <f>'Sources and Uses Budget'!$C13</f>
        <v>1423729</v>
      </c>
      <c r="C14" s="286">
        <f>'Sources and Uses Budget'!$C13</f>
        <v>1423729</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5147606</v>
      </c>
      <c r="C30" s="286">
        <f>'Sources and Uses Budget'!$C29</f>
        <v>5147606</v>
      </c>
      <c r="D30" s="290">
        <f t="shared" si="0"/>
        <v>0</v>
      </c>
      <c r="E30" s="288"/>
      <c r="F30" s="287"/>
      <c r="G30" s="383"/>
    </row>
    <row r="31" spans="1:7" s="380" customFormat="1">
      <c r="A31" s="145" t="s">
        <v>607</v>
      </c>
      <c r="B31" s="286">
        <f>'Sources and Uses Budget'!$C30</f>
        <v>82951955</v>
      </c>
      <c r="C31" s="286">
        <f>'Sources and Uses Budget'!$C30</f>
        <v>82951955</v>
      </c>
      <c r="D31" s="290">
        <f t="shared" si="0"/>
        <v>0</v>
      </c>
      <c r="E31" s="288"/>
      <c r="F31" s="287"/>
      <c r="G31" s="383"/>
    </row>
    <row r="32" spans="1:7" s="380" customFormat="1">
      <c r="A32" s="145" t="s">
        <v>608</v>
      </c>
      <c r="B32" s="286">
        <f>'Sources and Uses Budget'!$C31</f>
        <v>4000000</v>
      </c>
      <c r="C32" s="286">
        <f>'Sources and Uses Budget'!$C31</f>
        <v>4000000</v>
      </c>
      <c r="D32" s="290">
        <f t="shared" si="0"/>
        <v>0</v>
      </c>
      <c r="E32" s="288"/>
      <c r="F32" s="287"/>
      <c r="G32" s="383"/>
    </row>
    <row r="33" spans="1:7" s="380" customFormat="1">
      <c r="A33" s="145" t="s">
        <v>137</v>
      </c>
      <c r="B33" s="286">
        <f>'Sources and Uses Budget'!$C32</f>
        <v>3900000</v>
      </c>
      <c r="C33" s="286">
        <f>'Sources and Uses Budget'!$C32</f>
        <v>3900000</v>
      </c>
      <c r="D33" s="290">
        <f t="shared" si="0"/>
        <v>0</v>
      </c>
      <c r="E33" s="288"/>
      <c r="F33" s="287"/>
      <c r="G33" s="383"/>
    </row>
    <row r="34" spans="1:7" s="380" customFormat="1">
      <c r="A34" s="145" t="s">
        <v>138</v>
      </c>
      <c r="B34" s="286">
        <f>'Sources and Uses Budget'!$C33</f>
        <v>3900000</v>
      </c>
      <c r="C34" s="286">
        <f>'Sources and Uses Budget'!$C33</f>
        <v>3900000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3358203</v>
      </c>
      <c r="C36" s="286">
        <f>'Sources and Uses Budget'!$C35</f>
        <v>3358203</v>
      </c>
      <c r="D36" s="290">
        <f t="shared" si="0"/>
        <v>0</v>
      </c>
      <c r="E36" s="288"/>
      <c r="F36" s="287"/>
      <c r="G36" s="383"/>
    </row>
    <row r="37" spans="1:7" s="380" customFormat="1">
      <c r="A37" s="304" t="s">
        <v>1752</v>
      </c>
      <c r="B37" s="286">
        <f>'Sources and Uses Budget'!$C36</f>
        <v>80000</v>
      </c>
      <c r="C37" s="286">
        <f>'Sources and Uses Budget'!$C36</f>
        <v>80000</v>
      </c>
      <c r="D37" s="290"/>
      <c r="E37" s="288"/>
      <c r="F37" s="287"/>
      <c r="G37" s="383"/>
    </row>
    <row r="38" spans="1:7" s="380" customFormat="1">
      <c r="A38" s="155" t="str">
        <f>'Sources and Uses Budget'!A37</f>
        <v>Solar</v>
      </c>
      <c r="B38" s="286">
        <f>'Sources and Uses Budget'!$C37</f>
        <v>1434223</v>
      </c>
      <c r="C38" s="286">
        <f>'Sources and Uses Budget'!$C37</f>
        <v>1434223</v>
      </c>
      <c r="D38" s="290">
        <f t="shared" si="0"/>
        <v>0</v>
      </c>
      <c r="E38" s="288"/>
      <c r="F38" s="287"/>
      <c r="G38" s="383"/>
    </row>
    <row r="39" spans="1:7" s="380" customFormat="1">
      <c r="A39" s="291" t="s">
        <v>143</v>
      </c>
      <c r="B39" s="290">
        <f>SUM(B30:B38)</f>
        <v>104771987</v>
      </c>
      <c r="C39" s="290">
        <f>SUM(C30:C38)</f>
        <v>104771987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2450000</v>
      </c>
      <c r="C41" s="286">
        <f>'Sources and Uses Budget'!$C40</f>
        <v>2450000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2450000</v>
      </c>
      <c r="C43" s="290">
        <f>SUM(C41:C42)</f>
        <v>2450000</v>
      </c>
      <c r="D43" s="290">
        <f t="shared" si="0"/>
        <v>0</v>
      </c>
      <c r="E43" s="288"/>
      <c r="F43" s="287"/>
      <c r="G43" s="383"/>
    </row>
    <row r="44" spans="1:7" s="380" customFormat="1">
      <c r="A44" s="291" t="s">
        <v>148</v>
      </c>
      <c r="B44" s="286">
        <f>'Sources and Uses Budget'!$C43</f>
        <v>750000</v>
      </c>
      <c r="C44" s="286">
        <f>'Sources and Uses Budget'!$C43</f>
        <v>750000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6500000</v>
      </c>
      <c r="C46" s="286">
        <f>'Sources and Uses Budget'!$C45</f>
        <v>6500000</v>
      </c>
      <c r="D46" s="290">
        <f t="shared" si="0"/>
        <v>0</v>
      </c>
      <c r="E46" s="288"/>
      <c r="F46" s="287"/>
      <c r="G46" s="383"/>
    </row>
    <row r="47" spans="1:7" s="380" customFormat="1">
      <c r="A47" s="145" t="s">
        <v>151</v>
      </c>
      <c r="B47" s="286">
        <f>'Sources and Uses Budget'!$C46</f>
        <v>650000</v>
      </c>
      <c r="C47" s="286">
        <f>'Sources and Uses Budget'!$C46</f>
        <v>650000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358505</v>
      </c>
      <c r="C50" s="286">
        <f>'Sources and Uses Budget'!$C49</f>
        <v>358505</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450979</v>
      </c>
      <c r="C52" s="286">
        <f>'Sources and Uses Budget'!$C51</f>
        <v>450979</v>
      </c>
      <c r="D52" s="290">
        <f t="shared" si="0"/>
        <v>0</v>
      </c>
      <c r="E52" s="288"/>
      <c r="F52" s="287"/>
      <c r="G52" s="383"/>
    </row>
    <row r="53" spans="1:7" s="380" customFormat="1">
      <c r="A53" s="145" t="s">
        <v>155</v>
      </c>
      <c r="B53" s="286">
        <f>'Sources and Uses Budget'!$C52</f>
        <v>1000000</v>
      </c>
      <c r="C53" s="286">
        <f>'Sources and Uses Budget'!$C52</f>
        <v>1000000</v>
      </c>
      <c r="D53" s="290">
        <f t="shared" si="0"/>
        <v>0</v>
      </c>
      <c r="E53" s="288"/>
      <c r="F53" s="287"/>
      <c r="G53" s="383"/>
    </row>
    <row r="54" spans="1:7" s="380" customFormat="1">
      <c r="A54" s="155" t="str">
        <f>'Sources and Uses Budget'!A53</f>
        <v>Taxable Construction Loan Interest</v>
      </c>
      <c r="B54" s="286">
        <f>'Sources and Uses Budget'!$C53</f>
        <v>1400000</v>
      </c>
      <c r="C54" s="286">
        <f>'Sources and Uses Budget'!$C53</f>
        <v>1400000</v>
      </c>
      <c r="D54" s="290">
        <f t="shared" si="0"/>
        <v>0</v>
      </c>
      <c r="E54" s="288"/>
      <c r="F54" s="287"/>
      <c r="G54" s="383"/>
    </row>
    <row r="55" spans="1:7" s="381" customFormat="1">
      <c r="A55" s="291" t="s">
        <v>157</v>
      </c>
      <c r="B55" s="293">
        <f>SUM(B46:B54)</f>
        <v>10509484</v>
      </c>
      <c r="C55" s="293">
        <f>SUM(C46:C54)</f>
        <v>10509484</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444050</v>
      </c>
      <c r="C57" s="286">
        <f>'Sources and Uses Budget'!$C56</f>
        <v>444050</v>
      </c>
      <c r="D57" s="290">
        <f t="shared" si="0"/>
        <v>0</v>
      </c>
      <c r="E57" s="288"/>
      <c r="F57" s="287"/>
      <c r="G57" s="383"/>
    </row>
    <row r="58" spans="1:7" s="380" customFormat="1" ht="12" customHeight="1">
      <c r="A58" s="289" t="s">
        <v>152</v>
      </c>
      <c r="B58" s="286">
        <f>'Sources and Uses Budget'!$C57</f>
        <v>703772</v>
      </c>
      <c r="C58" s="286">
        <f>'Sources and Uses Budget'!$C57</f>
        <v>703772</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4000000</v>
      </c>
      <c r="C62" s="286">
        <f>'Sources and Uses Budget'!$C61</f>
        <v>4000000</v>
      </c>
      <c r="D62" s="290">
        <f t="shared" si="0"/>
        <v>0</v>
      </c>
      <c r="E62" s="288"/>
      <c r="F62" s="287"/>
      <c r="G62" s="383"/>
    </row>
    <row r="63" spans="1:7" s="380" customFormat="1" ht="13.7" customHeight="1">
      <c r="A63" s="291" t="s">
        <v>302</v>
      </c>
      <c r="B63" s="290">
        <f>SUM(B57:B62)</f>
        <v>5147822</v>
      </c>
      <c r="C63" s="290">
        <f>SUM(C57:C62)</f>
        <v>5147822</v>
      </c>
      <c r="D63" s="290">
        <f t="shared" si="0"/>
        <v>0</v>
      </c>
      <c r="E63" s="288"/>
      <c r="F63" s="287"/>
      <c r="G63" s="383"/>
    </row>
    <row r="64" spans="1:7" s="380" customFormat="1">
      <c r="A64" s="294" t="s">
        <v>303</v>
      </c>
      <c r="B64" s="290">
        <f>SUM(B9+B12+B14+B15+B17+B26+B28+B39+B43+B44+B55+B63)</f>
        <v>125392816</v>
      </c>
      <c r="C64" s="290">
        <f>SUM(C9+C12+C14+C15+C17+C26+C28+C39+C43+C44+C55+C63)</f>
        <v>125392816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Partnership &amp; Transaction</v>
      </c>
      <c r="B70" s="286">
        <f>'Sources and Uses Budget'!$C69</f>
        <v>150000</v>
      </c>
      <c r="C70" s="286">
        <f>'Sources and Uses Budget'!$C69</f>
        <v>150000</v>
      </c>
      <c r="D70" s="290">
        <f t="shared" si="0"/>
        <v>0</v>
      </c>
      <c r="E70" s="288"/>
      <c r="F70" s="287"/>
      <c r="G70" s="383"/>
    </row>
    <row r="71" spans="1:7" s="380" customFormat="1">
      <c r="A71" s="149" t="s">
        <v>1757</v>
      </c>
      <c r="B71" s="290">
        <f>SUM(B66:B70)</f>
        <v>300000</v>
      </c>
      <c r="C71" s="290">
        <f>SUM(C66:C70)</f>
        <v>300000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1038000</v>
      </c>
      <c r="C76" s="286">
        <f>'Sources and Uses Budget'!$C75</f>
        <v>1038000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1038000</v>
      </c>
      <c r="C78" s="290">
        <f>SUM(C73:C77)</f>
        <v>1038000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6301906</v>
      </c>
      <c r="C80" s="286">
        <f>'Sources and Uses Budget'!$C79</f>
        <v>6301906</v>
      </c>
      <c r="D80" s="290">
        <f t="shared" si="1"/>
        <v>0</v>
      </c>
      <c r="E80" s="288"/>
      <c r="F80" s="287"/>
      <c r="G80" s="383"/>
    </row>
    <row r="81" spans="1:7" s="380" customFormat="1">
      <c r="A81" s="544" t="s">
        <v>58</v>
      </c>
      <c r="B81" s="286">
        <f>'Sources and Uses Budget'!$C80</f>
        <v>1581890</v>
      </c>
      <c r="C81" s="286">
        <f>'Sources and Uses Budget'!$C80</f>
        <v>1581890</v>
      </c>
      <c r="D81" s="290">
        <f>C81-B81</f>
        <v>0</v>
      </c>
      <c r="E81" s="288"/>
      <c r="F81" s="287"/>
      <c r="G81" s="383"/>
    </row>
    <row r="82" spans="1:7" s="380" customFormat="1">
      <c r="A82" s="291" t="s">
        <v>1314</v>
      </c>
      <c r="B82" s="290">
        <f>SUM(B80:B81)</f>
        <v>7883796</v>
      </c>
      <c r="C82" s="290">
        <f>SUM(C80:C81)</f>
        <v>7883796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353812</v>
      </c>
      <c r="C84" s="286">
        <f>'Sources and Uses Budget'!$C83</f>
        <v>353812</v>
      </c>
      <c r="D84" s="290">
        <f t="shared" si="1"/>
        <v>0</v>
      </c>
      <c r="E84" s="288"/>
      <c r="F84" s="287"/>
      <c r="G84" s="383"/>
    </row>
    <row r="85" spans="1:7" s="380" customFormat="1">
      <c r="A85" s="289" t="s">
        <v>776</v>
      </c>
      <c r="B85" s="286">
        <f>'Sources and Uses Budget'!$C84</f>
        <v>125000</v>
      </c>
      <c r="C85" s="286">
        <f>'Sources and Uses Budget'!$C84</f>
        <v>125000</v>
      </c>
      <c r="D85" s="290">
        <f t="shared" si="1"/>
        <v>0</v>
      </c>
      <c r="E85" s="288"/>
      <c r="F85" s="287"/>
      <c r="G85" s="383"/>
    </row>
    <row r="86" spans="1:7" s="380" customFormat="1">
      <c r="A86" s="289" t="s">
        <v>777</v>
      </c>
      <c r="B86" s="286">
        <f>'Sources and Uses Budget'!$C85</f>
        <v>1801243</v>
      </c>
      <c r="C86" s="286">
        <f>'Sources and Uses Budget'!$C85</f>
        <v>1801243</v>
      </c>
      <c r="D86" s="290">
        <f t="shared" si="1"/>
        <v>0</v>
      </c>
      <c r="E86" s="288"/>
      <c r="F86" s="287"/>
      <c r="G86" s="383"/>
    </row>
    <row r="87" spans="1:7" s="380" customFormat="1">
      <c r="A87" s="289" t="s">
        <v>778</v>
      </c>
      <c r="B87" s="286">
        <f>'Sources and Uses Budget'!$C86</f>
        <v>1000000</v>
      </c>
      <c r="C87" s="286">
        <f>'Sources and Uses Budget'!$C86</f>
        <v>1000000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10000</v>
      </c>
      <c r="C89" s="286">
        <f>'Sources and Uses Budget'!$C88</f>
        <v>10000</v>
      </c>
      <c r="D89" s="290">
        <f t="shared" si="1"/>
        <v>0</v>
      </c>
      <c r="E89" s="288"/>
      <c r="F89" s="287"/>
      <c r="G89" s="383"/>
    </row>
    <row r="90" spans="1:7" s="380" customFormat="1">
      <c r="A90" s="289" t="s">
        <v>781</v>
      </c>
      <c r="B90" s="286">
        <f>'Sources and Uses Budget'!$C89</f>
        <v>625000</v>
      </c>
      <c r="C90" s="286">
        <f>'Sources and Uses Budget'!$C89</f>
        <v>625000</v>
      </c>
      <c r="D90" s="290">
        <f t="shared" si="1"/>
        <v>0</v>
      </c>
      <c r="E90" s="288"/>
      <c r="F90" s="287"/>
      <c r="G90" s="383"/>
    </row>
    <row r="91" spans="1:7" s="380" customFormat="1">
      <c r="A91" s="289" t="s">
        <v>782</v>
      </c>
      <c r="B91" s="286">
        <f>'Sources and Uses Budget'!$C90</f>
        <v>8000</v>
      </c>
      <c r="C91" s="286">
        <f>'Sources and Uses Budget'!$C90</f>
        <v>8000</v>
      </c>
      <c r="D91" s="290">
        <f t="shared" si="1"/>
        <v>0</v>
      </c>
      <c r="E91" s="288"/>
      <c r="F91" s="287"/>
      <c r="G91" s="383"/>
    </row>
    <row r="92" spans="1:7" s="380" customFormat="1">
      <c r="A92" s="289" t="s">
        <v>373</v>
      </c>
      <c r="B92" s="286">
        <f>'Sources and Uses Budget'!$C91</f>
        <v>25000</v>
      </c>
      <c r="C92" s="286">
        <f>'Sources and Uses Budget'!$C91</f>
        <v>25000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8147449</v>
      </c>
      <c r="C94" s="286">
        <f>'Sources and Uses Budget'!$C93</f>
        <v>8147449</v>
      </c>
      <c r="D94" s="290">
        <f t="shared" si="1"/>
        <v>0</v>
      </c>
      <c r="E94" s="288"/>
      <c r="F94" s="287"/>
      <c r="G94" s="383"/>
    </row>
    <row r="95" spans="1:7" s="380" customFormat="1">
      <c r="A95" s="292" t="s">
        <v>34</v>
      </c>
      <c r="B95" s="286">
        <f>'Sources and Uses Budget'!$C94</f>
        <v>150000</v>
      </c>
      <c r="C95" s="286">
        <f>'Sources and Uses Budget'!$C94</f>
        <v>150000</v>
      </c>
      <c r="D95" s="290">
        <f t="shared" si="1"/>
        <v>0</v>
      </c>
      <c r="E95" s="288"/>
      <c r="F95" s="287"/>
      <c r="G95" s="383"/>
    </row>
    <row r="96" spans="1:7" s="380" customFormat="1">
      <c r="A96" s="292" t="s">
        <v>34</v>
      </c>
      <c r="B96" s="286">
        <f>'Sources and Uses Budget'!$C95</f>
        <v>140000</v>
      </c>
      <c r="C96" s="286">
        <f>'Sources and Uses Budget'!$C95</f>
        <v>140000</v>
      </c>
      <c r="D96" s="290">
        <f t="shared" si="1"/>
        <v>0</v>
      </c>
      <c r="E96" s="288"/>
      <c r="F96" s="287"/>
      <c r="G96" s="383"/>
    </row>
    <row r="97" spans="1:7" s="380" customFormat="1">
      <c r="A97" s="291" t="s">
        <v>783</v>
      </c>
      <c r="B97" s="290">
        <f>SUM(B84:B96)</f>
        <v>12400504</v>
      </c>
      <c r="C97" s="290">
        <f>SUM(C84:C96)</f>
        <v>12400504</v>
      </c>
      <c r="D97" s="290">
        <f t="shared" si="1"/>
        <v>0</v>
      </c>
      <c r="E97" s="288"/>
      <c r="F97" s="287"/>
      <c r="G97" s="383"/>
    </row>
    <row r="98" spans="1:7" s="380" customFormat="1">
      <c r="A98" s="291" t="s">
        <v>784</v>
      </c>
      <c r="B98" s="290">
        <f>SUM(B64+B71+B78+B82+B97)</f>
        <v>147015116</v>
      </c>
      <c r="C98" s="290">
        <f>SUM(C64+C71+C78+C82+C97)</f>
        <v>147015116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11700000</v>
      </c>
      <c r="C100" s="286">
        <f>'Sources and Uses Budget'!$C99</f>
        <v>11700000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11700000</v>
      </c>
      <c r="C105" s="290">
        <f>SUM(C100:C104)</f>
        <v>11700000</v>
      </c>
      <c r="D105" s="290">
        <f t="shared" si="1"/>
        <v>0</v>
      </c>
      <c r="E105" s="288"/>
      <c r="F105" s="287"/>
      <c r="G105" s="383"/>
    </row>
    <row r="106" spans="1:7" s="380" customFormat="1">
      <c r="A106" s="291" t="s">
        <v>789</v>
      </c>
      <c r="B106" s="293">
        <f>SUM(B98+B105)</f>
        <v>158715116</v>
      </c>
      <c r="C106" s="293">
        <f>SUM(C98+C105)</f>
        <v>158715116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7" t="s">
        <v>1067</v>
      </c>
      <c r="B2" s="1307"/>
      <c r="C2" s="1281"/>
      <c r="D2" s="1281"/>
      <c r="E2" s="1281"/>
      <c r="F2" s="1281"/>
      <c r="G2" s="1281"/>
    </row>
    <row r="3" spans="1:9" s="173" customFormat="1">
      <c r="A3" s="1307" t="s">
        <v>1008</v>
      </c>
      <c r="B3" s="1307"/>
      <c r="C3" s="1281"/>
      <c r="D3" s="1281"/>
      <c r="E3" s="1281"/>
      <c r="F3" s="1281"/>
      <c r="G3" s="1281"/>
      <c r="I3" t="s">
        <v>308</v>
      </c>
    </row>
    <row r="4" spans="1:9">
      <c r="I4" s="3" t="s">
        <v>1068</v>
      </c>
    </row>
    <row r="5" spans="1:9">
      <c r="A5" s="1309" t="s">
        <v>1009</v>
      </c>
      <c r="B5" s="1309"/>
      <c r="C5" s="1281"/>
      <c r="D5" s="1281"/>
      <c r="E5" s="1281"/>
      <c r="F5" s="1281"/>
      <c r="G5" s="1281"/>
      <c r="I5" s="3" t="s">
        <v>1069</v>
      </c>
    </row>
    <row r="6" spans="1:9">
      <c r="A6" s="1309" t="s">
        <v>828</v>
      </c>
      <c r="B6" s="1309"/>
      <c r="C6" s="1281"/>
      <c r="D6" s="1281"/>
      <c r="E6" s="1281"/>
      <c r="F6" s="1281"/>
      <c r="G6" s="1281"/>
      <c r="I6" t="s">
        <v>599</v>
      </c>
    </row>
    <row r="7" spans="1:9" ht="11.85" customHeight="1"/>
    <row r="8" spans="1:9">
      <c r="A8" s="1307" t="s">
        <v>1164</v>
      </c>
      <c r="B8" s="1307"/>
      <c r="C8" s="1308"/>
      <c r="D8" s="1308"/>
      <c r="E8" s="1308"/>
      <c r="F8" s="1308"/>
      <c r="G8" s="1308"/>
    </row>
    <row r="9" spans="1:9">
      <c r="A9" s="1307" t="s">
        <v>1165</v>
      </c>
      <c r="B9" s="1307"/>
      <c r="C9" s="1308"/>
      <c r="D9" s="1308"/>
      <c r="E9" s="1308"/>
      <c r="F9" s="1308"/>
      <c r="G9" s="1308"/>
    </row>
    <row r="10" spans="1:9">
      <c r="A10" s="174"/>
      <c r="B10" s="174"/>
      <c r="C10" s="172"/>
      <c r="D10" s="172"/>
      <c r="E10" s="172"/>
      <c r="F10" s="172"/>
    </row>
    <row r="11" spans="1:9">
      <c r="A11" s="1288" t="s">
        <v>1167</v>
      </c>
      <c r="B11" s="1288"/>
      <c r="C11" s="1288"/>
      <c r="D11" s="1288"/>
      <c r="E11" s="1288"/>
      <c r="F11" s="1288"/>
      <c r="G11" s="1288"/>
    </row>
    <row r="12" spans="1:9">
      <c r="A12" s="172"/>
      <c r="B12" s="172"/>
      <c r="E12" s="2"/>
    </row>
    <row r="13" spans="1:9" ht="13.15" customHeight="1">
      <c r="C13" s="172"/>
      <c r="D13" s="1321" t="s">
        <v>1166</v>
      </c>
      <c r="E13" s="1321"/>
      <c r="F13" s="1321"/>
    </row>
    <row r="14" spans="1:9">
      <c r="C14" s="172"/>
      <c r="D14" s="1321"/>
      <c r="E14" s="1321"/>
      <c r="F14" s="1321"/>
    </row>
    <row r="15" spans="1:9">
      <c r="A15" s="175"/>
      <c r="B15" s="175"/>
      <c r="C15" s="175"/>
      <c r="D15" s="1284" t="s">
        <v>1149</v>
      </c>
      <c r="E15" s="1284"/>
      <c r="F15" s="1284"/>
    </row>
    <row r="16" spans="1:9">
      <c r="A16" s="175"/>
      <c r="B16" s="175"/>
      <c r="C16" s="175"/>
      <c r="D16" s="218"/>
    </row>
    <row r="17" spans="1:6" ht="14.25">
      <c r="A17" s="176"/>
      <c r="B17" s="468" t="s">
        <v>308</v>
      </c>
      <c r="C17" s="175"/>
      <c r="D17" s="1273" t="s">
        <v>1150</v>
      </c>
      <c r="E17" s="1273"/>
      <c r="F17" s="1273"/>
    </row>
    <row r="18" spans="1:6">
      <c r="A18" s="175"/>
      <c r="B18" s="175"/>
      <c r="C18" s="175"/>
      <c r="D18" s="1273"/>
      <c r="E18" s="1273"/>
      <c r="F18" s="1273"/>
    </row>
    <row r="19" spans="1:6">
      <c r="A19" s="175"/>
      <c r="B19" s="175"/>
      <c r="C19" s="175"/>
      <c r="D19" s="1273"/>
      <c r="E19" s="1273"/>
      <c r="F19" s="1273"/>
    </row>
    <row r="20" spans="1:6">
      <c r="A20" s="175"/>
      <c r="B20" s="175"/>
      <c r="C20" s="175"/>
    </row>
    <row r="21" spans="1:6" ht="14.25">
      <c r="A21" s="176"/>
      <c r="B21" s="468" t="s">
        <v>308</v>
      </c>
      <c r="D21" s="1316" t="s">
        <v>1151</v>
      </c>
      <c r="E21" s="1316"/>
      <c r="F21" s="1316"/>
    </row>
    <row r="22" spans="1:6" ht="14.25">
      <c r="A22" s="176"/>
      <c r="B22" s="176"/>
      <c r="D22" s="35"/>
    </row>
    <row r="23" spans="1:6" ht="14.25">
      <c r="A23" s="176"/>
      <c r="B23" s="468" t="s">
        <v>308</v>
      </c>
      <c r="D23" s="1273" t="s">
        <v>1152</v>
      </c>
      <c r="E23" s="1273"/>
      <c r="F23" s="1273"/>
    </row>
    <row r="24" spans="1:6" ht="14.25">
      <c r="A24" s="176"/>
      <c r="B24" s="176"/>
      <c r="D24" s="1273"/>
      <c r="E24" s="1273"/>
      <c r="F24" s="1273"/>
    </row>
    <row r="25" spans="1:6"/>
    <row r="26" spans="1:6" ht="14.25">
      <c r="A26" s="176"/>
      <c r="B26" s="468" t="s">
        <v>308</v>
      </c>
      <c r="D26" s="1273" t="s">
        <v>1153</v>
      </c>
      <c r="E26" s="1273"/>
      <c r="F26" s="1273"/>
    </row>
    <row r="27" spans="1:6">
      <c r="D27" s="1273"/>
      <c r="E27" s="1273"/>
      <c r="F27" s="1273"/>
    </row>
    <row r="28" spans="1:6">
      <c r="D28" s="1273"/>
      <c r="E28" s="1273"/>
      <c r="F28" s="1273"/>
    </row>
    <row r="29" spans="1:6">
      <c r="D29" s="1273"/>
      <c r="E29" s="1273"/>
      <c r="F29" s="1273"/>
    </row>
    <row r="30" spans="1:6">
      <c r="D30" s="1273"/>
      <c r="E30" s="1273"/>
      <c r="F30" s="1273"/>
    </row>
    <row r="31" spans="1:6">
      <c r="D31" s="220"/>
    </row>
    <row r="32" spans="1:6">
      <c r="B32" s="468" t="s">
        <v>308</v>
      </c>
      <c r="D32" s="1273" t="s">
        <v>1154</v>
      </c>
      <c r="E32" s="1273"/>
      <c r="F32" s="1273"/>
    </row>
    <row r="33" spans="1:6">
      <c r="D33" s="1273"/>
      <c r="E33" s="1273"/>
      <c r="F33" s="1273"/>
    </row>
    <row r="34" spans="1:6" ht="14.25">
      <c r="A34" s="176"/>
      <c r="B34" s="176"/>
      <c r="D34" s="220"/>
    </row>
    <row r="35" spans="1:6" ht="14.45" customHeight="1">
      <c r="A35" s="176"/>
      <c r="B35" s="468" t="s">
        <v>308</v>
      </c>
      <c r="D35" s="1273" t="s">
        <v>1155</v>
      </c>
      <c r="E35" s="1273"/>
      <c r="F35" s="1273"/>
    </row>
    <row r="36" spans="1:6" ht="14.25">
      <c r="A36" s="176"/>
      <c r="B36" s="176"/>
      <c r="D36" s="1273"/>
      <c r="E36" s="1273"/>
      <c r="F36" s="1273"/>
    </row>
    <row r="37" spans="1:6" ht="14.25">
      <c r="A37" s="176"/>
      <c r="B37" s="176"/>
      <c r="D37" s="1273"/>
      <c r="E37" s="1273"/>
      <c r="F37" s="1273"/>
    </row>
    <row r="38" spans="1:6" ht="14.25">
      <c r="A38" s="176"/>
      <c r="B38" s="176"/>
      <c r="D38"/>
    </row>
    <row r="39" spans="1:6" ht="14.25">
      <c r="A39" s="176"/>
      <c r="B39" s="468" t="s">
        <v>308</v>
      </c>
      <c r="D39" s="1273" t="s">
        <v>1156</v>
      </c>
      <c r="E39" s="1273"/>
      <c r="F39" s="1273"/>
    </row>
    <row r="40" spans="1:6" ht="14.25">
      <c r="A40" s="176"/>
      <c r="B40" s="176"/>
      <c r="D40" s="1273"/>
      <c r="E40" s="1273"/>
      <c r="F40" s="1273"/>
    </row>
    <row r="41" spans="1:6" ht="14.25">
      <c r="A41" s="176"/>
      <c r="B41" s="176"/>
      <c r="D41" s="1273"/>
      <c r="E41" s="1273"/>
      <c r="F41" s="1273"/>
    </row>
    <row r="42" spans="1:6" ht="14.25">
      <c r="A42" s="176"/>
      <c r="B42" s="176"/>
      <c r="D42" s="1273"/>
      <c r="E42" s="1273"/>
      <c r="F42" s="1273"/>
    </row>
    <row r="43" spans="1:6" ht="14.25">
      <c r="A43" s="176"/>
      <c r="B43" s="176"/>
      <c r="D43" s="1273"/>
      <c r="E43" s="1273"/>
      <c r="F43" s="1273"/>
    </row>
    <row r="44" spans="1:6" ht="14.25">
      <c r="A44" s="176"/>
      <c r="B44" s="176"/>
      <c r="D44" s="474"/>
      <c r="E44" s="474"/>
      <c r="F44" s="474"/>
    </row>
    <row r="45" spans="1:6" ht="14.25">
      <c r="A45" s="176"/>
      <c r="B45" s="468" t="s">
        <v>308</v>
      </c>
      <c r="D45" s="1273" t="s">
        <v>1157</v>
      </c>
      <c r="E45" s="1273"/>
      <c r="F45" s="1273"/>
    </row>
    <row r="46" spans="1:6" ht="14.25">
      <c r="A46" s="176"/>
      <c r="B46" s="176"/>
      <c r="D46" s="1273"/>
      <c r="E46" s="1273"/>
      <c r="F46" s="1273"/>
    </row>
    <row r="47" spans="1:6" ht="14.25">
      <c r="A47" s="176"/>
      <c r="B47" s="176"/>
      <c r="D47" s="1273"/>
      <c r="E47" s="1273"/>
      <c r="F47" s="1273"/>
    </row>
    <row r="48" spans="1:6" ht="23.25" customHeight="1">
      <c r="A48" s="176"/>
      <c r="B48" s="176"/>
      <c r="D48" s="1273"/>
      <c r="E48" s="1273"/>
      <c r="F48" s="1273"/>
    </row>
    <row r="49" spans="1:7" ht="14.25">
      <c r="A49" s="176"/>
      <c r="B49" s="176"/>
      <c r="D49" s="35"/>
    </row>
    <row r="50" spans="1:7" ht="14.45" customHeight="1">
      <c r="A50" s="176"/>
      <c r="B50" s="468" t="s">
        <v>308</v>
      </c>
      <c r="D50" s="1273" t="s">
        <v>1158</v>
      </c>
      <c r="E50" s="1273"/>
      <c r="F50" s="1273"/>
    </row>
    <row r="51" spans="1:7" ht="14.25">
      <c r="A51" s="176"/>
      <c r="B51" s="176"/>
      <c r="D51" s="1273"/>
      <c r="E51" s="1273"/>
      <c r="F51" s="1273"/>
    </row>
    <row r="52" spans="1:7" ht="14.25">
      <c r="A52" s="176"/>
      <c r="B52" s="176"/>
      <c r="D52" s="1273"/>
      <c r="E52" s="1273"/>
      <c r="F52" s="1273"/>
    </row>
    <row r="53" spans="1:7" ht="14.25">
      <c r="A53" s="176"/>
      <c r="B53" s="176"/>
      <c r="C53" s="385"/>
      <c r="D53" s="3"/>
      <c r="E53" s="3"/>
      <c r="F53" s="3"/>
      <c r="G53" s="3"/>
    </row>
    <row r="54" spans="1:7" ht="14.25">
      <c r="A54" s="176"/>
      <c r="B54" s="468" t="s">
        <v>308</v>
      </c>
      <c r="C54" s="385"/>
      <c r="D54" s="1273" t="s">
        <v>1159</v>
      </c>
      <c r="E54" s="1273"/>
      <c r="F54" s="1273"/>
      <c r="G54" s="3"/>
    </row>
    <row r="55" spans="1:7" ht="14.25">
      <c r="A55" s="176"/>
      <c r="B55" s="176"/>
      <c r="C55" s="385"/>
      <c r="D55" s="1273"/>
      <c r="E55" s="1273"/>
      <c r="F55" s="1273"/>
      <c r="G55" s="3"/>
    </row>
    <row r="56" spans="1:7">
      <c r="D56" s="220"/>
    </row>
    <row r="57" spans="1:7" ht="14.25">
      <c r="A57" s="176"/>
      <c r="B57" s="468" t="s">
        <v>308</v>
      </c>
      <c r="D57" s="1273" t="s">
        <v>1160</v>
      </c>
      <c r="E57" s="1273"/>
      <c r="F57" s="1273"/>
    </row>
    <row r="58" spans="1:7">
      <c r="D58" s="1273"/>
      <c r="E58" s="1273"/>
      <c r="F58" s="1273"/>
    </row>
    <row r="59" spans="1:7">
      <c r="D59" s="1273"/>
      <c r="E59" s="1273"/>
      <c r="F59" s="1273"/>
    </row>
    <row r="60" spans="1:7">
      <c r="D60" s="3"/>
    </row>
    <row r="61" spans="1:7" ht="14.25">
      <c r="A61" s="176"/>
      <c r="B61" s="468" t="s">
        <v>308</v>
      </c>
      <c r="D61" s="1273" t="s">
        <v>1161</v>
      </c>
      <c r="E61" s="1273"/>
      <c r="F61" s="1273"/>
    </row>
    <row r="62" spans="1:7">
      <c r="D62" s="1273"/>
      <c r="E62" s="1273"/>
      <c r="F62" s="1273"/>
    </row>
    <row r="63" spans="1:7"/>
    <row r="64" spans="1:7" ht="14.25">
      <c r="A64" s="176"/>
      <c r="B64" s="468" t="s">
        <v>308</v>
      </c>
      <c r="D64" s="1273" t="s">
        <v>1162</v>
      </c>
      <c r="E64" s="1273"/>
      <c r="F64" s="1273"/>
    </row>
    <row r="65" spans="1:7">
      <c r="D65" s="1273"/>
      <c r="E65" s="1273"/>
      <c r="F65" s="1273"/>
    </row>
    <row r="66" spans="1:7">
      <c r="D66" s="1273"/>
      <c r="E66" s="1273"/>
      <c r="F66" s="1273"/>
    </row>
    <row r="67" spans="1:7">
      <c r="D67"/>
    </row>
    <row r="68" spans="1:7" ht="14.25">
      <c r="A68" s="176"/>
      <c r="B68" s="468" t="s">
        <v>308</v>
      </c>
      <c r="D68" s="1273" t="s">
        <v>1163</v>
      </c>
      <c r="E68" s="1273"/>
      <c r="F68" s="1273"/>
    </row>
    <row r="69" spans="1:7">
      <c r="D69" s="1273"/>
      <c r="E69" s="1273"/>
      <c r="F69" s="1273"/>
    </row>
    <row r="70" spans="1:7" ht="14.25">
      <c r="A70" s="176"/>
      <c r="B70" s="176"/>
      <c r="D70" s="35"/>
    </row>
    <row r="71" spans="1:7">
      <c r="A71" s="1288" t="s">
        <v>1070</v>
      </c>
      <c r="B71" s="1288"/>
      <c r="C71" s="1288"/>
      <c r="D71" s="1288"/>
      <c r="E71" s="1288"/>
      <c r="F71" s="1288"/>
      <c r="G71" s="1288"/>
    </row>
    <row r="72" spans="1:7"/>
    <row r="73" spans="1:7">
      <c r="C73" s="177"/>
      <c r="D73" s="1306" t="s">
        <v>1168</v>
      </c>
      <c r="E73" s="1306"/>
      <c r="F73" s="1306"/>
    </row>
    <row r="74" spans="1:7">
      <c r="A74" s="35"/>
      <c r="B74" s="35"/>
      <c r="D74" s="1273" t="s">
        <v>1195</v>
      </c>
      <c r="E74" s="1273"/>
      <c r="F74" s="1273"/>
    </row>
    <row r="75" spans="1:7">
      <c r="A75" s="35"/>
      <c r="B75" s="35"/>
    </row>
    <row r="76" spans="1:7" ht="14.25">
      <c r="A76" s="176"/>
      <c r="B76" s="468" t="s">
        <v>308</v>
      </c>
      <c r="D76" s="1273" t="s">
        <v>1169</v>
      </c>
      <c r="E76" s="1273"/>
      <c r="F76" s="1273"/>
    </row>
    <row r="77" spans="1:7" ht="14.25">
      <c r="A77" s="176"/>
      <c r="B77" s="176"/>
      <c r="D77" s="1273"/>
      <c r="E77" s="1273"/>
      <c r="F77" s="1273"/>
    </row>
    <row r="78" spans="1:7" ht="14.25">
      <c r="A78" s="176"/>
      <c r="B78" s="176"/>
      <c r="D78" s="1273"/>
      <c r="E78" s="1273"/>
      <c r="F78" s="1273"/>
    </row>
    <row r="79" spans="1:7" ht="14.25">
      <c r="A79" s="176"/>
      <c r="B79" s="176"/>
      <c r="D79" s="1273"/>
      <c r="E79" s="1273"/>
      <c r="F79" s="1273"/>
    </row>
    <row r="80" spans="1:7" ht="14.25">
      <c r="A80" s="176"/>
      <c r="B80" s="176"/>
      <c r="D80" s="1273"/>
      <c r="E80" s="1273"/>
      <c r="F80" s="1273"/>
    </row>
    <row r="81" spans="1:6" ht="14.25">
      <c r="A81" s="176"/>
      <c r="B81" s="176"/>
      <c r="D81" s="1273"/>
      <c r="E81" s="1273"/>
      <c r="F81" s="1273"/>
    </row>
    <row r="82" spans="1:6" ht="14.25">
      <c r="A82" s="176"/>
      <c r="B82" s="176"/>
      <c r="D82" s="474"/>
      <c r="E82" s="474"/>
      <c r="F82" s="474"/>
    </row>
    <row r="83" spans="1:6" ht="14.45" customHeight="1">
      <c r="A83" s="176"/>
      <c r="B83" s="468" t="s">
        <v>308</v>
      </c>
      <c r="D83" s="1282" t="s">
        <v>1268</v>
      </c>
      <c r="E83" s="1282"/>
      <c r="F83" s="1282"/>
    </row>
    <row r="84" spans="1:6" ht="14.25">
      <c r="A84" s="176"/>
      <c r="B84" s="176"/>
      <c r="D84" s="1282"/>
      <c r="E84" s="1282"/>
      <c r="F84" s="1282"/>
    </row>
    <row r="85" spans="1:6" ht="14.25">
      <c r="A85" s="176"/>
      <c r="B85" s="176"/>
      <c r="D85" s="1282"/>
      <c r="E85" s="1282"/>
      <c r="F85" s="1282"/>
    </row>
    <row r="86" spans="1:6" ht="14.25">
      <c r="A86" s="176"/>
      <c r="B86" s="176"/>
      <c r="D86" s="1282"/>
      <c r="E86" s="1282"/>
      <c r="F86" s="1282"/>
    </row>
    <row r="87" spans="1:6" ht="14.25">
      <c r="A87" s="176"/>
      <c r="B87" s="176"/>
      <c r="D87" s="1282"/>
      <c r="E87" s="1282"/>
      <c r="F87" s="1282"/>
    </row>
    <row r="88" spans="1:6" ht="14.25">
      <c r="A88" s="176"/>
      <c r="B88" s="176"/>
      <c r="D88" s="1282"/>
      <c r="E88" s="1282"/>
      <c r="F88" s="1282"/>
    </row>
    <row r="89" spans="1:6" ht="14.25">
      <c r="A89" s="176"/>
      <c r="B89" s="176"/>
      <c r="D89" s="1282"/>
      <c r="E89" s="1282"/>
      <c r="F89" s="1282"/>
    </row>
    <row r="90" spans="1:6" ht="14.25">
      <c r="A90" s="176"/>
      <c r="B90" s="176"/>
      <c r="D90" s="1282"/>
      <c r="E90" s="1282"/>
      <c r="F90" s="1282"/>
    </row>
    <row r="91" spans="1:6" ht="14.25">
      <c r="A91" s="176"/>
      <c r="B91" s="176"/>
      <c r="D91" s="1282"/>
      <c r="E91" s="1282"/>
      <c r="F91" s="1282"/>
    </row>
    <row r="92" spans="1:6" ht="14.25">
      <c r="A92" s="176"/>
      <c r="B92" s="176"/>
      <c r="D92" s="1282"/>
      <c r="E92" s="1282"/>
      <c r="F92" s="1282"/>
    </row>
    <row r="93" spans="1:6" ht="14.25">
      <c r="A93" s="176"/>
      <c r="B93" s="176"/>
      <c r="D93" s="1282"/>
      <c r="E93" s="1282"/>
      <c r="F93" s="1282"/>
    </row>
    <row r="94" spans="1:6" ht="14.25">
      <c r="A94" s="176"/>
      <c r="B94" s="176"/>
      <c r="D94" s="1282"/>
      <c r="E94" s="1282"/>
      <c r="F94" s="1282"/>
    </row>
    <row r="95" spans="1:6" ht="14.25">
      <c r="A95" s="176"/>
      <c r="B95" s="176"/>
      <c r="D95" s="1282"/>
      <c r="E95" s="1282"/>
      <c r="F95" s="1282"/>
    </row>
    <row r="96" spans="1:6" ht="14.25">
      <c r="A96" s="176"/>
      <c r="B96" s="176"/>
      <c r="D96" s="1282"/>
      <c r="E96" s="1282"/>
      <c r="F96" s="1282"/>
    </row>
    <row r="97" spans="1:11" ht="14.25">
      <c r="A97" s="176"/>
      <c r="B97" s="468" t="s">
        <v>308</v>
      </c>
      <c r="D97" s="1273" t="s">
        <v>1170</v>
      </c>
      <c r="E97" s="1273"/>
      <c r="F97" s="1273"/>
    </row>
    <row r="98" spans="1:11" ht="14.25">
      <c r="A98" s="176"/>
      <c r="B98" s="176"/>
      <c r="D98" s="1273"/>
      <c r="E98" s="1273"/>
      <c r="F98" s="1273"/>
    </row>
    <row r="99" spans="1:11" ht="14.25">
      <c r="A99" s="176"/>
      <c r="B99" s="176"/>
      <c r="D99" s="1273"/>
      <c r="E99" s="1273"/>
      <c r="F99" s="1273"/>
    </row>
    <row r="100" spans="1:11" ht="14.25">
      <c r="A100" s="176"/>
      <c r="B100" s="176"/>
      <c r="D100" s="1273"/>
      <c r="E100" s="1273"/>
      <c r="F100" s="1273"/>
    </row>
    <row r="101" spans="1:11" ht="14.25">
      <c r="A101" s="176"/>
      <c r="B101" s="176"/>
      <c r="D101" s="1273"/>
      <c r="E101" s="1273"/>
      <c r="F101" s="1273"/>
    </row>
    <row r="102" spans="1:11" ht="14.25">
      <c r="A102" s="176"/>
      <c r="B102" s="176"/>
      <c r="D102" s="1273"/>
      <c r="E102" s="1273"/>
      <c r="F102" s="1273"/>
    </row>
    <row r="103" spans="1:11" ht="14.25">
      <c r="A103" s="176"/>
      <c r="B103" s="176"/>
      <c r="D103" s="1273"/>
      <c r="E103" s="1273"/>
      <c r="F103" s="1273"/>
    </row>
    <row r="104" spans="1:11" ht="14.25">
      <c r="A104" s="176"/>
      <c r="B104" s="176"/>
      <c r="D104" s="1273"/>
      <c r="E104" s="1273"/>
      <c r="F104" s="1273"/>
    </row>
    <row r="105" spans="1:11" ht="14.25">
      <c r="A105" s="176"/>
      <c r="B105" s="176"/>
      <c r="D105" s="474"/>
      <c r="E105" s="474"/>
      <c r="F105" s="474"/>
    </row>
    <row r="106" spans="1:11" ht="14.25">
      <c r="A106" s="176"/>
      <c r="B106" s="468" t="s">
        <v>308</v>
      </c>
      <c r="C106" s="179"/>
      <c r="D106" s="1310" t="s">
        <v>1171</v>
      </c>
      <c r="E106" s="1310"/>
      <c r="F106" s="1310"/>
      <c r="G106" s="183"/>
      <c r="H106" s="181"/>
      <c r="I106" s="181"/>
      <c r="J106" s="181"/>
      <c r="K106" s="181"/>
    </row>
    <row r="107" spans="1:11" ht="14.25">
      <c r="A107" s="176"/>
      <c r="B107" s="176"/>
      <c r="C107" s="179"/>
      <c r="D107" s="1310"/>
      <c r="E107" s="1310"/>
      <c r="F107" s="1310"/>
      <c r="G107" s="183"/>
      <c r="H107" s="181"/>
      <c r="I107" s="181"/>
      <c r="J107" s="181"/>
      <c r="K107" s="181"/>
    </row>
    <row r="108" spans="1:11" ht="14.25">
      <c r="A108" s="176"/>
      <c r="B108" s="176"/>
      <c r="C108" s="179"/>
      <c r="D108" s="1310"/>
      <c r="E108" s="1310"/>
      <c r="F108" s="1310"/>
      <c r="G108" s="183"/>
      <c r="H108" s="181"/>
      <c r="I108" s="181"/>
      <c r="J108" s="181"/>
      <c r="K108" s="181"/>
    </row>
    <row r="109" spans="1:11" ht="14.25">
      <c r="A109" s="176"/>
      <c r="B109" s="176"/>
      <c r="C109" s="179"/>
      <c r="D109" s="1310"/>
      <c r="E109" s="1310"/>
      <c r="F109" s="1310"/>
      <c r="G109" s="183"/>
      <c r="H109" s="181"/>
      <c r="I109" s="181"/>
      <c r="J109" s="181"/>
      <c r="K109" s="181"/>
    </row>
    <row r="110" spans="1:11" ht="14.25">
      <c r="A110" s="176"/>
      <c r="B110" s="176"/>
      <c r="C110" s="179"/>
      <c r="D110" s="1310"/>
      <c r="E110" s="1310"/>
      <c r="F110" s="1310"/>
      <c r="G110" s="183"/>
      <c r="H110" s="181"/>
      <c r="I110" s="181"/>
      <c r="J110" s="181"/>
      <c r="K110" s="181"/>
    </row>
    <row r="111" spans="1:11">
      <c r="C111"/>
      <c r="D111" s="1310"/>
      <c r="E111" s="1310"/>
      <c r="F111" s="1310"/>
      <c r="G111"/>
    </row>
    <row r="112" spans="1:11">
      <c r="C112"/>
      <c r="D112" s="1310"/>
      <c r="E112" s="1310"/>
      <c r="F112" s="1310"/>
      <c r="G112"/>
    </row>
    <row r="113" spans="1:7">
      <c r="C113"/>
      <c r="D113" s="330"/>
      <c r="E113"/>
      <c r="F113"/>
      <c r="G113"/>
    </row>
    <row r="114" spans="1:7" ht="14.25">
      <c r="A114" s="176"/>
      <c r="B114" s="468" t="s">
        <v>308</v>
      </c>
      <c r="C114"/>
      <c r="D114" s="1311" t="s">
        <v>1172</v>
      </c>
      <c r="E114" s="1311"/>
      <c r="F114" s="1311"/>
      <c r="G114"/>
    </row>
    <row r="115" spans="1:7" ht="14.25">
      <c r="A115" s="176"/>
      <c r="B115" s="176"/>
      <c r="C115"/>
      <c r="D115" s="1311"/>
      <c r="E115" s="1311"/>
      <c r="F115" s="1311"/>
      <c r="G115"/>
    </row>
    <row r="116" spans="1:7"/>
    <row r="117" spans="1:7" ht="14.25">
      <c r="A117" s="176"/>
      <c r="B117" s="468" t="s">
        <v>308</v>
      </c>
      <c r="D117" s="1273" t="s">
        <v>1173</v>
      </c>
      <c r="E117" s="1273"/>
      <c r="F117" s="1273"/>
    </row>
    <row r="118" spans="1:7">
      <c r="D118" s="1273"/>
      <c r="E118" s="1273"/>
      <c r="F118" s="1273"/>
    </row>
    <row r="119" spans="1:7">
      <c r="D119" s="1273"/>
      <c r="E119" s="1273"/>
      <c r="F119" s="1273"/>
    </row>
    <row r="120" spans="1:7">
      <c r="D120" s="1273"/>
      <c r="E120" s="1273"/>
      <c r="F120" s="1273"/>
    </row>
    <row r="121" spans="1:7">
      <c r="D121" s="1273"/>
      <c r="E121" s="1273"/>
      <c r="F121" s="1273"/>
    </row>
    <row r="122" spans="1:7"/>
    <row r="123" spans="1:7" ht="14.25">
      <c r="A123" s="176"/>
      <c r="B123" s="468" t="s">
        <v>308</v>
      </c>
      <c r="D123" s="1273" t="s">
        <v>1174</v>
      </c>
      <c r="E123" s="1273"/>
      <c r="F123" s="1273"/>
    </row>
    <row r="124" spans="1:7" s="197" customFormat="1" ht="13.7" customHeight="1">
      <c r="A124" s="195"/>
      <c r="B124" s="195"/>
      <c r="C124" s="195"/>
      <c r="D124" s="1273"/>
      <c r="E124" s="1273"/>
      <c r="F124" s="1273"/>
      <c r="G124" s="196"/>
    </row>
    <row r="125" spans="1:7" ht="13.7" customHeight="1">
      <c r="D125" s="1273"/>
      <c r="E125" s="1273"/>
      <c r="F125" s="1273"/>
    </row>
    <row r="126" spans="1:7" ht="13.7" customHeight="1">
      <c r="D126" s="1273"/>
      <c r="E126" s="1273"/>
      <c r="F126" s="1273"/>
    </row>
    <row r="127" spans="1:7" ht="13.7" customHeight="1">
      <c r="D127" s="1273"/>
      <c r="E127" s="1273"/>
      <c r="F127" s="1273"/>
    </row>
    <row r="128" spans="1:7" ht="13.7" customHeight="1">
      <c r="A128" s="256"/>
      <c r="B128" s="256"/>
      <c r="D128" s="1273"/>
      <c r="E128" s="1273"/>
      <c r="F128" s="1273"/>
    </row>
    <row r="129" spans="2:6" ht="13.7" customHeight="1">
      <c r="D129" s="1273"/>
      <c r="E129" s="1273"/>
      <c r="F129" s="1273"/>
    </row>
    <row r="130" spans="2:6" ht="13.7" customHeight="1">
      <c r="D130" s="1273"/>
      <c r="E130" s="1273"/>
      <c r="F130" s="1273"/>
    </row>
    <row r="131" spans="2:6" ht="13.7" customHeight="1">
      <c r="D131" s="1273"/>
      <c r="E131" s="1273"/>
      <c r="F131" s="1273"/>
    </row>
    <row r="132" spans="2:6" ht="13.7" customHeight="1">
      <c r="D132" s="1273"/>
      <c r="E132" s="1273"/>
      <c r="F132" s="1273"/>
    </row>
    <row r="133" spans="2:6" ht="13.7" customHeight="1">
      <c r="D133" s="1273"/>
      <c r="E133" s="1273"/>
      <c r="F133" s="1273"/>
    </row>
    <row r="134" spans="2:6" ht="13.7" customHeight="1">
      <c r="D134" s="1273"/>
      <c r="E134" s="1273"/>
      <c r="F134" s="1273"/>
    </row>
    <row r="135" spans="2:6" ht="13.7" customHeight="1">
      <c r="D135" s="218"/>
      <c r="E135" s="35"/>
      <c r="F135" s="35"/>
    </row>
    <row r="136" spans="2:6" ht="13.7" customHeight="1">
      <c r="B136" s="468" t="s">
        <v>308</v>
      </c>
      <c r="D136" s="1273" t="s">
        <v>1282</v>
      </c>
      <c r="E136" s="1273"/>
      <c r="F136" s="1273"/>
    </row>
    <row r="137" spans="2:6" ht="13.7" customHeight="1">
      <c r="D137" s="1273"/>
      <c r="E137" s="1273"/>
      <c r="F137" s="1273"/>
    </row>
    <row r="138" spans="2:6" ht="13.7" customHeight="1">
      <c r="D138" s="1273"/>
      <c r="E138" s="1273"/>
      <c r="F138" s="1273"/>
    </row>
    <row r="139" spans="2:6" ht="13.7" customHeight="1">
      <c r="D139" s="1273"/>
      <c r="E139" s="1273"/>
      <c r="F139" s="1273"/>
    </row>
    <row r="140" spans="2:6" ht="13.7" customHeight="1">
      <c r="D140" s="1273"/>
      <c r="E140" s="1273"/>
      <c r="F140" s="1273"/>
    </row>
    <row r="141" spans="2:6" ht="13.7" customHeight="1">
      <c r="D141" s="1273"/>
      <c r="E141" s="1273"/>
      <c r="F141" s="1273"/>
    </row>
    <row r="142" spans="2:6" ht="13.7" customHeight="1">
      <c r="D142" s="1273"/>
      <c r="E142" s="1273"/>
      <c r="F142" s="1273"/>
    </row>
    <row r="143" spans="2:6" ht="13.7" customHeight="1">
      <c r="D143" s="1273"/>
      <c r="E143" s="1273"/>
      <c r="F143" s="1273"/>
    </row>
    <row r="144" spans="2:6" ht="13.7" customHeight="1">
      <c r="D144" s="1273"/>
      <c r="E144" s="1273"/>
      <c r="F144" s="1273"/>
    </row>
    <row r="145" spans="1:7" ht="13.7" customHeight="1">
      <c r="D145" s="1273"/>
      <c r="E145" s="1273"/>
      <c r="F145" s="1273"/>
    </row>
    <row r="146" spans="1:7" ht="13.7" customHeight="1">
      <c r="D146" s="1273"/>
      <c r="E146" s="1273"/>
      <c r="F146" s="1273"/>
    </row>
    <row r="147" spans="1:7" ht="13.7" customHeight="1">
      <c r="D147" s="1273"/>
      <c r="E147" s="1273"/>
      <c r="F147" s="1273"/>
    </row>
    <row r="148" spans="1:7" ht="13.7" customHeight="1">
      <c r="D148" s="1273"/>
      <c r="E148" s="1273"/>
      <c r="F148" s="1273"/>
    </row>
    <row r="149" spans="1:7" ht="13.7" customHeight="1">
      <c r="D149" s="1273"/>
      <c r="E149" s="1273"/>
      <c r="F149" s="1273"/>
    </row>
    <row r="150" spans="1:7" ht="13.7" customHeight="1">
      <c r="D150" s="1273"/>
      <c r="E150" s="1273"/>
      <c r="F150" s="1273"/>
    </row>
    <row r="151" spans="1:7" ht="13.7" customHeight="1">
      <c r="D151" s="1273"/>
      <c r="E151" s="1273"/>
      <c r="F151" s="1273"/>
    </row>
    <row r="152" spans="1:7" ht="13.7" customHeight="1">
      <c r="D152" s="1273"/>
      <c r="E152" s="1273"/>
      <c r="F152" s="1273"/>
    </row>
    <row r="153" spans="1:7" ht="13.7" customHeight="1">
      <c r="D153" s="1273"/>
      <c r="E153" s="1273"/>
      <c r="F153" s="1273"/>
    </row>
    <row r="154" spans="1:7" ht="13.7" customHeight="1">
      <c r="D154" s="1273"/>
      <c r="E154" s="1273"/>
      <c r="F154" s="1273"/>
    </row>
    <row r="155" spans="1:7" ht="13.7" customHeight="1">
      <c r="D155" s="218"/>
      <c r="E155" s="35"/>
      <c r="F155" s="35"/>
    </row>
    <row r="156" spans="1:7" ht="13.7" customHeight="1">
      <c r="A156" s="256"/>
      <c r="B156" s="468" t="s">
        <v>308</v>
      </c>
      <c r="C156" s="218"/>
      <c r="D156" s="1282" t="s">
        <v>1175</v>
      </c>
      <c r="E156" s="1282"/>
      <c r="F156" s="1282"/>
      <c r="G156" s="218"/>
    </row>
    <row r="157" spans="1:7" ht="13.7" customHeight="1">
      <c r="A157" s="256"/>
      <c r="B157" s="256"/>
      <c r="C157" s="218"/>
      <c r="D157" s="1282"/>
      <c r="E157" s="1282"/>
      <c r="F157" s="1282"/>
      <c r="G157" s="218"/>
    </row>
    <row r="158" spans="1:7" ht="13.7" customHeight="1">
      <c r="A158" s="256"/>
      <c r="B158" s="256"/>
      <c r="C158" s="218"/>
      <c r="D158" s="218"/>
      <c r="E158" s="218"/>
      <c r="F158" s="218"/>
      <c r="G158" s="218"/>
    </row>
    <row r="159" spans="1:7" ht="13.7" customHeight="1">
      <c r="A159" s="256"/>
      <c r="B159" s="468" t="s">
        <v>308</v>
      </c>
      <c r="C159" s="218"/>
      <c r="D159" s="1282" t="s">
        <v>1176</v>
      </c>
      <c r="E159" s="1282"/>
      <c r="F159" s="1282"/>
      <c r="G159" s="218"/>
    </row>
    <row r="160" spans="1:7" ht="13.7" customHeight="1">
      <c r="A160" s="256"/>
      <c r="B160" s="256"/>
      <c r="C160" s="218"/>
      <c r="D160" s="1282"/>
      <c r="E160" s="1282"/>
      <c r="F160" s="1282"/>
      <c r="G160" s="218"/>
    </row>
    <row r="161" spans="1:7" ht="13.7" customHeight="1">
      <c r="A161" s="256"/>
      <c r="B161" s="256"/>
      <c r="C161" s="218"/>
      <c r="D161" s="1282"/>
      <c r="E161" s="1282"/>
      <c r="F161" s="1282"/>
      <c r="G161" s="218"/>
    </row>
    <row r="162" spans="1:7" ht="13.7" customHeight="1">
      <c r="A162" s="256"/>
      <c r="B162" s="256"/>
      <c r="C162" s="218"/>
      <c r="D162" s="1282"/>
      <c r="E162" s="1282"/>
      <c r="F162" s="1282"/>
      <c r="G162" s="218"/>
    </row>
    <row r="163" spans="1:7" ht="13.7" customHeight="1">
      <c r="D163" s="35"/>
      <c r="E163" s="35"/>
      <c r="F163" s="35"/>
    </row>
    <row r="164" spans="1:7" ht="13.7" customHeight="1">
      <c r="B164" s="468" t="s">
        <v>308</v>
      </c>
      <c r="D164" s="1287" t="s">
        <v>1177</v>
      </c>
      <c r="E164" s="1287"/>
      <c r="F164" s="1287"/>
    </row>
    <row r="165" spans="1:7" ht="13.7" customHeight="1">
      <c r="D165" s="1287"/>
      <c r="E165" s="1287"/>
      <c r="F165" s="1287"/>
    </row>
    <row r="166" spans="1:7" ht="13.7" customHeight="1">
      <c r="D166" s="1287"/>
      <c r="E166" s="1287"/>
      <c r="F166" s="1287"/>
    </row>
    <row r="167" spans="1:7" ht="13.7" customHeight="1">
      <c r="A167" s="13"/>
      <c r="B167" s="13"/>
      <c r="E167" s="35"/>
      <c r="F167" s="35"/>
    </row>
    <row r="168" spans="1:7">
      <c r="A168" s="1288" t="s">
        <v>1071</v>
      </c>
      <c r="B168" s="1288"/>
      <c r="C168" s="1288"/>
      <c r="D168" s="1288"/>
      <c r="E168" s="1288"/>
      <c r="F168" s="1288"/>
      <c r="G168" s="1288"/>
    </row>
    <row r="169" spans="1:7" ht="12" customHeight="1">
      <c r="D169" s="35"/>
      <c r="E169" s="35"/>
      <c r="F169" s="35"/>
    </row>
    <row r="170" spans="1:7">
      <c r="B170" s="1305" t="s">
        <v>448</v>
      </c>
      <c r="C170" s="1305"/>
      <c r="D170" s="1305"/>
      <c r="E170" s="1305"/>
      <c r="F170" s="1305"/>
    </row>
    <row r="171" spans="1:7" ht="12" customHeight="1">
      <c r="A171" s="172"/>
      <c r="B171" s="172"/>
      <c r="C171" s="172"/>
    </row>
    <row r="172" spans="1:7">
      <c r="A172" s="1288" t="s">
        <v>1072</v>
      </c>
      <c r="B172" s="1288"/>
      <c r="C172" s="1288"/>
      <c r="D172" s="1288"/>
      <c r="E172" s="1288"/>
      <c r="F172" s="1288"/>
      <c r="G172" s="1288"/>
    </row>
    <row r="173" spans="1:7" ht="12" customHeight="1">
      <c r="A173" s="2"/>
      <c r="B173" s="2"/>
      <c r="E173" s="2"/>
    </row>
    <row r="174" spans="1:7" ht="13.15" customHeight="1">
      <c r="A174" s="2"/>
      <c r="B174" s="2"/>
      <c r="D174" s="1302" t="s">
        <v>1180</v>
      </c>
      <c r="E174" s="1302"/>
      <c r="F174" s="1302"/>
    </row>
    <row r="175" spans="1:7">
      <c r="A175" s="2"/>
      <c r="B175" s="2"/>
      <c r="D175" s="1302"/>
      <c r="E175" s="1302"/>
      <c r="F175" s="1302"/>
    </row>
    <row r="176" spans="1:7">
      <c r="A176" s="2"/>
      <c r="B176" s="2"/>
      <c r="D176" s="1303" t="s">
        <v>1181</v>
      </c>
      <c r="E176" s="1303"/>
      <c r="F176" s="1303"/>
    </row>
    <row r="177" spans="1:7" ht="12" customHeight="1">
      <c r="A177" s="2"/>
      <c r="B177" s="2"/>
      <c r="E177" s="2"/>
    </row>
    <row r="178" spans="1:7" ht="14.25">
      <c r="A178" s="176"/>
      <c r="B178" s="468" t="s">
        <v>308</v>
      </c>
      <c r="D178" s="1300" t="s">
        <v>1179</v>
      </c>
      <c r="E178" s="1300"/>
      <c r="F178" s="1300"/>
    </row>
    <row r="179" spans="1:7" ht="14.25">
      <c r="A179" s="176"/>
      <c r="B179" s="176"/>
      <c r="D179" s="1300"/>
      <c r="E179" s="1300"/>
      <c r="F179" s="1300"/>
    </row>
    <row r="180" spans="1:7" ht="14.25">
      <c r="A180" s="176"/>
      <c r="B180" s="176"/>
      <c r="D180" s="1300"/>
      <c r="E180" s="1300"/>
      <c r="F180" s="1300"/>
    </row>
    <row r="181" spans="1:7">
      <c r="D181" s="1300"/>
      <c r="E181" s="1300"/>
      <c r="F181" s="1300"/>
    </row>
    <row r="182" spans="1:7">
      <c r="D182" s="220"/>
    </row>
    <row r="183" spans="1:7">
      <c r="D183" s="1304" t="s">
        <v>1088</v>
      </c>
      <c r="E183" s="1304"/>
      <c r="F183" s="1304"/>
    </row>
    <row r="184" spans="1:7">
      <c r="D184" s="1304"/>
      <c r="E184" s="1304"/>
      <c r="F184" s="1304"/>
    </row>
    <row r="185" spans="1:7">
      <c r="D185" s="475"/>
      <c r="E185" s="475"/>
      <c r="F185" s="475"/>
    </row>
    <row r="186" spans="1:7" ht="14.25">
      <c r="A186" s="176"/>
      <c r="B186" s="468" t="s">
        <v>308</v>
      </c>
      <c r="C186" s="385"/>
      <c r="D186" s="1273" t="s">
        <v>1178</v>
      </c>
      <c r="E186" s="1273"/>
      <c r="F186" s="1273"/>
      <c r="G186" s="3"/>
    </row>
    <row r="187" spans="1:7" ht="14.45" customHeight="1">
      <c r="A187" s="176"/>
      <c r="B187"/>
      <c r="C187" s="385"/>
      <c r="D187" s="1273"/>
      <c r="E187" s="1273"/>
      <c r="F187" s="1273"/>
      <c r="G187" s="3"/>
    </row>
    <row r="188" spans="1:7" ht="14.25">
      <c r="A188" s="176"/>
      <c r="B188" s="385"/>
      <c r="C188" s="385"/>
      <c r="D188" s="1273"/>
      <c r="E188" s="1273"/>
      <c r="F188" s="1273"/>
      <c r="G188" s="3"/>
    </row>
    <row r="189" spans="1:7" ht="14.25">
      <c r="A189" s="176"/>
      <c r="B189" s="385"/>
      <c r="C189" s="385"/>
      <c r="D189" s="1273"/>
      <c r="E189" s="1273"/>
      <c r="F189" s="1273"/>
      <c r="G189" s="3"/>
    </row>
    <row r="190" spans="1:7">
      <c r="D190" s="475"/>
      <c r="E190" s="475"/>
      <c r="F190" s="475"/>
    </row>
    <row r="191" spans="1:7">
      <c r="A191" s="1288" t="s">
        <v>1073</v>
      </c>
      <c r="B191" s="1288"/>
      <c r="C191" s="1288"/>
      <c r="D191" s="1288"/>
      <c r="E191" s="1288"/>
      <c r="F191" s="1288"/>
      <c r="G191" s="1288"/>
    </row>
    <row r="192" spans="1:7" ht="12" customHeight="1">
      <c r="D192" s="35"/>
      <c r="E192" s="35"/>
      <c r="F192" s="35"/>
    </row>
    <row r="193" spans="1:6">
      <c r="C193" s="177"/>
      <c r="D193" s="1289" t="s">
        <v>209</v>
      </c>
      <c r="E193" s="1289"/>
      <c r="F193" s="1289"/>
    </row>
    <row r="194" spans="1:6">
      <c r="A194" s="172"/>
      <c r="B194" s="172"/>
      <c r="C194" s="172"/>
      <c r="D194" s="1284" t="s">
        <v>1202</v>
      </c>
      <c r="E194" s="1292"/>
      <c r="F194" s="1292"/>
    </row>
    <row r="195" spans="1:6" ht="12" customHeight="1">
      <c r="A195" s="13"/>
      <c r="B195" s="13"/>
      <c r="C195" s="13"/>
    </row>
    <row r="196" spans="1:6" ht="13.15" customHeight="1">
      <c r="A196" s="13"/>
      <c r="C196" s="13"/>
      <c r="D196" s="1289" t="s">
        <v>554</v>
      </c>
      <c r="E196" s="1289"/>
      <c r="F196" s="1289"/>
    </row>
    <row r="197" spans="1:6" ht="14.25">
      <c r="A197" s="176"/>
      <c r="B197" s="468" t="s">
        <v>308</v>
      </c>
      <c r="D197" s="1273" t="s">
        <v>1196</v>
      </c>
      <c r="E197" s="1273"/>
      <c r="F197" s="1273"/>
    </row>
    <row r="198" spans="1:6" ht="14.25">
      <c r="A198" s="176"/>
      <c r="B198" s="176"/>
      <c r="D198" s="1273"/>
      <c r="E198" s="1273"/>
      <c r="F198" s="1273"/>
    </row>
    <row r="199" spans="1:6"/>
    <row r="200" spans="1:6" ht="14.25">
      <c r="A200" s="176"/>
      <c r="B200" s="468" t="s">
        <v>308</v>
      </c>
      <c r="D200" s="1273" t="s">
        <v>1197</v>
      </c>
      <c r="E200" s="1273"/>
      <c r="F200" s="1273"/>
    </row>
    <row r="201" spans="1:6" ht="14.25">
      <c r="A201" s="176"/>
      <c r="B201" s="176"/>
      <c r="D201" s="1273"/>
      <c r="E201" s="1273"/>
      <c r="F201" s="1273"/>
    </row>
    <row r="202" spans="1:6" ht="14.25">
      <c r="A202" s="176"/>
      <c r="B202" s="176"/>
      <c r="D202" s="1273"/>
      <c r="E202" s="1273"/>
      <c r="F202" s="1273"/>
    </row>
    <row r="203" spans="1:6" ht="5.0999999999999996" customHeight="1">
      <c r="A203" s="176"/>
      <c r="B203" s="176"/>
      <c r="D203" s="35"/>
      <c r="E203" s="35"/>
      <c r="F203" s="35"/>
    </row>
    <row r="204" spans="1:6" ht="14.25">
      <c r="A204" s="176"/>
      <c r="B204" s="176"/>
      <c r="D204" s="1273" t="s">
        <v>1198</v>
      </c>
      <c r="E204" s="1273"/>
      <c r="F204" s="1273"/>
    </row>
    <row r="205" spans="1:6" ht="14.25">
      <c r="A205" s="176"/>
      <c r="B205" s="176"/>
      <c r="D205" s="1273"/>
      <c r="E205" s="1273"/>
      <c r="F205" s="1273"/>
    </row>
    <row r="206" spans="1:6" ht="14.25">
      <c r="A206" s="176"/>
      <c r="B206" s="176"/>
      <c r="D206" s="1273"/>
      <c r="E206" s="1273"/>
      <c r="F206" s="1273"/>
    </row>
    <row r="207" spans="1:6" ht="14.25">
      <c r="A207" s="176"/>
      <c r="B207" s="176"/>
      <c r="D207" s="1273"/>
      <c r="E207" s="1273"/>
      <c r="F207" s="1273"/>
    </row>
    <row r="208" spans="1:6" ht="14.25">
      <c r="A208" s="176"/>
      <c r="B208" s="176"/>
      <c r="D208" s="1273"/>
      <c r="E208" s="1273"/>
      <c r="F208" s="1273"/>
    </row>
    <row r="209" spans="1:7" ht="14.25">
      <c r="A209" s="176"/>
      <c r="B209" s="176"/>
      <c r="D209" s="35"/>
      <c r="E209" s="35"/>
      <c r="F209" s="35"/>
    </row>
    <row r="210" spans="1:7" ht="14.25">
      <c r="A210" s="176"/>
      <c r="B210" s="468" t="s">
        <v>308</v>
      </c>
      <c r="D210" s="1273" t="s">
        <v>1199</v>
      </c>
      <c r="E210" s="1273"/>
      <c r="F210" s="1273"/>
    </row>
    <row r="211" spans="1:7" ht="14.25">
      <c r="A211" s="176"/>
      <c r="B211" s="176"/>
      <c r="D211" s="1273"/>
      <c r="E211" s="1273"/>
      <c r="F211" s="1273"/>
    </row>
    <row r="212" spans="1:7" ht="14.25">
      <c r="A212" s="176"/>
      <c r="B212" s="176"/>
      <c r="D212" s="1305" t="s">
        <v>909</v>
      </c>
      <c r="E212" s="1305"/>
      <c r="F212" s="1305"/>
    </row>
    <row r="213" spans="1:7" ht="14.25">
      <c r="A213" s="176"/>
      <c r="B213" s="176"/>
      <c r="D213" s="35"/>
      <c r="E213" s="35"/>
      <c r="F213" s="35"/>
    </row>
    <row r="214" spans="1:7" ht="14.45" customHeight="1">
      <c r="A214" s="176"/>
      <c r="B214" s="468" t="s">
        <v>308</v>
      </c>
      <c r="D214" s="1273" t="s">
        <v>1201</v>
      </c>
      <c r="E214" s="1273"/>
      <c r="F214" s="1273"/>
    </row>
    <row r="215" spans="1:7" ht="14.25">
      <c r="A215" s="176"/>
      <c r="B215" s="176"/>
      <c r="D215" s="1273"/>
      <c r="E215" s="1273"/>
      <c r="F215" s="1273"/>
    </row>
    <row r="216" spans="1:7" ht="14.25">
      <c r="A216" s="176"/>
      <c r="B216" s="176"/>
      <c r="D216" s="1273"/>
      <c r="E216" s="1273"/>
      <c r="F216" s="1273"/>
    </row>
    <row r="217" spans="1:7" ht="14.25">
      <c r="A217" s="176"/>
      <c r="B217" s="176"/>
      <c r="D217" s="1273"/>
      <c r="E217" s="1273"/>
      <c r="F217" s="1273"/>
    </row>
    <row r="218" spans="1:7" ht="14.25">
      <c r="A218" s="176"/>
      <c r="B218" s="176"/>
      <c r="D218" s="1273"/>
      <c r="E218" s="1273"/>
      <c r="F218" s="1273"/>
    </row>
    <row r="219" spans="1:7">
      <c r="D219" s="35"/>
      <c r="E219" s="35"/>
      <c r="F219" s="35"/>
    </row>
    <row r="220" spans="1:7" ht="14.25">
      <c r="A220" s="176"/>
      <c r="B220" s="468" t="s">
        <v>308</v>
      </c>
      <c r="D220" s="1273" t="s">
        <v>1200</v>
      </c>
      <c r="E220" s="1273"/>
      <c r="F220" s="1273"/>
    </row>
    <row r="221" spans="1:7" ht="14.25">
      <c r="A221" s="176"/>
      <c r="B221" s="176"/>
      <c r="D221" s="1273"/>
      <c r="E221" s="1273"/>
      <c r="F221" s="1273"/>
    </row>
    <row r="222" spans="1:7">
      <c r="D222" s="19"/>
    </row>
    <row r="223" spans="1:7">
      <c r="A223" s="1288" t="s">
        <v>1074</v>
      </c>
      <c r="B223" s="1288"/>
      <c r="C223" s="1288"/>
      <c r="D223" s="1288"/>
      <c r="E223" s="1288"/>
      <c r="F223" s="1288"/>
      <c r="G223" s="1288"/>
    </row>
    <row r="224" spans="1:7">
      <c r="D224" s="19"/>
    </row>
    <row r="225" spans="1:6">
      <c r="C225" s="177"/>
      <c r="D225" s="1289" t="s">
        <v>1203</v>
      </c>
      <c r="E225" s="1289"/>
      <c r="F225" s="1289"/>
    </row>
    <row r="226" spans="1:6">
      <c r="A226" s="172"/>
      <c r="B226" s="172"/>
      <c r="C226" s="172"/>
      <c r="D226" s="35"/>
      <c r="E226" s="35"/>
      <c r="F226" s="35"/>
    </row>
    <row r="227" spans="1:6">
      <c r="A227" s="175"/>
      <c r="B227" s="175"/>
      <c r="C227" s="175"/>
      <c r="D227" s="1289" t="s">
        <v>270</v>
      </c>
      <c r="E227" s="1289"/>
      <c r="F227" s="1289"/>
    </row>
    <row r="228" spans="1:6" ht="14.25">
      <c r="A228" s="176"/>
      <c r="B228" s="468" t="s">
        <v>308</v>
      </c>
      <c r="D228" s="1291" t="s">
        <v>1204</v>
      </c>
      <c r="E228" s="1291"/>
      <c r="F228" s="1291"/>
    </row>
    <row r="229" spans="1:6" ht="14.25">
      <c r="A229" s="176"/>
      <c r="B229" s="176"/>
      <c r="D229" s="1291"/>
      <c r="E229" s="1291"/>
      <c r="F229" s="1291"/>
    </row>
    <row r="230" spans="1:6">
      <c r="D230" s="35"/>
      <c r="E230" s="35"/>
      <c r="F230" s="35"/>
    </row>
    <row r="231" spans="1:6" ht="14.45" customHeight="1">
      <c r="A231" s="176"/>
      <c r="B231" s="468" t="s">
        <v>308</v>
      </c>
      <c r="D231" s="1273" t="s">
        <v>1205</v>
      </c>
      <c r="E231" s="1273"/>
      <c r="F231" s="1273"/>
    </row>
    <row r="232" spans="1:6">
      <c r="D232" s="1273"/>
      <c r="E232" s="1273"/>
      <c r="F232" s="1273"/>
    </row>
    <row r="233" spans="1:6">
      <c r="D233" s="1292" t="s">
        <v>901</v>
      </c>
      <c r="E233" s="1292"/>
      <c r="F233" s="1292"/>
    </row>
    <row r="234" spans="1:6">
      <c r="D234" s="35"/>
      <c r="E234" s="35"/>
      <c r="F234" s="35"/>
    </row>
    <row r="235" spans="1:6" ht="14.45" customHeight="1">
      <c r="A235" s="176"/>
      <c r="B235" s="468" t="s">
        <v>308</v>
      </c>
      <c r="D235" s="1273" t="s">
        <v>1207</v>
      </c>
      <c r="E235" s="1273"/>
      <c r="F235" s="1273"/>
    </row>
    <row r="236" spans="1:6">
      <c r="D236" s="1273"/>
      <c r="E236" s="1273"/>
      <c r="F236" s="1273"/>
    </row>
    <row r="237" spans="1:6">
      <c r="D237" s="1273"/>
      <c r="E237" s="1273"/>
      <c r="F237" s="1273"/>
    </row>
    <row r="238" spans="1:6">
      <c r="D238" s="1273"/>
      <c r="E238" s="1273"/>
      <c r="F238" s="1273"/>
    </row>
    <row r="239" spans="1:6">
      <c r="D239" s="1273"/>
      <c r="E239" s="1273"/>
      <c r="F239" s="1273"/>
    </row>
    <row r="240" spans="1:6">
      <c r="D240" s="35"/>
      <c r="E240" s="35"/>
      <c r="F240" s="35"/>
    </row>
    <row r="241" spans="1:7" ht="14.25">
      <c r="A241" s="176"/>
      <c r="B241" s="468" t="s">
        <v>308</v>
      </c>
      <c r="D241" s="1273" t="s">
        <v>1206</v>
      </c>
      <c r="E241" s="1273"/>
      <c r="F241" s="1273"/>
    </row>
    <row r="242" spans="1:7">
      <c r="D242" s="1273"/>
      <c r="E242" s="1273"/>
      <c r="F242" s="1273"/>
    </row>
    <row r="243" spans="1:7">
      <c r="D243" s="1273"/>
      <c r="E243" s="1273"/>
      <c r="F243" s="1273"/>
    </row>
    <row r="244" spans="1:7">
      <c r="D244" s="178"/>
      <c r="E244" s="35"/>
      <c r="F244" s="35"/>
    </row>
    <row r="245" spans="1:7">
      <c r="A245" s="1288" t="s">
        <v>1075</v>
      </c>
      <c r="B245" s="1288"/>
      <c r="C245" s="1288"/>
      <c r="D245" s="1288"/>
      <c r="E245" s="1288"/>
      <c r="F245" s="1288"/>
      <c r="G245" s="1288"/>
    </row>
    <row r="246" spans="1:7">
      <c r="D246" s="178"/>
      <c r="E246" s="35"/>
      <c r="F246" s="35"/>
    </row>
    <row r="247" spans="1:7">
      <c r="C247" s="172"/>
      <c r="D247" s="1306" t="s">
        <v>1208</v>
      </c>
      <c r="E247" s="1306"/>
      <c r="F247" s="1306"/>
    </row>
    <row r="248" spans="1:7">
      <c r="C248" s="172"/>
      <c r="D248" s="1306"/>
      <c r="E248" s="1306"/>
      <c r="F248" s="1306"/>
    </row>
    <row r="249" spans="1:7">
      <c r="A249" s="175"/>
      <c r="B249" s="175"/>
      <c r="C249" s="175"/>
      <c r="D249" s="2"/>
      <c r="E249" s="3"/>
      <c r="F249" s="3"/>
    </row>
    <row r="250" spans="1:7">
      <c r="C250" s="175"/>
      <c r="D250" s="1289" t="s">
        <v>210</v>
      </c>
      <c r="E250" s="1289"/>
      <c r="F250" s="1289"/>
    </row>
    <row r="251" spans="1:7" ht="15.75" customHeight="1">
      <c r="A251" s="176"/>
      <c r="B251" s="176"/>
      <c r="D251" s="1295" t="s">
        <v>1209</v>
      </c>
      <c r="E251" s="1295"/>
      <c r="F251" s="1295"/>
    </row>
    <row r="252" spans="1:7">
      <c r="E252" s="35"/>
      <c r="F252" s="35"/>
    </row>
    <row r="253" spans="1:7" ht="14.25">
      <c r="A253" s="176"/>
      <c r="B253" s="468" t="s">
        <v>308</v>
      </c>
      <c r="D253" s="1273" t="s">
        <v>1210</v>
      </c>
      <c r="E253" s="1273"/>
      <c r="F253" s="1273"/>
    </row>
    <row r="254" spans="1:7" ht="14.25">
      <c r="A254" s="176"/>
      <c r="B254" s="176"/>
      <c r="D254" s="1273"/>
      <c r="E254" s="1273"/>
      <c r="F254" s="1273"/>
    </row>
    <row r="255" spans="1:7">
      <c r="D255" s="35"/>
      <c r="E255" s="35"/>
      <c r="F255" s="35"/>
    </row>
    <row r="256" spans="1:7" ht="14.25">
      <c r="A256" s="176"/>
      <c r="B256" s="468" t="s">
        <v>308</v>
      </c>
      <c r="D256" s="1273" t="s">
        <v>1211</v>
      </c>
      <c r="E256" s="1273"/>
      <c r="F256" s="1273"/>
    </row>
    <row r="257" spans="1:7" ht="14.25">
      <c r="A257" s="176"/>
      <c r="B257" s="176"/>
      <c r="D257" s="1273"/>
      <c r="E257" s="1273"/>
      <c r="F257" s="1273"/>
    </row>
    <row r="258" spans="1:7" ht="14.25">
      <c r="A258" s="176"/>
      <c r="B258" s="176"/>
      <c r="D258" s="1273"/>
      <c r="E258" s="1273"/>
      <c r="F258" s="1273"/>
    </row>
    <row r="259" spans="1:7">
      <c r="D259" s="35"/>
      <c r="E259" s="35"/>
      <c r="F259" s="35"/>
    </row>
    <row r="260" spans="1:7" ht="14.25">
      <c r="A260" s="176"/>
      <c r="B260" s="468" t="s">
        <v>308</v>
      </c>
      <c r="D260" s="1273" t="s">
        <v>1212</v>
      </c>
      <c r="E260" s="1273"/>
      <c r="F260" s="1273"/>
    </row>
    <row r="261" spans="1:7" ht="14.25">
      <c r="A261" s="176"/>
      <c r="B261" s="176"/>
      <c r="D261" s="1273"/>
      <c r="E261" s="1273"/>
      <c r="F261" s="1273"/>
    </row>
    <row r="262" spans="1:7">
      <c r="A262" s="13"/>
      <c r="B262" s="13"/>
      <c r="E262" s="35"/>
      <c r="F262" s="35"/>
    </row>
    <row r="263" spans="1:7">
      <c r="A263" s="1288" t="s">
        <v>1076</v>
      </c>
      <c r="B263" s="1288"/>
      <c r="C263" s="1288"/>
      <c r="D263" s="1288"/>
      <c r="E263" s="1288"/>
      <c r="F263" s="1288"/>
      <c r="G263" s="1288"/>
    </row>
    <row r="264" spans="1:7">
      <c r="A264" s="13"/>
      <c r="B264" s="13"/>
      <c r="D264" s="35"/>
      <c r="E264" s="35"/>
      <c r="F264" s="35"/>
    </row>
    <row r="265" spans="1:7">
      <c r="C265" s="13"/>
      <c r="D265" s="1289" t="s">
        <v>690</v>
      </c>
      <c r="E265" s="1289"/>
      <c r="F265" s="1289"/>
    </row>
    <row r="266" spans="1:7">
      <c r="C266" s="13"/>
      <c r="D266" s="1284" t="s">
        <v>1213</v>
      </c>
      <c r="E266" s="1284"/>
      <c r="F266" s="1284"/>
    </row>
    <row r="267" spans="1:7">
      <c r="C267" s="13"/>
      <c r="D267" s="173"/>
    </row>
    <row r="268" spans="1:7">
      <c r="B268" s="468" t="s">
        <v>308</v>
      </c>
      <c r="D268" s="1284" t="s">
        <v>1214</v>
      </c>
      <c r="E268" s="1284"/>
      <c r="F268" s="1284"/>
    </row>
    <row r="269" spans="1:7" ht="14.25">
      <c r="A269" s="176"/>
      <c r="B269" s="176"/>
      <c r="D269" s="341"/>
      <c r="E269" s="342"/>
      <c r="F269" s="342"/>
    </row>
    <row r="270" spans="1:7" ht="13.15" customHeight="1">
      <c r="B270" s="468" t="s">
        <v>308</v>
      </c>
      <c r="D270" s="1293" t="s">
        <v>1215</v>
      </c>
      <c r="E270" s="1293"/>
      <c r="F270" s="1293"/>
    </row>
    <row r="271" spans="1:7" ht="14.25">
      <c r="A271" s="176"/>
      <c r="B271" s="176"/>
      <c r="D271" s="1293"/>
      <c r="E271" s="1293"/>
      <c r="F271" s="1293"/>
    </row>
    <row r="272" spans="1:7" ht="14.25">
      <c r="A272" s="176"/>
      <c r="B272" s="176"/>
      <c r="D272" s="1293"/>
      <c r="E272" s="1293"/>
      <c r="F272" s="1293"/>
    </row>
    <row r="273" spans="1:6" ht="14.25">
      <c r="A273" s="176"/>
      <c r="B273" s="176"/>
      <c r="D273" s="1293"/>
      <c r="E273" s="1293"/>
      <c r="F273" s="1293"/>
    </row>
    <row r="274" spans="1:6" ht="14.25">
      <c r="A274" s="176"/>
      <c r="B274" s="176"/>
      <c r="D274" s="1293"/>
      <c r="E274" s="1293"/>
      <c r="F274" s="1293"/>
    </row>
    <row r="275" spans="1:6" ht="14.25">
      <c r="A275" s="176"/>
      <c r="B275" s="176"/>
      <c r="D275" s="341"/>
      <c r="E275" s="342"/>
      <c r="F275" s="342"/>
    </row>
    <row r="276" spans="1:6" ht="13.15" customHeight="1">
      <c r="B276" s="468" t="s">
        <v>308</v>
      </c>
      <c r="D276" s="1293" t="s">
        <v>1216</v>
      </c>
      <c r="E276" s="1293"/>
      <c r="F276" s="1293"/>
    </row>
    <row r="277" spans="1:6">
      <c r="D277" s="1293"/>
      <c r="E277" s="1293"/>
      <c r="F277" s="1293"/>
    </row>
    <row r="278" spans="1:6" ht="14.25">
      <c r="A278" s="176"/>
      <c r="B278" s="176"/>
      <c r="D278" s="341"/>
      <c r="E278" s="342"/>
      <c r="F278" s="342"/>
    </row>
    <row r="279" spans="1:6">
      <c r="B279" s="468" t="s">
        <v>308</v>
      </c>
      <c r="D279" s="1284" t="s">
        <v>1217</v>
      </c>
      <c r="E279" s="1284"/>
      <c r="F279" s="1284"/>
    </row>
    <row r="280" spans="1:6">
      <c r="E280" s="35"/>
      <c r="F280" s="35"/>
    </row>
    <row r="281" spans="1:6" ht="14.25">
      <c r="A281" s="176"/>
      <c r="B281" s="468" t="s">
        <v>308</v>
      </c>
      <c r="D281" s="1273" t="s">
        <v>1218</v>
      </c>
      <c r="E281" s="1273"/>
      <c r="F281" s="1273"/>
    </row>
    <row r="282" spans="1:6" ht="14.25">
      <c r="A282" s="176"/>
      <c r="B282" s="176"/>
      <c r="D282" s="1273"/>
      <c r="E282" s="1273"/>
      <c r="F282" s="1273"/>
    </row>
    <row r="283" spans="1:6" ht="14.25">
      <c r="A283" s="176"/>
      <c r="B283" s="176"/>
      <c r="D283" s="1273"/>
      <c r="E283" s="1273"/>
      <c r="F283" s="1273"/>
    </row>
    <row r="284" spans="1:6" ht="14.25">
      <c r="A284" s="176"/>
      <c r="B284" s="176"/>
      <c r="D284" s="1273"/>
      <c r="E284" s="1273"/>
      <c r="F284" s="1273"/>
    </row>
    <row r="285" spans="1:6" ht="14.25">
      <c r="A285" s="176"/>
      <c r="B285" s="176"/>
      <c r="D285" s="1273"/>
      <c r="E285" s="1273"/>
      <c r="F285" s="1273"/>
    </row>
    <row r="286" spans="1:6" ht="14.25">
      <c r="A286" s="176"/>
      <c r="B286" s="176"/>
      <c r="D286" s="1273"/>
      <c r="E286" s="1273"/>
      <c r="F286" s="1273"/>
    </row>
    <row r="287" spans="1:6" ht="14.25">
      <c r="A287" s="176"/>
      <c r="B287" s="176"/>
      <c r="D287" s="1273"/>
      <c r="E287" s="1273"/>
      <c r="F287" s="1273"/>
    </row>
    <row r="288" spans="1:6" ht="14.25">
      <c r="A288" s="176"/>
      <c r="B288" s="176"/>
      <c r="D288" s="1273"/>
      <c r="E288" s="1273"/>
      <c r="F288" s="1273"/>
    </row>
    <row r="289" spans="1:6" ht="14.25">
      <c r="A289" s="176"/>
      <c r="B289" s="176"/>
      <c r="D289" s="1273"/>
      <c r="E289" s="1273"/>
      <c r="F289" s="1273"/>
    </row>
    <row r="290" spans="1:6" ht="14.25">
      <c r="A290" s="176"/>
      <c r="B290" s="176"/>
      <c r="D290" s="1273"/>
      <c r="E290" s="1273"/>
      <c r="F290" s="1273"/>
    </row>
    <row r="291" spans="1:6" ht="14.25">
      <c r="A291" s="176"/>
      <c r="B291" s="176"/>
      <c r="D291" s="1273"/>
      <c r="E291" s="1273"/>
      <c r="F291" s="1273"/>
    </row>
    <row r="292" spans="1:6" ht="14.25">
      <c r="A292" s="176"/>
      <c r="B292" s="176"/>
      <c r="D292" s="1273"/>
      <c r="E292" s="1273"/>
      <c r="F292" s="1273"/>
    </row>
    <row r="293" spans="1:6" ht="14.25">
      <c r="A293" s="176"/>
      <c r="B293" s="176"/>
      <c r="D293" s="1273"/>
      <c r="E293" s="1273"/>
      <c r="F293" s="1273"/>
    </row>
    <row r="294" spans="1:6" ht="14.25">
      <c r="A294" s="176"/>
      <c r="B294" s="176"/>
      <c r="D294" s="1273"/>
      <c r="E294" s="1273"/>
      <c r="F294" s="1273"/>
    </row>
    <row r="295" spans="1:6" ht="14.25">
      <c r="A295" s="176"/>
      <c r="B295" s="176"/>
      <c r="D295" s="1273"/>
      <c r="E295" s="1273"/>
      <c r="F295" s="1273"/>
    </row>
    <row r="296" spans="1:6">
      <c r="D296" s="35"/>
      <c r="E296" s="35"/>
      <c r="F296" s="35"/>
    </row>
    <row r="297" spans="1:6" ht="14.25">
      <c r="A297" s="176"/>
      <c r="B297" s="468" t="s">
        <v>308</v>
      </c>
      <c r="D297" s="1273" t="s">
        <v>1219</v>
      </c>
      <c r="E297" s="1273"/>
      <c r="F297" s="1273"/>
    </row>
    <row r="298" spans="1:6">
      <c r="D298" s="1273"/>
      <c r="E298" s="1273"/>
      <c r="F298" s="1273"/>
    </row>
    <row r="299" spans="1:6">
      <c r="D299" s="1273"/>
      <c r="E299" s="1273"/>
      <c r="F299" s="1273"/>
    </row>
    <row r="300" spans="1:6">
      <c r="D300" s="1273"/>
      <c r="E300" s="1273"/>
      <c r="F300" s="1273"/>
    </row>
    <row r="301" spans="1:6">
      <c r="D301" s="1273"/>
      <c r="E301" s="1273"/>
      <c r="F301" s="1273"/>
    </row>
    <row r="302" spans="1:6">
      <c r="D302" s="1273"/>
      <c r="E302" s="1273"/>
      <c r="F302" s="1273"/>
    </row>
    <row r="303" spans="1:6">
      <c r="D303" s="1273"/>
      <c r="E303" s="1273"/>
      <c r="F303" s="1273"/>
    </row>
    <row r="304" spans="1:6">
      <c r="D304" s="1273"/>
      <c r="E304" s="1273"/>
      <c r="F304" s="1273"/>
    </row>
    <row r="305" spans="1:7">
      <c r="D305" s="1273"/>
      <c r="E305" s="1273"/>
      <c r="F305" s="1273"/>
    </row>
    <row r="306" spans="1:7">
      <c r="D306" s="35"/>
      <c r="E306" s="35"/>
      <c r="F306" s="35"/>
    </row>
    <row r="307" spans="1:7" ht="14.25">
      <c r="A307" s="176"/>
      <c r="B307" s="468" t="s">
        <v>308</v>
      </c>
      <c r="D307" s="1273" t="s">
        <v>1220</v>
      </c>
      <c r="E307" s="1273"/>
      <c r="F307" s="1273"/>
    </row>
    <row r="308" spans="1:7">
      <c r="D308" s="1273"/>
      <c r="E308" s="1273"/>
      <c r="F308" s="1273"/>
      <c r="G308"/>
    </row>
    <row r="309" spans="1:7">
      <c r="D309" s="1273"/>
      <c r="E309" s="1273"/>
      <c r="F309" s="1273"/>
      <c r="G309"/>
    </row>
    <row r="310" spans="1:7">
      <c r="D310" s="1273"/>
      <c r="E310" s="1273"/>
      <c r="F310" s="1273"/>
      <c r="G310"/>
    </row>
    <row r="311" spans="1:7">
      <c r="D311" s="1273"/>
      <c r="E311" s="1273"/>
      <c r="F311" s="1273"/>
      <c r="G311"/>
    </row>
    <row r="312" spans="1:7">
      <c r="D312" s="1273"/>
      <c r="E312" s="1273"/>
      <c r="F312" s="1273"/>
      <c r="G312"/>
    </row>
    <row r="313" spans="1:7">
      <c r="D313" s="474"/>
      <c r="E313" s="474"/>
      <c r="F313" s="474"/>
      <c r="G313"/>
    </row>
    <row r="314" spans="1:7" ht="13.5" thickBot="1">
      <c r="D314" s="1296" t="s">
        <v>997</v>
      </c>
      <c r="E314" s="1296"/>
      <c r="F314" s="1296"/>
      <c r="G314"/>
    </row>
    <row r="315" spans="1:7" ht="13.5" thickTop="1">
      <c r="D315" s="1297" t="s">
        <v>1221</v>
      </c>
      <c r="E315" s="1297"/>
      <c r="F315" s="1297"/>
      <c r="G315"/>
    </row>
    <row r="316" spans="1:7">
      <c r="A316" s="218"/>
      <c r="B316" s="218"/>
      <c r="C316" s="218"/>
      <c r="D316" s="220"/>
      <c r="E316" s="220"/>
      <c r="F316" s="35"/>
      <c r="G316"/>
    </row>
    <row r="317" spans="1:7" ht="14.25">
      <c r="A317" s="176"/>
      <c r="B317" s="468" t="s">
        <v>308</v>
      </c>
      <c r="C317" s="218"/>
      <c r="D317" s="1286" t="s">
        <v>1222</v>
      </c>
      <c r="E317" s="1286"/>
      <c r="F317" s="1286"/>
      <c r="G317"/>
    </row>
    <row r="318" spans="1:7">
      <c r="A318" s="218"/>
      <c r="B318" s="218"/>
      <c r="C318" s="218"/>
      <c r="D318" s="220"/>
      <c r="E318" s="220"/>
      <c r="F318" s="35"/>
      <c r="G318"/>
    </row>
    <row r="319" spans="1:7">
      <c r="A319" s="218"/>
      <c r="B319" s="468" t="s">
        <v>308</v>
      </c>
      <c r="C319" s="218"/>
      <c r="D319" s="1282" t="s">
        <v>1223</v>
      </c>
      <c r="E319" s="1282"/>
      <c r="F319" s="1282"/>
      <c r="G319"/>
    </row>
    <row r="320" spans="1:7">
      <c r="A320" s="218"/>
      <c r="B320" s="218"/>
      <c r="C320" s="218"/>
      <c r="D320" s="1282"/>
      <c r="E320" s="1282"/>
      <c r="F320" s="1282"/>
      <c r="G320"/>
    </row>
    <row r="321" spans="1:7">
      <c r="A321" s="218"/>
      <c r="B321" s="218"/>
      <c r="C321" s="218"/>
      <c r="D321" s="1282"/>
      <c r="E321" s="1282"/>
      <c r="F321" s="1282"/>
      <c r="G321"/>
    </row>
    <row r="322" spans="1:7">
      <c r="A322" s="218"/>
      <c r="B322" s="218"/>
      <c r="C322" s="218"/>
      <c r="D322" s="1282"/>
      <c r="E322" s="1282"/>
      <c r="F322" s="1282"/>
      <c r="G322"/>
    </row>
    <row r="323" spans="1:7">
      <c r="A323" s="218"/>
      <c r="B323" s="218"/>
      <c r="C323" s="218"/>
      <c r="D323" s="1282"/>
      <c r="E323" s="1282"/>
      <c r="F323" s="1282"/>
      <c r="G323"/>
    </row>
    <row r="324" spans="1:7">
      <c r="A324" s="218"/>
      <c r="B324" s="218"/>
      <c r="C324" s="218"/>
      <c r="D324" s="1282"/>
      <c r="E324" s="1282"/>
      <c r="F324" s="1282"/>
      <c r="G324"/>
    </row>
    <row r="325" spans="1:7">
      <c r="A325" s="218"/>
      <c r="B325" s="218"/>
      <c r="C325" s="218"/>
      <c r="D325" s="1282"/>
      <c r="E325" s="1282"/>
      <c r="F325" s="1282"/>
      <c r="G325"/>
    </row>
    <row r="326" spans="1:7">
      <c r="A326" s="218"/>
      <c r="B326" s="218"/>
      <c r="C326" s="218"/>
      <c r="D326" s="1282"/>
      <c r="E326" s="1282"/>
      <c r="F326" s="1282"/>
      <c r="G326"/>
    </row>
    <row r="327" spans="1:7">
      <c r="A327" s="218"/>
      <c r="B327" s="218"/>
      <c r="C327" s="218"/>
      <c r="D327" s="1282"/>
      <c r="E327" s="1282"/>
      <c r="F327" s="1282"/>
      <c r="G327"/>
    </row>
    <row r="328" spans="1:7">
      <c r="A328" s="218"/>
      <c r="B328" s="218"/>
      <c r="C328" s="218"/>
      <c r="D328" s="1282"/>
      <c r="E328" s="1282"/>
      <c r="F328" s="1282"/>
      <c r="G328"/>
    </row>
    <row r="329" spans="1:7">
      <c r="A329" s="218"/>
      <c r="B329" s="218"/>
      <c r="C329" s="218"/>
      <c r="D329" s="1282"/>
      <c r="E329" s="1282"/>
      <c r="F329" s="1282"/>
      <c r="G329"/>
    </row>
    <row r="330" spans="1:7">
      <c r="A330" s="218"/>
      <c r="B330" s="218"/>
      <c r="C330" s="218"/>
      <c r="D330"/>
      <c r="E330" s="220"/>
      <c r="F330" s="35"/>
      <c r="G330"/>
    </row>
    <row r="331" spans="1:7" ht="14.25">
      <c r="A331" s="176"/>
      <c r="B331" s="468" t="s">
        <v>308</v>
      </c>
      <c r="C331" s="218"/>
      <c r="D331" s="1282" t="s">
        <v>1224</v>
      </c>
      <c r="E331" s="1282"/>
      <c r="F331" s="1282"/>
      <c r="G331"/>
    </row>
    <row r="332" spans="1:7">
      <c r="A332" s="218"/>
      <c r="B332" s="218"/>
      <c r="C332" s="218"/>
      <c r="D332" s="1282"/>
      <c r="E332" s="1282"/>
      <c r="F332" s="1282"/>
      <c r="G332"/>
    </row>
    <row r="333" spans="1:7">
      <c r="A333" s="218"/>
      <c r="B333" s="218"/>
      <c r="C333" s="218"/>
      <c r="D333" s="1282"/>
      <c r="E333" s="1282"/>
      <c r="F333" s="1282"/>
      <c r="G333"/>
    </row>
    <row r="334" spans="1:7">
      <c r="A334" s="218"/>
      <c r="B334" s="218"/>
      <c r="C334" s="218"/>
      <c r="D334" s="1282"/>
      <c r="E334" s="1282"/>
      <c r="F334" s="1282"/>
      <c r="G334"/>
    </row>
    <row r="335" spans="1:7">
      <c r="A335" s="218"/>
      <c r="B335" s="218"/>
      <c r="C335" s="218"/>
      <c r="D335" s="220"/>
      <c r="E335" s="220"/>
      <c r="F335" s="35"/>
      <c r="G335"/>
    </row>
    <row r="336" spans="1:7">
      <c r="A336" s="218"/>
      <c r="B336" s="218"/>
      <c r="C336" s="218"/>
      <c r="D336" s="1282" t="s">
        <v>1225</v>
      </c>
      <c r="E336" s="1282"/>
      <c r="F336" s="1282"/>
      <c r="G336"/>
    </row>
    <row r="337" spans="1:7">
      <c r="A337" s="218"/>
      <c r="B337" s="218"/>
      <c r="C337" s="218"/>
      <c r="D337" s="1282"/>
      <c r="E337" s="1282"/>
      <c r="F337" s="1282"/>
      <c r="G337"/>
    </row>
    <row r="338" spans="1:7">
      <c r="A338" s="218"/>
      <c r="B338" s="218"/>
      <c r="C338" s="218"/>
      <c r="D338" s="1282"/>
      <c r="E338" s="1282"/>
      <c r="F338" s="1282"/>
      <c r="G338"/>
    </row>
    <row r="339" spans="1:7">
      <c r="A339" s="218"/>
      <c r="B339" s="218"/>
      <c r="C339" s="218"/>
      <c r="D339" s="1282"/>
      <c r="E339" s="1282"/>
      <c r="F339" s="1282"/>
      <c r="G339"/>
    </row>
    <row r="340" spans="1:7" ht="18" customHeight="1">
      <c r="A340" s="218"/>
      <c r="B340" s="218"/>
      <c r="C340" s="218"/>
      <c r="D340" s="1282"/>
      <c r="E340" s="1282"/>
      <c r="F340" s="1282"/>
      <c r="G340"/>
    </row>
    <row r="341" spans="1:7">
      <c r="A341" s="218"/>
      <c r="B341" s="218"/>
      <c r="C341" s="218"/>
      <c r="D341" s="1282"/>
      <c r="E341" s="1282"/>
      <c r="F341" s="1282"/>
      <c r="G341"/>
    </row>
    <row r="342" spans="1:7">
      <c r="A342" s="218"/>
      <c r="B342" s="218"/>
      <c r="C342" s="218"/>
      <c r="D342" s="1282"/>
      <c r="E342" s="1282"/>
      <c r="F342" s="1282"/>
      <c r="G342"/>
    </row>
    <row r="343" spans="1:7">
      <c r="A343" s="218"/>
      <c r="B343" s="218"/>
      <c r="C343" s="218"/>
      <c r="D343" s="1282"/>
      <c r="E343" s="1282"/>
      <c r="F343" s="1282"/>
      <c r="G343"/>
    </row>
    <row r="344" spans="1:7" ht="8.25" customHeight="1">
      <c r="A344" s="218"/>
      <c r="B344" s="218"/>
      <c r="C344" s="218"/>
      <c r="D344" s="1282"/>
      <c r="E344" s="1282"/>
      <c r="F344" s="1282"/>
      <c r="G344"/>
    </row>
    <row r="345" spans="1:7" ht="13.15" customHeight="1">
      <c r="A345" s="218"/>
      <c r="B345" s="218"/>
      <c r="C345" s="218"/>
      <c r="D345" s="1282" t="s">
        <v>1226</v>
      </c>
      <c r="E345" s="1282"/>
      <c r="F345" s="1282"/>
      <c r="G345"/>
    </row>
    <row r="346" spans="1:7">
      <c r="A346" s="218"/>
      <c r="B346" s="218"/>
      <c r="C346" s="218"/>
      <c r="D346" s="1282"/>
      <c r="E346" s="1282"/>
      <c r="F346" s="1282"/>
      <c r="G346"/>
    </row>
    <row r="347" spans="1:7">
      <c r="A347" s="218"/>
      <c r="B347" s="218"/>
      <c r="C347" s="218"/>
      <c r="D347" s="1282"/>
      <c r="E347" s="1282"/>
      <c r="F347" s="1282"/>
      <c r="G347"/>
    </row>
    <row r="348" spans="1:7">
      <c r="A348" s="218"/>
      <c r="B348" s="218"/>
      <c r="C348" s="218"/>
      <c r="D348" s="1282"/>
      <c r="E348" s="1282"/>
      <c r="F348" s="1282"/>
      <c r="G348"/>
    </row>
    <row r="349" spans="1:7">
      <c r="A349" s="218"/>
      <c r="B349" s="218"/>
      <c r="C349" s="218"/>
      <c r="D349" s="1282"/>
      <c r="E349" s="1282"/>
      <c r="F349" s="1282"/>
      <c r="G349"/>
    </row>
    <row r="350" spans="1:7">
      <c r="A350" s="218"/>
      <c r="B350" s="218"/>
      <c r="C350" s="218"/>
      <c r="D350" s="1282"/>
      <c r="E350" s="1282"/>
      <c r="F350" s="1282"/>
      <c r="G350"/>
    </row>
    <row r="351" spans="1:7">
      <c r="A351" s="218"/>
      <c r="B351" s="218"/>
      <c r="C351" s="218"/>
      <c r="D351" s="1282"/>
      <c r="E351" s="1282"/>
      <c r="F351" s="1282"/>
      <c r="G351"/>
    </row>
    <row r="352" spans="1:7">
      <c r="A352" s="218"/>
      <c r="B352" s="218"/>
      <c r="C352" s="218"/>
      <c r="D352" s="1282"/>
      <c r="E352" s="1282"/>
      <c r="F352" s="1282"/>
      <c r="G352"/>
    </row>
    <row r="353" spans="1:7">
      <c r="A353" s="218"/>
      <c r="B353" s="218"/>
      <c r="C353" s="218"/>
      <c r="D353" s="1282"/>
      <c r="E353" s="1282"/>
      <c r="F353" s="1282"/>
      <c r="G353"/>
    </row>
    <row r="354" spans="1:7">
      <c r="A354" s="218"/>
      <c r="B354" s="218"/>
      <c r="C354" s="218"/>
      <c r="D354" s="1282"/>
      <c r="E354" s="1282"/>
      <c r="F354" s="1282"/>
      <c r="G354"/>
    </row>
    <row r="355" spans="1:7">
      <c r="A355" s="218"/>
      <c r="B355" s="218"/>
      <c r="C355" s="218"/>
      <c r="D355" s="1282"/>
      <c r="E355" s="1282"/>
      <c r="F355" s="1282"/>
      <c r="G355"/>
    </row>
    <row r="356" spans="1:7">
      <c r="A356" s="218"/>
      <c r="B356" s="218"/>
      <c r="C356" s="218"/>
      <c r="D356" s="1282"/>
      <c r="E356" s="1282"/>
      <c r="F356" s="1282"/>
      <c r="G356"/>
    </row>
    <row r="357" spans="1:7">
      <c r="A357" s="218"/>
      <c r="B357" s="218"/>
      <c r="C357" s="347"/>
      <c r="D357" s="1282"/>
      <c r="E357" s="1282"/>
      <c r="F357" s="1282"/>
      <c r="G357"/>
    </row>
    <row r="358" spans="1:7">
      <c r="A358" s="218"/>
      <c r="B358" s="218"/>
      <c r="C358" s="347"/>
      <c r="D358" s="1282"/>
      <c r="E358" s="1282"/>
      <c r="F358" s="1282"/>
      <c r="G358"/>
    </row>
    <row r="359" spans="1:7">
      <c r="A359" s="218"/>
      <c r="B359" s="218"/>
      <c r="C359" s="218"/>
      <c r="D359" s="1282"/>
      <c r="E359" s="1282"/>
      <c r="F359" s="1282"/>
      <c r="G359"/>
    </row>
    <row r="360" spans="1:7">
      <c r="A360" s="218"/>
      <c r="B360" s="218"/>
      <c r="C360" s="347"/>
      <c r="D360" s="1282"/>
      <c r="E360" s="1282"/>
      <c r="F360" s="1282"/>
      <c r="G360"/>
    </row>
    <row r="361" spans="1:7">
      <c r="A361" s="218"/>
      <c r="B361" s="218"/>
      <c r="C361" s="347"/>
      <c r="D361" s="1282"/>
      <c r="E361" s="1282"/>
      <c r="F361" s="1282"/>
      <c r="G361"/>
    </row>
    <row r="362" spans="1:7">
      <c r="A362" s="218"/>
      <c r="B362" s="218"/>
      <c r="C362" s="347"/>
      <c r="D362" s="1282"/>
      <c r="E362" s="1282"/>
      <c r="F362" s="1282"/>
      <c r="G362"/>
    </row>
    <row r="363" spans="1:7">
      <c r="A363" s="218"/>
      <c r="B363" s="218"/>
      <c r="C363" s="218"/>
      <c r="D363" s="220"/>
      <c r="E363" s="220"/>
      <c r="F363" s="35"/>
      <c r="G363"/>
    </row>
    <row r="364" spans="1:7">
      <c r="A364" s="218"/>
      <c r="B364" s="468" t="s">
        <v>308</v>
      </c>
      <c r="C364" s="218"/>
      <c r="D364" s="1282" t="s">
        <v>1227</v>
      </c>
      <c r="E364" s="1282"/>
      <c r="F364" s="1282"/>
      <c r="G364"/>
    </row>
    <row r="365" spans="1:7">
      <c r="A365" s="218"/>
      <c r="B365" s="218"/>
      <c r="C365" s="218"/>
      <c r="D365" s="1282"/>
      <c r="E365" s="1282"/>
      <c r="F365" s="1282"/>
      <c r="G365"/>
    </row>
    <row r="366" spans="1:7">
      <c r="A366" s="218"/>
      <c r="B366" s="218"/>
      <c r="C366" s="218"/>
      <c r="D366" s="220"/>
      <c r="E366" s="220"/>
      <c r="F366" s="35"/>
      <c r="G366"/>
    </row>
    <row r="367" spans="1:7" ht="14.25">
      <c r="A367" s="176"/>
      <c r="B367" s="468" t="s">
        <v>308</v>
      </c>
      <c r="C367" s="218"/>
      <c r="D367" s="1282" t="s">
        <v>1228</v>
      </c>
      <c r="E367" s="1282"/>
      <c r="F367" s="1282"/>
      <c r="G367"/>
    </row>
    <row r="368" spans="1:7" ht="14.25">
      <c r="A368" s="346"/>
      <c r="B368" s="346"/>
      <c r="C368" s="218"/>
      <c r="D368" s="1282"/>
      <c r="E368" s="1282"/>
      <c r="F368" s="1282"/>
      <c r="G368"/>
    </row>
    <row r="369" spans="1:7" ht="14.25">
      <c r="A369" s="346"/>
      <c r="B369" s="346"/>
      <c r="C369" s="218"/>
      <c r="D369" s="1282"/>
      <c r="E369" s="1282"/>
      <c r="F369" s="1282"/>
      <c r="G369"/>
    </row>
    <row r="370" spans="1:7" ht="14.25">
      <c r="A370" s="346"/>
      <c r="B370" s="346"/>
      <c r="C370" s="218"/>
      <c r="D370" s="1282"/>
      <c r="E370" s="1282"/>
      <c r="F370" s="1282"/>
      <c r="G370"/>
    </row>
    <row r="371" spans="1:7" ht="14.25">
      <c r="A371" s="346"/>
      <c r="B371" s="346"/>
      <c r="C371" s="218"/>
      <c r="D371" s="1282"/>
      <c r="E371" s="1282"/>
      <c r="F371" s="1282"/>
      <c r="G371"/>
    </row>
    <row r="372" spans="1:7">
      <c r="D372" s="35"/>
      <c r="E372" s="35"/>
      <c r="F372" s="35"/>
      <c r="G372"/>
    </row>
    <row r="373" spans="1:7" ht="14.25">
      <c r="A373" s="176"/>
      <c r="B373" s="468" t="s">
        <v>308</v>
      </c>
      <c r="C373" s="179"/>
      <c r="D373" s="1273" t="s">
        <v>1229</v>
      </c>
      <c r="E373" s="1273"/>
      <c r="F373" s="1273"/>
      <c r="G373"/>
    </row>
    <row r="374" spans="1:7" ht="14.25">
      <c r="A374" s="176"/>
      <c r="B374" s="176"/>
      <c r="D374" s="1273"/>
      <c r="E374" s="1273"/>
      <c r="F374" s="1273"/>
      <c r="G374"/>
    </row>
    <row r="375" spans="1:7">
      <c r="D375" s="1273"/>
      <c r="E375" s="1273"/>
      <c r="F375" s="1273"/>
      <c r="G375"/>
    </row>
    <row r="376" spans="1:7">
      <c r="D376" s="1273"/>
      <c r="E376" s="1273"/>
      <c r="F376" s="1273"/>
      <c r="G376"/>
    </row>
    <row r="377" spans="1:7">
      <c r="D377" s="1273"/>
      <c r="E377" s="1273"/>
      <c r="F377" s="1273"/>
      <c r="G377"/>
    </row>
    <row r="378" spans="1:7">
      <c r="D378" s="1273"/>
      <c r="E378" s="1273"/>
      <c r="F378" s="1273"/>
      <c r="G378"/>
    </row>
    <row r="379" spans="1:7">
      <c r="D379" s="1273"/>
      <c r="E379" s="1273"/>
      <c r="F379" s="1273"/>
      <c r="G379"/>
    </row>
    <row r="380" spans="1:7">
      <c r="D380" s="1273"/>
      <c r="E380" s="1273"/>
      <c r="F380" s="1273"/>
      <c r="G380"/>
    </row>
    <row r="381" spans="1:7">
      <c r="D381" s="1273"/>
      <c r="E381" s="1273"/>
      <c r="F381" s="1273"/>
      <c r="G381"/>
    </row>
    <row r="382" spans="1:7">
      <c r="D382" s="1273"/>
      <c r="E382" s="1273"/>
      <c r="F382" s="1273"/>
      <c r="G382"/>
    </row>
    <row r="383" spans="1:7">
      <c r="D383" s="1273"/>
      <c r="E383" s="1273"/>
      <c r="F383" s="1273"/>
      <c r="G383"/>
    </row>
    <row r="384" spans="1:7">
      <c r="D384" s="1273"/>
      <c r="E384" s="1273"/>
      <c r="F384" s="1273"/>
      <c r="G384"/>
    </row>
    <row r="385" spans="1:7">
      <c r="D385" s="1273"/>
      <c r="E385" s="1273"/>
      <c r="F385" s="1273"/>
      <c r="G385"/>
    </row>
    <row r="386" spans="1:7">
      <c r="A386"/>
      <c r="B386"/>
      <c r="C386"/>
      <c r="D386" s="1273"/>
      <c r="E386" s="1273"/>
      <c r="F386" s="1273"/>
      <c r="G386"/>
    </row>
    <row r="387" spans="1:7">
      <c r="A387"/>
      <c r="B387"/>
      <c r="C387"/>
      <c r="D387" s="1273"/>
      <c r="E387" s="1273"/>
      <c r="F387" s="1273"/>
      <c r="G387"/>
    </row>
    <row r="388" spans="1:7">
      <c r="A388"/>
      <c r="B388"/>
      <c r="C388"/>
      <c r="D388" s="1273"/>
      <c r="E388" s="1273"/>
      <c r="F388" s="1273"/>
      <c r="G388"/>
    </row>
    <row r="389" spans="1:7">
      <c r="A389"/>
      <c r="B389"/>
      <c r="C389"/>
      <c r="D389" s="1273"/>
      <c r="E389" s="1273"/>
      <c r="F389" s="1273"/>
      <c r="G389"/>
    </row>
    <row r="390" spans="1:7">
      <c r="A390"/>
      <c r="B390"/>
      <c r="C390"/>
      <c r="D390" s="1273"/>
      <c r="E390" s="1273"/>
      <c r="F390" s="1273"/>
      <c r="G390"/>
    </row>
    <row r="391" spans="1:7">
      <c r="A391"/>
      <c r="B391"/>
      <c r="C391"/>
      <c r="D391" s="1273"/>
      <c r="E391" s="1273"/>
      <c r="F391" s="1273"/>
      <c r="G391"/>
    </row>
    <row r="392" spans="1:7">
      <c r="A392"/>
      <c r="B392"/>
      <c r="C392"/>
      <c r="D392" s="1273"/>
      <c r="E392" s="1273"/>
      <c r="F392" s="1273"/>
      <c r="G392"/>
    </row>
    <row r="393" spans="1:7">
      <c r="A393"/>
      <c r="B393"/>
      <c r="C393"/>
      <c r="D393" s="1273"/>
      <c r="E393" s="1273"/>
      <c r="F393" s="1273"/>
      <c r="G393"/>
    </row>
    <row r="394" spans="1:7">
      <c r="A394"/>
      <c r="B394"/>
      <c r="C394"/>
      <c r="D394" s="1273"/>
      <c r="E394" s="1273"/>
      <c r="F394" s="1273"/>
      <c r="G394"/>
    </row>
    <row r="395" spans="1:7">
      <c r="A395"/>
      <c r="B395"/>
      <c r="C395"/>
      <c r="D395" s="1273"/>
      <c r="E395" s="1273"/>
      <c r="F395" s="1273"/>
      <c r="G395"/>
    </row>
    <row r="396" spans="1:7">
      <c r="A396"/>
      <c r="B396"/>
      <c r="C396"/>
      <c r="D396" s="1273"/>
      <c r="E396" s="1273"/>
      <c r="F396" s="1273"/>
      <c r="G396"/>
    </row>
    <row r="397" spans="1:7">
      <c r="A397"/>
      <c r="B397"/>
      <c r="C397"/>
      <c r="D397" s="1273"/>
      <c r="E397" s="1273"/>
      <c r="F397" s="1273"/>
      <c r="G397"/>
    </row>
    <row r="398" spans="1:7">
      <c r="A398"/>
      <c r="B398"/>
      <c r="C398"/>
      <c r="D398" s="1273"/>
      <c r="E398" s="1273"/>
      <c r="F398" s="1273"/>
      <c r="G398"/>
    </row>
    <row r="399" spans="1:7">
      <c r="A399"/>
      <c r="B399"/>
      <c r="C399"/>
      <c r="D399" s="1273"/>
      <c r="E399" s="1273"/>
      <c r="F399" s="1273"/>
      <c r="G399"/>
    </row>
    <row r="400" spans="1:7">
      <c r="A400"/>
      <c r="B400"/>
      <c r="C400"/>
      <c r="D400" s="1273"/>
      <c r="E400" s="1273"/>
      <c r="F400" s="1273"/>
      <c r="G400"/>
    </row>
    <row r="401" spans="1:7">
      <c r="A401"/>
      <c r="B401"/>
      <c r="C401"/>
      <c r="D401" s="1273"/>
      <c r="E401" s="1273"/>
      <c r="F401" s="1273"/>
      <c r="G401"/>
    </row>
    <row r="402" spans="1:7">
      <c r="D402" s="1273"/>
      <c r="E402" s="1273"/>
      <c r="F402" s="1273"/>
    </row>
    <row r="403" spans="1:7" ht="40.700000000000003" customHeight="1">
      <c r="D403" s="1273"/>
      <c r="E403" s="1273"/>
      <c r="F403" s="1273"/>
    </row>
    <row r="404" spans="1:7">
      <c r="D404" s="35"/>
      <c r="E404" s="35"/>
      <c r="F404" s="35"/>
    </row>
    <row r="405" spans="1:7" ht="14.25">
      <c r="A405" s="176"/>
      <c r="B405" s="468" t="s">
        <v>308</v>
      </c>
      <c r="C405" s="179"/>
      <c r="D405" s="1284" t="s">
        <v>1230</v>
      </c>
      <c r="E405" s="1284"/>
      <c r="F405" s="1284"/>
    </row>
    <row r="406" spans="1:7">
      <c r="D406" s="1294" t="s">
        <v>1005</v>
      </c>
      <c r="E406" s="1294"/>
      <c r="F406" s="1294"/>
    </row>
    <row r="407" spans="1:7">
      <c r="D407" s="1273" t="s">
        <v>1231</v>
      </c>
      <c r="E407" s="1273"/>
      <c r="F407" s="1273"/>
    </row>
    <row r="408" spans="1:7">
      <c r="D408" s="1273"/>
      <c r="E408" s="1273"/>
      <c r="F408" s="1273"/>
    </row>
    <row r="409" spans="1:7">
      <c r="D409" s="1273"/>
      <c r="E409" s="1273"/>
      <c r="F409" s="1273"/>
    </row>
    <row r="410" spans="1:7">
      <c r="D410" s="1273"/>
      <c r="E410" s="1273"/>
      <c r="F410" s="1273"/>
    </row>
    <row r="411" spans="1:7">
      <c r="D411" s="35"/>
      <c r="E411" s="35"/>
      <c r="F411" s="35"/>
      <c r="G411"/>
    </row>
    <row r="412" spans="1:7" ht="14.25">
      <c r="A412" s="176"/>
      <c r="B412" s="468" t="s">
        <v>308</v>
      </c>
      <c r="C412" s="179"/>
      <c r="D412" s="1273" t="s">
        <v>1232</v>
      </c>
      <c r="E412" s="1273"/>
      <c r="F412" s="1273"/>
      <c r="G412"/>
    </row>
    <row r="413" spans="1:7">
      <c r="D413" s="1273"/>
      <c r="E413" s="1273"/>
      <c r="F413" s="1273"/>
      <c r="G413"/>
    </row>
    <row r="414" spans="1:7">
      <c r="D414" s="1273"/>
      <c r="E414" s="1273"/>
      <c r="F414" s="1273"/>
      <c r="G414"/>
    </row>
    <row r="415" spans="1:7">
      <c r="D415" s="474"/>
      <c r="E415" s="474"/>
      <c r="F415" s="474"/>
      <c r="G415"/>
    </row>
    <row r="416" spans="1:7" ht="14.25">
      <c r="B416" s="468" t="s">
        <v>308</v>
      </c>
      <c r="C416" s="176"/>
      <c r="D416" s="1273" t="s">
        <v>1233</v>
      </c>
      <c r="E416" s="1273"/>
      <c r="F416" s="1273"/>
      <c r="G416"/>
    </row>
    <row r="417" spans="1:7">
      <c r="D417" s="1273"/>
      <c r="E417" s="1273"/>
      <c r="F417" s="1273"/>
      <c r="G417"/>
    </row>
    <row r="418" spans="1:7">
      <c r="D418" s="35"/>
      <c r="E418" s="35"/>
      <c r="F418" s="35"/>
      <c r="G418"/>
    </row>
    <row r="419" spans="1:7" ht="14.25">
      <c r="B419" s="468" t="s">
        <v>308</v>
      </c>
      <c r="C419" s="176"/>
      <c r="D419" s="1273" t="s">
        <v>1234</v>
      </c>
      <c r="E419" s="1273"/>
      <c r="F419" s="1273"/>
      <c r="G419"/>
    </row>
    <row r="420" spans="1:7">
      <c r="D420" s="1273"/>
      <c r="E420" s="1273"/>
      <c r="F420" s="1273"/>
      <c r="G420"/>
    </row>
    <row r="421" spans="1:7">
      <c r="D421" s="1273"/>
      <c r="E421" s="1273"/>
      <c r="F421" s="1273"/>
      <c r="G421"/>
    </row>
    <row r="422" spans="1:7">
      <c r="D422" s="1273"/>
      <c r="E422" s="1273"/>
      <c r="F422" s="1273"/>
      <c r="G422"/>
    </row>
    <row r="423" spans="1:7">
      <c r="B423" s="468" t="s">
        <v>308</v>
      </c>
      <c r="D423" s="1273"/>
      <c r="E423" s="1273"/>
      <c r="F423" s="1273"/>
      <c r="G423"/>
    </row>
    <row r="424" spans="1:7">
      <c r="A424"/>
      <c r="B424"/>
      <c r="C424"/>
      <c r="D424" s="1273"/>
      <c r="E424" s="1273"/>
      <c r="F424" s="1273"/>
      <c r="G424"/>
    </row>
    <row r="425" spans="1:7">
      <c r="A425"/>
      <c r="C425"/>
      <c r="D425" s="1273"/>
      <c r="E425" s="1273"/>
      <c r="F425" s="1273"/>
      <c r="G425"/>
    </row>
    <row r="426" spans="1:7">
      <c r="A426"/>
      <c r="B426" s="468" t="s">
        <v>308</v>
      </c>
      <c r="C426"/>
      <c r="D426" s="1273"/>
      <c r="E426" s="1273"/>
      <c r="F426" s="1273"/>
      <c r="G426"/>
    </row>
    <row r="427" spans="1:7">
      <c r="A427"/>
      <c r="B427"/>
      <c r="C427"/>
      <c r="D427" s="1273"/>
      <c r="E427" s="1273"/>
      <c r="F427" s="1273"/>
      <c r="G427"/>
    </row>
    <row r="428" spans="1:7">
      <c r="A428"/>
      <c r="C428"/>
      <c r="D428" s="1273"/>
      <c r="E428" s="1273"/>
      <c r="F428" s="1273"/>
      <c r="G428"/>
    </row>
    <row r="429" spans="1:7">
      <c r="A429"/>
      <c r="C429"/>
      <c r="D429" s="1273"/>
      <c r="E429" s="1273"/>
      <c r="F429" s="1273"/>
      <c r="G429"/>
    </row>
    <row r="430" spans="1:7">
      <c r="A430"/>
      <c r="B430" s="468" t="s">
        <v>308</v>
      </c>
      <c r="C430"/>
      <c r="D430" s="1273"/>
      <c r="E430" s="1273"/>
      <c r="F430" s="1273"/>
      <c r="G430"/>
    </row>
    <row r="431" spans="1:7">
      <c r="A431"/>
      <c r="B431"/>
      <c r="C431"/>
      <c r="D431" s="1273"/>
      <c r="E431" s="1273"/>
      <c r="F431" s="1273"/>
      <c r="G431"/>
    </row>
    <row r="432" spans="1:7">
      <c r="A432"/>
      <c r="B432" s="468" t="s">
        <v>308</v>
      </c>
      <c r="C432"/>
      <c r="D432" s="1273"/>
      <c r="E432" s="1273"/>
      <c r="F432" s="1273"/>
      <c r="G432"/>
    </row>
    <row r="433" spans="1:7">
      <c r="A433"/>
      <c r="B433"/>
      <c r="C433"/>
      <c r="D433" s="474"/>
      <c r="E433" s="474"/>
      <c r="F433" s="474"/>
      <c r="G433"/>
    </row>
    <row r="434" spans="1:7">
      <c r="A434"/>
      <c r="B434" s="468" t="s">
        <v>308</v>
      </c>
      <c r="C434"/>
      <c r="D434" s="1273" t="s">
        <v>1235</v>
      </c>
      <c r="E434" s="1273"/>
      <c r="F434" s="1273"/>
      <c r="G434"/>
    </row>
    <row r="435" spans="1:7">
      <c r="A435"/>
      <c r="B435"/>
      <c r="C435"/>
      <c r="D435" s="1273"/>
      <c r="E435" s="1273"/>
      <c r="F435" s="1273"/>
      <c r="G435"/>
    </row>
    <row r="436" spans="1:7">
      <c r="A436"/>
      <c r="B436"/>
      <c r="C436"/>
      <c r="D436" s="1273"/>
      <c r="E436" s="1273"/>
      <c r="F436" s="1273"/>
      <c r="G436"/>
    </row>
    <row r="437" spans="1:7">
      <c r="A437"/>
      <c r="B437"/>
      <c r="C437"/>
      <c r="D437" s="1273"/>
      <c r="E437" s="1273"/>
      <c r="F437" s="1273"/>
      <c r="G437"/>
    </row>
    <row r="438" spans="1:7">
      <c r="D438" s="1273"/>
      <c r="E438" s="1273"/>
      <c r="F438" s="1273"/>
    </row>
    <row r="439" spans="1:7">
      <c r="D439" s="35"/>
      <c r="E439" s="35"/>
      <c r="F439" s="35"/>
    </row>
    <row r="440" spans="1:7">
      <c r="B440" s="468" t="s">
        <v>308</v>
      </c>
      <c r="D440" s="1284" t="s">
        <v>1236</v>
      </c>
      <c r="E440" s="1284"/>
      <c r="F440" s="1284"/>
    </row>
    <row r="441" spans="1:7">
      <c r="A441" s="35"/>
      <c r="B441" s="35"/>
    </row>
    <row r="442" spans="1:7">
      <c r="A442" s="1288" t="s">
        <v>1077</v>
      </c>
      <c r="B442" s="1288"/>
      <c r="C442" s="1288"/>
      <c r="D442" s="1288"/>
      <c r="E442" s="1288"/>
      <c r="F442" s="1288"/>
      <c r="G442" s="1288"/>
    </row>
    <row r="443" spans="1:7">
      <c r="A443" s="35"/>
      <c r="B443" s="35"/>
    </row>
    <row r="444" spans="1:7">
      <c r="D444" s="1285" t="s">
        <v>895</v>
      </c>
      <c r="E444" s="1285"/>
      <c r="F444" s="1285"/>
    </row>
    <row r="445" spans="1:7" ht="14.25">
      <c r="A445" s="176"/>
      <c r="B445" s="176"/>
      <c r="D445" s="1286" t="s">
        <v>1237</v>
      </c>
      <c r="E445" s="1286"/>
      <c r="F445" s="1286"/>
    </row>
    <row r="446" spans="1:7" ht="14.25">
      <c r="A446" s="176"/>
      <c r="B446" s="176"/>
      <c r="D446" s="481"/>
      <c r="E446" s="3"/>
      <c r="F446" s="3"/>
    </row>
    <row r="447" spans="1:7" ht="14.25">
      <c r="A447" s="176"/>
      <c r="B447" s="468" t="s">
        <v>308</v>
      </c>
      <c r="D447" s="1282" t="s">
        <v>1238</v>
      </c>
      <c r="E447" s="1282"/>
      <c r="F447" s="1282"/>
    </row>
    <row r="448" spans="1:7" ht="14.25">
      <c r="A448" s="176"/>
      <c r="B448" s="176"/>
      <c r="D448" s="1282"/>
      <c r="E448" s="1282"/>
      <c r="F448" s="1282"/>
    </row>
    <row r="449" spans="1:7" ht="14.25">
      <c r="A449" s="176"/>
      <c r="B449" s="176"/>
      <c r="D449" s="118"/>
      <c r="E449" s="3"/>
      <c r="F449" s="3"/>
    </row>
    <row r="450" spans="1:7">
      <c r="B450" s="468" t="s">
        <v>308</v>
      </c>
      <c r="D450" s="1287" t="s">
        <v>1239</v>
      </c>
      <c r="E450" s="1287"/>
      <c r="F450" s="1287"/>
    </row>
    <row r="451" spans="1:7" ht="14.25">
      <c r="A451" s="176"/>
      <c r="D451" s="1287"/>
      <c r="E451" s="1287"/>
      <c r="F451" s="1287"/>
    </row>
    <row r="452" spans="1:7" ht="14.25">
      <c r="A452" s="176"/>
      <c r="B452" s="176"/>
      <c r="D452" s="1287"/>
      <c r="E452" s="1287"/>
      <c r="F452" s="1287"/>
    </row>
    <row r="453" spans="1:7" ht="14.25">
      <c r="A453" s="176"/>
      <c r="B453" s="176"/>
      <c r="D453" s="1287"/>
      <c r="E453" s="1287"/>
      <c r="F453" s="1287"/>
    </row>
    <row r="454" spans="1:7">
      <c r="D454" s="3"/>
      <c r="E454" s="3"/>
      <c r="F454" s="3"/>
      <c r="G454"/>
    </row>
    <row r="455" spans="1:7" ht="14.25">
      <c r="A455" s="176"/>
      <c r="B455" s="468" t="s">
        <v>308</v>
      </c>
      <c r="D455" s="1273" t="s">
        <v>1240</v>
      </c>
      <c r="E455" s="1273"/>
      <c r="F455" s="1273"/>
      <c r="G455"/>
    </row>
    <row r="456" spans="1:7" ht="14.25">
      <c r="A456" s="176"/>
      <c r="B456" s="176"/>
      <c r="D456" s="1273"/>
      <c r="E456" s="1273"/>
      <c r="F456" s="1273"/>
      <c r="G456"/>
    </row>
    <row r="457" spans="1:7" ht="14.25">
      <c r="A457" s="176"/>
      <c r="D457" s="1273"/>
      <c r="E457" s="1273"/>
      <c r="F457" s="1273"/>
      <c r="G457"/>
    </row>
    <row r="458" spans="1:7" ht="14.25">
      <c r="A458" s="176"/>
      <c r="B458" s="176"/>
      <c r="D458" s="3"/>
      <c r="E458" s="3"/>
      <c r="F458" s="3"/>
      <c r="G458"/>
    </row>
    <row r="459" spans="1:7" ht="14.25">
      <c r="A459" s="176"/>
      <c r="B459" s="468" t="s">
        <v>308</v>
      </c>
      <c r="D459" s="1284" t="s">
        <v>1241</v>
      </c>
      <c r="E459" s="1284"/>
      <c r="F459" s="1284"/>
      <c r="G459"/>
    </row>
    <row r="460" spans="1:7" ht="14.25">
      <c r="A460" s="176"/>
      <c r="B460" s="176"/>
      <c r="D460" s="118"/>
      <c r="E460" s="3"/>
      <c r="F460" s="3"/>
      <c r="G460"/>
    </row>
    <row r="461" spans="1:7" ht="14.25">
      <c r="A461" s="176"/>
      <c r="B461" s="468" t="s">
        <v>308</v>
      </c>
      <c r="D461" s="1273" t="s">
        <v>1242</v>
      </c>
      <c r="E461" s="1273"/>
      <c r="F461" s="1273"/>
      <c r="G461"/>
    </row>
    <row r="462" spans="1:7" ht="14.25">
      <c r="A462" s="176"/>
      <c r="D462" s="1273"/>
      <c r="E462" s="1273"/>
      <c r="F462" s="1273"/>
      <c r="G462"/>
    </row>
    <row r="463" spans="1:7">
      <c r="A463" s="13"/>
      <c r="B463" s="13"/>
      <c r="D463" s="481"/>
      <c r="E463" s="3"/>
      <c r="F463" s="3"/>
      <c r="G463"/>
    </row>
    <row r="464" spans="1:7">
      <c r="A464" s="13"/>
      <c r="B464" s="468" t="s">
        <v>308</v>
      </c>
      <c r="D464" s="1284" t="s">
        <v>1243</v>
      </c>
      <c r="E464" s="1284"/>
      <c r="F464" s="1284"/>
      <c r="G464"/>
    </row>
    <row r="465" spans="1:7" ht="14.25">
      <c r="A465" s="176"/>
      <c r="B465" s="176"/>
      <c r="D465" s="35"/>
    </row>
    <row r="466" spans="1:7">
      <c r="A466" s="1288" t="s">
        <v>1078</v>
      </c>
      <c r="B466" s="1288"/>
      <c r="C466" s="1288"/>
      <c r="D466" s="1288"/>
      <c r="E466" s="1288"/>
      <c r="F466" s="1288"/>
      <c r="G466" s="1288"/>
    </row>
    <row r="467" spans="1:7" ht="12" customHeight="1">
      <c r="A467" s="176"/>
      <c r="B467" s="176"/>
      <c r="D467" s="35"/>
    </row>
    <row r="468" spans="1:7">
      <c r="C468" s="172"/>
      <c r="D468" s="1289" t="s">
        <v>802</v>
      </c>
      <c r="E468" s="1289"/>
      <c r="F468" s="1289"/>
    </row>
    <row r="469" spans="1:7" ht="13.15" customHeight="1">
      <c r="A469" s="175"/>
      <c r="B469" s="175"/>
      <c r="C469" s="175"/>
      <c r="D469" s="1290" t="s">
        <v>1121</v>
      </c>
      <c r="E469" s="1290"/>
      <c r="F469" s="1290"/>
    </row>
    <row r="470" spans="1:7">
      <c r="A470" s="175"/>
      <c r="B470" s="175"/>
      <c r="C470" s="175"/>
      <c r="D470" s="1290"/>
      <c r="E470" s="1290"/>
      <c r="F470" s="1290"/>
    </row>
    <row r="471" spans="1:7">
      <c r="A471" s="175"/>
      <c r="B471" s="175"/>
      <c r="C471" s="175"/>
      <c r="D471" s="1290"/>
      <c r="E471" s="1290"/>
      <c r="F471" s="1290"/>
    </row>
    <row r="472" spans="1:7">
      <c r="A472" s="175"/>
      <c r="B472" s="175"/>
      <c r="C472" s="175"/>
      <c r="D472" s="1290"/>
      <c r="E472" s="1290"/>
      <c r="F472" s="1290"/>
    </row>
    <row r="473" spans="1:7">
      <c r="A473" s="175"/>
      <c r="B473" s="175"/>
      <c r="C473" s="175"/>
      <c r="D473" s="1290"/>
      <c r="E473" s="1290"/>
      <c r="F473" s="1290"/>
    </row>
    <row r="474" spans="1:7">
      <c r="A474" s="175"/>
      <c r="B474" s="175"/>
      <c r="C474" s="175"/>
      <c r="D474" s="326"/>
      <c r="F474" s="35"/>
    </row>
    <row r="475" spans="1:7" ht="14.45" customHeight="1">
      <c r="A475" s="176"/>
      <c r="B475" s="468" t="s">
        <v>308</v>
      </c>
      <c r="C475" s="175"/>
      <c r="D475" s="1304" t="s">
        <v>1112</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45" customHeight="1">
      <c r="A481" s="176"/>
      <c r="B481" s="468" t="s">
        <v>308</v>
      </c>
      <c r="C481" s="175"/>
      <c r="D481" s="1304" t="s">
        <v>1115</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9.9499999999999993" customHeight="1">
      <c r="A485" s="175"/>
      <c r="B485" s="175"/>
      <c r="C485" s="175"/>
      <c r="D485" s="220"/>
      <c r="F485" s="35"/>
    </row>
    <row r="486" spans="1:6" ht="14.45" customHeight="1">
      <c r="A486" s="176"/>
      <c r="B486" s="468" t="s">
        <v>308</v>
      </c>
      <c r="C486" s="175"/>
      <c r="D486" s="1304" t="s">
        <v>1113</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45" customHeight="1">
      <c r="A490" s="176"/>
      <c r="B490" s="468" t="s">
        <v>308</v>
      </c>
      <c r="C490" s="175"/>
      <c r="D490" s="1304" t="s">
        <v>1114</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15" customHeight="1">
      <c r="A500" s="175"/>
      <c r="B500" s="468" t="s">
        <v>308</v>
      </c>
      <c r="C500" s="175"/>
      <c r="D500" s="1282" t="s">
        <v>1258</v>
      </c>
      <c r="E500" s="1282"/>
      <c r="F500" s="1282"/>
    </row>
    <row r="501" spans="1:7">
      <c r="A501" s="175"/>
      <c r="B501" s="175"/>
      <c r="C501" s="175"/>
      <c r="D501" s="1282"/>
      <c r="E501" s="1282"/>
      <c r="F501" s="1282"/>
    </row>
    <row r="502" spans="1:7">
      <c r="A502" s="175"/>
      <c r="B502" s="175"/>
      <c r="C502" s="175"/>
      <c r="D502" s="1282"/>
      <c r="E502" s="1282"/>
      <c r="F502" s="1282"/>
    </row>
    <row r="503" spans="1:7">
      <c r="A503" s="175"/>
      <c r="B503" s="175"/>
      <c r="C503" s="175"/>
      <c r="D503" s="1282"/>
      <c r="E503" s="1282"/>
      <c r="F503" s="1282"/>
    </row>
    <row r="504" spans="1:7">
      <c r="A504" s="175"/>
      <c r="B504" s="175"/>
      <c r="C504" s="175"/>
      <c r="D504" s="1282"/>
      <c r="E504" s="1282"/>
      <c r="F504" s="1282"/>
    </row>
    <row r="505" spans="1:7">
      <c r="A505" s="175"/>
      <c r="B505" s="175"/>
      <c r="C505" s="175"/>
      <c r="D505" s="485"/>
      <c r="E505" s="485"/>
      <c r="F505" s="485"/>
    </row>
    <row r="506" spans="1:7" ht="14.45" customHeight="1">
      <c r="A506" s="176"/>
      <c r="B506" s="468" t="s">
        <v>308</v>
      </c>
      <c r="D506" s="1304" t="s">
        <v>1116</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8" t="s">
        <v>1079</v>
      </c>
      <c r="B510" s="1288"/>
      <c r="C510" s="1288"/>
      <c r="D510" s="1288"/>
      <c r="E510" s="1288"/>
      <c r="F510" s="1288"/>
      <c r="G510" s="1288"/>
    </row>
    <row r="511" spans="1:7">
      <c r="A511" s="35"/>
      <c r="B511" s="35"/>
      <c r="C511" s="179"/>
      <c r="F511" s="57"/>
    </row>
    <row r="512" spans="1:7">
      <c r="B512" s="1305" t="s">
        <v>448</v>
      </c>
      <c r="C512" s="1305"/>
      <c r="D512" s="1305"/>
      <c r="E512" s="1305"/>
      <c r="F512" s="1305"/>
    </row>
    <row r="513" spans="1:7">
      <c r="A513" s="35"/>
      <c r="B513" s="35"/>
      <c r="C513" s="179"/>
      <c r="D513" s="35"/>
      <c r="F513" s="35"/>
    </row>
    <row r="514" spans="1:7">
      <c r="A514" s="1319" t="s">
        <v>1080</v>
      </c>
      <c r="B514" s="1319"/>
      <c r="C514" s="1319"/>
      <c r="D514" s="1319"/>
      <c r="E514" s="1319"/>
      <c r="F514" s="1319"/>
      <c r="G514" s="1319"/>
    </row>
    <row r="515" spans="1:7">
      <c r="A515" s="35"/>
      <c r="B515" s="35"/>
      <c r="C515" s="179"/>
      <c r="D515" s="35"/>
      <c r="F515" s="35"/>
    </row>
    <row r="516" spans="1:7">
      <c r="C516" s="179"/>
      <c r="D516" s="1289" t="s">
        <v>691</v>
      </c>
      <c r="E516" s="1289"/>
      <c r="F516" s="1289"/>
    </row>
    <row r="517" spans="1:7">
      <c r="C517" s="179"/>
      <c r="D517" s="1284" t="s">
        <v>1137</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73" t="s">
        <v>1138</v>
      </c>
      <c r="E521" s="1273"/>
      <c r="F521" s="1273"/>
      <c r="G521"/>
    </row>
    <row r="522" spans="1:7">
      <c r="A522" s="179"/>
      <c r="B522" s="179"/>
      <c r="C522" s="179"/>
      <c r="D522" s="1273"/>
      <c r="E522" s="1273"/>
      <c r="F522" s="1273"/>
      <c r="G522"/>
    </row>
    <row r="523" spans="1:7">
      <c r="A523" s="179"/>
      <c r="B523" s="179"/>
      <c r="C523" s="179"/>
      <c r="D523" s="35"/>
      <c r="E523" s="35"/>
      <c r="F523" s="35"/>
      <c r="G523"/>
    </row>
    <row r="524" spans="1:7" ht="14.25">
      <c r="A524" s="176"/>
      <c r="B524" s="468" t="s">
        <v>308</v>
      </c>
      <c r="C524" s="179"/>
      <c r="D524" s="1273" t="s">
        <v>1139</v>
      </c>
      <c r="E524" s="1273"/>
      <c r="F524" s="1273"/>
      <c r="G524"/>
    </row>
    <row r="525" spans="1:7">
      <c r="A525" s="179"/>
      <c r="B525" s="179"/>
      <c r="C525" s="179"/>
      <c r="D525" s="1273"/>
      <c r="E525" s="1273"/>
      <c r="F525" s="1273"/>
      <c r="G525"/>
    </row>
    <row r="526" spans="1:7">
      <c r="A526" s="179"/>
      <c r="B526" s="179"/>
      <c r="C526" s="179"/>
      <c r="D526" s="35"/>
      <c r="E526" s="35"/>
      <c r="F526" s="35"/>
      <c r="G526"/>
    </row>
    <row r="527" spans="1:7" ht="14.25">
      <c r="A527" s="176"/>
      <c r="B527" s="468" t="s">
        <v>308</v>
      </c>
      <c r="C527" s="179"/>
      <c r="D527" s="1273" t="s">
        <v>1140</v>
      </c>
      <c r="E527" s="1273"/>
      <c r="F527" s="1273"/>
      <c r="G527"/>
    </row>
    <row r="528" spans="1:7">
      <c r="A528" s="179"/>
      <c r="B528" s="179"/>
      <c r="C528" s="179"/>
      <c r="D528" s="1273"/>
      <c r="E528" s="1273"/>
      <c r="F528" s="1273"/>
      <c r="G528"/>
    </row>
    <row r="529" spans="1:7">
      <c r="A529" s="179"/>
      <c r="B529" s="179"/>
      <c r="C529" s="179"/>
      <c r="D529" s="35"/>
      <c r="E529" s="35"/>
      <c r="F529" s="35"/>
      <c r="G529"/>
    </row>
    <row r="530" spans="1:7" ht="14.25">
      <c r="A530" s="176"/>
      <c r="B530" s="468" t="s">
        <v>308</v>
      </c>
      <c r="C530" s="179"/>
      <c r="D530" s="1273" t="s">
        <v>1141</v>
      </c>
      <c r="E530" s="1273"/>
      <c r="F530" s="1273"/>
      <c r="G530"/>
    </row>
    <row r="531" spans="1:7">
      <c r="A531" s="179"/>
      <c r="B531" s="179"/>
      <c r="C531" s="179"/>
      <c r="D531" s="1273"/>
      <c r="E531" s="1273"/>
      <c r="F531" s="1273"/>
      <c r="G531"/>
    </row>
    <row r="532" spans="1:7">
      <c r="A532" s="179"/>
      <c r="B532" s="179"/>
      <c r="C532" s="179"/>
      <c r="D532" s="1273"/>
      <c r="E532" s="1273"/>
      <c r="F532" s="1273"/>
      <c r="G532"/>
    </row>
    <row r="533" spans="1:7">
      <c r="A533" s="179"/>
      <c r="B533" s="179"/>
      <c r="C533" s="179"/>
      <c r="D533" s="35"/>
      <c r="E533" s="35"/>
      <c r="F533" s="35"/>
    </row>
    <row r="534" spans="1:7" ht="14.25">
      <c r="A534" s="176"/>
      <c r="B534" s="468" t="s">
        <v>308</v>
      </c>
      <c r="C534" s="179"/>
      <c r="D534" s="1273" t="s">
        <v>1259</v>
      </c>
      <c r="E534" s="1273"/>
      <c r="F534" s="1273"/>
    </row>
    <row r="535" spans="1:7">
      <c r="A535" s="179"/>
      <c r="B535" s="179"/>
      <c r="C535" s="179"/>
      <c r="D535" s="1273"/>
      <c r="E535" s="1273"/>
      <c r="F535" s="1273"/>
    </row>
    <row r="536" spans="1:7">
      <c r="A536" s="179"/>
      <c r="B536" s="179"/>
      <c r="C536" s="179"/>
      <c r="D536" s="35"/>
      <c r="E536" s="35"/>
      <c r="F536" s="35"/>
    </row>
    <row r="537" spans="1:7" ht="14.25">
      <c r="A537" s="176"/>
      <c r="B537" s="468" t="s">
        <v>308</v>
      </c>
      <c r="C537" s="179"/>
      <c r="D537" s="1273" t="s">
        <v>1142</v>
      </c>
      <c r="E537" s="1273"/>
      <c r="F537" s="1273"/>
    </row>
    <row r="538" spans="1:7">
      <c r="A538" s="179"/>
      <c r="B538" s="179"/>
      <c r="C538" s="179"/>
      <c r="D538" s="1273"/>
      <c r="E538" s="1273"/>
      <c r="F538" s="1273"/>
    </row>
    <row r="539" spans="1:7">
      <c r="A539" s="179"/>
      <c r="B539" s="179"/>
      <c r="C539" s="179"/>
      <c r="D539" s="35"/>
      <c r="E539" s="35"/>
      <c r="F539" s="35"/>
    </row>
    <row r="540" spans="1:7" ht="14.25">
      <c r="A540" s="176"/>
      <c r="B540" s="468" t="s">
        <v>308</v>
      </c>
      <c r="C540" s="179"/>
      <c r="D540" s="1273" t="s">
        <v>1143</v>
      </c>
      <c r="E540" s="1273"/>
      <c r="F540" s="1273"/>
    </row>
    <row r="541" spans="1:7">
      <c r="A541" s="179"/>
      <c r="B541" s="179"/>
      <c r="C541" s="179"/>
      <c r="D541" s="1273"/>
      <c r="E541" s="1273"/>
      <c r="F541" s="1273"/>
    </row>
    <row r="542" spans="1:7">
      <c r="A542" s="179"/>
      <c r="B542" s="179"/>
      <c r="C542" s="179"/>
      <c r="D542" s="35"/>
      <c r="E542" s="35"/>
      <c r="F542" s="35"/>
    </row>
    <row r="543" spans="1:7" ht="14.25">
      <c r="A543" s="176"/>
      <c r="B543" s="468" t="s">
        <v>308</v>
      </c>
      <c r="C543" s="179"/>
      <c r="D543" s="1284" t="s">
        <v>1144</v>
      </c>
      <c r="E543" s="1284"/>
      <c r="F543" s="1284"/>
    </row>
    <row r="544" spans="1:7">
      <c r="A544" s="13"/>
      <c r="B544" s="13"/>
      <c r="C544" s="179"/>
      <c r="D544" s="1284" t="s">
        <v>829</v>
      </c>
      <c r="E544" s="1284"/>
      <c r="F544" s="1284"/>
    </row>
    <row r="545" spans="1:7">
      <c r="A545" s="13"/>
      <c r="B545" s="13"/>
      <c r="C545" s="179"/>
      <c r="D545" s="3"/>
      <c r="E545" s="1295" t="s">
        <v>1145</v>
      </c>
      <c r="F545" s="1295"/>
    </row>
    <row r="546" spans="1:7" ht="14.25">
      <c r="A546" s="176"/>
      <c r="B546" s="176"/>
      <c r="C546" s="179"/>
      <c r="E546" s="35"/>
      <c r="F546" s="35"/>
    </row>
    <row r="547" spans="1:7" ht="14.25">
      <c r="A547" s="176"/>
      <c r="B547" s="468" t="s">
        <v>308</v>
      </c>
      <c r="C547" s="179"/>
      <c r="D547" s="1284" t="s">
        <v>1146</v>
      </c>
      <c r="E547" s="1284"/>
      <c r="F547" s="1284"/>
    </row>
    <row r="548" spans="1:7">
      <c r="C548" s="179"/>
      <c r="D548" s="1273" t="s">
        <v>1147</v>
      </c>
      <c r="E548" s="1273"/>
      <c r="F548" s="1273"/>
    </row>
    <row r="549" spans="1:7">
      <c r="A549" s="179"/>
      <c r="B549" s="179"/>
      <c r="C549" s="179"/>
      <c r="D549" s="1273"/>
      <c r="E549" s="1273"/>
      <c r="F549" s="1273"/>
    </row>
    <row r="550" spans="1:7">
      <c r="A550" s="179"/>
      <c r="B550" s="179"/>
      <c r="C550" s="179"/>
      <c r="D550" s="1273"/>
      <c r="E550" s="1273"/>
      <c r="F550" s="1273"/>
    </row>
    <row r="551" spans="1:7">
      <c r="A551" s="179"/>
      <c r="B551" s="179"/>
      <c r="C551" s="179"/>
      <c r="D551" s="35"/>
      <c r="E551" s="35"/>
      <c r="F551" s="35"/>
    </row>
    <row r="552" spans="1:7" ht="14.25">
      <c r="A552" s="176"/>
      <c r="B552" s="468" t="s">
        <v>308</v>
      </c>
      <c r="C552" s="179"/>
      <c r="D552" s="1273" t="s">
        <v>1148</v>
      </c>
      <c r="E552" s="1273"/>
      <c r="F552" s="1273"/>
    </row>
    <row r="553" spans="1:7" ht="14.25">
      <c r="A553" s="176"/>
      <c r="B553" s="176"/>
      <c r="C553" s="179"/>
      <c r="D553" s="1273"/>
      <c r="E553" s="1273"/>
      <c r="F553" s="1273"/>
    </row>
    <row r="554" spans="1:7" ht="14.25">
      <c r="A554" s="176"/>
      <c r="B554" s="176"/>
      <c r="C554" s="179"/>
      <c r="D554" s="1273"/>
      <c r="E554" s="1273"/>
      <c r="F554" s="1273"/>
    </row>
    <row r="555" spans="1:7" ht="14.25">
      <c r="A555" s="176"/>
      <c r="B555" s="176"/>
      <c r="C555" s="179"/>
      <c r="D555" s="1273"/>
      <c r="E555" s="1273"/>
      <c r="F555" s="1273"/>
    </row>
    <row r="556" spans="1:7" ht="14.25">
      <c r="A556" s="176"/>
      <c r="B556" s="176"/>
      <c r="C556" s="179"/>
      <c r="D556" s="35"/>
      <c r="E556" s="35"/>
      <c r="F556" s="35"/>
    </row>
    <row r="557" spans="1:7">
      <c r="A557" s="1288" t="s">
        <v>1081</v>
      </c>
      <c r="B557" s="1288"/>
      <c r="C557" s="1288"/>
      <c r="D557" s="1288"/>
      <c r="E557" s="1288"/>
      <c r="F557" s="1288"/>
      <c r="G557" s="1288"/>
    </row>
    <row r="558" spans="1:7">
      <c r="A558" s="179"/>
      <c r="B558" s="179"/>
      <c r="C558" s="179"/>
      <c r="E558" s="35"/>
      <c r="F558" s="35"/>
    </row>
    <row r="559" spans="1:7" ht="12.75" customHeight="1">
      <c r="C559" s="172"/>
      <c r="D559" s="1306" t="s">
        <v>211</v>
      </c>
      <c r="E559" s="1306"/>
      <c r="F559" s="1306"/>
    </row>
    <row r="560" spans="1:7">
      <c r="A560" s="175"/>
      <c r="B560" s="175"/>
      <c r="C560" s="175"/>
      <c r="D560" s="1287" t="s">
        <v>1097</v>
      </c>
      <c r="E560" s="1287"/>
      <c r="F560" s="1287"/>
    </row>
    <row r="561" spans="1:6">
      <c r="A561"/>
      <c r="B561"/>
      <c r="C561" s="175"/>
      <c r="D561" s="255"/>
    </row>
    <row r="562" spans="1:6">
      <c r="A562" s="175"/>
      <c r="B562" s="468" t="s">
        <v>308</v>
      </c>
      <c r="D562" s="1287" t="s">
        <v>902</v>
      </c>
      <c r="E562" s="1287"/>
      <c r="F562" s="1287"/>
    </row>
    <row r="563" spans="1:6">
      <c r="A563" s="13"/>
      <c r="B563" s="13"/>
      <c r="D563" s="218"/>
    </row>
    <row r="564" spans="1:6">
      <c r="A564" s="13"/>
      <c r="B564" s="468" t="s">
        <v>308</v>
      </c>
      <c r="D564" s="1287" t="s">
        <v>1098</v>
      </c>
      <c r="E564" s="1287"/>
      <c r="F564" s="1287"/>
    </row>
    <row r="565" spans="1:6">
      <c r="A565" s="13"/>
      <c r="B565" s="13"/>
      <c r="D565" s="1287"/>
      <c r="E565" s="1287"/>
      <c r="F565" s="1287"/>
    </row>
    <row r="566" spans="1:6">
      <c r="A566" s="13"/>
      <c r="B566" s="13"/>
      <c r="D566" s="1287"/>
      <c r="E566" s="1287"/>
      <c r="F566" s="1287"/>
    </row>
    <row r="567" spans="1:6">
      <c r="A567" s="13"/>
      <c r="B567" s="13"/>
      <c r="D567" s="255"/>
    </row>
    <row r="568" spans="1:6">
      <c r="A568" s="13"/>
      <c r="B568" s="468" t="s">
        <v>308</v>
      </c>
      <c r="D568" s="1287" t="s">
        <v>1099</v>
      </c>
      <c r="E568" s="1287"/>
      <c r="F568" s="1287"/>
    </row>
    <row r="569" spans="1:6">
      <c r="A569" s="13"/>
      <c r="B569" s="13"/>
      <c r="D569" s="1287"/>
      <c r="E569" s="1287"/>
      <c r="F569" s="1287"/>
    </row>
    <row r="570" spans="1:6">
      <c r="A570" s="13"/>
      <c r="B570" s="13"/>
      <c r="D570" s="1287"/>
      <c r="E570" s="1287"/>
      <c r="F570" s="1287"/>
    </row>
    <row r="571" spans="1:6">
      <c r="A571" s="13"/>
      <c r="B571" s="13"/>
      <c r="D571" s="1287"/>
      <c r="E571" s="1287"/>
      <c r="F571" s="1287"/>
    </row>
    <row r="572" spans="1:6">
      <c r="A572" s="13"/>
      <c r="B572" s="13"/>
      <c r="D572" s="473"/>
      <c r="E572" s="473"/>
      <c r="F572" s="473"/>
    </row>
    <row r="573" spans="1:6">
      <c r="A573" s="13"/>
      <c r="B573" s="468" t="s">
        <v>308</v>
      </c>
      <c r="D573" s="1287" t="s">
        <v>1100</v>
      </c>
      <c r="E573" s="1287"/>
      <c r="F573" s="1287"/>
    </row>
    <row r="574" spans="1:6">
      <c r="A574" s="13"/>
      <c r="B574" s="13"/>
      <c r="D574" s="1287"/>
      <c r="E574" s="1287"/>
      <c r="F574" s="1287"/>
    </row>
    <row r="575" spans="1:6">
      <c r="A575" s="13"/>
      <c r="B575" s="13"/>
      <c r="D575" s="255"/>
    </row>
    <row r="576" spans="1:6">
      <c r="A576" s="13"/>
      <c r="B576" s="468" t="s">
        <v>308</v>
      </c>
      <c r="D576" s="1287" t="s">
        <v>1101</v>
      </c>
      <c r="E576" s="1287"/>
      <c r="F576" s="1287"/>
    </row>
    <row r="577" spans="1:7">
      <c r="A577" s="13"/>
      <c r="B577" s="13"/>
      <c r="D577" s="1287"/>
      <c r="E577" s="1287"/>
      <c r="F577" s="1287"/>
    </row>
    <row r="578" spans="1:7">
      <c r="A578" s="13"/>
      <c r="B578" s="13"/>
      <c r="D578" s="255"/>
    </row>
    <row r="579" spans="1:7" ht="14.25">
      <c r="A579" s="176"/>
      <c r="B579" s="468" t="s">
        <v>308</v>
      </c>
      <c r="D579" s="1287" t="s">
        <v>897</v>
      </c>
      <c r="E579" s="1287"/>
      <c r="F579" s="1287"/>
    </row>
    <row r="580" spans="1:7" ht="14.25">
      <c r="A580" s="176"/>
      <c r="B580" s="176"/>
      <c r="D580" s="255"/>
    </row>
    <row r="581" spans="1:7" ht="14.25">
      <c r="A581" s="176"/>
      <c r="B581" s="468" t="s">
        <v>308</v>
      </c>
      <c r="D581" s="1287" t="s">
        <v>1102</v>
      </c>
      <c r="E581" s="1287"/>
      <c r="F581" s="1287"/>
    </row>
    <row r="582" spans="1:7" ht="14.25">
      <c r="A582" s="176"/>
      <c r="B582" s="176"/>
      <c r="D582" s="1287"/>
      <c r="E582" s="1287"/>
      <c r="F582" s="1287"/>
    </row>
    <row r="583" spans="1:7">
      <c r="D583" s="1287"/>
      <c r="E583" s="1287"/>
      <c r="F583" s="1287"/>
    </row>
    <row r="584" spans="1:7">
      <c r="D584" s="1287"/>
      <c r="E584" s="1287"/>
      <c r="F584" s="1287"/>
    </row>
    <row r="585" spans="1:7">
      <c r="D585" s="1287"/>
      <c r="E585" s="1287"/>
      <c r="F585" s="1287"/>
    </row>
    <row r="586" spans="1:7">
      <c r="D586" s="1287"/>
      <c r="E586" s="1287"/>
      <c r="F586" s="1287"/>
    </row>
    <row r="587" spans="1:7"/>
    <row r="588" spans="1:7">
      <c r="A588" s="1288" t="s">
        <v>1082</v>
      </c>
      <c r="B588" s="1288"/>
      <c r="C588" s="1288"/>
      <c r="D588" s="1288"/>
      <c r="E588" s="1288"/>
      <c r="F588" s="1288"/>
      <c r="G588" s="1288"/>
    </row>
    <row r="589" spans="1:7"/>
    <row r="590" spans="1:7">
      <c r="D590" s="1299" t="s">
        <v>1182</v>
      </c>
      <c r="E590" s="1299"/>
      <c r="F590" s="1299"/>
    </row>
    <row r="591" spans="1:7">
      <c r="D591" s="1322" t="s">
        <v>1183</v>
      </c>
      <c r="E591" s="1322"/>
      <c r="F591" s="1322"/>
    </row>
    <row r="592" spans="1:7">
      <c r="D592" s="478"/>
      <c r="E592" s="433"/>
      <c r="F592" s="433"/>
    </row>
    <row r="593" spans="1:7" ht="14.25">
      <c r="A593" s="176"/>
      <c r="B593" s="468" t="s">
        <v>308</v>
      </c>
      <c r="D593" s="1300" t="s">
        <v>1184</v>
      </c>
      <c r="E593" s="1300"/>
      <c r="F593" s="1300"/>
    </row>
    <row r="594" spans="1:7">
      <c r="D594" s="1300"/>
      <c r="E594" s="1300"/>
      <c r="F594" s="1300"/>
    </row>
    <row r="595" spans="1:7">
      <c r="D595" s="1300"/>
      <c r="E595" s="1300"/>
      <c r="F595" s="1300"/>
    </row>
    <row r="596" spans="1:7"/>
    <row r="597" spans="1:7">
      <c r="A597" s="1288" t="s">
        <v>1083</v>
      </c>
      <c r="B597" s="1288"/>
      <c r="C597" s="1288"/>
      <c r="D597" s="1288"/>
      <c r="E597" s="1288"/>
      <c r="F597" s="1288"/>
      <c r="G597" s="1288"/>
    </row>
    <row r="598" spans="1:7">
      <c r="A598" s="35"/>
      <c r="B598" s="35"/>
    </row>
    <row r="599" spans="1:7">
      <c r="A599" s="172"/>
      <c r="B599" s="172"/>
      <c r="C599" s="172"/>
      <c r="D599" s="1323" t="s">
        <v>1185</v>
      </c>
      <c r="E599" s="1323"/>
      <c r="F599" s="1323"/>
    </row>
    <row r="600" spans="1:7">
      <c r="A600" s="172"/>
      <c r="B600" s="172"/>
      <c r="C600" s="172"/>
      <c r="D600" s="1323"/>
      <c r="E600" s="1323"/>
      <c r="F600" s="1323"/>
    </row>
    <row r="601" spans="1:7">
      <c r="C601" s="175"/>
      <c r="D601" s="1322" t="s">
        <v>1186</v>
      </c>
      <c r="E601" s="1322"/>
      <c r="F601" s="1322"/>
    </row>
    <row r="602" spans="1:7">
      <c r="C602" s="175"/>
      <c r="D602" s="478"/>
      <c r="E602" s="478"/>
      <c r="F602" s="478"/>
    </row>
    <row r="603" spans="1:7">
      <c r="A603" s="13"/>
      <c r="B603" s="468" t="s">
        <v>308</v>
      </c>
      <c r="D603" s="1322" t="s">
        <v>433</v>
      </c>
      <c r="E603" s="1322"/>
      <c r="F603" s="1322"/>
    </row>
    <row r="604" spans="1:7">
      <c r="C604" s="180"/>
      <c r="E604"/>
    </row>
    <row r="605" spans="1:7">
      <c r="A605" s="13"/>
      <c r="B605" s="468" t="s">
        <v>308</v>
      </c>
      <c r="D605" s="1298" t="s">
        <v>1187</v>
      </c>
      <c r="E605" s="1298"/>
      <c r="F605" s="1298"/>
    </row>
    <row r="606" spans="1:7">
      <c r="D606" s="1298"/>
      <c r="E606" s="1298"/>
      <c r="F606" s="1298"/>
    </row>
    <row r="607" spans="1:7">
      <c r="D607"/>
    </row>
    <row r="608" spans="1:7">
      <c r="B608" s="468" t="s">
        <v>308</v>
      </c>
      <c r="D608" s="1298" t="s">
        <v>1188</v>
      </c>
      <c r="E608" s="1298"/>
      <c r="F608" s="1298"/>
    </row>
    <row r="609" spans="1:7">
      <c r="C609" s="180"/>
      <c r="D609" s="1298"/>
      <c r="E609" s="1298"/>
      <c r="F609" s="1298"/>
    </row>
    <row r="610" spans="1:7">
      <c r="C610" s="180"/>
    </row>
    <row r="611" spans="1:7">
      <c r="B611" s="468" t="s">
        <v>308</v>
      </c>
      <c r="C611" s="180"/>
      <c r="D611" s="1298" t="s">
        <v>1189</v>
      </c>
      <c r="E611" s="1298"/>
      <c r="F611" s="1298"/>
    </row>
    <row r="612" spans="1:7">
      <c r="C612" s="180"/>
      <c r="D612" s="1298"/>
      <c r="E612" s="1298"/>
      <c r="F612" s="1298"/>
    </row>
    <row r="613" spans="1:7">
      <c r="C613" s="180"/>
    </row>
    <row r="614" spans="1:7">
      <c r="A614" s="1288" t="s">
        <v>1084</v>
      </c>
      <c r="B614" s="1288"/>
      <c r="C614" s="1288"/>
      <c r="D614" s="1288"/>
      <c r="E614" s="1288"/>
      <c r="F614" s="1288"/>
      <c r="G614" s="1288"/>
    </row>
    <row r="615" spans="1:7">
      <c r="A615" s="172"/>
      <c r="B615" s="172"/>
      <c r="C615" s="172"/>
    </row>
    <row r="616" spans="1:7">
      <c r="C616" s="13"/>
      <c r="D616" s="1299" t="s">
        <v>1190</v>
      </c>
      <c r="E616" s="1299"/>
      <c r="F616" s="1299"/>
    </row>
    <row r="617" spans="1:7">
      <c r="A617" s="13"/>
      <c r="B617" s="13"/>
      <c r="D617" s="2"/>
    </row>
    <row r="618" spans="1:7" ht="14.25">
      <c r="A618" s="176"/>
      <c r="B618" s="468" t="s">
        <v>308</v>
      </c>
      <c r="D618" s="1300" t="s">
        <v>1191</v>
      </c>
      <c r="E618" s="1300"/>
      <c r="F618" s="1300"/>
    </row>
    <row r="619" spans="1:7">
      <c r="D619" s="1300"/>
      <c r="E619" s="1300"/>
      <c r="F619" s="1300"/>
    </row>
    <row r="620" spans="1:7">
      <c r="D620" s="1300"/>
      <c r="E620" s="1300"/>
      <c r="F620" s="1300"/>
    </row>
    <row r="621" spans="1:7">
      <c r="D621" s="1300"/>
      <c r="E621" s="1300"/>
      <c r="F621" s="1300"/>
    </row>
    <row r="622" spans="1:7">
      <c r="D622" s="1300"/>
      <c r="E622" s="1300"/>
      <c r="F622" s="1300"/>
    </row>
    <row r="623" spans="1:7">
      <c r="D623" s="1300"/>
      <c r="E623" s="1300"/>
      <c r="F623" s="1300"/>
    </row>
    <row r="624" spans="1:7">
      <c r="D624" s="479"/>
      <c r="E624" s="479"/>
      <c r="F624" s="479"/>
    </row>
    <row r="625" spans="1:7" ht="14.25">
      <c r="A625" s="176"/>
      <c r="B625" s="468" t="s">
        <v>308</v>
      </c>
      <c r="D625" s="1300" t="s">
        <v>1192</v>
      </c>
      <c r="E625" s="1300"/>
      <c r="F625" s="1300"/>
    </row>
    <row r="626" spans="1:7">
      <c r="A626" s="179"/>
      <c r="B626" s="179"/>
      <c r="C626" s="179"/>
      <c r="D626" s="1300"/>
      <c r="E626" s="1300"/>
      <c r="F626" s="1300"/>
    </row>
    <row r="627" spans="1:7">
      <c r="A627" s="179"/>
      <c r="B627" s="179"/>
      <c r="C627" s="179"/>
      <c r="D627" s="35"/>
      <c r="E627" s="35"/>
      <c r="F627" s="35"/>
    </row>
    <row r="628" spans="1:7" ht="14.25">
      <c r="A628" s="176"/>
      <c r="B628" s="468" t="s">
        <v>308</v>
      </c>
      <c r="C628" s="179"/>
      <c r="D628" s="1300" t="s">
        <v>1193</v>
      </c>
      <c r="E628" s="1300"/>
      <c r="F628" s="1300"/>
    </row>
    <row r="629" spans="1:7" ht="14.25">
      <c r="A629" s="176"/>
      <c r="B629" s="176"/>
      <c r="C629" s="179"/>
      <c r="D629" s="1300"/>
      <c r="E629" s="1300"/>
      <c r="F629" s="1300"/>
    </row>
    <row r="630" spans="1:7" ht="14.25">
      <c r="A630" s="176"/>
      <c r="B630" s="176"/>
      <c r="C630" s="179"/>
      <c r="D630" s="1300"/>
      <c r="E630" s="1300"/>
      <c r="F630" s="1300"/>
    </row>
    <row r="631" spans="1:7">
      <c r="A631" s="179"/>
      <c r="B631" s="179"/>
      <c r="C631" s="179"/>
      <c r="D631" s="1300"/>
      <c r="E631" s="1300"/>
      <c r="F631" s="1300"/>
    </row>
    <row r="632" spans="1:7">
      <c r="A632" s="179"/>
      <c r="B632" s="179"/>
      <c r="C632" s="179"/>
      <c r="D632" s="479"/>
      <c r="E632" s="479"/>
      <c r="F632" s="479"/>
    </row>
    <row r="633" spans="1:7">
      <c r="A633" s="179"/>
      <c r="B633" s="468" t="s">
        <v>308</v>
      </c>
      <c r="C633" s="179"/>
      <c r="D633" s="1301" t="s">
        <v>1194</v>
      </c>
      <c r="E633" s="1301"/>
      <c r="F633" s="1301"/>
    </row>
    <row r="634" spans="1:7">
      <c r="A634" s="179"/>
      <c r="B634" s="179"/>
      <c r="C634" s="179"/>
      <c r="D634" s="480"/>
      <c r="E634" s="480"/>
      <c r="F634" s="480"/>
    </row>
    <row r="635" spans="1:7">
      <c r="A635" s="1288" t="s">
        <v>1085</v>
      </c>
      <c r="B635" s="1288"/>
      <c r="C635" s="1288"/>
      <c r="D635" s="1288"/>
      <c r="E635" s="1288"/>
      <c r="F635" s="1288"/>
      <c r="G635" s="1288"/>
    </row>
    <row r="636" spans="1:7">
      <c r="A636" s="35"/>
      <c r="B636" s="35"/>
      <c r="C636" s="179"/>
      <c r="D636" s="35"/>
      <c r="E636" s="35"/>
      <c r="F636" s="35"/>
    </row>
    <row r="637" spans="1:7">
      <c r="C637" s="172"/>
      <c r="D637" s="1289" t="s">
        <v>1244</v>
      </c>
      <c r="E637" s="1289"/>
      <c r="F637" s="1289"/>
    </row>
    <row r="638" spans="1:7">
      <c r="A638" s="175"/>
      <c r="B638" s="175"/>
      <c r="C638" s="175"/>
      <c r="D638" s="1284" t="s">
        <v>1245</v>
      </c>
      <c r="E638" s="1284"/>
      <c r="F638" s="1284"/>
    </row>
    <row r="639" spans="1:7">
      <c r="A639" s="175"/>
      <c r="B639" s="175"/>
      <c r="C639" s="175"/>
      <c r="D639" s="118"/>
      <c r="E639" s="118"/>
      <c r="F639" s="118"/>
    </row>
    <row r="640" spans="1:7" ht="14.45" customHeight="1">
      <c r="A640" s="176"/>
      <c r="B640" s="468" t="s">
        <v>308</v>
      </c>
      <c r="C640" s="179"/>
      <c r="D640" s="1273" t="s">
        <v>1246</v>
      </c>
      <c r="E640" s="1273"/>
      <c r="F640" s="1273"/>
    </row>
    <row r="641" spans="1:11" ht="14.25">
      <c r="A641" s="176"/>
      <c r="B641" s="176"/>
      <c r="C641" s="179"/>
      <c r="D641" s="1273"/>
      <c r="E641" s="1273"/>
      <c r="F641" s="1273"/>
    </row>
    <row r="642" spans="1:11" ht="14.25">
      <c r="A642" s="176"/>
      <c r="B642" s="176"/>
      <c r="C642" s="179"/>
      <c r="D642" s="1273"/>
      <c r="E642" s="1273"/>
      <c r="F642" s="1273"/>
    </row>
    <row r="643" spans="1:11" ht="14.25">
      <c r="A643" s="176"/>
      <c r="B643" s="176"/>
      <c r="C643" s="179"/>
      <c r="D643" s="1273"/>
      <c r="E643" s="1273"/>
      <c r="F643" s="1273"/>
    </row>
    <row r="644" spans="1:11" ht="14.25">
      <c r="A644" s="176"/>
      <c r="B644" s="176"/>
      <c r="C644" s="179"/>
      <c r="D644" s="1273"/>
      <c r="E644" s="1273"/>
      <c r="F644" s="1273"/>
    </row>
    <row r="645" spans="1:11" ht="14.25">
      <c r="A645" s="176"/>
      <c r="B645" s="176"/>
      <c r="C645" s="179"/>
      <c r="D645" s="474"/>
      <c r="E645" s="474"/>
      <c r="F645" s="474"/>
    </row>
    <row r="646" spans="1:11" ht="14.25">
      <c r="A646" s="176"/>
      <c r="B646" s="468" t="s">
        <v>308</v>
      </c>
      <c r="C646" s="179"/>
      <c r="D646" s="1312" t="s">
        <v>1096</v>
      </c>
      <c r="E646" s="1312"/>
      <c r="F646" s="1312"/>
    </row>
    <row r="647" spans="1:11" ht="14.25">
      <c r="A647" s="176"/>
      <c r="B647" s="176"/>
      <c r="C647" s="179"/>
      <c r="D647" s="1313" t="s">
        <v>1247</v>
      </c>
      <c r="E647" s="1313"/>
      <c r="F647" s="1313"/>
    </row>
    <row r="648" spans="1:11" ht="14.25">
      <c r="A648" s="176"/>
      <c r="B648" s="176"/>
      <c r="C648" s="179"/>
      <c r="D648" s="1313"/>
      <c r="E648" s="1313"/>
      <c r="F648" s="1313"/>
    </row>
    <row r="649" spans="1:11" ht="14.25">
      <c r="A649" s="176"/>
      <c r="B649" s="176"/>
      <c r="C649" s="179"/>
      <c r="D649" s="1313"/>
      <c r="E649" s="1313"/>
      <c r="F649" s="1313"/>
    </row>
    <row r="650" spans="1:11" ht="14.25">
      <c r="A650" s="176"/>
      <c r="B650" s="176"/>
      <c r="C650" s="179"/>
      <c r="D650" s="1313"/>
      <c r="E650" s="1313"/>
      <c r="F650" s="1313"/>
    </row>
    <row r="651" spans="1:11" ht="14.25">
      <c r="A651" s="176"/>
      <c r="B651" s="176"/>
      <c r="C651" s="179"/>
      <c r="D651" s="1313"/>
      <c r="E651" s="1313"/>
      <c r="F651" s="1313"/>
    </row>
    <row r="652" spans="1:11" ht="14.25">
      <c r="A652" s="176"/>
      <c r="B652" s="176"/>
      <c r="C652" s="179"/>
      <c r="D652" s="1314" t="s">
        <v>1248</v>
      </c>
      <c r="E652" s="1314"/>
      <c r="F652" s="1314"/>
    </row>
    <row r="653" spans="1:11">
      <c r="A653" s="179"/>
      <c r="B653" s="179"/>
      <c r="C653" s="179"/>
      <c r="D653" s="35"/>
      <c r="E653" s="35"/>
      <c r="F653" s="35"/>
    </row>
    <row r="654" spans="1:11">
      <c r="A654" s="1288" t="s">
        <v>1086</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9" t="s">
        <v>99</v>
      </c>
      <c r="E656" s="1289"/>
      <c r="F656" s="1289"/>
      <c r="H656" s="181"/>
      <c r="I656" s="181"/>
      <c r="J656" s="181"/>
      <c r="K656" s="181"/>
    </row>
    <row r="657" spans="1:11">
      <c r="A657" s="172"/>
      <c r="B657" s="172"/>
      <c r="C657" s="172"/>
      <c r="D657" s="1289" t="s">
        <v>123</v>
      </c>
      <c r="E657" s="1289"/>
      <c r="F657" s="1289"/>
      <c r="H657" s="181"/>
      <c r="I657" s="181"/>
      <c r="J657" s="181"/>
      <c r="K657" s="181"/>
    </row>
    <row r="658" spans="1:11">
      <c r="A658" s="175"/>
      <c r="B658" s="175"/>
      <c r="C658" s="175"/>
      <c r="D658" s="1284" t="s">
        <v>1122</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83" t="s">
        <v>1123</v>
      </c>
      <c r="F662" s="1283"/>
      <c r="H662" s="181"/>
      <c r="I662" s="181"/>
      <c r="J662" s="181"/>
      <c r="K662" s="181"/>
    </row>
    <row r="663" spans="1:11">
      <c r="A663" s="175"/>
      <c r="B663" s="175"/>
      <c r="C663" s="175"/>
      <c r="D663" s="3"/>
      <c r="E663" s="1283"/>
      <c r="F663" s="1283"/>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3" t="s">
        <v>1124</v>
      </c>
      <c r="E665" s="1273"/>
      <c r="F665" s="1273"/>
      <c r="H665" s="181"/>
      <c r="I665" s="181"/>
      <c r="J665" s="181"/>
      <c r="K665" s="181"/>
    </row>
    <row r="666" spans="1:11">
      <c r="A666" s="13"/>
      <c r="B666" s="13"/>
      <c r="C666" s="175"/>
      <c r="D666" s="1273"/>
      <c r="E666" s="1273"/>
      <c r="F666" s="1273"/>
      <c r="H666" s="181"/>
      <c r="I666" s="181"/>
      <c r="J666" s="181"/>
      <c r="K666" s="181"/>
    </row>
    <row r="667" spans="1:11">
      <c r="A667" s="175"/>
      <c r="B667" s="175"/>
      <c r="C667" s="175"/>
      <c r="D667" s="1273"/>
      <c r="E667" s="1273"/>
      <c r="F667" s="1273"/>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95" t="s">
        <v>1125</v>
      </c>
      <c r="F671" s="1295"/>
      <c r="H671" s="181"/>
      <c r="I671" s="181"/>
      <c r="J671" s="181"/>
      <c r="K671" s="181"/>
    </row>
    <row r="672" spans="1:11">
      <c r="A672" s="175"/>
      <c r="B672" s="175"/>
      <c r="C672" s="175"/>
      <c r="D672" s="2"/>
      <c r="H672" s="181"/>
      <c r="I672" s="181"/>
      <c r="J672" s="181"/>
      <c r="K672" s="181"/>
    </row>
    <row r="673" spans="1:11" ht="14.25">
      <c r="A673" s="176"/>
      <c r="B673" s="468" t="s">
        <v>308</v>
      </c>
      <c r="C673" s="175"/>
      <c r="D673" s="1273" t="s">
        <v>1135</v>
      </c>
      <c r="E673" s="1273"/>
      <c r="F673" s="1273"/>
      <c r="H673" s="181"/>
      <c r="I673" s="181"/>
      <c r="J673" s="181"/>
      <c r="K673" s="181"/>
    </row>
    <row r="674" spans="1:11">
      <c r="A674" s="175"/>
      <c r="B674" s="175"/>
      <c r="C674" s="175"/>
      <c r="D674" s="1273"/>
      <c r="E674" s="1273"/>
      <c r="F674" s="1273"/>
      <c r="H674" s="181"/>
      <c r="I674" s="181"/>
      <c r="J674" s="181"/>
      <c r="K674" s="181"/>
    </row>
    <row r="675" spans="1:11">
      <c r="A675" s="175"/>
      <c r="B675" s="175"/>
      <c r="C675" s="175"/>
      <c r="D675" s="1273"/>
      <c r="E675" s="1273"/>
      <c r="F675" s="1273"/>
      <c r="H675" s="181"/>
      <c r="I675" s="181"/>
      <c r="J675" s="181"/>
      <c r="K675" s="181"/>
    </row>
    <row r="676" spans="1:11">
      <c r="A676" s="175"/>
      <c r="B676" s="175"/>
      <c r="C676" s="175"/>
      <c r="D676" s="1273"/>
      <c r="E676" s="1273"/>
      <c r="F676" s="1273"/>
      <c r="H676" s="181"/>
      <c r="I676" s="181"/>
      <c r="J676" s="181"/>
      <c r="K676" s="181"/>
    </row>
    <row r="677" spans="1:11">
      <c r="A677" s="175"/>
      <c r="B677" s="175"/>
      <c r="C677" s="175"/>
      <c r="D677" s="1273"/>
      <c r="E677" s="1273"/>
      <c r="F677" s="1273"/>
      <c r="H677" s="181"/>
      <c r="I677" s="181"/>
      <c r="J677" s="181"/>
      <c r="K677" s="181"/>
    </row>
    <row r="678" spans="1:11">
      <c r="A678" s="175"/>
      <c r="B678" s="175"/>
      <c r="C678" s="175"/>
      <c r="D678" s="1273"/>
      <c r="E678" s="1273"/>
      <c r="F678" s="1273"/>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3" t="s">
        <v>1126</v>
      </c>
      <c r="E680" s="1273"/>
      <c r="F680" s="1273"/>
      <c r="H680" s="181"/>
      <c r="I680" s="181"/>
      <c r="J680" s="181"/>
      <c r="K680" s="181"/>
    </row>
    <row r="681" spans="1:11">
      <c r="A681" s="175"/>
      <c r="B681" s="175"/>
      <c r="C681" s="175"/>
      <c r="D681" s="1273"/>
      <c r="E681" s="1273"/>
      <c r="F681" s="1273"/>
      <c r="H681" s="181"/>
      <c r="I681" s="181"/>
      <c r="J681" s="181"/>
      <c r="K681" s="181"/>
    </row>
    <row r="682" spans="1:11">
      <c r="A682" s="175"/>
      <c r="B682" s="175"/>
      <c r="C682" s="175"/>
      <c r="D682" s="1273"/>
      <c r="E682" s="1273"/>
      <c r="F682" s="1273"/>
      <c r="H682" s="181"/>
      <c r="I682" s="181"/>
      <c r="J682" s="181"/>
      <c r="K682" s="181"/>
    </row>
    <row r="683" spans="1:11" ht="15" customHeight="1">
      <c r="A683" s="175"/>
      <c r="B683" s="175"/>
      <c r="C683" s="175"/>
      <c r="D683" s="1273"/>
      <c r="E683" s="1273"/>
      <c r="F683" s="1273"/>
      <c r="H683" s="181"/>
      <c r="I683" s="181"/>
      <c r="J683" s="181"/>
      <c r="K683" s="181"/>
    </row>
    <row r="684" spans="1:11" ht="15" customHeight="1">
      <c r="A684" s="175"/>
      <c r="B684" s="175"/>
      <c r="C684" s="175"/>
      <c r="D684" s="1273"/>
      <c r="E684" s="1273"/>
      <c r="F684" s="1273"/>
      <c r="H684" s="181"/>
      <c r="I684" s="181"/>
      <c r="J684" s="181"/>
      <c r="K684" s="181"/>
    </row>
    <row r="685" spans="1:11">
      <c r="A685" s="175"/>
      <c r="B685" s="175"/>
      <c r="C685" s="175"/>
      <c r="D685" s="1273"/>
      <c r="E685" s="1273"/>
      <c r="F685" s="1273"/>
      <c r="H685" s="181"/>
      <c r="I685" s="181"/>
      <c r="J685" s="181"/>
      <c r="K685" s="181"/>
    </row>
    <row r="686" spans="1:11">
      <c r="A686" s="175"/>
      <c r="B686" s="175"/>
      <c r="C686" s="175"/>
      <c r="D686" s="1273"/>
      <c r="E686" s="1273"/>
      <c r="F686" s="1273"/>
      <c r="H686" s="181"/>
      <c r="I686" s="181"/>
      <c r="J686" s="181"/>
      <c r="K686" s="181"/>
    </row>
    <row r="687" spans="1:11">
      <c r="A687" s="175"/>
      <c r="B687" s="175"/>
      <c r="C687" s="175"/>
      <c r="D687" s="1273"/>
      <c r="E687" s="1273"/>
      <c r="F687" s="1273"/>
      <c r="H687" s="181"/>
      <c r="I687" s="181"/>
      <c r="J687" s="181"/>
      <c r="K687" s="181"/>
    </row>
    <row r="688" spans="1:11" ht="15" customHeight="1">
      <c r="A688" s="175"/>
      <c r="B688" s="175"/>
      <c r="C688" s="175"/>
      <c r="D688" s="1273"/>
      <c r="E688" s="1273"/>
      <c r="F688" s="1273"/>
      <c r="H688" s="181"/>
      <c r="I688" s="181"/>
      <c r="J688" s="181"/>
      <c r="K688" s="181"/>
    </row>
    <row r="689" spans="1:11">
      <c r="A689" s="175"/>
      <c r="B689" s="175"/>
      <c r="C689" s="175"/>
      <c r="D689" s="1273"/>
      <c r="E689" s="1273"/>
      <c r="F689" s="1273"/>
      <c r="H689" s="181"/>
      <c r="I689" s="181"/>
      <c r="J689" s="181"/>
      <c r="K689" s="181"/>
    </row>
    <row r="690" spans="1:11">
      <c r="A690" s="175"/>
      <c r="B690" s="175"/>
      <c r="C690" s="175"/>
      <c r="D690" s="1273"/>
      <c r="E690" s="1273"/>
      <c r="F690" s="1273"/>
      <c r="H690" s="181"/>
      <c r="I690" s="181"/>
      <c r="J690" s="181"/>
      <c r="K690" s="181"/>
    </row>
    <row r="691" spans="1:11">
      <c r="A691" s="175"/>
      <c r="B691" s="175"/>
      <c r="C691" s="175"/>
      <c r="D691" s="1273"/>
      <c r="E691" s="1273"/>
      <c r="F691" s="1273"/>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3" t="s">
        <v>1136</v>
      </c>
      <c r="E693" s="1273"/>
      <c r="F693" s="1273"/>
      <c r="H693" s="181"/>
      <c r="I693" s="181"/>
      <c r="J693" s="181"/>
      <c r="K693" s="181"/>
    </row>
    <row r="694" spans="1:11">
      <c r="A694" s="175"/>
      <c r="B694" s="175"/>
      <c r="C694" s="175"/>
      <c r="D694" s="1273"/>
      <c r="E694" s="1273"/>
      <c r="F694" s="1273"/>
      <c r="H694" s="181"/>
      <c r="I694" s="181"/>
      <c r="J694" s="181"/>
      <c r="K694" s="181"/>
    </row>
    <row r="695" spans="1:11">
      <c r="A695" s="175"/>
      <c r="B695" s="175"/>
      <c r="C695" s="175"/>
      <c r="D695" s="1273"/>
      <c r="E695" s="1273"/>
      <c r="F695" s="1273"/>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3" t="s">
        <v>1133</v>
      </c>
      <c r="E697" s="1273"/>
      <c r="F697" s="1273"/>
      <c r="H697" s="181"/>
      <c r="I697" s="181"/>
      <c r="J697" s="181"/>
      <c r="K697" s="181"/>
    </row>
    <row r="698" spans="1:11">
      <c r="A698" s="175"/>
      <c r="B698" s="175"/>
      <c r="C698" s="175"/>
      <c r="D698" s="1273"/>
      <c r="E698" s="1273"/>
      <c r="F698" s="1273"/>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3" t="s">
        <v>1134</v>
      </c>
      <c r="E700" s="1273"/>
      <c r="F700" s="1273"/>
      <c r="H700" s="181"/>
      <c r="I700" s="181"/>
      <c r="J700" s="181"/>
      <c r="K700" s="181"/>
    </row>
    <row r="701" spans="1:11">
      <c r="A701" s="175"/>
      <c r="B701" s="175"/>
      <c r="C701" s="175"/>
      <c r="D701" s="1273"/>
      <c r="E701" s="1273"/>
      <c r="F701" s="1273"/>
      <c r="H701" s="181"/>
      <c r="I701" s="181"/>
      <c r="J701" s="181"/>
      <c r="K701" s="181"/>
    </row>
    <row r="702" spans="1:11">
      <c r="A702" s="175"/>
      <c r="B702" s="175"/>
      <c r="C702" s="175"/>
      <c r="D702" s="1273"/>
      <c r="E702" s="1273"/>
      <c r="F702" s="1273"/>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3" t="s">
        <v>1127</v>
      </c>
      <c r="E704" s="1273"/>
      <c r="F704" s="1273"/>
      <c r="H704" s="181"/>
      <c r="I704" s="181"/>
      <c r="J704" s="181"/>
      <c r="K704" s="181"/>
    </row>
    <row r="705" spans="1:11">
      <c r="A705" s="175"/>
      <c r="B705" s="175"/>
      <c r="C705" s="175"/>
      <c r="D705" s="1273"/>
      <c r="E705" s="1273"/>
      <c r="F705" s="1273"/>
      <c r="H705" s="181"/>
      <c r="I705" s="181"/>
      <c r="J705" s="181"/>
      <c r="K705" s="181"/>
    </row>
    <row r="706" spans="1:11">
      <c r="A706" s="175"/>
      <c r="B706" s="175"/>
      <c r="C706" s="175"/>
      <c r="D706" s="1273"/>
      <c r="E706" s="1273"/>
      <c r="F706" s="1273"/>
      <c r="H706" s="181"/>
      <c r="I706" s="181"/>
      <c r="J706" s="181"/>
      <c r="K706" s="181"/>
    </row>
    <row r="707" spans="1:11">
      <c r="A707" s="175"/>
      <c r="B707" s="175"/>
      <c r="C707" s="175"/>
      <c r="H707" s="181"/>
      <c r="I707" s="181"/>
      <c r="J707" s="181"/>
      <c r="K707" s="181"/>
    </row>
    <row r="708" spans="1:11">
      <c r="A708" s="175"/>
      <c r="B708" s="468" t="s">
        <v>308</v>
      </c>
      <c r="C708" s="175"/>
      <c r="D708" s="1273" t="s">
        <v>1128</v>
      </c>
      <c r="E708" s="1273"/>
      <c r="F708" s="1273"/>
      <c r="H708" s="181"/>
      <c r="I708" s="181"/>
      <c r="J708" s="181"/>
      <c r="K708" s="181"/>
    </row>
    <row r="709" spans="1:11">
      <c r="A709" s="175"/>
      <c r="B709" s="175"/>
      <c r="C709" s="175"/>
      <c r="D709" s="1273"/>
      <c r="E709" s="1273"/>
      <c r="F709" s="1273"/>
      <c r="H709" s="181"/>
      <c r="I709" s="181"/>
      <c r="J709" s="181"/>
      <c r="K709" s="181"/>
    </row>
    <row r="710" spans="1:11">
      <c r="A710" s="175"/>
      <c r="B710" s="175"/>
      <c r="C710" s="175"/>
      <c r="D710" s="1273"/>
      <c r="E710" s="1273"/>
      <c r="F710" s="1273"/>
      <c r="H710" s="181"/>
      <c r="I710" s="181"/>
      <c r="J710" s="181"/>
      <c r="K710" s="181"/>
    </row>
    <row r="711" spans="1:11">
      <c r="A711" s="175"/>
      <c r="B711" s="175"/>
      <c r="C711" s="175"/>
      <c r="D711"/>
      <c r="H711" s="181"/>
      <c r="I711" s="181"/>
      <c r="J711" s="181"/>
      <c r="K711" s="181"/>
    </row>
    <row r="712" spans="1:11" ht="14.25">
      <c r="A712" s="176"/>
      <c r="B712" s="468" t="s">
        <v>308</v>
      </c>
      <c r="C712" s="175"/>
      <c r="D712" s="1273" t="s">
        <v>1129</v>
      </c>
      <c r="E712" s="1273"/>
      <c r="F712" s="1273"/>
      <c r="H712" s="181"/>
      <c r="I712" s="181"/>
      <c r="J712" s="181"/>
      <c r="K712" s="181"/>
    </row>
    <row r="713" spans="1:11">
      <c r="A713" s="175"/>
      <c r="B713" s="175"/>
      <c r="C713" s="175"/>
      <c r="D713" s="1273"/>
      <c r="E713" s="1273"/>
      <c r="F713" s="1273"/>
      <c r="H713" s="181"/>
      <c r="I713" s="181"/>
      <c r="J713" s="181"/>
      <c r="K713" s="181"/>
    </row>
    <row r="714" spans="1:11">
      <c r="A714" s="175"/>
      <c r="B714" s="175"/>
      <c r="C714" s="175"/>
      <c r="D714" s="1273"/>
      <c r="E714" s="1273"/>
      <c r="F714" s="1273"/>
      <c r="H714" s="181"/>
      <c r="I714" s="181"/>
      <c r="J714" s="181"/>
      <c r="K714" s="181"/>
    </row>
    <row r="715" spans="1:11">
      <c r="A715" s="175"/>
      <c r="B715" s="175"/>
      <c r="C715" s="175"/>
      <c r="D715" s="1273"/>
      <c r="E715" s="1273"/>
      <c r="F715" s="1273"/>
      <c r="H715" s="181"/>
      <c r="I715" s="181"/>
      <c r="J715" s="181"/>
      <c r="K715" s="181"/>
    </row>
    <row r="716" spans="1:11">
      <c r="A716" s="175"/>
      <c r="B716" s="175"/>
      <c r="C716" s="175"/>
      <c r="D716" s="178"/>
      <c r="H716" s="181"/>
      <c r="I716" s="181"/>
      <c r="J716" s="181"/>
      <c r="K716" s="181"/>
    </row>
    <row r="717" spans="1:11" ht="14.25">
      <c r="A717" s="176"/>
      <c r="B717" s="468" t="s">
        <v>308</v>
      </c>
      <c r="C717" s="175"/>
      <c r="D717" s="1273" t="s">
        <v>1262</v>
      </c>
      <c r="E717" s="1273"/>
      <c r="F717" s="1273"/>
      <c r="H717" s="181"/>
      <c r="I717" s="181"/>
      <c r="J717" s="181"/>
      <c r="K717" s="181"/>
    </row>
    <row r="718" spans="1:11">
      <c r="A718" s="175"/>
      <c r="B718" s="175"/>
      <c r="C718" s="175"/>
      <c r="D718" s="1273"/>
      <c r="E718" s="1273"/>
      <c r="F718" s="1273"/>
      <c r="H718" s="181"/>
      <c r="I718" s="181"/>
      <c r="J718" s="181"/>
      <c r="K718" s="181"/>
    </row>
    <row r="719" spans="1:11">
      <c r="A719" s="175"/>
      <c r="B719" s="175"/>
      <c r="C719" s="175"/>
      <c r="D719" s="1273"/>
      <c r="E719" s="1273"/>
      <c r="F719" s="1273"/>
      <c r="H719" s="181"/>
      <c r="I719" s="181"/>
      <c r="J719" s="181"/>
      <c r="K719" s="181"/>
    </row>
    <row r="720" spans="1:11">
      <c r="A720" s="175"/>
      <c r="B720" s="175"/>
      <c r="C720" s="175"/>
      <c r="D720" s="1273"/>
      <c r="E720" s="1273"/>
      <c r="F720" s="1273"/>
      <c r="H720" s="181"/>
      <c r="I720" s="181"/>
      <c r="J720" s="181"/>
      <c r="K720" s="181"/>
    </row>
    <row r="721" spans="1:11">
      <c r="A721" s="175"/>
      <c r="B721" s="175"/>
      <c r="C721" s="175"/>
      <c r="D721" s="1273"/>
      <c r="E721" s="1273"/>
      <c r="F721" s="1273"/>
      <c r="H721" s="181"/>
      <c r="I721" s="181"/>
      <c r="J721" s="181"/>
      <c r="K721" s="181"/>
    </row>
    <row r="722" spans="1:11">
      <c r="A722" s="175"/>
      <c r="B722" s="175"/>
      <c r="C722" s="175"/>
      <c r="D722" s="1273"/>
      <c r="E722" s="1273"/>
      <c r="F722" s="1273"/>
      <c r="H722" s="181"/>
      <c r="I722" s="181"/>
      <c r="J722" s="181"/>
      <c r="K722" s="181"/>
    </row>
    <row r="723" spans="1:11">
      <c r="A723" s="175"/>
      <c r="B723" s="175"/>
      <c r="C723" s="175"/>
      <c r="D723" s="1273"/>
      <c r="E723" s="1273"/>
      <c r="F723" s="1273"/>
      <c r="H723" s="181"/>
      <c r="I723" s="181"/>
      <c r="J723" s="181"/>
      <c r="K723" s="181"/>
    </row>
    <row r="724" spans="1:11">
      <c r="A724" s="175"/>
      <c r="B724" s="175"/>
      <c r="C724" s="175"/>
      <c r="D724" s="1317" t="s">
        <v>1130</v>
      </c>
      <c r="E724" s="1317"/>
      <c r="F724" s="1317"/>
      <c r="H724" s="181"/>
      <c r="I724" s="181"/>
      <c r="J724" s="181"/>
      <c r="K724" s="181"/>
    </row>
    <row r="725" spans="1:11">
      <c r="A725" s="175"/>
      <c r="B725" s="175"/>
      <c r="C725" s="175"/>
      <c r="D725" s="369"/>
      <c r="H725" s="181"/>
      <c r="I725" s="181"/>
      <c r="J725" s="181"/>
      <c r="K725" s="181"/>
    </row>
    <row r="726" spans="1:11">
      <c r="A726" s="1319" t="s">
        <v>1087</v>
      </c>
      <c r="B726" s="1319"/>
      <c r="C726" s="1319"/>
      <c r="D726" s="1319"/>
      <c r="E726" s="1319"/>
      <c r="F726" s="1319"/>
      <c r="G726" s="1319"/>
      <c r="H726" s="181"/>
      <c r="I726" s="181"/>
      <c r="J726" s="181"/>
      <c r="K726" s="181"/>
    </row>
    <row r="727" spans="1:11">
      <c r="A727" s="175"/>
      <c r="B727" s="175"/>
      <c r="C727" s="175"/>
      <c r="D727" s="178"/>
      <c r="G727" s="183"/>
      <c r="H727" s="181"/>
      <c r="I727" s="181"/>
      <c r="J727" s="181"/>
      <c r="K727" s="181"/>
    </row>
    <row r="728" spans="1:11" ht="13.15" customHeight="1">
      <c r="C728" s="175"/>
      <c r="D728" s="1306" t="s">
        <v>1103</v>
      </c>
      <c r="E728" s="1306"/>
      <c r="F728" s="1306"/>
      <c r="G728" s="183"/>
      <c r="H728" s="181"/>
      <c r="I728" s="181"/>
      <c r="J728" s="181"/>
      <c r="K728" s="181"/>
    </row>
    <row r="729" spans="1:11">
      <c r="A729" s="175"/>
      <c r="B729" s="175"/>
      <c r="C729" s="175"/>
      <c r="D729" s="1316" t="s">
        <v>1104</v>
      </c>
      <c r="E729" s="1316"/>
      <c r="F729" s="1316"/>
      <c r="G729" s="183"/>
      <c r="H729" s="181"/>
      <c r="I729" s="181"/>
      <c r="J729" s="181"/>
      <c r="K729" s="181"/>
    </row>
    <row r="730" spans="1:11">
      <c r="A730" s="175"/>
      <c r="B730" s="175"/>
      <c r="C730" s="175"/>
      <c r="G730" s="183"/>
      <c r="H730" s="181"/>
      <c r="I730" s="181"/>
      <c r="J730" s="181"/>
      <c r="K730" s="181"/>
    </row>
    <row r="731" spans="1:11" ht="14.25">
      <c r="A731" s="176"/>
      <c r="B731" s="468" t="s">
        <v>308</v>
      </c>
      <c r="D731" s="1273" t="s">
        <v>1105</v>
      </c>
      <c r="E731" s="1273"/>
      <c r="F731" s="1273"/>
      <c r="G731" s="183"/>
      <c r="H731" s="181"/>
      <c r="I731" s="181"/>
      <c r="J731" s="181"/>
      <c r="K731" s="181"/>
    </row>
    <row r="732" spans="1:11" ht="10.5" customHeight="1">
      <c r="D732" s="1273"/>
      <c r="E732" s="1273"/>
      <c r="F732" s="1273"/>
      <c r="G732" s="183"/>
      <c r="H732" s="181"/>
      <c r="I732" s="181"/>
      <c r="J732" s="181"/>
      <c r="K732" s="181"/>
    </row>
    <row r="733" spans="1:11">
      <c r="D733" s="1273"/>
      <c r="E733" s="1273"/>
      <c r="F733" s="1273"/>
      <c r="G733" s="183"/>
      <c r="H733" s="181"/>
      <c r="I733" s="181"/>
      <c r="J733" s="181"/>
      <c r="K733" s="181"/>
    </row>
    <row r="734" spans="1:11">
      <c r="D734" s="1273"/>
      <c r="E734" s="1273"/>
      <c r="F734" s="1273"/>
      <c r="G734" s="183"/>
      <c r="H734" s="181"/>
      <c r="I734" s="181"/>
      <c r="J734" s="181"/>
      <c r="K734" s="181"/>
    </row>
    <row r="735" spans="1:11">
      <c r="D735" s="1273"/>
      <c r="E735" s="1273"/>
      <c r="F735" s="1273"/>
      <c r="G735" s="183"/>
      <c r="H735" s="181"/>
      <c r="I735" s="181"/>
      <c r="J735" s="181"/>
      <c r="K735" s="181"/>
    </row>
    <row r="736" spans="1:11" ht="15.6" customHeight="1">
      <c r="D736" s="1273"/>
      <c r="E736" s="1273"/>
      <c r="F736" s="1273"/>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3" t="s">
        <v>1106</v>
      </c>
      <c r="E738" s="1273"/>
      <c r="F738" s="1273"/>
      <c r="G738" s="210"/>
    </row>
    <row r="739" spans="1:11" s="274" customFormat="1">
      <c r="A739" s="273"/>
      <c r="B739" s="273"/>
      <c r="C739" s="273"/>
      <c r="D739" s="1273"/>
      <c r="E739" s="1273"/>
      <c r="F739" s="1273"/>
      <c r="G739" s="210"/>
    </row>
    <row r="740" spans="1:11" s="274" customFormat="1">
      <c r="A740" s="273"/>
      <c r="B740" s="273"/>
      <c r="C740" s="273"/>
      <c r="D740" s="1273"/>
      <c r="E740" s="1273"/>
      <c r="F740" s="1273"/>
      <c r="G740" s="210"/>
    </row>
    <row r="741" spans="1:11" s="274" customFormat="1">
      <c r="A741" s="273"/>
      <c r="B741" s="273"/>
      <c r="C741" s="273"/>
      <c r="D741" s="1273"/>
      <c r="E741" s="1273"/>
      <c r="F741" s="1273"/>
      <c r="G741" s="210"/>
    </row>
    <row r="742" spans="1:11" s="274" customFormat="1">
      <c r="A742" s="273"/>
      <c r="B742" s="273"/>
      <c r="C742" s="273"/>
      <c r="D742" s="255"/>
      <c r="E742" s="210"/>
      <c r="F742" s="210"/>
      <c r="G742" s="210"/>
    </row>
    <row r="743" spans="1:11" s="274" customFormat="1" ht="14.25">
      <c r="A743" s="176"/>
      <c r="B743" s="468" t="s">
        <v>308</v>
      </c>
      <c r="C743" s="273"/>
      <c r="D743" s="1313" t="s">
        <v>1107</v>
      </c>
      <c r="E743" s="1313"/>
      <c r="F743" s="1313"/>
      <c r="G743" s="210"/>
    </row>
    <row r="744" spans="1:11" s="274" customFormat="1">
      <c r="A744" s="273"/>
      <c r="B744" s="273"/>
      <c r="C744" s="273"/>
      <c r="D744" s="1313"/>
      <c r="E744" s="1313"/>
      <c r="F744" s="1313"/>
      <c r="G744" s="210"/>
    </row>
    <row r="745" spans="1:11" s="274" customFormat="1">
      <c r="A745" s="273"/>
      <c r="B745" s="273"/>
      <c r="C745" s="273"/>
      <c r="D745" s="1313"/>
      <c r="E745" s="1313"/>
      <c r="F745" s="1313"/>
      <c r="G745" s="210"/>
    </row>
    <row r="746" spans="1:11">
      <c r="D746" s="255"/>
      <c r="E746" s="35"/>
      <c r="F746" s="35"/>
      <c r="G746" s="183"/>
      <c r="H746" s="181"/>
      <c r="I746" s="181"/>
      <c r="J746" s="181"/>
      <c r="K746" s="181"/>
    </row>
    <row r="747" spans="1:11" ht="14.25">
      <c r="A747" s="176"/>
      <c r="B747" s="468" t="s">
        <v>308</v>
      </c>
      <c r="D747" s="1273" t="s">
        <v>1108</v>
      </c>
      <c r="E747" s="1273"/>
      <c r="F747" s="1273"/>
      <c r="G747" s="183"/>
      <c r="H747" s="181"/>
      <c r="I747" s="181"/>
      <c r="J747" s="181"/>
      <c r="K747" s="181"/>
    </row>
    <row r="748" spans="1:11">
      <c r="D748" s="1273"/>
      <c r="E748" s="1273"/>
      <c r="F748" s="1273"/>
      <c r="G748" s="183"/>
      <c r="H748" s="181"/>
      <c r="I748" s="181"/>
      <c r="J748" s="181"/>
      <c r="K748" s="181"/>
    </row>
    <row r="749" spans="1:11">
      <c r="D749" s="474"/>
      <c r="E749" s="474"/>
      <c r="F749" s="474"/>
      <c r="G749" s="183"/>
      <c r="H749" s="181"/>
      <c r="I749" s="181"/>
      <c r="J749" s="181"/>
      <c r="K749" s="181"/>
    </row>
    <row r="750" spans="1:11">
      <c r="B750" s="468" t="s">
        <v>308</v>
      </c>
      <c r="D750" s="1273" t="s">
        <v>1109</v>
      </c>
      <c r="E750" s="1273"/>
      <c r="F750" s="1273"/>
      <c r="G750" s="183"/>
      <c r="H750" s="181"/>
      <c r="I750" s="181"/>
      <c r="J750" s="181"/>
      <c r="K750" s="181"/>
    </row>
    <row r="751" spans="1:11">
      <c r="D751" s="1273"/>
      <c r="E751" s="1273"/>
      <c r="F751" s="1273"/>
      <c r="G751" s="183"/>
      <c r="H751" s="181"/>
      <c r="I751" s="181"/>
      <c r="J751" s="181"/>
      <c r="K751" s="181"/>
    </row>
    <row r="752" spans="1:11">
      <c r="D752" s="1273"/>
      <c r="E752" s="1273"/>
      <c r="F752" s="1273"/>
      <c r="G752" s="183"/>
      <c r="H752" s="181"/>
      <c r="I752" s="181"/>
      <c r="J752" s="181"/>
      <c r="K752" s="181"/>
    </row>
    <row r="753" spans="1:11">
      <c r="D753" s="474"/>
      <c r="E753" s="474"/>
      <c r="F753" s="474"/>
      <c r="G753" s="183"/>
      <c r="H753" s="181"/>
      <c r="I753" s="181"/>
      <c r="J753" s="181"/>
      <c r="K753" s="181"/>
    </row>
    <row r="754" spans="1:11">
      <c r="A754" s="1288" t="s">
        <v>1110</v>
      </c>
      <c r="B754" s="1288"/>
      <c r="C754" s="1288"/>
      <c r="D754" s="1288"/>
      <c r="E754" s="1288"/>
      <c r="F754" s="1288"/>
      <c r="G754" s="1288"/>
    </row>
    <row r="755" spans="1:11">
      <c r="A755" s="175"/>
      <c r="B755" s="175"/>
      <c r="C755" s="175"/>
      <c r="D755" s="184"/>
      <c r="F755" s="35"/>
      <c r="G755" s="183"/>
    </row>
    <row r="756" spans="1:11">
      <c r="D756" s="1320" t="s">
        <v>1094</v>
      </c>
      <c r="E756" s="1320"/>
      <c r="F756" s="1320"/>
      <c r="G756" s="183"/>
    </row>
    <row r="757" spans="1:11">
      <c r="A757" s="345"/>
      <c r="B757" s="345"/>
      <c r="C757" s="345"/>
      <c r="D757" s="1303" t="s">
        <v>1111</v>
      </c>
      <c r="E757" s="1303"/>
      <c r="F757" s="1303"/>
      <c r="G757" s="183"/>
    </row>
    <row r="758" spans="1:11">
      <c r="D758" s="433"/>
      <c r="E758" s="433"/>
      <c r="F758" s="433"/>
      <c r="G758" s="183"/>
    </row>
    <row r="759" spans="1:11" ht="14.25">
      <c r="A759" s="176"/>
      <c r="B759" s="468" t="s">
        <v>308</v>
      </c>
      <c r="D759" s="1303" t="s">
        <v>1004</v>
      </c>
      <c r="E759" s="1303"/>
      <c r="F759" s="1303"/>
      <c r="G759" s="183"/>
    </row>
    <row r="760" spans="1:11">
      <c r="D760" s="433"/>
      <c r="E760" s="1315" t="s">
        <v>1095</v>
      </c>
      <c r="F760" s="1315"/>
      <c r="G760" s="183"/>
    </row>
    <row r="761" spans="1:11">
      <c r="A761" s="172"/>
      <c r="B761" s="172"/>
      <c r="C761" s="172"/>
      <c r="D761" s="35"/>
      <c r="G761" s="183"/>
    </row>
    <row r="762" spans="1:11">
      <c r="A762" s="1318" t="s">
        <v>449</v>
      </c>
      <c r="B762" s="1318"/>
      <c r="C762" s="1318"/>
      <c r="D762" s="1318"/>
      <c r="E762" s="1318"/>
      <c r="F762" s="1318"/>
      <c r="G762" s="1318"/>
    </row>
    <row r="763" spans="1:11">
      <c r="A763" s="172"/>
      <c r="B763" s="172"/>
      <c r="C763" s="179"/>
      <c r="D763" s="183"/>
      <c r="E763" s="183"/>
      <c r="F763" s="183"/>
      <c r="G763" s="183"/>
    </row>
    <row r="764" spans="1:11">
      <c r="A764" s="35"/>
      <c r="B764" s="1316" t="s">
        <v>1003</v>
      </c>
      <c r="C764" s="1316"/>
      <c r="D764" s="1316"/>
      <c r="E764" s="1316"/>
      <c r="F764" s="1316"/>
      <c r="G764" s="183"/>
    </row>
    <row r="765" spans="1:11">
      <c r="A765" s="13"/>
      <c r="B765" s="13"/>
      <c r="G765" s="183"/>
    </row>
    <row r="766" spans="1:11">
      <c r="A766" s="1318" t="s">
        <v>450</v>
      </c>
      <c r="B766" s="1318"/>
      <c r="C766" s="1318"/>
      <c r="D766" s="1318"/>
      <c r="E766" s="1318"/>
      <c r="F766" s="1318"/>
      <c r="G766" s="1318"/>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318" t="s">
        <v>451</v>
      </c>
      <c r="B770" s="1318"/>
      <c r="C770" s="1318"/>
      <c r="D770" s="1318"/>
      <c r="E770" s="1318"/>
      <c r="F770" s="1318"/>
      <c r="G770" s="1318"/>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318" t="s">
        <v>452</v>
      </c>
      <c r="B774" s="1318"/>
      <c r="C774" s="1318"/>
      <c r="D774" s="1318"/>
      <c r="E774" s="1318"/>
      <c r="F774" s="1318"/>
      <c r="G774" s="1318"/>
    </row>
    <row r="775" spans="1:7">
      <c r="A775" s="35"/>
      <c r="B775" s="35"/>
    </row>
    <row r="776" spans="1:7">
      <c r="A776" s="35"/>
      <c r="B776" s="1284" t="s">
        <v>448</v>
      </c>
      <c r="C776" s="1284"/>
      <c r="D776" s="1284"/>
      <c r="E776" s="1284"/>
      <c r="F776" s="1284"/>
    </row>
    <row r="777" spans="1:7">
      <c r="A777" s="179"/>
      <c r="B777" s="179"/>
      <c r="C777" s="179"/>
      <c r="D777" s="174"/>
      <c r="F777" s="183"/>
    </row>
    <row r="778" spans="1:7">
      <c r="A778" s="1318" t="s">
        <v>453</v>
      </c>
      <c r="B778" s="1318"/>
      <c r="C778" s="1318"/>
      <c r="D778" s="1318"/>
      <c r="E778" s="1318"/>
      <c r="F778" s="1318"/>
      <c r="G778" s="1318"/>
    </row>
    <row r="779" spans="1:7">
      <c r="A779" s="35"/>
      <c r="B779" s="35"/>
    </row>
    <row r="780" spans="1:7">
      <c r="A780" s="35"/>
      <c r="B780" s="1284" t="s">
        <v>448</v>
      </c>
      <c r="C780" s="1284"/>
      <c r="D780" s="1284"/>
      <c r="E780" s="1284"/>
      <c r="F780" s="1284"/>
    </row>
    <row r="781" spans="1:7">
      <c r="A781" s="179"/>
      <c r="B781" s="179"/>
      <c r="C781" s="179"/>
      <c r="D781" s="174"/>
      <c r="F781" s="183"/>
    </row>
    <row r="782" spans="1:7">
      <c r="A782" s="1318" t="s">
        <v>454</v>
      </c>
      <c r="B782" s="1318"/>
      <c r="C782" s="1318"/>
      <c r="D782" s="1318"/>
      <c r="E782" s="1318"/>
      <c r="F782" s="1318"/>
      <c r="G782" s="1318"/>
    </row>
    <row r="783" spans="1:7">
      <c r="A783" s="35"/>
      <c r="B783" s="35"/>
    </row>
    <row r="784" spans="1:7">
      <c r="A784" s="35"/>
      <c r="B784" s="1284" t="s">
        <v>448</v>
      </c>
      <c r="C784" s="1284"/>
      <c r="D784" s="1284"/>
      <c r="E784" s="1284"/>
      <c r="F784" s="1284"/>
    </row>
    <row r="785" spans="1:7">
      <c r="D785" s="174"/>
    </row>
    <row r="786" spans="1:7">
      <c r="A786" s="1318" t="s">
        <v>187</v>
      </c>
      <c r="B786" s="1318"/>
      <c r="C786" s="1318"/>
      <c r="D786" s="1318"/>
      <c r="E786" s="1318"/>
      <c r="F786" s="1318"/>
      <c r="G786" s="1318"/>
    </row>
    <row r="787" spans="1:7">
      <c r="A787" s="35"/>
      <c r="B787" s="35"/>
    </row>
    <row r="788" spans="1:7">
      <c r="A788" s="35"/>
      <c r="B788" s="1284" t="s">
        <v>448</v>
      </c>
      <c r="C788" s="1284"/>
      <c r="D788" s="1284"/>
      <c r="E788" s="1284"/>
      <c r="F788" s="1284"/>
    </row>
    <row r="789" spans="1:7">
      <c r="A789" s="35"/>
      <c r="B789" s="35"/>
      <c r="D789" s="174"/>
    </row>
    <row r="790" spans="1:7">
      <c r="A790" s="1318" t="s">
        <v>885</v>
      </c>
      <c r="B790" s="1318"/>
      <c r="C790" s="1318"/>
      <c r="D790" s="1318"/>
      <c r="E790" s="1318"/>
      <c r="F790" s="1318"/>
      <c r="G790" s="1318"/>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6"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4" t="s">
        <v>2059</v>
      </c>
      <c r="B2" s="1325"/>
      <c r="C2" s="1325"/>
      <c r="D2" s="1325"/>
      <c r="E2" s="1325"/>
      <c r="F2" s="1325"/>
      <c r="G2" s="1325"/>
      <c r="H2" s="1325"/>
      <c r="I2" s="1325"/>
      <c r="J2" s="1325"/>
    </row>
    <row r="3" spans="1:10" ht="15">
      <c r="A3" s="1328" t="s">
        <v>1377</v>
      </c>
      <c r="B3" s="1329"/>
      <c r="C3" s="1329"/>
      <c r="D3" s="1329"/>
      <c r="E3" s="1329"/>
      <c r="F3" s="1329"/>
      <c r="G3" s="1329"/>
      <c r="H3" s="1329"/>
      <c r="I3" s="1329"/>
      <c r="J3" s="1329"/>
    </row>
    <row r="4" spans="1:10" ht="12.75"/>
    <row r="5" spans="1:10" ht="12.75" customHeight="1">
      <c r="A5" s="1326" t="s">
        <v>2360</v>
      </c>
      <c r="B5" s="1326"/>
      <c r="C5" s="1326"/>
      <c r="D5" s="1326"/>
      <c r="E5" s="1326"/>
      <c r="F5" s="1326"/>
      <c r="G5" s="1326"/>
      <c r="H5" s="1326"/>
      <c r="I5" s="1326"/>
      <c r="J5" s="1326"/>
    </row>
    <row r="6" spans="1:10" ht="12.75">
      <c r="A6" s="1326"/>
      <c r="B6" s="1326"/>
      <c r="C6" s="1326"/>
      <c r="D6" s="1326"/>
      <c r="E6" s="1326"/>
      <c r="F6" s="1326"/>
      <c r="G6" s="1326"/>
      <c r="H6" s="1326"/>
      <c r="I6" s="1326"/>
      <c r="J6" s="1326"/>
    </row>
    <row r="7" spans="1:10" ht="30" customHeight="1">
      <c r="A7" s="1326"/>
      <c r="B7" s="1326"/>
      <c r="C7" s="1326"/>
      <c r="D7" s="1326"/>
      <c r="E7" s="1326"/>
      <c r="F7" s="1326"/>
      <c r="G7" s="1326"/>
      <c r="H7" s="1326"/>
      <c r="I7" s="1326"/>
      <c r="J7" s="1326"/>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30" t="s">
        <v>2064</v>
      </c>
      <c r="B11" s="1330"/>
      <c r="C11" s="1330"/>
      <c r="D11" s="1330"/>
      <c r="E11" s="1330"/>
      <c r="F11" s="1330"/>
      <c r="G11" s="1330"/>
      <c r="H11" s="1330"/>
      <c r="I11" s="1330"/>
      <c r="J11" s="1330"/>
    </row>
    <row r="12" spans="1:10" ht="12.75">
      <c r="A12" s="1330"/>
      <c r="B12" s="1330"/>
      <c r="C12" s="1330"/>
      <c r="D12" s="1330"/>
      <c r="E12" s="1330"/>
      <c r="F12" s="1330"/>
      <c r="G12" s="1330"/>
      <c r="H12" s="1330"/>
      <c r="I12" s="1330"/>
      <c r="J12" s="1330"/>
    </row>
    <row r="13" spans="1:10" ht="12.75">
      <c r="A13" s="1330"/>
      <c r="B13" s="1330"/>
      <c r="C13" s="1330"/>
      <c r="D13" s="1330"/>
      <c r="E13" s="1330"/>
      <c r="F13" s="1330"/>
      <c r="G13" s="1330"/>
      <c r="H13" s="1330"/>
      <c r="I13" s="1330"/>
      <c r="J13" s="1330"/>
    </row>
    <row r="14" spans="1:10" ht="12.75">
      <c r="A14" s="1330"/>
      <c r="B14" s="1330"/>
      <c r="C14" s="1330"/>
      <c r="D14" s="1330"/>
      <c r="E14" s="1330"/>
      <c r="F14" s="1330"/>
      <c r="G14" s="1330"/>
      <c r="H14" s="1330"/>
      <c r="I14" s="1330"/>
      <c r="J14" s="1330"/>
    </row>
    <row r="15" spans="1:10" ht="12.75">
      <c r="A15" s="1330"/>
      <c r="B15" s="1330"/>
      <c r="C15" s="1330"/>
      <c r="D15" s="1330"/>
      <c r="E15" s="1330"/>
      <c r="F15" s="1330"/>
      <c r="G15" s="1330"/>
      <c r="H15" s="1330"/>
      <c r="I15" s="1330"/>
      <c r="J15" s="1330"/>
    </row>
    <row r="16" spans="1:10" ht="12.75">
      <c r="A16" s="1330"/>
      <c r="B16" s="1330"/>
      <c r="C16" s="1330"/>
      <c r="D16" s="1330"/>
      <c r="E16" s="1330"/>
      <c r="F16" s="1330"/>
      <c r="G16" s="1330"/>
      <c r="H16" s="1330"/>
      <c r="I16" s="1330"/>
      <c r="J16" s="1330"/>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9" t="s">
        <v>1294</v>
      </c>
      <c r="B20" s="1329"/>
      <c r="C20" s="1329"/>
      <c r="D20" s="1329"/>
      <c r="E20" s="132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6" t="s">
        <v>1295</v>
      </c>
      <c r="B57" s="1326"/>
      <c r="C57" s="1326"/>
      <c r="D57" s="1326"/>
      <c r="E57" s="1326"/>
      <c r="F57" s="1326"/>
      <c r="G57" s="1326"/>
      <c r="H57" s="1326"/>
      <c r="I57" s="1326"/>
      <c r="J57" s="1326"/>
    </row>
    <row r="58" spans="1:10" ht="12.75">
      <c r="A58" s="1326"/>
      <c r="B58" s="1326"/>
      <c r="C58" s="1326"/>
      <c r="D58" s="1326"/>
      <c r="E58" s="1326"/>
      <c r="F58" s="1326"/>
      <c r="G58" s="1326"/>
      <c r="H58" s="1326"/>
      <c r="I58" s="1326"/>
      <c r="J58" s="1326"/>
    </row>
    <row r="59" spans="1:10" ht="12.75">
      <c r="A59" s="1326"/>
      <c r="B59" s="1326"/>
      <c r="C59" s="1326"/>
      <c r="D59" s="1326"/>
      <c r="E59" s="1326"/>
      <c r="F59" s="1326"/>
      <c r="G59" s="1326"/>
      <c r="H59" s="1326"/>
      <c r="I59" s="1326"/>
      <c r="J59" s="1326"/>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7" t="s">
        <v>2060</v>
      </c>
      <c r="B72" s="1327"/>
      <c r="C72" s="1327"/>
      <c r="D72" s="1327"/>
      <c r="E72" s="1327"/>
      <c r="F72" s="1327"/>
      <c r="G72" s="1327"/>
      <c r="H72" s="1327"/>
      <c r="I72" s="1327"/>
    </row>
    <row r="73" spans="1:9" ht="12.75">
      <c r="A73" s="1279" t="s">
        <v>2358</v>
      </c>
      <c r="B73" s="1279"/>
      <c r="C73" s="1279"/>
      <c r="D73" s="1279"/>
      <c r="E73" s="1279"/>
    </row>
    <row r="74" spans="1:9" ht="12.75">
      <c r="A74" s="1279" t="s">
        <v>2359</v>
      </c>
      <c r="B74" s="1279"/>
      <c r="C74" s="1279"/>
      <c r="D74" s="1279"/>
      <c r="E74" s="1279"/>
    </row>
    <row r="75" spans="1:9" ht="12.75">
      <c r="A75" s="1279" t="s">
        <v>2061</v>
      </c>
      <c r="B75" s="1279"/>
      <c r="C75" s="1279"/>
      <c r="D75" s="1279"/>
      <c r="E75" s="127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83" zoomScale="70" zoomScaleNormal="70" workbookViewId="0">
      <selection activeCell="D796" sqref="D796:F80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6" t="s">
        <v>2582</v>
      </c>
      <c r="B2" s="1356"/>
      <c r="C2" s="1356"/>
      <c r="D2" s="1356"/>
      <c r="E2" s="1356"/>
      <c r="F2" s="1356"/>
      <c r="G2" s="1356"/>
      <c r="H2" s="1356"/>
      <c r="I2" s="1356"/>
    </row>
    <row r="3" spans="1:13">
      <c r="A3" s="1344" t="s">
        <v>2628</v>
      </c>
      <c r="B3" s="1344"/>
      <c r="C3" s="1344"/>
      <c r="D3" s="1344"/>
      <c r="E3" s="1344"/>
      <c r="F3" s="1344"/>
      <c r="G3" s="1344"/>
      <c r="H3" s="1344"/>
      <c r="I3" s="1344"/>
    </row>
    <row r="4" spans="1:13">
      <c r="A4" s="1344"/>
      <c r="B4" s="1344"/>
      <c r="C4" s="1329"/>
      <c r="D4" s="1329"/>
      <c r="E4" s="1329"/>
      <c r="F4" s="1329"/>
      <c r="G4" s="1329"/>
    </row>
    <row r="5" spans="1:13">
      <c r="A5" s="1344"/>
      <c r="B5" s="1344"/>
      <c r="C5" s="1329"/>
      <c r="D5" s="1329"/>
      <c r="E5" s="1329"/>
      <c r="F5" s="1329"/>
      <c r="G5" s="1329"/>
    </row>
    <row r="6" spans="1:13" ht="12.75" customHeight="1">
      <c r="A6" s="1347" t="s">
        <v>2627</v>
      </c>
      <c r="B6" s="1347"/>
      <c r="C6" s="1347"/>
      <c r="D6" s="1347"/>
      <c r="E6" s="1347"/>
      <c r="F6" s="1347"/>
      <c r="G6" s="1347"/>
      <c r="I6" s="524" t="s">
        <v>2070</v>
      </c>
    </row>
    <row r="7" spans="1:13">
      <c r="A7" s="1347"/>
      <c r="B7" s="1347"/>
      <c r="C7" s="1347"/>
      <c r="D7" s="1347"/>
      <c r="E7" s="1347"/>
      <c r="F7" s="1347"/>
      <c r="G7" s="1347"/>
      <c r="I7" s="524" t="s">
        <v>2071</v>
      </c>
    </row>
    <row r="8" spans="1:13">
      <c r="A8" s="515"/>
      <c r="B8" s="515"/>
      <c r="C8" s="516"/>
      <c r="D8" s="516"/>
      <c r="E8" s="516"/>
      <c r="F8" s="516"/>
    </row>
    <row r="9" spans="1:13">
      <c r="A9" s="1288" t="s">
        <v>1167</v>
      </c>
      <c r="B9" s="1288"/>
      <c r="C9" s="1288"/>
      <c r="D9" s="1288"/>
      <c r="E9" s="1288"/>
      <c r="F9" s="1288"/>
      <c r="G9" s="1288"/>
      <c r="H9" s="1063"/>
      <c r="I9" s="1064"/>
    </row>
    <row r="10" spans="1:13">
      <c r="A10" s="516"/>
      <c r="B10" s="516"/>
      <c r="E10" s="435"/>
    </row>
    <row r="11" spans="1:13" ht="13.7" customHeight="1">
      <c r="C11" s="516"/>
      <c r="D11" s="1346" t="s">
        <v>1166</v>
      </c>
      <c r="E11" s="1346"/>
      <c r="F11" s="1346"/>
    </row>
    <row r="12" spans="1:13">
      <c r="C12" s="516"/>
      <c r="D12" s="1346"/>
      <c r="E12" s="1346"/>
      <c r="F12" s="1346"/>
    </row>
    <row r="13" spans="1:13">
      <c r="A13" s="517"/>
      <c r="B13" s="517"/>
      <c r="C13" s="517"/>
      <c r="D13" s="1301" t="s">
        <v>1149</v>
      </c>
      <c r="E13" s="1301"/>
      <c r="F13" s="1301"/>
      <c r="M13" s="96"/>
    </row>
    <row r="14" spans="1:13">
      <c r="A14" s="517"/>
      <c r="B14" s="517"/>
      <c r="C14" s="517"/>
      <c r="D14" s="510"/>
      <c r="L14" s="336"/>
    </row>
    <row r="15" spans="1:13" ht="14.25">
      <c r="A15" s="518"/>
      <c r="B15" s="519" t="s">
        <v>2731</v>
      </c>
      <c r="C15" s="517"/>
      <c r="D15" s="1300" t="s">
        <v>2221</v>
      </c>
      <c r="E15" s="1300"/>
      <c r="F15" s="1300"/>
      <c r="I15" s="524" t="s">
        <v>2072</v>
      </c>
    </row>
    <row r="16" spans="1:13">
      <c r="A16" s="517"/>
      <c r="B16" s="517"/>
      <c r="C16" s="517"/>
      <c r="D16" s="1300"/>
      <c r="E16" s="1300"/>
      <c r="F16" s="1300"/>
      <c r="I16" s="524"/>
    </row>
    <row r="17" spans="1:9">
      <c r="A17" s="517"/>
      <c r="B17" s="517"/>
      <c r="C17" s="517"/>
      <c r="D17" s="1300"/>
      <c r="E17" s="1300"/>
      <c r="F17" s="1300"/>
      <c r="I17" s="524"/>
    </row>
    <row r="18" spans="1:9">
      <c r="A18" s="517"/>
      <c r="B18" s="517"/>
      <c r="C18" s="517"/>
      <c r="D18" s="479"/>
      <c r="E18" s="336" t="s">
        <v>2219</v>
      </c>
      <c r="F18" s="479"/>
      <c r="I18" s="524"/>
    </row>
    <row r="19" spans="1:9">
      <c r="A19" s="517"/>
      <c r="B19" s="517"/>
      <c r="C19" s="517"/>
      <c r="I19" s="524"/>
    </row>
    <row r="20" spans="1:9" ht="14.25">
      <c r="A20" s="518"/>
      <c r="B20" s="519" t="s">
        <v>2731</v>
      </c>
      <c r="D20" s="1300" t="s">
        <v>2222</v>
      </c>
      <c r="E20" s="1300"/>
      <c r="F20" s="1300"/>
      <c r="I20" s="524" t="s">
        <v>2073</v>
      </c>
    </row>
    <row r="21" spans="1:9" ht="14.25">
      <c r="A21" s="518"/>
      <c r="D21" s="1300"/>
      <c r="E21" s="1300"/>
      <c r="F21" s="1300"/>
      <c r="I21" s="524"/>
    </row>
    <row r="22" spans="1:9" ht="14.25">
      <c r="A22" s="518"/>
      <c r="D22" s="423"/>
      <c r="E22" s="96" t="s">
        <v>2218</v>
      </c>
      <c r="F22" s="423"/>
      <c r="I22" s="524"/>
    </row>
    <row r="23" spans="1:9" ht="14.25">
      <c r="A23" s="518"/>
      <c r="B23" s="518"/>
      <c r="D23" s="480"/>
      <c r="I23" s="524"/>
    </row>
    <row r="24" spans="1:9" ht="14.25">
      <c r="A24" s="518"/>
      <c r="B24" s="519" t="s">
        <v>2732</v>
      </c>
      <c r="D24" s="1300" t="s">
        <v>1152</v>
      </c>
      <c r="E24" s="1300"/>
      <c r="F24" s="1300"/>
      <c r="I24" s="524" t="s">
        <v>2073</v>
      </c>
    </row>
    <row r="25" spans="1:9" ht="14.25">
      <c r="A25" s="518"/>
      <c r="B25" s="518"/>
      <c r="D25" s="1300"/>
      <c r="E25" s="1300"/>
      <c r="F25" s="1300"/>
      <c r="I25" s="524"/>
    </row>
    <row r="26" spans="1:9">
      <c r="I26" s="524"/>
    </row>
    <row r="27" spans="1:9" ht="14.25">
      <c r="A27" s="518"/>
      <c r="B27" s="519" t="s">
        <v>2731</v>
      </c>
      <c r="D27" s="1300" t="s">
        <v>2361</v>
      </c>
      <c r="E27" s="1300"/>
      <c r="F27" s="1300"/>
      <c r="I27" s="524" t="s">
        <v>2076</v>
      </c>
    </row>
    <row r="28" spans="1:9">
      <c r="D28" s="1300"/>
      <c r="E28" s="1300"/>
      <c r="F28" s="1300"/>
      <c r="I28" s="524"/>
    </row>
    <row r="29" spans="1:9">
      <c r="D29" s="1300"/>
      <c r="E29" s="1300"/>
      <c r="F29" s="1300"/>
      <c r="I29" s="524"/>
    </row>
    <row r="30" spans="1:9">
      <c r="D30" s="1300"/>
      <c r="E30" s="1300"/>
      <c r="F30" s="1300"/>
      <c r="I30" s="524"/>
    </row>
    <row r="31" spans="1:9">
      <c r="D31" s="1300"/>
      <c r="E31" s="1300"/>
      <c r="F31" s="1300"/>
      <c r="I31" s="524"/>
    </row>
    <row r="32" spans="1:9">
      <c r="D32" s="481"/>
      <c r="I32" s="524"/>
    </row>
    <row r="33" spans="1:9">
      <c r="B33" s="519" t="s">
        <v>2732</v>
      </c>
      <c r="D33" s="1300" t="s">
        <v>2362</v>
      </c>
      <c r="E33" s="1300"/>
      <c r="F33" s="1300"/>
      <c r="I33" s="524" t="s">
        <v>2072</v>
      </c>
    </row>
    <row r="34" spans="1:9">
      <c r="D34" s="1300"/>
      <c r="E34" s="1300"/>
      <c r="F34" s="1300"/>
      <c r="I34" s="524"/>
    </row>
    <row r="35" spans="1:9" ht="14.25">
      <c r="A35" s="518"/>
      <c r="B35" s="518"/>
      <c r="D35" s="481"/>
      <c r="I35" s="524"/>
    </row>
    <row r="36" spans="1:9" ht="14.45" customHeight="1">
      <c r="A36" s="518"/>
      <c r="B36" s="519" t="s">
        <v>2732</v>
      </c>
      <c r="D36" s="1300" t="s">
        <v>1319</v>
      </c>
      <c r="E36" s="1300"/>
      <c r="F36" s="1300"/>
      <c r="I36" s="524" t="s">
        <v>2143</v>
      </c>
    </row>
    <row r="37" spans="1:9" ht="14.25">
      <c r="A37" s="518"/>
      <c r="B37" s="518"/>
      <c r="D37" s="1300"/>
      <c r="E37" s="1300"/>
      <c r="F37" s="1300"/>
      <c r="I37" s="524"/>
    </row>
    <row r="38" spans="1:9" ht="14.25">
      <c r="A38" s="518"/>
      <c r="B38" s="518"/>
      <c r="D38" s="1300"/>
      <c r="E38" s="1300"/>
      <c r="F38" s="1300"/>
      <c r="I38" s="524"/>
    </row>
    <row r="39" spans="1:9" ht="14.25">
      <c r="A39" s="518"/>
      <c r="B39" s="518"/>
      <c r="D39" s="1300"/>
      <c r="E39" s="1300"/>
      <c r="F39" s="1300"/>
      <c r="I39" s="524"/>
    </row>
    <row r="40" spans="1:9" ht="14.25">
      <c r="A40" s="518"/>
      <c r="B40" s="518"/>
      <c r="I40" s="524"/>
    </row>
    <row r="41" spans="1:9" ht="14.25">
      <c r="A41" s="518"/>
      <c r="B41" s="519" t="s">
        <v>2732</v>
      </c>
      <c r="D41" s="1300" t="s">
        <v>1156</v>
      </c>
      <c r="E41" s="1300"/>
      <c r="F41" s="1300"/>
      <c r="I41" s="524"/>
    </row>
    <row r="42" spans="1:9" ht="14.25">
      <c r="A42" s="518"/>
      <c r="B42" s="518"/>
      <c r="D42" s="1300"/>
      <c r="E42" s="1300"/>
      <c r="F42" s="1300"/>
      <c r="I42" s="524"/>
    </row>
    <row r="43" spans="1:9" ht="14.25">
      <c r="A43" s="518"/>
      <c r="B43" s="518"/>
      <c r="D43" s="1300"/>
      <c r="E43" s="1300"/>
      <c r="F43" s="1300"/>
      <c r="I43" s="524"/>
    </row>
    <row r="44" spans="1:9" ht="14.25">
      <c r="A44" s="518"/>
      <c r="B44" s="518"/>
      <c r="D44" s="1300"/>
      <c r="E44" s="1300"/>
      <c r="F44" s="1300"/>
      <c r="I44" s="524"/>
    </row>
    <row r="45" spans="1:9" ht="14.25">
      <c r="A45" s="518"/>
      <c r="B45" s="518"/>
      <c r="D45" s="1300"/>
      <c r="E45" s="1300"/>
      <c r="F45" s="1300"/>
      <c r="I45" s="524"/>
    </row>
    <row r="46" spans="1:9" ht="14.25">
      <c r="A46" s="518"/>
      <c r="B46" s="518"/>
      <c r="D46" s="479"/>
      <c r="E46" s="479"/>
      <c r="F46" s="479"/>
      <c r="I46" s="524"/>
    </row>
    <row r="47" spans="1:9" ht="14.25">
      <c r="A47" s="518"/>
      <c r="B47" s="519" t="s">
        <v>2731</v>
      </c>
      <c r="D47" s="1300" t="s">
        <v>1157</v>
      </c>
      <c r="E47" s="1300"/>
      <c r="F47" s="1300"/>
      <c r="I47" s="524" t="s">
        <v>2143</v>
      </c>
    </row>
    <row r="48" spans="1:9" ht="14.25">
      <c r="A48" s="518"/>
      <c r="B48" s="518"/>
      <c r="D48" s="1300"/>
      <c r="E48" s="1300"/>
      <c r="F48" s="1300"/>
      <c r="I48" s="524"/>
    </row>
    <row r="49" spans="1:9" ht="14.25">
      <c r="A49" s="518"/>
      <c r="B49" s="518"/>
      <c r="D49" s="1300"/>
      <c r="E49" s="1300"/>
      <c r="F49" s="1300"/>
      <c r="I49" s="524"/>
    </row>
    <row r="50" spans="1:9" ht="23.25" customHeight="1">
      <c r="A50" s="518"/>
      <c r="B50" s="518"/>
      <c r="D50" s="1300"/>
      <c r="E50" s="1300"/>
      <c r="F50" s="1300"/>
      <c r="I50" s="524"/>
    </row>
    <row r="51" spans="1:9" ht="14.25">
      <c r="A51" s="518"/>
      <c r="B51" s="518"/>
      <c r="D51" s="480"/>
      <c r="I51" s="524"/>
    </row>
    <row r="52" spans="1:9" ht="14.45" customHeight="1">
      <c r="A52" s="518"/>
      <c r="B52" s="519" t="s">
        <v>2732</v>
      </c>
      <c r="D52" s="1300" t="s">
        <v>1158</v>
      </c>
      <c r="E52" s="1300"/>
      <c r="F52" s="1300"/>
      <c r="I52" s="524" t="s">
        <v>2143</v>
      </c>
    </row>
    <row r="53" spans="1:9" ht="14.25">
      <c r="A53" s="518"/>
      <c r="B53" s="518"/>
      <c r="D53" s="1300"/>
      <c r="E53" s="1300"/>
      <c r="F53" s="1300"/>
      <c r="I53" s="524"/>
    </row>
    <row r="54" spans="1:9" ht="14.25">
      <c r="A54" s="518"/>
      <c r="B54" s="518"/>
      <c r="D54" s="1300"/>
      <c r="E54" s="1300"/>
      <c r="F54" s="1300"/>
      <c r="I54" s="524"/>
    </row>
    <row r="55" spans="1:9" ht="14.25">
      <c r="A55" s="518"/>
      <c r="B55" s="518"/>
      <c r="I55" s="524"/>
    </row>
    <row r="56" spans="1:9" ht="14.25">
      <c r="A56" s="518"/>
      <c r="B56" s="519" t="s">
        <v>2731</v>
      </c>
      <c r="D56" s="1349" t="s">
        <v>1159</v>
      </c>
      <c r="E56" s="1349"/>
      <c r="F56" s="1349"/>
      <c r="I56" s="524"/>
    </row>
    <row r="57" spans="1:9" ht="14.25">
      <c r="A57" s="518"/>
      <c r="B57" s="518"/>
      <c r="D57" s="1349"/>
      <c r="E57" s="1349"/>
      <c r="F57" s="1349"/>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2732</v>
      </c>
      <c r="D61" s="1300" t="s">
        <v>1160</v>
      </c>
      <c r="E61" s="1300"/>
      <c r="F61" s="1300"/>
      <c r="I61" s="524" t="s">
        <v>2074</v>
      </c>
    </row>
    <row r="62" spans="1:9">
      <c r="D62" s="1300"/>
      <c r="E62" s="1300"/>
      <c r="F62" s="1300"/>
      <c r="I62" s="524"/>
    </row>
    <row r="63" spans="1:9">
      <c r="D63" s="1300"/>
      <c r="E63" s="1300"/>
      <c r="F63" s="1300"/>
      <c r="I63" s="524"/>
    </row>
    <row r="64" spans="1:9">
      <c r="I64" s="524"/>
    </row>
    <row r="65" spans="1:9" ht="14.25">
      <c r="A65" s="518"/>
      <c r="B65" s="519" t="s">
        <v>2732</v>
      </c>
      <c r="D65" s="1300" t="s">
        <v>1161</v>
      </c>
      <c r="E65" s="1300"/>
      <c r="F65" s="1300"/>
      <c r="I65" s="524" t="s">
        <v>2075</v>
      </c>
    </row>
    <row r="66" spans="1:9">
      <c r="D66" s="1300"/>
      <c r="E66" s="1300"/>
      <c r="F66" s="1300"/>
      <c r="I66" s="524"/>
    </row>
    <row r="67" spans="1:9">
      <c r="I67" s="524"/>
    </row>
    <row r="68" spans="1:9" ht="14.25">
      <c r="A68" s="518"/>
      <c r="B68" s="519" t="s">
        <v>2732</v>
      </c>
      <c r="D68" s="1300" t="s">
        <v>1162</v>
      </c>
      <c r="E68" s="1300"/>
      <c r="F68" s="1300"/>
      <c r="I68" s="524"/>
    </row>
    <row r="69" spans="1:9">
      <c r="D69" s="1300"/>
      <c r="E69" s="1300"/>
      <c r="F69" s="1300"/>
      <c r="I69" s="524" t="s">
        <v>2076</v>
      </c>
    </row>
    <row r="70" spans="1:9">
      <c r="D70" s="1300"/>
      <c r="E70" s="1300"/>
      <c r="F70" s="1300"/>
      <c r="I70" s="524"/>
    </row>
    <row r="71" spans="1:9">
      <c r="I71" s="524"/>
    </row>
    <row r="72" spans="1:9" ht="14.25">
      <c r="A72" s="518"/>
      <c r="B72" s="519" t="s">
        <v>2732</v>
      </c>
      <c r="D72" s="1300" t="s">
        <v>1163</v>
      </c>
      <c r="E72" s="1300"/>
      <c r="F72" s="1300"/>
      <c r="I72" s="524" t="s">
        <v>2076</v>
      </c>
    </row>
    <row r="73" spans="1:9">
      <c r="D73" s="1300"/>
      <c r="E73" s="1300"/>
      <c r="F73" s="1300"/>
      <c r="I73" s="524"/>
    </row>
    <row r="74" spans="1:9" ht="14.25">
      <c r="A74" s="518"/>
      <c r="B74" s="518"/>
      <c r="D74" s="480"/>
      <c r="I74" s="524"/>
    </row>
    <row r="75" spans="1:9">
      <c r="A75" s="1288" t="s">
        <v>1070</v>
      </c>
      <c r="B75" s="1288"/>
      <c r="C75" s="1288"/>
      <c r="D75" s="1288"/>
      <c r="E75" s="1288"/>
      <c r="F75" s="1288"/>
      <c r="G75" s="1288"/>
      <c r="H75" s="1063"/>
      <c r="I75" s="1259"/>
    </row>
    <row r="76" spans="1:9">
      <c r="I76" s="524"/>
    </row>
    <row r="77" spans="1:9">
      <c r="C77" s="520"/>
      <c r="D77" s="1302" t="s">
        <v>1168</v>
      </c>
      <c r="E77" s="1302"/>
      <c r="F77" s="1302"/>
      <c r="I77" s="524"/>
    </row>
    <row r="78" spans="1:9">
      <c r="A78" s="480"/>
      <c r="B78" s="480"/>
      <c r="D78" s="1300" t="s">
        <v>1195</v>
      </c>
      <c r="E78" s="1300"/>
      <c r="F78" s="1300"/>
      <c r="I78" s="524"/>
    </row>
    <row r="79" spans="1:9">
      <c r="A79" s="480"/>
      <c r="B79" s="480"/>
      <c r="I79" s="524"/>
    </row>
    <row r="80" spans="1:9" ht="13.7" customHeight="1">
      <c r="A80" s="518"/>
      <c r="B80" s="519" t="s">
        <v>2731</v>
      </c>
      <c r="D80" s="1300" t="s">
        <v>1352</v>
      </c>
      <c r="E80" s="1300"/>
      <c r="F80" s="1300"/>
      <c r="I80" s="524" t="s">
        <v>2077</v>
      </c>
    </row>
    <row r="81" spans="1:9" ht="14.25">
      <c r="A81" s="518"/>
      <c r="B81" s="518"/>
      <c r="D81" s="1300"/>
      <c r="E81" s="1300"/>
      <c r="F81" s="1300"/>
      <c r="I81" s="524"/>
    </row>
    <row r="82" spans="1:9" ht="14.25">
      <c r="A82" s="518"/>
      <c r="B82" s="518"/>
      <c r="D82" s="1300"/>
      <c r="E82" s="1300"/>
      <c r="F82" s="1300"/>
      <c r="I82" s="524"/>
    </row>
    <row r="83" spans="1:9" ht="14.25">
      <c r="A83" s="518"/>
      <c r="B83" s="518"/>
      <c r="D83" s="1300"/>
      <c r="E83" s="1300"/>
      <c r="F83" s="1300"/>
      <c r="I83" s="524"/>
    </row>
    <row r="84" spans="1:9" ht="14.25">
      <c r="A84" s="518"/>
      <c r="B84" s="518"/>
      <c r="D84" s="1300"/>
      <c r="E84" s="1300"/>
      <c r="F84" s="1300"/>
      <c r="I84" s="524"/>
    </row>
    <row r="85" spans="1:9" ht="14.25">
      <c r="A85" s="518"/>
      <c r="B85" s="518"/>
      <c r="D85" s="1300"/>
      <c r="E85" s="1300"/>
      <c r="F85" s="1300"/>
      <c r="I85" s="524"/>
    </row>
    <row r="86" spans="1:9" ht="14.25">
      <c r="A86" s="518"/>
      <c r="B86" s="518"/>
      <c r="D86" s="1300"/>
      <c r="E86" s="1300"/>
      <c r="F86" s="1300"/>
      <c r="I86" s="524"/>
    </row>
    <row r="87" spans="1:9" ht="14.25">
      <c r="A87" s="518"/>
      <c r="B87" s="518"/>
      <c r="D87" s="1300"/>
      <c r="E87" s="1300"/>
      <c r="F87" s="1300"/>
      <c r="I87" s="524"/>
    </row>
    <row r="88" spans="1:9" ht="14.25">
      <c r="A88" s="518"/>
      <c r="B88" s="518"/>
      <c r="D88" s="416"/>
      <c r="E88" s="416"/>
      <c r="F88" s="416"/>
      <c r="I88" s="524"/>
    </row>
    <row r="89" spans="1:9" ht="15" customHeight="1">
      <c r="A89" s="518"/>
      <c r="B89" s="519" t="s">
        <v>2731</v>
      </c>
      <c r="D89" s="1300" t="s">
        <v>1931</v>
      </c>
      <c r="E89" s="1300"/>
      <c r="F89" s="1300"/>
      <c r="I89" s="524" t="s">
        <v>2078</v>
      </c>
    </row>
    <row r="90" spans="1:9" ht="14.25">
      <c r="A90" s="518"/>
      <c r="B90" s="518"/>
      <c r="D90" s="1300"/>
      <c r="E90" s="1300"/>
      <c r="F90" s="1300"/>
      <c r="I90" s="524"/>
    </row>
    <row r="91" spans="1:9" ht="14.25">
      <c r="A91" s="518"/>
      <c r="B91" s="518"/>
      <c r="D91" s="479"/>
      <c r="E91" s="479"/>
      <c r="F91" s="479"/>
      <c r="I91" s="524"/>
    </row>
    <row r="92" spans="1:9" ht="14.25">
      <c r="A92" s="518"/>
      <c r="B92" s="519" t="s">
        <v>2731</v>
      </c>
      <c r="D92" s="1300" t="s">
        <v>1934</v>
      </c>
      <c r="E92" s="1300"/>
      <c r="F92" s="1300"/>
      <c r="I92" s="524" t="s">
        <v>2079</v>
      </c>
    </row>
    <row r="93" spans="1:9" ht="14.25">
      <c r="A93" s="518"/>
      <c r="B93" s="518"/>
      <c r="D93" s="1300"/>
      <c r="E93" s="1300"/>
      <c r="F93" s="1300"/>
      <c r="I93" s="524"/>
    </row>
    <row r="94" spans="1:9" ht="14.25">
      <c r="A94" s="518"/>
      <c r="B94" s="518"/>
      <c r="D94" s="1300"/>
      <c r="E94" s="1300"/>
      <c r="F94" s="1300"/>
      <c r="I94" s="524"/>
    </row>
    <row r="95" spans="1:9" ht="14.25">
      <c r="A95" s="518"/>
      <c r="B95" s="518"/>
      <c r="D95" s="479"/>
      <c r="E95" s="479"/>
      <c r="F95" s="479"/>
      <c r="I95" s="524"/>
    </row>
    <row r="96" spans="1:9" ht="14.25">
      <c r="A96" s="518"/>
      <c r="B96" s="519" t="s">
        <v>2731</v>
      </c>
      <c r="D96" s="1300" t="s">
        <v>1933</v>
      </c>
      <c r="E96" s="1300"/>
      <c r="F96" s="1300"/>
      <c r="I96" s="524" t="s">
        <v>2124</v>
      </c>
    </row>
    <row r="97" spans="1:9" s="1022" customFormat="1" ht="14.25">
      <c r="A97" s="1020"/>
      <c r="B97" s="1020"/>
      <c r="C97" s="1021"/>
      <c r="D97" s="1300"/>
      <c r="E97" s="1300"/>
      <c r="F97" s="1300"/>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2732</v>
      </c>
      <c r="D100" s="1300" t="s">
        <v>1932</v>
      </c>
      <c r="E100" s="1300"/>
      <c r="F100" s="1300"/>
      <c r="I100" s="524" t="s">
        <v>2080</v>
      </c>
    </row>
    <row r="101" spans="1:9" ht="14.25">
      <c r="A101" s="518"/>
      <c r="B101" s="518"/>
      <c r="D101" s="1300"/>
      <c r="E101" s="1300"/>
      <c r="F101" s="1300"/>
      <c r="I101" s="524"/>
    </row>
    <row r="102" spans="1:9" ht="14.25">
      <c r="A102" s="518"/>
      <c r="B102" s="518"/>
      <c r="D102" s="479"/>
      <c r="E102" s="479"/>
      <c r="F102" s="479"/>
      <c r="I102" s="524"/>
    </row>
    <row r="103" spans="1:9" ht="14.45" customHeight="1">
      <c r="A103" s="518"/>
      <c r="B103" s="519" t="s">
        <v>2732</v>
      </c>
      <c r="D103" s="1300" t="s">
        <v>1299</v>
      </c>
      <c r="E103" s="1300"/>
      <c r="F103" s="1300"/>
      <c r="I103" s="524" t="s">
        <v>2081</v>
      </c>
    </row>
    <row r="104" spans="1:9" ht="14.25">
      <c r="A104" s="518"/>
      <c r="B104" s="518"/>
      <c r="D104" s="1300"/>
      <c r="E104" s="1300"/>
      <c r="F104" s="1300"/>
      <c r="I104" s="524"/>
    </row>
    <row r="105" spans="1:9" ht="14.25">
      <c r="A105" s="518"/>
      <c r="B105" s="518"/>
      <c r="D105" s="1300"/>
      <c r="E105" s="1300"/>
      <c r="F105" s="1300"/>
      <c r="I105" s="524"/>
    </row>
    <row r="106" spans="1:9" ht="14.25">
      <c r="A106" s="518"/>
      <c r="B106" s="518"/>
      <c r="D106" s="1300"/>
      <c r="E106" s="1300"/>
      <c r="F106" s="1300"/>
      <c r="I106" s="524"/>
    </row>
    <row r="107" spans="1:9" ht="14.25">
      <c r="A107" s="518"/>
      <c r="B107" s="518"/>
      <c r="D107" s="1300"/>
      <c r="E107" s="1300"/>
      <c r="F107" s="1300"/>
      <c r="I107" s="524"/>
    </row>
    <row r="108" spans="1:9" ht="14.25">
      <c r="A108" s="518"/>
      <c r="B108" s="518"/>
      <c r="D108" s="1300"/>
      <c r="E108" s="1300"/>
      <c r="F108" s="1300"/>
      <c r="I108" s="524"/>
    </row>
    <row r="109" spans="1:9" ht="14.25">
      <c r="A109" s="518"/>
      <c r="B109" s="518"/>
      <c r="D109" s="1300"/>
      <c r="E109" s="1300"/>
      <c r="F109" s="1300"/>
      <c r="I109" s="524"/>
    </row>
    <row r="110" spans="1:9" ht="14.25">
      <c r="A110" s="518"/>
      <c r="B110" s="518"/>
      <c r="D110" s="1300"/>
      <c r="E110" s="1300"/>
      <c r="F110" s="1300"/>
      <c r="I110" s="524"/>
    </row>
    <row r="111" spans="1:9" ht="14.25">
      <c r="A111" s="518"/>
      <c r="B111" s="518"/>
      <c r="D111" s="1300"/>
      <c r="E111" s="1300"/>
      <c r="F111" s="1300"/>
      <c r="I111" s="524"/>
    </row>
    <row r="112" spans="1:9" ht="14.25">
      <c r="A112" s="518"/>
      <c r="B112" s="518"/>
      <c r="D112" s="1300"/>
      <c r="E112" s="1300"/>
      <c r="F112" s="1300"/>
      <c r="I112" s="524"/>
    </row>
    <row r="113" spans="1:9" ht="14.25">
      <c r="A113" s="518"/>
      <c r="B113" s="518"/>
      <c r="D113" s="1300"/>
      <c r="E113" s="1300"/>
      <c r="F113" s="1300"/>
      <c r="I113" s="524"/>
    </row>
    <row r="114" spans="1:9" ht="14.25">
      <c r="A114" s="518"/>
      <c r="B114" s="518"/>
      <c r="D114" s="1300"/>
      <c r="E114" s="1300"/>
      <c r="F114" s="1300"/>
      <c r="I114" s="524"/>
    </row>
    <row r="115" spans="1:9" ht="14.25">
      <c r="A115" s="518"/>
      <c r="B115" s="518"/>
      <c r="D115" s="1300"/>
      <c r="E115" s="1300"/>
      <c r="F115" s="1300"/>
      <c r="I115" s="524"/>
    </row>
    <row r="116" spans="1:9" ht="14.25">
      <c r="A116" s="518"/>
      <c r="B116" s="518"/>
      <c r="D116" s="1300"/>
      <c r="E116" s="1300"/>
      <c r="F116" s="1300"/>
      <c r="I116" s="524"/>
    </row>
    <row r="117" spans="1:9" ht="14.25">
      <c r="A117" s="518"/>
      <c r="B117" s="518"/>
      <c r="D117" s="1300"/>
      <c r="E117" s="1300"/>
      <c r="F117" s="1300"/>
      <c r="I117" s="524"/>
    </row>
    <row r="118" spans="1:9" ht="14.25">
      <c r="A118" s="518"/>
      <c r="B118" s="518"/>
      <c r="D118" s="558"/>
      <c r="E118" s="558"/>
      <c r="F118" s="558"/>
      <c r="I118" s="524"/>
    </row>
    <row r="119" spans="1:9" ht="14.25" customHeight="1">
      <c r="A119" s="518"/>
      <c r="B119" s="519" t="s">
        <v>2732</v>
      </c>
      <c r="D119" s="1311" t="s">
        <v>1170</v>
      </c>
      <c r="E119" s="1311"/>
      <c r="F119" s="1311"/>
      <c r="I119" s="524"/>
    </row>
    <row r="120" spans="1:9" ht="14.25">
      <c r="A120" s="518"/>
      <c r="B120" s="518"/>
      <c r="D120" s="1311"/>
      <c r="E120" s="1311"/>
      <c r="F120" s="1311"/>
      <c r="I120" s="524"/>
    </row>
    <row r="121" spans="1:9" ht="14.25">
      <c r="A121" s="518"/>
      <c r="B121" s="518"/>
      <c r="D121" s="1311"/>
      <c r="E121" s="1311"/>
      <c r="F121" s="1311"/>
      <c r="I121" s="524"/>
    </row>
    <row r="122" spans="1:9" ht="14.25">
      <c r="A122" s="518"/>
      <c r="B122" s="518"/>
      <c r="D122" s="1311"/>
      <c r="E122" s="1311"/>
      <c r="F122" s="1311"/>
      <c r="I122" s="524"/>
    </row>
    <row r="123" spans="1:9" ht="14.25">
      <c r="A123" s="518"/>
      <c r="B123" s="518"/>
      <c r="D123" s="1311"/>
      <c r="E123" s="1311"/>
      <c r="F123" s="1311"/>
      <c r="I123" s="524"/>
    </row>
    <row r="124" spans="1:9" ht="14.25">
      <c r="A124" s="518"/>
      <c r="B124" s="518"/>
      <c r="D124" s="1311"/>
      <c r="E124" s="1311"/>
      <c r="F124" s="1311"/>
      <c r="I124" s="524"/>
    </row>
    <row r="125" spans="1:9" ht="14.25">
      <c r="A125" s="518"/>
      <c r="B125" s="518"/>
      <c r="D125" s="1311"/>
      <c r="E125" s="1311"/>
      <c r="F125" s="1311"/>
      <c r="I125" s="524"/>
    </row>
    <row r="126" spans="1:9" ht="14.25">
      <c r="A126" s="518"/>
      <c r="B126" s="518"/>
      <c r="D126" s="1311"/>
      <c r="E126" s="1311"/>
      <c r="F126" s="1311"/>
      <c r="I126" s="524"/>
    </row>
    <row r="127" spans="1:9">
      <c r="C127" s="433"/>
      <c r="D127" s="559"/>
      <c r="E127" s="559"/>
      <c r="F127" s="559"/>
      <c r="I127" s="524"/>
    </row>
    <row r="128" spans="1:9" ht="14.25">
      <c r="A128" s="518"/>
      <c r="B128" s="519" t="s">
        <v>2731</v>
      </c>
      <c r="C128" s="433"/>
      <c r="D128" s="1311" t="s">
        <v>2363</v>
      </c>
      <c r="E128" s="1311"/>
      <c r="F128" s="1311"/>
      <c r="I128" s="524" t="s">
        <v>2082</v>
      </c>
    </row>
    <row r="129" spans="1:9" ht="14.25">
      <c r="A129" s="518"/>
      <c r="B129" s="518"/>
      <c r="C129" s="433"/>
      <c r="D129" s="1311"/>
      <c r="E129" s="1311"/>
      <c r="F129" s="1311"/>
      <c r="I129" s="524"/>
    </row>
    <row r="130" spans="1:9">
      <c r="I130" s="524"/>
    </row>
    <row r="131" spans="1:9" ht="14.25">
      <c r="A131" s="518"/>
      <c r="B131" s="519" t="s">
        <v>2731</v>
      </c>
      <c r="D131" s="1300" t="s">
        <v>1173</v>
      </c>
      <c r="E131" s="1300"/>
      <c r="F131" s="1300"/>
      <c r="I131" s="524" t="s">
        <v>2082</v>
      </c>
    </row>
    <row r="132" spans="1:9">
      <c r="D132" s="1300"/>
      <c r="E132" s="1300"/>
      <c r="F132" s="1300"/>
      <c r="I132" s="524"/>
    </row>
    <row r="133" spans="1:9">
      <c r="D133" s="1300"/>
      <c r="E133" s="1300"/>
      <c r="F133" s="1300"/>
      <c r="I133" s="524"/>
    </row>
    <row r="134" spans="1:9">
      <c r="D134" s="1300"/>
      <c r="E134" s="1300"/>
      <c r="F134" s="1300"/>
      <c r="I134" s="524"/>
    </row>
    <row r="135" spans="1:9">
      <c r="D135" s="1300"/>
      <c r="E135" s="1300"/>
      <c r="F135" s="1300"/>
      <c r="I135" s="524"/>
    </row>
    <row r="136" spans="1:9">
      <c r="I136" s="524"/>
    </row>
    <row r="137" spans="1:9" ht="14.25">
      <c r="A137" s="518"/>
      <c r="B137" s="519" t="s">
        <v>2731</v>
      </c>
      <c r="D137" s="1300" t="s">
        <v>1174</v>
      </c>
      <c r="E137" s="1300"/>
      <c r="F137" s="1300"/>
      <c r="I137" s="524" t="s">
        <v>2083</v>
      </c>
    </row>
    <row r="138" spans="1:9" s="448" customFormat="1" ht="13.7" customHeight="1">
      <c r="A138" s="522"/>
      <c r="B138" s="522"/>
      <c r="C138" s="522"/>
      <c r="D138" s="1300"/>
      <c r="E138" s="1300"/>
      <c r="F138" s="1300"/>
      <c r="I138" s="1261"/>
    </row>
    <row r="139" spans="1:9" ht="13.7" customHeight="1">
      <c r="D139" s="1300"/>
      <c r="E139" s="1300"/>
      <c r="F139" s="1300"/>
      <c r="I139" s="524"/>
    </row>
    <row r="140" spans="1:9" ht="13.7" customHeight="1">
      <c r="D140" s="1300"/>
      <c r="E140" s="1300"/>
      <c r="F140" s="1300"/>
      <c r="I140" s="524"/>
    </row>
    <row r="141" spans="1:9" ht="13.7" customHeight="1">
      <c r="D141" s="1300"/>
      <c r="E141" s="1300"/>
      <c r="F141" s="1300"/>
      <c r="I141" s="524"/>
    </row>
    <row r="142" spans="1:9" ht="13.7" customHeight="1">
      <c r="A142" s="523"/>
      <c r="B142" s="523"/>
      <c r="D142" s="1300"/>
      <c r="E142" s="1300"/>
      <c r="F142" s="1300"/>
      <c r="I142" s="524"/>
    </row>
    <row r="143" spans="1:9" ht="13.7" customHeight="1">
      <c r="D143" s="1300"/>
      <c r="E143" s="1300"/>
      <c r="F143" s="1300"/>
      <c r="I143" s="524"/>
    </row>
    <row r="144" spans="1:9" ht="13.7" customHeight="1">
      <c r="D144" s="1300"/>
      <c r="E144" s="1300"/>
      <c r="F144" s="1300"/>
      <c r="I144" s="524"/>
    </row>
    <row r="145" spans="2:9" ht="13.7" customHeight="1">
      <c r="D145" s="1300"/>
      <c r="E145" s="1300"/>
      <c r="F145" s="1300"/>
      <c r="I145" s="524"/>
    </row>
    <row r="146" spans="2:9" ht="13.7" customHeight="1">
      <c r="D146" s="1300"/>
      <c r="E146" s="1300"/>
      <c r="F146" s="1300"/>
      <c r="I146" s="524"/>
    </row>
    <row r="147" spans="2:9" ht="13.7" customHeight="1">
      <c r="D147" s="1300"/>
      <c r="E147" s="1300"/>
      <c r="F147" s="1300"/>
      <c r="I147" s="524"/>
    </row>
    <row r="148" spans="2:9" ht="13.7" customHeight="1">
      <c r="D148" s="1300"/>
      <c r="E148" s="1300"/>
      <c r="F148" s="1300"/>
      <c r="I148" s="524"/>
    </row>
    <row r="149" spans="2:9" ht="13.7" customHeight="1">
      <c r="D149" s="1300"/>
      <c r="E149" s="1300"/>
      <c r="F149" s="1300"/>
      <c r="I149" s="524"/>
    </row>
    <row r="150" spans="2:9" ht="13.7" customHeight="1">
      <c r="D150" s="510"/>
      <c r="E150" s="480"/>
      <c r="F150" s="480"/>
      <c r="I150" s="524"/>
    </row>
    <row r="151" spans="2:9" ht="13.7" customHeight="1">
      <c r="B151" s="519" t="s">
        <v>2731</v>
      </c>
      <c r="D151" s="1300" t="s">
        <v>1282</v>
      </c>
      <c r="E151" s="1300"/>
      <c r="F151" s="1300"/>
      <c r="I151" s="524" t="s">
        <v>2084</v>
      </c>
    </row>
    <row r="152" spans="2:9" ht="13.7" customHeight="1">
      <c r="D152" s="1300"/>
      <c r="E152" s="1300"/>
      <c r="F152" s="1300"/>
      <c r="I152" s="524"/>
    </row>
    <row r="153" spans="2:9" ht="13.7" customHeight="1">
      <c r="D153" s="1300"/>
      <c r="E153" s="1300"/>
      <c r="F153" s="1300"/>
      <c r="I153" s="524"/>
    </row>
    <row r="154" spans="2:9" ht="13.7" customHeight="1">
      <c r="D154" s="1300"/>
      <c r="E154" s="1300"/>
      <c r="F154" s="1300"/>
      <c r="I154" s="524"/>
    </row>
    <row r="155" spans="2:9" ht="13.7" customHeight="1">
      <c r="D155" s="1300"/>
      <c r="E155" s="1300"/>
      <c r="F155" s="1300"/>
      <c r="I155" s="524"/>
    </row>
    <row r="156" spans="2:9" ht="13.7" customHeight="1">
      <c r="D156" s="1300"/>
      <c r="E156" s="1300"/>
      <c r="F156" s="1300"/>
      <c r="I156" s="524"/>
    </row>
    <row r="157" spans="2:9" ht="13.7" customHeight="1">
      <c r="D157" s="1300"/>
      <c r="E157" s="1300"/>
      <c r="F157" s="1300"/>
      <c r="I157" s="524"/>
    </row>
    <row r="158" spans="2:9" ht="13.7" customHeight="1">
      <c r="D158" s="1300"/>
      <c r="E158" s="1300"/>
      <c r="F158" s="1300"/>
      <c r="I158" s="524"/>
    </row>
    <row r="159" spans="2:9" ht="13.7" customHeight="1">
      <c r="D159" s="1300"/>
      <c r="E159" s="1300"/>
      <c r="F159" s="1300"/>
      <c r="I159" s="524"/>
    </row>
    <row r="160" spans="2:9" ht="13.7" customHeight="1">
      <c r="D160" s="1300"/>
      <c r="E160" s="1300"/>
      <c r="F160" s="1300"/>
      <c r="I160" s="524"/>
    </row>
    <row r="161" spans="1:9" ht="13.7" customHeight="1">
      <c r="D161" s="1300"/>
      <c r="E161" s="1300"/>
      <c r="F161" s="1300"/>
      <c r="I161" s="524"/>
    </row>
    <row r="162" spans="1:9" ht="13.7" customHeight="1">
      <c r="D162" s="1300"/>
      <c r="E162" s="1300"/>
      <c r="F162" s="1300"/>
      <c r="I162" s="524"/>
    </row>
    <row r="163" spans="1:9" ht="13.7" customHeight="1">
      <c r="D163" s="1300"/>
      <c r="E163" s="1300"/>
      <c r="F163" s="1300"/>
      <c r="I163" s="524"/>
    </row>
    <row r="164" spans="1:9" ht="13.7" customHeight="1">
      <c r="D164" s="1300"/>
      <c r="E164" s="1300"/>
      <c r="F164" s="1300"/>
      <c r="I164" s="524"/>
    </row>
    <row r="165" spans="1:9" ht="13.7" customHeight="1">
      <c r="D165" s="1300"/>
      <c r="E165" s="1300"/>
      <c r="F165" s="1300"/>
      <c r="I165" s="524"/>
    </row>
    <row r="166" spans="1:9" ht="13.7" customHeight="1">
      <c r="D166" s="1300"/>
      <c r="E166" s="1300"/>
      <c r="F166" s="1300"/>
      <c r="I166" s="524"/>
    </row>
    <row r="167" spans="1:9" ht="13.7" customHeight="1">
      <c r="D167" s="1300"/>
      <c r="E167" s="1300"/>
      <c r="F167" s="1300"/>
      <c r="I167" s="524"/>
    </row>
    <row r="168" spans="1:9" ht="13.7" customHeight="1">
      <c r="D168" s="1300"/>
      <c r="E168" s="1300"/>
      <c r="F168" s="1300"/>
      <c r="I168" s="524"/>
    </row>
    <row r="169" spans="1:9" ht="13.7" customHeight="1">
      <c r="D169" s="1345" t="s">
        <v>2387</v>
      </c>
      <c r="E169" s="1345"/>
      <c r="F169" s="1345"/>
      <c r="G169" s="541"/>
      <c r="I169" s="524"/>
    </row>
    <row r="170" spans="1:9" ht="13.7" customHeight="1">
      <c r="D170" s="1286"/>
      <c r="E170" s="1286"/>
      <c r="F170" s="1286"/>
      <c r="G170" s="1286"/>
      <c r="I170" s="524"/>
    </row>
    <row r="171" spans="1:9" ht="14.45" customHeight="1">
      <c r="A171" s="523"/>
      <c r="B171" s="519" t="s">
        <v>2732</v>
      </c>
      <c r="C171" s="510"/>
      <c r="D171" s="1282" t="s">
        <v>2577</v>
      </c>
      <c r="E171" s="1282"/>
      <c r="F171" s="1282"/>
      <c r="G171" s="510"/>
      <c r="I171" s="524" t="s">
        <v>2079</v>
      </c>
    </row>
    <row r="172" spans="1:9" ht="14.45" customHeight="1">
      <c r="A172" s="523"/>
      <c r="B172" s="523"/>
      <c r="C172" s="510"/>
      <c r="D172" s="1282"/>
      <c r="E172" s="1282"/>
      <c r="F172" s="1282"/>
      <c r="G172" s="510"/>
      <c r="I172" s="524"/>
    </row>
    <row r="173" spans="1:9" ht="14.45" customHeight="1">
      <c r="A173" s="523"/>
      <c r="B173" s="523"/>
      <c r="C173" s="510"/>
      <c r="D173" s="1282"/>
      <c r="E173" s="1282"/>
      <c r="F173" s="1282"/>
      <c r="G173" s="510"/>
      <c r="I173" s="524"/>
    </row>
    <row r="174" spans="1:9" ht="14.45" customHeight="1">
      <c r="A174" s="523"/>
      <c r="B174" s="523"/>
      <c r="C174" s="510"/>
      <c r="D174" s="1282"/>
      <c r="E174" s="1282"/>
      <c r="F174" s="1282"/>
      <c r="G174" s="510"/>
      <c r="I174" s="524"/>
    </row>
    <row r="175" spans="1:9" ht="13.7" customHeight="1">
      <c r="A175" s="523"/>
      <c r="B175" s="523"/>
      <c r="C175" s="510"/>
      <c r="D175" s="1282"/>
      <c r="E175" s="1282"/>
      <c r="F175" s="1282"/>
      <c r="G175" s="510"/>
      <c r="I175" s="524"/>
    </row>
    <row r="176" spans="1:9" ht="13.7" customHeight="1">
      <c r="A176" s="523"/>
      <c r="B176" s="523"/>
      <c r="C176" s="510"/>
      <c r="D176" s="510"/>
      <c r="E176" s="510"/>
      <c r="F176" s="510"/>
      <c r="G176" s="510"/>
      <c r="I176" s="524"/>
    </row>
    <row r="177" spans="1:9" ht="13.7" customHeight="1">
      <c r="A177" s="523"/>
      <c r="B177" s="519" t="s">
        <v>2732</v>
      </c>
      <c r="C177" s="510"/>
      <c r="D177" s="1282" t="s">
        <v>1176</v>
      </c>
      <c r="E177" s="1282"/>
      <c r="F177" s="1282"/>
      <c r="G177" s="510"/>
      <c r="I177" s="524" t="s">
        <v>2085</v>
      </c>
    </row>
    <row r="178" spans="1:9" ht="13.7" customHeight="1">
      <c r="A178" s="523"/>
      <c r="B178" s="523"/>
      <c r="C178" s="510"/>
      <c r="D178" s="1282"/>
      <c r="E178" s="1282"/>
      <c r="F178" s="1282"/>
      <c r="G178" s="510"/>
      <c r="I178" s="524"/>
    </row>
    <row r="179" spans="1:9" ht="13.7" customHeight="1">
      <c r="A179" s="523"/>
      <c r="B179" s="523"/>
      <c r="C179" s="510"/>
      <c r="D179" s="1282"/>
      <c r="E179" s="1282"/>
      <c r="F179" s="1282"/>
      <c r="G179" s="510"/>
      <c r="I179" s="524"/>
    </row>
    <row r="180" spans="1:9" ht="13.7" customHeight="1">
      <c r="A180" s="523"/>
      <c r="B180" s="523"/>
      <c r="C180" s="510"/>
      <c r="D180" s="1282"/>
      <c r="E180" s="1282"/>
      <c r="F180" s="1282"/>
      <c r="G180" s="510"/>
      <c r="I180" s="524"/>
    </row>
    <row r="181" spans="1:9" ht="13.7" customHeight="1">
      <c r="D181" s="480"/>
      <c r="E181" s="480"/>
      <c r="F181" s="480"/>
      <c r="I181" s="524"/>
    </row>
    <row r="182" spans="1:9" ht="13.7" customHeight="1">
      <c r="B182" s="519" t="s">
        <v>2732</v>
      </c>
      <c r="D182" s="1287" t="s">
        <v>2364</v>
      </c>
      <c r="E182" s="1287"/>
      <c r="F182" s="1287"/>
      <c r="I182" s="524" t="s">
        <v>2086</v>
      </c>
    </row>
    <row r="183" spans="1:9" ht="13.7" customHeight="1">
      <c r="D183" s="1287"/>
      <c r="E183" s="1287"/>
      <c r="F183" s="1287"/>
      <c r="I183" s="524"/>
    </row>
    <row r="184" spans="1:9" ht="13.7" customHeight="1">
      <c r="D184" s="1287"/>
      <c r="E184" s="1287"/>
      <c r="F184" s="1287"/>
      <c r="I184" s="524"/>
    </row>
    <row r="185" spans="1:9" ht="13.7" customHeight="1">
      <c r="A185" s="524"/>
      <c r="B185" s="524"/>
      <c r="E185" s="480"/>
      <c r="F185" s="480"/>
      <c r="I185" s="524"/>
    </row>
    <row r="186" spans="1:9">
      <c r="A186" s="1288" t="s">
        <v>2365</v>
      </c>
      <c r="B186" s="1288"/>
      <c r="C186" s="1288"/>
      <c r="D186" s="1288"/>
      <c r="E186" s="1288"/>
      <c r="F186" s="1288"/>
      <c r="G186" s="1288"/>
      <c r="H186" s="1063"/>
      <c r="I186" s="1259"/>
    </row>
    <row r="187" spans="1:9" ht="12" customHeight="1">
      <c r="D187" s="480"/>
      <c r="E187" s="480"/>
      <c r="F187" s="480"/>
      <c r="I187" s="524"/>
    </row>
    <row r="188" spans="1:9">
      <c r="B188" s="1303" t="s">
        <v>448</v>
      </c>
      <c r="C188" s="1303"/>
      <c r="D188" s="1303"/>
      <c r="E188" s="1303"/>
      <c r="F188" s="1303"/>
      <c r="I188" s="524"/>
    </row>
    <row r="189" spans="1:9">
      <c r="B189" s="423" t="s">
        <v>2065</v>
      </c>
      <c r="C189" s="423"/>
      <c r="D189" s="423"/>
      <c r="E189" s="423"/>
      <c r="F189" s="423"/>
      <c r="I189" s="524"/>
    </row>
    <row r="190" spans="1:9" ht="12" customHeight="1">
      <c r="A190" s="516"/>
      <c r="B190" s="516"/>
      <c r="C190" s="516"/>
      <c r="I190" s="524"/>
    </row>
    <row r="191" spans="1:9">
      <c r="A191" s="1288" t="s">
        <v>1072</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02" t="s">
        <v>1935</v>
      </c>
      <c r="E193" s="1302"/>
      <c r="F193" s="1302"/>
      <c r="I193" s="524"/>
    </row>
    <row r="194" spans="1:9">
      <c r="A194" s="435"/>
      <c r="B194" s="435"/>
      <c r="D194" s="1302"/>
      <c r="E194" s="1302"/>
      <c r="F194" s="1302"/>
      <c r="I194" s="524"/>
    </row>
    <row r="195" spans="1:9">
      <c r="A195" s="435"/>
      <c r="B195" s="435"/>
      <c r="D195" s="1303" t="s">
        <v>1300</v>
      </c>
      <c r="E195" s="1303"/>
      <c r="F195" s="1303"/>
      <c r="I195" s="524"/>
    </row>
    <row r="196" spans="1:9">
      <c r="A196" s="435"/>
      <c r="B196" s="435"/>
      <c r="D196" s="423"/>
      <c r="E196" s="423"/>
      <c r="F196" s="423"/>
      <c r="I196" s="524"/>
    </row>
    <row r="197" spans="1:9">
      <c r="A197" s="435"/>
      <c r="B197" s="519" t="s">
        <v>2731</v>
      </c>
      <c r="D197" s="1284" t="s">
        <v>1936</v>
      </c>
      <c r="E197" s="1284"/>
      <c r="F197" s="1284"/>
      <c r="I197" s="524" t="s">
        <v>2135</v>
      </c>
    </row>
    <row r="198" spans="1:9">
      <c r="A198" s="435"/>
      <c r="B198" s="435"/>
      <c r="D198" s="1316" t="s">
        <v>2201</v>
      </c>
      <c r="E198" s="1316"/>
      <c r="F198" s="1316"/>
      <c r="I198" s="524"/>
    </row>
    <row r="199" spans="1:9">
      <c r="A199" s="435"/>
      <c r="B199" s="435"/>
      <c r="D199" s="96" t="s">
        <v>1937</v>
      </c>
      <c r="E199" s="1348" t="s">
        <v>2224</v>
      </c>
      <c r="F199" s="1348"/>
      <c r="I199" s="524"/>
    </row>
    <row r="200" spans="1:9">
      <c r="A200" s="435"/>
      <c r="B200" s="435"/>
      <c r="D200" s="3"/>
      <c r="E200" s="3"/>
      <c r="F200" s="3"/>
      <c r="I200" s="524"/>
    </row>
    <row r="201" spans="1:9">
      <c r="A201" s="435"/>
      <c r="B201" s="519" t="s">
        <v>2732</v>
      </c>
      <c r="D201" s="1316" t="s">
        <v>1938</v>
      </c>
      <c r="E201" s="1316"/>
      <c r="F201" s="1316"/>
      <c r="I201" s="524" t="s">
        <v>2136</v>
      </c>
    </row>
    <row r="202" spans="1:9">
      <c r="A202" s="435"/>
      <c r="B202" s="435"/>
      <c r="D202" s="1284" t="s">
        <v>2201</v>
      </c>
      <c r="E202" s="1284"/>
      <c r="F202" s="1284"/>
      <c r="I202" s="524"/>
    </row>
    <row r="203" spans="1:9">
      <c r="A203" s="435"/>
      <c r="B203" s="435"/>
      <c r="D203" s="57" t="s">
        <v>1939</v>
      </c>
      <c r="E203" s="1348" t="s">
        <v>2225</v>
      </c>
      <c r="F203" s="1348"/>
      <c r="I203" s="524"/>
    </row>
    <row r="204" spans="1:9">
      <c r="A204" s="435"/>
      <c r="B204" s="435"/>
      <c r="D204" s="3"/>
      <c r="E204" s="3"/>
      <c r="F204" s="3"/>
      <c r="I204" s="524"/>
    </row>
    <row r="205" spans="1:9">
      <c r="A205" s="435"/>
      <c r="B205" s="519" t="s">
        <v>2732</v>
      </c>
      <c r="D205" s="1316" t="s">
        <v>1940</v>
      </c>
      <c r="E205" s="1316"/>
      <c r="F205" s="1316"/>
      <c r="I205" s="524" t="s">
        <v>2137</v>
      </c>
    </row>
    <row r="206" spans="1:9">
      <c r="A206" s="435"/>
      <c r="B206" s="435"/>
      <c r="D206" s="1284" t="s">
        <v>2201</v>
      </c>
      <c r="E206" s="1284"/>
      <c r="F206" s="1284"/>
      <c r="I206" s="524"/>
    </row>
    <row r="207" spans="1:9">
      <c r="A207" s="435"/>
      <c r="B207" s="435"/>
      <c r="D207" s="57" t="s">
        <v>1937</v>
      </c>
      <c r="E207" s="1348" t="s">
        <v>2226</v>
      </c>
      <c r="F207" s="1348"/>
      <c r="I207" s="524"/>
    </row>
    <row r="208" spans="1:9">
      <c r="A208" s="435"/>
      <c r="B208" s="435"/>
      <c r="D208" s="423"/>
      <c r="E208" s="423"/>
      <c r="F208" s="423"/>
      <c r="I208" s="524"/>
    </row>
    <row r="209" spans="1:9" ht="14.25" customHeight="1">
      <c r="A209" s="518"/>
      <c r="B209" s="519" t="s">
        <v>2732</v>
      </c>
      <c r="D209" s="417" t="s">
        <v>2194</v>
      </c>
      <c r="E209" s="416"/>
      <c r="F209" s="416"/>
      <c r="I209" s="524" t="s">
        <v>2138</v>
      </c>
    </row>
    <row r="210" spans="1:9" ht="14.25">
      <c r="A210" s="518"/>
      <c r="B210" s="518"/>
      <c r="D210" s="1284" t="s">
        <v>2201</v>
      </c>
      <c r="E210" s="1284"/>
      <c r="F210" s="1284"/>
      <c r="I210" s="524"/>
    </row>
    <row r="211" spans="1:9">
      <c r="D211" s="416"/>
      <c r="E211" s="1348" t="s">
        <v>2227</v>
      </c>
      <c r="F211" s="1348"/>
      <c r="I211" s="524"/>
    </row>
    <row r="212" spans="1:9">
      <c r="D212" s="481"/>
      <c r="I212" s="524"/>
    </row>
    <row r="213" spans="1:9">
      <c r="B213" s="519" t="s">
        <v>2732</v>
      </c>
      <c r="D213" s="1316" t="s">
        <v>1941</v>
      </c>
      <c r="E213" s="1316"/>
      <c r="F213" s="1316"/>
      <c r="I213" s="524" t="s">
        <v>2139</v>
      </c>
    </row>
    <row r="214" spans="1:9">
      <c r="D214" s="1284" t="s">
        <v>2201</v>
      </c>
      <c r="E214" s="1284"/>
      <c r="F214" s="1284"/>
      <c r="I214" s="524"/>
    </row>
    <row r="215" spans="1:9">
      <c r="D215" s="57" t="s">
        <v>1937</v>
      </c>
      <c r="E215" s="1348" t="s">
        <v>2228</v>
      </c>
      <c r="F215" s="1348"/>
      <c r="I215" s="524"/>
    </row>
    <row r="216" spans="1:9">
      <c r="D216" s="485"/>
      <c r="E216" s="485"/>
      <c r="F216" s="485"/>
      <c r="I216" s="524"/>
    </row>
    <row r="217" spans="1:9" ht="14.25">
      <c r="A217" s="518"/>
      <c r="B217" s="519" t="s">
        <v>2732</v>
      </c>
      <c r="D217" s="1300" t="s">
        <v>1321</v>
      </c>
      <c r="E217" s="1300"/>
      <c r="F217" s="1300"/>
      <c r="I217" s="524"/>
    </row>
    <row r="218" spans="1:9" ht="14.45" customHeight="1">
      <c r="A218" s="518"/>
      <c r="B218" s="433"/>
      <c r="D218" s="1300"/>
      <c r="E218" s="1300"/>
      <c r="F218" s="1300"/>
      <c r="I218" s="524"/>
    </row>
    <row r="219" spans="1:9" ht="14.25">
      <c r="A219" s="518"/>
      <c r="D219" s="1300"/>
      <c r="E219" s="1300"/>
      <c r="F219" s="1300"/>
      <c r="I219" s="524"/>
    </row>
    <row r="220" spans="1:9" ht="14.25">
      <c r="A220" s="518"/>
      <c r="D220" s="1300"/>
      <c r="E220" s="1300"/>
      <c r="F220" s="1300"/>
      <c r="I220" s="524"/>
    </row>
    <row r="221" spans="1:9">
      <c r="D221" s="485"/>
      <c r="E221" s="485"/>
      <c r="F221" s="485"/>
      <c r="I221" s="524"/>
    </row>
    <row r="222" spans="1:9">
      <c r="A222" s="1288" t="s">
        <v>1073</v>
      </c>
      <c r="B222" s="1288"/>
      <c r="C222" s="1288"/>
      <c r="D222" s="1288"/>
      <c r="E222" s="1288"/>
      <c r="F222" s="1288"/>
      <c r="G222" s="1288"/>
      <c r="H222" s="1063"/>
      <c r="I222" s="1259"/>
    </row>
    <row r="223" spans="1:9" ht="12" customHeight="1">
      <c r="D223" s="480"/>
      <c r="E223" s="480"/>
      <c r="F223" s="480"/>
      <c r="I223" s="524"/>
    </row>
    <row r="224" spans="1:9">
      <c r="C224" s="520"/>
      <c r="D224" s="1299" t="s">
        <v>209</v>
      </c>
      <c r="E224" s="1299"/>
      <c r="F224" s="1299"/>
      <c r="I224" s="524"/>
    </row>
    <row r="225" spans="1:9">
      <c r="A225" s="516"/>
      <c r="B225" s="516"/>
      <c r="C225" s="516"/>
      <c r="D225" s="1301" t="s">
        <v>1202</v>
      </c>
      <c r="E225" s="1301"/>
      <c r="F225" s="1301"/>
      <c r="I225" s="524"/>
    </row>
    <row r="226" spans="1:9" ht="12" customHeight="1">
      <c r="A226" s="524"/>
      <c r="B226" s="524"/>
      <c r="C226" s="524"/>
      <c r="I226" s="524"/>
    </row>
    <row r="227" spans="1:9" ht="13.7" customHeight="1">
      <c r="A227" s="524"/>
      <c r="C227" s="524"/>
      <c r="D227" s="1299" t="s">
        <v>554</v>
      </c>
      <c r="E227" s="1299"/>
      <c r="F227" s="1299"/>
      <c r="I227" s="524" t="s">
        <v>2087</v>
      </c>
    </row>
    <row r="228" spans="1:9" ht="14.25">
      <c r="A228" s="518"/>
      <c r="B228" s="519" t="s">
        <v>2731</v>
      </c>
      <c r="D228" s="1300" t="s">
        <v>1942</v>
      </c>
      <c r="E228" s="1300"/>
      <c r="F228" s="1300"/>
      <c r="I228" s="524"/>
    </row>
    <row r="229" spans="1:9" ht="14.25" customHeight="1">
      <c r="A229" s="518"/>
      <c r="B229" s="518"/>
      <c r="D229" s="1300"/>
      <c r="E229" s="1300"/>
      <c r="F229" s="1300"/>
      <c r="I229" s="524"/>
    </row>
    <row r="230" spans="1:9" ht="14.25" customHeight="1">
      <c r="A230" s="518"/>
      <c r="B230" s="518"/>
      <c r="D230" s="1300"/>
      <c r="E230" s="1300"/>
      <c r="F230" s="1300"/>
      <c r="I230" s="524"/>
    </row>
    <row r="231" spans="1:9" ht="14.25">
      <c r="A231" s="518"/>
      <c r="B231" s="518"/>
      <c r="D231" s="1300"/>
      <c r="E231" s="1300"/>
      <c r="F231" s="1300"/>
      <c r="I231" s="524"/>
    </row>
    <row r="232" spans="1:9" ht="14.25">
      <c r="A232" s="518"/>
      <c r="B232" s="518"/>
      <c r="D232" s="479"/>
      <c r="E232" s="479"/>
      <c r="F232" s="479"/>
      <c r="I232" s="524"/>
    </row>
    <row r="233" spans="1:9" ht="14.25">
      <c r="A233" s="518"/>
      <c r="B233" s="519" t="s">
        <v>2731</v>
      </c>
      <c r="D233" s="1300" t="s">
        <v>1943</v>
      </c>
      <c r="E233" s="1300"/>
      <c r="F233" s="1300"/>
      <c r="I233" s="524" t="s">
        <v>2088</v>
      </c>
    </row>
    <row r="234" spans="1:9" ht="14.25">
      <c r="A234" s="518"/>
      <c r="B234" s="518"/>
      <c r="D234" s="1300"/>
      <c r="E234" s="1300"/>
      <c r="F234" s="1300"/>
      <c r="I234" s="524"/>
    </row>
    <row r="235" spans="1:9" ht="14.25">
      <c r="A235" s="518"/>
      <c r="B235" s="518"/>
      <c r="D235" s="1300"/>
      <c r="E235" s="1300"/>
      <c r="F235" s="1300"/>
      <c r="I235" s="524"/>
    </row>
    <row r="236" spans="1:9" ht="14.25">
      <c r="A236" s="518"/>
      <c r="B236" s="518"/>
      <c r="D236" s="1300"/>
      <c r="E236" s="1300"/>
      <c r="F236" s="1300"/>
      <c r="I236" s="524"/>
    </row>
    <row r="237" spans="1:9" ht="14.25" customHeight="1">
      <c r="A237" s="518"/>
      <c r="B237" s="518"/>
      <c r="D237" s="1300"/>
      <c r="E237" s="1300"/>
      <c r="F237" s="1300"/>
      <c r="I237" s="524"/>
    </row>
    <row r="238" spans="1:9" ht="14.25" customHeight="1">
      <c r="A238" s="518"/>
      <c r="B238" s="518"/>
      <c r="D238" s="479"/>
      <c r="E238" s="479"/>
      <c r="F238" s="479"/>
      <c r="I238" s="524"/>
    </row>
    <row r="239" spans="1:9" ht="14.25">
      <c r="A239" s="518"/>
      <c r="B239" s="518"/>
      <c r="D239" s="1300" t="s">
        <v>1198</v>
      </c>
      <c r="E239" s="1300"/>
      <c r="F239" s="1300"/>
      <c r="I239" s="524" t="s">
        <v>2087</v>
      </c>
    </row>
    <row r="240" spans="1:9" ht="14.25">
      <c r="A240" s="518"/>
      <c r="B240" s="518"/>
      <c r="D240" s="1300"/>
      <c r="E240" s="1300"/>
      <c r="F240" s="1300"/>
      <c r="I240" s="524"/>
    </row>
    <row r="241" spans="1:9" ht="14.25">
      <c r="A241" s="518"/>
      <c r="B241" s="518"/>
      <c r="D241" s="1300"/>
      <c r="E241" s="1300"/>
      <c r="F241" s="1300"/>
      <c r="I241" s="524"/>
    </row>
    <row r="242" spans="1:9" ht="14.25">
      <c r="A242" s="518"/>
      <c r="B242" s="518"/>
      <c r="D242" s="1300"/>
      <c r="E242" s="1300"/>
      <c r="F242" s="1300"/>
      <c r="I242" s="524"/>
    </row>
    <row r="243" spans="1:9" ht="14.25">
      <c r="A243" s="518"/>
      <c r="B243" s="518"/>
      <c r="D243" s="1300"/>
      <c r="E243" s="1300"/>
      <c r="F243" s="1300"/>
      <c r="I243" s="524"/>
    </row>
    <row r="244" spans="1:9" ht="14.25">
      <c r="A244" s="518"/>
      <c r="B244" s="518"/>
      <c r="D244" s="480"/>
      <c r="E244" s="480"/>
      <c r="F244" s="480"/>
      <c r="I244" s="524"/>
    </row>
    <row r="245" spans="1:9" ht="14.25">
      <c r="A245" s="518"/>
      <c r="B245" s="519" t="s">
        <v>2731</v>
      </c>
      <c r="D245" s="1300" t="s">
        <v>2366</v>
      </c>
      <c r="E245" s="1300"/>
      <c r="F245" s="1300"/>
      <c r="I245" s="524" t="s">
        <v>2126</v>
      </c>
    </row>
    <row r="246" spans="1:9" ht="14.25">
      <c r="A246" s="518"/>
      <c r="B246" s="518"/>
      <c r="D246" s="1300"/>
      <c r="E246" s="1300"/>
      <c r="F246" s="1300"/>
      <c r="I246" s="524"/>
    </row>
    <row r="247" spans="1:9" ht="14.25">
      <c r="A247" s="518"/>
      <c r="B247" s="518"/>
      <c r="D247" s="1300"/>
      <c r="E247" s="1300"/>
      <c r="F247" s="1300"/>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2732</v>
      </c>
      <c r="D250" s="1300" t="s">
        <v>2367</v>
      </c>
      <c r="E250" s="1300"/>
      <c r="F250" s="1300"/>
      <c r="I250" s="524" t="s">
        <v>2144</v>
      </c>
    </row>
    <row r="251" spans="1:9" ht="14.25">
      <c r="A251" s="518"/>
      <c r="B251" s="518"/>
      <c r="D251" s="1300"/>
      <c r="E251" s="1300"/>
      <c r="F251" s="1300"/>
      <c r="I251" s="524"/>
    </row>
    <row r="252" spans="1:9" ht="14.25">
      <c r="A252" s="518"/>
      <c r="B252" s="518"/>
      <c r="D252" s="1300"/>
      <c r="E252" s="1300"/>
      <c r="F252" s="1300"/>
      <c r="I252" s="524"/>
    </row>
    <row r="253" spans="1:9" ht="14.25">
      <c r="A253" s="518"/>
      <c r="B253" s="518"/>
      <c r="D253" s="1300"/>
      <c r="E253" s="1300"/>
      <c r="F253" s="1300"/>
      <c r="I253" s="524"/>
    </row>
    <row r="254" spans="1:9" ht="14.25">
      <c r="A254" s="518"/>
      <c r="B254" s="518"/>
      <c r="D254" s="1300"/>
      <c r="E254" s="1300"/>
      <c r="F254" s="1300"/>
      <c r="I254" s="524"/>
    </row>
    <row r="255" spans="1:9" ht="14.25">
      <c r="A255" s="518"/>
      <c r="B255" s="518"/>
      <c r="D255" s="479"/>
      <c r="E255" s="479"/>
      <c r="F255" s="479"/>
      <c r="I255" s="524"/>
    </row>
    <row r="256" spans="1:9" ht="14.25">
      <c r="A256" s="518"/>
      <c r="B256" s="519" t="s">
        <v>2731</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2732</v>
      </c>
      <c r="D259" s="1300" t="s">
        <v>1200</v>
      </c>
      <c r="E259" s="1300"/>
      <c r="F259" s="1300"/>
      <c r="I259" s="524"/>
    </row>
    <row r="260" spans="1:9" ht="14.25">
      <c r="A260" s="518"/>
      <c r="B260" s="518"/>
      <c r="D260" s="1300"/>
      <c r="E260" s="1300"/>
      <c r="F260" s="1300"/>
      <c r="I260" s="524"/>
    </row>
    <row r="261" spans="1:9">
      <c r="D261" s="525"/>
      <c r="I261" s="524"/>
    </row>
    <row r="262" spans="1:9">
      <c r="A262" s="1288" t="s">
        <v>1074</v>
      </c>
      <c r="B262" s="1288"/>
      <c r="C262" s="1288"/>
      <c r="D262" s="1288"/>
      <c r="E262" s="1288"/>
      <c r="F262" s="1288"/>
      <c r="G262" s="1288"/>
      <c r="H262" s="1063"/>
      <c r="I262" s="1259"/>
    </row>
    <row r="263" spans="1:9">
      <c r="D263" s="525"/>
      <c r="I263" s="524"/>
    </row>
    <row r="264" spans="1:9">
      <c r="C264" s="520"/>
      <c r="D264" s="1299" t="s">
        <v>1203</v>
      </c>
      <c r="E264" s="1299"/>
      <c r="F264" s="1299"/>
      <c r="I264" s="524"/>
    </row>
    <row r="265" spans="1:9">
      <c r="A265" s="516"/>
      <c r="B265" s="516"/>
      <c r="C265" s="516"/>
      <c r="D265" s="480"/>
      <c r="E265" s="480"/>
      <c r="F265" s="480"/>
      <c r="I265" s="524"/>
    </row>
    <row r="266" spans="1:9">
      <c r="A266" s="517"/>
      <c r="B266" s="517"/>
      <c r="C266" s="517"/>
      <c r="D266" s="1299" t="s">
        <v>270</v>
      </c>
      <c r="E266" s="1299"/>
      <c r="F266" s="1299"/>
      <c r="I266" s="524" t="s">
        <v>2127</v>
      </c>
    </row>
    <row r="267" spans="1:9" ht="14.45" customHeight="1">
      <c r="A267" s="518"/>
      <c r="B267" s="519" t="s">
        <v>2731</v>
      </c>
      <c r="D267" s="1300" t="s">
        <v>1301</v>
      </c>
      <c r="E267" s="1300"/>
      <c r="F267" s="1300"/>
      <c r="I267" s="524"/>
    </row>
    <row r="268" spans="1:9">
      <c r="D268" s="1300"/>
      <c r="E268" s="1300"/>
      <c r="F268" s="1300"/>
      <c r="I268" s="524"/>
    </row>
    <row r="269" spans="1:9">
      <c r="E269" s="1071" t="s">
        <v>2197</v>
      </c>
      <c r="I269" s="524"/>
    </row>
    <row r="270" spans="1:9">
      <c r="D270" s="480"/>
      <c r="E270" s="480"/>
      <c r="F270" s="480"/>
      <c r="I270" s="524"/>
    </row>
    <row r="271" spans="1:9" ht="14.45" customHeight="1">
      <c r="A271" s="518"/>
      <c r="B271" s="519" t="s">
        <v>2731</v>
      </c>
      <c r="D271" s="1300" t="s">
        <v>2369</v>
      </c>
      <c r="E271" s="1300"/>
      <c r="F271" s="1300"/>
      <c r="I271" s="524" t="s">
        <v>2145</v>
      </c>
    </row>
    <row r="272" spans="1:9">
      <c r="D272" s="1300"/>
      <c r="E272" s="1300"/>
      <c r="F272" s="1300"/>
      <c r="I272" s="524"/>
    </row>
    <row r="273" spans="1:9">
      <c r="D273" s="1300"/>
      <c r="E273" s="1300"/>
      <c r="F273" s="1300"/>
      <c r="I273" s="524"/>
    </row>
    <row r="274" spans="1:9">
      <c r="D274" s="1300"/>
      <c r="E274" s="1300"/>
      <c r="F274" s="1300"/>
      <c r="I274" s="524"/>
    </row>
    <row r="275" spans="1:9">
      <c r="D275" s="1300"/>
      <c r="E275" s="1300"/>
      <c r="F275" s="1300"/>
      <c r="I275" s="524"/>
    </row>
    <row r="276" spans="1:9">
      <c r="D276" s="1300"/>
      <c r="E276" s="1300"/>
      <c r="F276" s="1300"/>
      <c r="I276" s="524"/>
    </row>
    <row r="277" spans="1:9">
      <c r="D277" s="480"/>
      <c r="E277" s="480"/>
      <c r="F277" s="480"/>
      <c r="I277" s="524"/>
    </row>
    <row r="278" spans="1:9" ht="14.25">
      <c r="A278" s="518"/>
      <c r="B278" s="519" t="s">
        <v>2732</v>
      </c>
      <c r="D278" s="1300" t="s">
        <v>1206</v>
      </c>
      <c r="E278" s="1300"/>
      <c r="F278" s="1300"/>
      <c r="I278" s="524"/>
    </row>
    <row r="279" spans="1:9">
      <c r="D279" s="1300"/>
      <c r="E279" s="1300"/>
      <c r="F279" s="1300"/>
      <c r="I279" s="524"/>
    </row>
    <row r="280" spans="1:9">
      <c r="D280" s="1300"/>
      <c r="E280" s="1300"/>
      <c r="F280" s="1300"/>
      <c r="I280" s="524"/>
    </row>
    <row r="281" spans="1:9">
      <c r="D281" s="526"/>
      <c r="E281" s="480"/>
      <c r="F281" s="480"/>
      <c r="I281" s="524"/>
    </row>
    <row r="282" spans="1:9">
      <c r="A282" s="1288" t="s">
        <v>1075</v>
      </c>
      <c r="B282" s="1288"/>
      <c r="C282" s="1288"/>
      <c r="D282" s="1288"/>
      <c r="E282" s="1288"/>
      <c r="F282" s="1288"/>
      <c r="G282" s="1288"/>
      <c r="H282" s="1063"/>
      <c r="I282" s="1259"/>
    </row>
    <row r="283" spans="1:9">
      <c r="D283" s="526"/>
      <c r="E283" s="480"/>
      <c r="F283" s="480"/>
      <c r="I283" s="524"/>
    </row>
    <row r="284" spans="1:9">
      <c r="C284" s="516"/>
      <c r="D284" s="1302" t="s">
        <v>1208</v>
      </c>
      <c r="E284" s="1302"/>
      <c r="F284" s="1302"/>
      <c r="I284" s="524"/>
    </row>
    <row r="285" spans="1:9">
      <c r="C285" s="516"/>
      <c r="D285" s="1302"/>
      <c r="E285" s="1302"/>
      <c r="F285" s="1302"/>
      <c r="I285" s="524"/>
    </row>
    <row r="286" spans="1:9">
      <c r="A286" s="517"/>
      <c r="B286" s="517"/>
      <c r="C286" s="517"/>
      <c r="D286" s="435"/>
      <c r="I286" s="524"/>
    </row>
    <row r="287" spans="1:9">
      <c r="C287" s="517"/>
      <c r="D287" s="1299" t="s">
        <v>210</v>
      </c>
      <c r="E287" s="1299"/>
      <c r="F287" s="1299"/>
      <c r="I287" s="524"/>
    </row>
    <row r="288" spans="1:9" ht="15.75" customHeight="1">
      <c r="A288" s="518"/>
      <c r="B288" s="518"/>
      <c r="D288" s="1351" t="s">
        <v>1209</v>
      </c>
      <c r="E288" s="1351"/>
      <c r="F288" s="1351"/>
      <c r="I288" s="524"/>
    </row>
    <row r="289" spans="1:9">
      <c r="E289" s="480"/>
      <c r="F289" s="480"/>
      <c r="I289" s="524"/>
    </row>
    <row r="290" spans="1:9" ht="14.25">
      <c r="A290" s="518"/>
      <c r="B290" s="519" t="s">
        <v>2732</v>
      </c>
      <c r="D290" s="1300" t="s">
        <v>1210</v>
      </c>
      <c r="E290" s="1300"/>
      <c r="F290" s="1300"/>
      <c r="I290" s="524" t="s">
        <v>2089</v>
      </c>
    </row>
    <row r="291" spans="1:9" ht="14.25">
      <c r="A291" s="518"/>
      <c r="B291" s="518"/>
      <c r="D291" s="1300"/>
      <c r="E291" s="1300"/>
      <c r="F291" s="1300"/>
      <c r="I291" s="524"/>
    </row>
    <row r="292" spans="1:9">
      <c r="D292" s="480"/>
      <c r="E292" s="480"/>
      <c r="F292" s="480"/>
      <c r="I292" s="524"/>
    </row>
    <row r="293" spans="1:9" ht="14.25">
      <c r="A293" s="518"/>
      <c r="B293" s="519" t="s">
        <v>2732</v>
      </c>
      <c r="D293" s="1300" t="s">
        <v>1211</v>
      </c>
      <c r="E293" s="1300"/>
      <c r="F293" s="1300"/>
      <c r="I293" s="524" t="s">
        <v>2089</v>
      </c>
    </row>
    <row r="294" spans="1:9" ht="14.25">
      <c r="A294" s="518"/>
      <c r="B294" s="518"/>
      <c r="D294" s="1300"/>
      <c r="E294" s="1300"/>
      <c r="F294" s="1300"/>
      <c r="I294" s="524"/>
    </row>
    <row r="295" spans="1:9" ht="14.25">
      <c r="A295" s="518"/>
      <c r="B295" s="518"/>
      <c r="D295" s="1300"/>
      <c r="E295" s="1300"/>
      <c r="F295" s="1300"/>
      <c r="I295" s="524"/>
    </row>
    <row r="296" spans="1:9">
      <c r="D296" s="480"/>
      <c r="E296" s="480"/>
      <c r="F296" s="480"/>
      <c r="I296" s="524"/>
    </row>
    <row r="297" spans="1:9" ht="14.25">
      <c r="A297" s="518"/>
      <c r="B297" s="519" t="s">
        <v>2732</v>
      </c>
      <c r="D297" s="1300" t="s">
        <v>1212</v>
      </c>
      <c r="E297" s="1300"/>
      <c r="F297" s="1300"/>
      <c r="I297" s="524" t="s">
        <v>2089</v>
      </c>
    </row>
    <row r="298" spans="1:9" ht="14.25">
      <c r="A298" s="518"/>
      <c r="B298" s="518"/>
      <c r="D298" s="1300"/>
      <c r="E298" s="1300"/>
      <c r="F298" s="1300"/>
      <c r="I298" s="524"/>
    </row>
    <row r="299" spans="1:9">
      <c r="A299" s="524"/>
      <c r="B299" s="524"/>
      <c r="E299" s="480"/>
      <c r="F299" s="480"/>
      <c r="I299" s="524"/>
    </row>
    <row r="300" spans="1:9">
      <c r="A300" s="1288" t="s">
        <v>1076</v>
      </c>
      <c r="B300" s="1288"/>
      <c r="C300" s="1288"/>
      <c r="D300" s="1288"/>
      <c r="E300" s="1288"/>
      <c r="F300" s="1288"/>
      <c r="G300" s="1288"/>
      <c r="H300" s="1063"/>
      <c r="I300" s="1259"/>
    </row>
    <row r="301" spans="1:9">
      <c r="A301" s="524"/>
      <c r="B301" s="524"/>
      <c r="D301" s="480"/>
      <c r="E301" s="480"/>
      <c r="F301" s="480"/>
      <c r="I301" s="524"/>
    </row>
    <row r="302" spans="1:9">
      <c r="C302" s="524"/>
      <c r="D302" s="1299" t="s">
        <v>690</v>
      </c>
      <c r="E302" s="1299"/>
      <c r="F302" s="1299"/>
      <c r="I302" s="524"/>
    </row>
    <row r="303" spans="1:9">
      <c r="C303" s="524"/>
      <c r="D303" s="1301" t="s">
        <v>1213</v>
      </c>
      <c r="E303" s="1301"/>
      <c r="F303" s="1301"/>
      <c r="I303" s="524"/>
    </row>
    <row r="304" spans="1:9">
      <c r="C304" s="524"/>
      <c r="D304" s="527"/>
      <c r="I304" s="524"/>
    </row>
    <row r="305" spans="1:9">
      <c r="B305" s="519" t="s">
        <v>2732</v>
      </c>
      <c r="D305" s="1301" t="s">
        <v>1214</v>
      </c>
      <c r="E305" s="1301"/>
      <c r="F305" s="1301"/>
      <c r="I305" s="524" t="s">
        <v>2090</v>
      </c>
    </row>
    <row r="306" spans="1:9" ht="14.25">
      <c r="A306" s="518"/>
      <c r="B306" s="518"/>
      <c r="D306" s="528"/>
      <c r="E306" s="529"/>
      <c r="F306" s="529"/>
      <c r="I306" s="524"/>
    </row>
    <row r="307" spans="1:9" ht="13.7" customHeight="1">
      <c r="B307" s="519" t="s">
        <v>2732</v>
      </c>
      <c r="D307" s="1354" t="s">
        <v>1324</v>
      </c>
      <c r="E307" s="1354"/>
      <c r="F307" s="1354"/>
      <c r="I307" s="524" t="s">
        <v>2090</v>
      </c>
    </row>
    <row r="308" spans="1:9" ht="14.25">
      <c r="A308" s="518"/>
      <c r="B308" s="518"/>
      <c r="D308" s="1354"/>
      <c r="E308" s="1354"/>
      <c r="F308" s="1354"/>
      <c r="I308" s="524"/>
    </row>
    <row r="309" spans="1:9" ht="14.25">
      <c r="A309" s="518"/>
      <c r="B309" s="518"/>
      <c r="D309" s="1354"/>
      <c r="E309" s="1354"/>
      <c r="F309" s="1354"/>
      <c r="I309" s="524"/>
    </row>
    <row r="310" spans="1:9" ht="14.25">
      <c r="A310" s="518"/>
      <c r="B310" s="518"/>
      <c r="D310" s="1354"/>
      <c r="E310" s="1354"/>
      <c r="F310" s="1354"/>
      <c r="I310" s="524"/>
    </row>
    <row r="311" spans="1:9" ht="14.25">
      <c r="A311" s="518"/>
      <c r="B311" s="518"/>
      <c r="D311" s="1354"/>
      <c r="E311" s="1354"/>
      <c r="F311" s="1354"/>
      <c r="I311" s="524"/>
    </row>
    <row r="312" spans="1:9" ht="14.25">
      <c r="A312" s="518"/>
      <c r="B312" s="518"/>
      <c r="D312" s="528"/>
      <c r="E312" s="529"/>
      <c r="F312" s="529"/>
      <c r="I312" s="524"/>
    </row>
    <row r="313" spans="1:9" ht="13.7" customHeight="1">
      <c r="B313" s="519" t="s">
        <v>2732</v>
      </c>
      <c r="D313" s="1354" t="s">
        <v>1216</v>
      </c>
      <c r="E313" s="1354"/>
      <c r="F313" s="1354"/>
      <c r="I313" s="524" t="s">
        <v>2090</v>
      </c>
    </row>
    <row r="314" spans="1:9">
      <c r="D314" s="1354"/>
      <c r="E314" s="1354"/>
      <c r="F314" s="1354"/>
      <c r="I314" s="524"/>
    </row>
    <row r="315" spans="1:9" ht="14.25">
      <c r="A315" s="518"/>
      <c r="B315" s="518"/>
      <c r="D315" s="528"/>
      <c r="E315" s="529"/>
      <c r="F315" s="529"/>
      <c r="I315" s="524"/>
    </row>
    <row r="316" spans="1:9">
      <c r="B316" s="519" t="s">
        <v>2732</v>
      </c>
      <c r="D316" s="1301" t="s">
        <v>1217</v>
      </c>
      <c r="E316" s="1301"/>
      <c r="F316" s="1301"/>
      <c r="I316" s="524" t="s">
        <v>2076</v>
      </c>
    </row>
    <row r="317" spans="1:9">
      <c r="E317" s="480"/>
      <c r="F317" s="480"/>
      <c r="I317" s="524"/>
    </row>
    <row r="318" spans="1:9" ht="14.25">
      <c r="A318" s="518"/>
      <c r="B318" s="519" t="s">
        <v>2732</v>
      </c>
      <c r="D318" s="1300" t="s">
        <v>2388</v>
      </c>
      <c r="E318" s="1300"/>
      <c r="F318" s="1300"/>
      <c r="I318" s="524" t="s">
        <v>2091</v>
      </c>
    </row>
    <row r="319" spans="1:9" ht="14.25">
      <c r="A319" s="518"/>
      <c r="B319" s="518"/>
      <c r="D319" s="1300"/>
      <c r="E319" s="1300"/>
      <c r="F319" s="1300"/>
      <c r="I319" s="524"/>
    </row>
    <row r="320" spans="1:9" ht="14.25">
      <c r="A320" s="518"/>
      <c r="B320" s="518"/>
      <c r="D320" s="1300"/>
      <c r="E320" s="1300"/>
      <c r="F320" s="1300"/>
      <c r="I320" s="524"/>
    </row>
    <row r="321" spans="1:9" ht="14.25">
      <c r="A321" s="518"/>
      <c r="B321" s="518"/>
      <c r="D321" s="1300"/>
      <c r="E321" s="1300"/>
      <c r="F321" s="1300"/>
      <c r="I321" s="524"/>
    </row>
    <row r="322" spans="1:9" ht="14.25">
      <c r="A322" s="518"/>
      <c r="B322" s="518"/>
      <c r="D322" s="1300"/>
      <c r="E322" s="1300"/>
      <c r="F322" s="1300"/>
      <c r="I322" s="524"/>
    </row>
    <row r="323" spans="1:9" ht="14.25">
      <c r="A323" s="518"/>
      <c r="B323" s="518"/>
      <c r="D323" s="1300"/>
      <c r="E323" s="1300"/>
      <c r="F323" s="1300"/>
      <c r="I323" s="524"/>
    </row>
    <row r="324" spans="1:9" ht="14.25">
      <c r="A324" s="518"/>
      <c r="B324" s="518"/>
      <c r="D324" s="1300"/>
      <c r="E324" s="1300"/>
      <c r="F324" s="1300"/>
      <c r="I324" s="524"/>
    </row>
    <row r="325" spans="1:9" ht="14.25">
      <c r="A325" s="518"/>
      <c r="B325" s="518"/>
      <c r="D325" s="1300"/>
      <c r="E325" s="1300"/>
      <c r="F325" s="1300"/>
      <c r="I325" s="524"/>
    </row>
    <row r="326" spans="1:9" ht="14.25">
      <c r="A326" s="518"/>
      <c r="B326" s="518"/>
      <c r="D326" s="1300"/>
      <c r="E326" s="1300"/>
      <c r="F326" s="1300"/>
      <c r="I326" s="524"/>
    </row>
    <row r="327" spans="1:9" ht="14.25">
      <c r="A327" s="518"/>
      <c r="B327" s="518"/>
      <c r="D327" s="1300"/>
      <c r="E327" s="1300"/>
      <c r="F327" s="1300"/>
      <c r="I327" s="524"/>
    </row>
    <row r="328" spans="1:9" ht="14.25">
      <c r="A328" s="518"/>
      <c r="B328" s="518"/>
      <c r="D328" s="1300"/>
      <c r="E328" s="1300"/>
      <c r="F328" s="1300"/>
      <c r="I328" s="524"/>
    </row>
    <row r="329" spans="1:9" ht="14.25">
      <c r="A329" s="518"/>
      <c r="B329" s="518"/>
      <c r="D329" s="1300"/>
      <c r="E329" s="1300"/>
      <c r="F329" s="1300"/>
      <c r="I329" s="524"/>
    </row>
    <row r="330" spans="1:9" ht="14.25">
      <c r="A330" s="518"/>
      <c r="B330" s="518"/>
      <c r="D330" s="1300"/>
      <c r="E330" s="1300"/>
      <c r="F330" s="1300"/>
      <c r="I330" s="524"/>
    </row>
    <row r="331" spans="1:9" ht="14.25">
      <c r="A331" s="518"/>
      <c r="B331" s="518"/>
      <c r="D331" s="1300"/>
      <c r="E331" s="1300"/>
      <c r="F331" s="1300"/>
      <c r="I331" s="524"/>
    </row>
    <row r="332" spans="1:9" ht="14.25">
      <c r="A332" s="518"/>
      <c r="B332" s="518"/>
      <c r="D332" s="1300"/>
      <c r="E332" s="1300"/>
      <c r="F332" s="1300"/>
      <c r="I332" s="524"/>
    </row>
    <row r="333" spans="1:9">
      <c r="D333" s="480"/>
      <c r="E333" s="480"/>
      <c r="F333" s="480"/>
      <c r="I333" s="524"/>
    </row>
    <row r="334" spans="1:9" ht="14.25">
      <c r="A334" s="518"/>
      <c r="B334" s="519" t="s">
        <v>2732</v>
      </c>
      <c r="D334" s="1300" t="s">
        <v>1219</v>
      </c>
      <c r="E334" s="1300"/>
      <c r="F334" s="1300"/>
      <c r="I334" s="524" t="s">
        <v>2091</v>
      </c>
    </row>
    <row r="335" spans="1:9">
      <c r="D335" s="1300"/>
      <c r="E335" s="1300"/>
      <c r="F335" s="1300"/>
      <c r="I335" s="524"/>
    </row>
    <row r="336" spans="1:9">
      <c r="D336" s="1300"/>
      <c r="E336" s="1300"/>
      <c r="F336" s="1300"/>
      <c r="I336" s="524"/>
    </row>
    <row r="337" spans="1:9">
      <c r="D337" s="1300"/>
      <c r="E337" s="1300"/>
      <c r="F337" s="1300"/>
      <c r="I337" s="524"/>
    </row>
    <row r="338" spans="1:9">
      <c r="D338" s="1300"/>
      <c r="E338" s="1300"/>
      <c r="F338" s="1300"/>
      <c r="I338" s="524"/>
    </row>
    <row r="339" spans="1:9">
      <c r="D339" s="1300"/>
      <c r="E339" s="1300"/>
      <c r="F339" s="1300"/>
      <c r="I339" s="524"/>
    </row>
    <row r="340" spans="1:9">
      <c r="D340" s="1300"/>
      <c r="E340" s="1300"/>
      <c r="F340" s="1300"/>
      <c r="I340" s="524"/>
    </row>
    <row r="341" spans="1:9">
      <c r="D341" s="1300"/>
      <c r="E341" s="1300"/>
      <c r="F341" s="1300"/>
      <c r="I341" s="524"/>
    </row>
    <row r="342" spans="1:9">
      <c r="D342" s="1300"/>
      <c r="E342" s="1300"/>
      <c r="F342" s="1300"/>
      <c r="I342" s="524"/>
    </row>
    <row r="343" spans="1:9">
      <c r="D343" s="480"/>
      <c r="E343" s="480"/>
      <c r="F343" s="480"/>
      <c r="I343" s="524"/>
    </row>
    <row r="344" spans="1:9" ht="14.25" customHeight="1">
      <c r="A344" s="518"/>
      <c r="B344" s="519" t="s">
        <v>2732</v>
      </c>
      <c r="D344" s="1300" t="s">
        <v>2202</v>
      </c>
      <c r="E344" s="1300"/>
      <c r="F344" s="1300"/>
      <c r="I344" s="524" t="s">
        <v>2128</v>
      </c>
    </row>
    <row r="345" spans="1:9">
      <c r="D345" s="1300"/>
      <c r="E345" s="1300"/>
      <c r="F345" s="1300"/>
      <c r="I345" s="524"/>
    </row>
    <row r="346" spans="1:9">
      <c r="D346" s="1300"/>
      <c r="E346" s="1300"/>
      <c r="F346" s="1300"/>
      <c r="I346" s="524"/>
    </row>
    <row r="347" spans="1:9">
      <c r="D347" s="1300"/>
      <c r="E347" s="1300"/>
      <c r="F347" s="1300"/>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50" t="s">
        <v>997</v>
      </c>
      <c r="E351" s="1350"/>
      <c r="F351" s="1350"/>
      <c r="G351" s="1062"/>
      <c r="H351" s="1062"/>
      <c r="I351" s="1262"/>
    </row>
    <row r="352" spans="1:9" ht="13.5" thickTop="1">
      <c r="D352" s="1355" t="s">
        <v>1221</v>
      </c>
      <c r="E352" s="1355"/>
      <c r="F352" s="1355"/>
      <c r="I352" s="524"/>
    </row>
    <row r="353" spans="1:9">
      <c r="D353" s="480"/>
      <c r="E353" s="480"/>
      <c r="F353" s="480"/>
      <c r="I353" s="524"/>
    </row>
    <row r="354" spans="1:9">
      <c r="A354" s="510"/>
      <c r="B354" s="510"/>
      <c r="C354" s="510"/>
      <c r="D354" s="481"/>
      <c r="E354" s="481"/>
      <c r="F354" s="480"/>
      <c r="I354" s="524" t="s">
        <v>2092</v>
      </c>
    </row>
    <row r="355" spans="1:9" ht="14.25">
      <c r="A355" s="518"/>
      <c r="B355" s="519" t="s">
        <v>2732</v>
      </c>
      <c r="C355" s="521"/>
      <c r="D355" s="1301" t="s">
        <v>2200</v>
      </c>
      <c r="E355" s="1301"/>
      <c r="F355" s="1301"/>
      <c r="I355" s="1357" t="s">
        <v>2142</v>
      </c>
    </row>
    <row r="356" spans="1:9" ht="12.75" customHeight="1">
      <c r="D356" s="1072"/>
      <c r="E356" s="96" t="s">
        <v>2199</v>
      </c>
      <c r="F356" s="1072"/>
      <c r="I356" s="1358"/>
    </row>
    <row r="357" spans="1:9">
      <c r="D357" s="1300" t="s">
        <v>1345</v>
      </c>
      <c r="E357" s="1300"/>
      <c r="F357" s="1300"/>
      <c r="I357" s="1358"/>
    </row>
    <row r="358" spans="1:9">
      <c r="D358" s="1300"/>
      <c r="E358" s="1300"/>
      <c r="F358" s="1300"/>
      <c r="I358" s="1358"/>
    </row>
    <row r="359" spans="1:9">
      <c r="D359" s="1300"/>
      <c r="E359" s="1300"/>
      <c r="F359" s="1300"/>
      <c r="I359" s="1359"/>
    </row>
    <row r="360" spans="1:9" ht="14.25">
      <c r="A360" s="518"/>
      <c r="B360" s="519" t="s">
        <v>2732</v>
      </c>
      <c r="C360" s="510"/>
      <c r="D360" s="1286" t="s">
        <v>2370</v>
      </c>
      <c r="E360" s="1286"/>
      <c r="F360" s="1286"/>
      <c r="I360" s="514"/>
    </row>
    <row r="361" spans="1:9">
      <c r="A361" s="510"/>
      <c r="B361" s="510"/>
      <c r="C361" s="510"/>
      <c r="D361" s="481"/>
      <c r="E361" s="481"/>
      <c r="F361" s="480"/>
      <c r="I361" s="524"/>
    </row>
    <row r="362" spans="1:9">
      <c r="A362" s="510"/>
      <c r="B362" s="519" t="s">
        <v>2732</v>
      </c>
      <c r="C362" s="510"/>
      <c r="D362" s="1282" t="s">
        <v>2371</v>
      </c>
      <c r="E362" s="1282"/>
      <c r="F362" s="1282"/>
      <c r="I362" s="524"/>
    </row>
    <row r="363" spans="1:9">
      <c r="A363" s="510"/>
      <c r="B363" s="510"/>
      <c r="C363" s="510"/>
      <c r="D363" s="1282"/>
      <c r="E363" s="1282"/>
      <c r="F363" s="1282"/>
      <c r="I363" s="524"/>
    </row>
    <row r="364" spans="1:9">
      <c r="A364" s="510"/>
      <c r="B364" s="510"/>
      <c r="C364" s="510"/>
      <c r="D364" s="1282"/>
      <c r="E364" s="1282"/>
      <c r="F364" s="1282"/>
      <c r="I364" s="524"/>
    </row>
    <row r="365" spans="1:9">
      <c r="A365" s="510"/>
      <c r="B365" s="510"/>
      <c r="C365" s="510"/>
      <c r="D365" s="1282"/>
      <c r="E365" s="1282"/>
      <c r="F365" s="1282"/>
      <c r="I365" s="524"/>
    </row>
    <row r="366" spans="1:9">
      <c r="A366" s="510"/>
      <c r="B366" s="510"/>
      <c r="C366" s="510"/>
      <c r="D366" s="1282"/>
      <c r="E366" s="1282"/>
      <c r="F366" s="1282"/>
      <c r="I366" s="524"/>
    </row>
    <row r="367" spans="1:9">
      <c r="A367" s="510"/>
      <c r="B367" s="510"/>
      <c r="C367" s="510"/>
      <c r="D367" s="1282"/>
      <c r="E367" s="1282"/>
      <c r="F367" s="1282"/>
      <c r="I367" s="524"/>
    </row>
    <row r="368" spans="1:9">
      <c r="A368" s="510"/>
      <c r="B368" s="510"/>
      <c r="C368" s="510"/>
      <c r="D368" s="1282"/>
      <c r="E368" s="1282"/>
      <c r="F368" s="1282"/>
      <c r="I368" s="524"/>
    </row>
    <row r="369" spans="1:9">
      <c r="A369" s="510"/>
      <c r="B369" s="510"/>
      <c r="C369" s="510"/>
      <c r="D369" s="1282"/>
      <c r="E369" s="1282"/>
      <c r="F369" s="1282"/>
      <c r="I369" s="524"/>
    </row>
    <row r="370" spans="1:9">
      <c r="A370" s="510"/>
      <c r="B370" s="510"/>
      <c r="C370" s="510"/>
      <c r="D370" s="1282"/>
      <c r="E370" s="1282"/>
      <c r="F370" s="1282"/>
      <c r="I370" s="524"/>
    </row>
    <row r="371" spans="1:9">
      <c r="A371" s="510"/>
      <c r="B371" s="510"/>
      <c r="C371" s="510"/>
      <c r="D371" s="1282"/>
      <c r="E371" s="1282"/>
      <c r="F371" s="1282"/>
      <c r="I371" s="524"/>
    </row>
    <row r="372" spans="1:9">
      <c r="A372" s="510"/>
      <c r="B372" s="510"/>
      <c r="C372" s="510"/>
      <c r="D372" s="1282"/>
      <c r="E372" s="1282"/>
      <c r="F372" s="1282"/>
      <c r="I372" s="524"/>
    </row>
    <row r="373" spans="1:9">
      <c r="A373" s="510"/>
      <c r="B373" s="510"/>
      <c r="C373" s="510"/>
      <c r="D373" s="1282"/>
      <c r="E373" s="1282"/>
      <c r="F373" s="1282"/>
      <c r="I373" s="524"/>
    </row>
    <row r="374" spans="1:9">
      <c r="A374" s="510"/>
      <c r="B374" s="510"/>
      <c r="C374" s="510"/>
      <c r="D374" s="485"/>
      <c r="E374" s="485"/>
      <c r="F374" s="485"/>
      <c r="I374" s="524"/>
    </row>
    <row r="375" spans="1:9" ht="12.4" customHeight="1">
      <c r="A375" s="510"/>
      <c r="B375" s="519" t="s">
        <v>2732</v>
      </c>
      <c r="C375" s="510"/>
      <c r="D375" s="1330" t="s">
        <v>1326</v>
      </c>
      <c r="E375" s="1330"/>
      <c r="F375" s="1330"/>
      <c r="I375" s="524"/>
    </row>
    <row r="376" spans="1:9">
      <c r="A376" s="510"/>
      <c r="B376" s="510"/>
      <c r="C376" s="510"/>
      <c r="D376" s="1330"/>
      <c r="E376" s="1330"/>
      <c r="F376" s="1330"/>
      <c r="I376" s="524"/>
    </row>
    <row r="377" spans="1:9">
      <c r="A377" s="510"/>
      <c r="B377" s="510"/>
      <c r="C377" s="510"/>
      <c r="D377" s="1330"/>
      <c r="E377" s="1330"/>
      <c r="F377" s="1330"/>
      <c r="I377" s="524"/>
    </row>
    <row r="378" spans="1:9">
      <c r="A378" s="510"/>
      <c r="B378" s="510"/>
      <c r="C378" s="510"/>
      <c r="D378" s="1330"/>
      <c r="E378" s="1330"/>
      <c r="F378" s="1330"/>
      <c r="I378" s="524"/>
    </row>
    <row r="379" spans="1:9">
      <c r="A379" s="510"/>
      <c r="B379" s="510"/>
      <c r="C379" s="510"/>
      <c r="D379" s="558"/>
      <c r="E379" s="558"/>
      <c r="F379" s="558"/>
      <c r="I379" s="524"/>
    </row>
    <row r="380" spans="1:9">
      <c r="A380" s="510"/>
      <c r="B380" s="519" t="s">
        <v>2732</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2732</v>
      </c>
      <c r="C387" s="510"/>
      <c r="D387" s="1282" t="s">
        <v>1224</v>
      </c>
      <c r="E387" s="1282"/>
      <c r="F387" s="1282"/>
      <c r="I387" s="524"/>
    </row>
    <row r="388" spans="1:9">
      <c r="A388" s="510"/>
      <c r="B388" s="510"/>
      <c r="C388" s="510"/>
      <c r="D388" s="1282"/>
      <c r="E388" s="1282"/>
      <c r="F388" s="1282"/>
      <c r="I388" s="524"/>
    </row>
    <row r="389" spans="1:9">
      <c r="A389" s="510"/>
      <c r="B389" s="510"/>
      <c r="C389" s="510"/>
      <c r="D389" s="1282"/>
      <c r="E389" s="1282"/>
      <c r="F389" s="1282"/>
      <c r="I389" s="524"/>
    </row>
    <row r="390" spans="1:9">
      <c r="A390" s="510"/>
      <c r="B390" s="510"/>
      <c r="C390" s="510"/>
      <c r="D390" s="1282"/>
      <c r="E390" s="1282"/>
      <c r="F390" s="1282"/>
      <c r="I390" s="524"/>
    </row>
    <row r="391" spans="1:9">
      <c r="A391" s="510"/>
      <c r="B391" s="510"/>
      <c r="C391" s="510"/>
      <c r="D391" s="481"/>
      <c r="E391" s="481"/>
      <c r="F391" s="480"/>
      <c r="I391" s="524"/>
    </row>
    <row r="392" spans="1:9">
      <c r="A392" s="510"/>
      <c r="B392" s="510"/>
      <c r="C392" s="510"/>
      <c r="D392" s="1282" t="s">
        <v>1225</v>
      </c>
      <c r="E392" s="1282"/>
      <c r="F392" s="1282"/>
      <c r="I392" s="524"/>
    </row>
    <row r="393" spans="1:9">
      <c r="A393" s="510"/>
      <c r="B393" s="510"/>
      <c r="C393" s="510"/>
      <c r="D393" s="1282"/>
      <c r="E393" s="1282"/>
      <c r="F393" s="1282"/>
      <c r="I393" s="524"/>
    </row>
    <row r="394" spans="1:9">
      <c r="A394" s="510"/>
      <c r="B394" s="510"/>
      <c r="C394" s="510"/>
      <c r="D394" s="1282"/>
      <c r="E394" s="1282"/>
      <c r="F394" s="1282"/>
      <c r="I394" s="524"/>
    </row>
    <row r="395" spans="1:9">
      <c r="A395" s="510"/>
      <c r="B395" s="510"/>
      <c r="C395" s="510"/>
      <c r="D395" s="1282"/>
      <c r="E395" s="1282"/>
      <c r="F395" s="1282"/>
      <c r="I395" s="524"/>
    </row>
    <row r="396" spans="1:9" ht="18" customHeight="1">
      <c r="A396" s="510"/>
      <c r="B396" s="510"/>
      <c r="C396" s="510"/>
      <c r="D396" s="1282"/>
      <c r="E396" s="1282"/>
      <c r="F396" s="1282"/>
      <c r="I396" s="524"/>
    </row>
    <row r="397" spans="1:9">
      <c r="A397" s="510"/>
      <c r="B397" s="510"/>
      <c r="C397" s="510"/>
      <c r="D397" s="1282"/>
      <c r="E397" s="1282"/>
      <c r="F397" s="1282"/>
      <c r="I397" s="524"/>
    </row>
    <row r="398" spans="1:9">
      <c r="A398" s="510"/>
      <c r="B398" s="510"/>
      <c r="C398" s="510"/>
      <c r="D398" s="1282"/>
      <c r="E398" s="1282"/>
      <c r="F398" s="1282"/>
      <c r="I398" s="524"/>
    </row>
    <row r="399" spans="1:9">
      <c r="A399" s="510"/>
      <c r="B399" s="510"/>
      <c r="C399" s="510"/>
      <c r="D399" s="1282"/>
      <c r="E399" s="1282"/>
      <c r="F399" s="1282"/>
      <c r="I399" s="524"/>
    </row>
    <row r="400" spans="1:9" ht="8.25" customHeight="1">
      <c r="A400" s="510"/>
      <c r="B400" s="510"/>
      <c r="C400" s="510"/>
      <c r="D400" s="1282"/>
      <c r="E400" s="1282"/>
      <c r="F400" s="1282"/>
      <c r="I400" s="524"/>
    </row>
    <row r="401" spans="1:9" ht="13.7" customHeight="1">
      <c r="A401" s="510"/>
      <c r="B401" s="510"/>
      <c r="C401" s="510"/>
      <c r="D401" s="1282" t="s">
        <v>1226</v>
      </c>
      <c r="E401" s="1282"/>
      <c r="F401" s="1282"/>
      <c r="I401" s="524"/>
    </row>
    <row r="402" spans="1:9">
      <c r="A402" s="510"/>
      <c r="B402" s="510"/>
      <c r="C402" s="510"/>
      <c r="D402" s="1282"/>
      <c r="E402" s="1282"/>
      <c r="F402" s="1282"/>
      <c r="I402" s="524"/>
    </row>
    <row r="403" spans="1:9">
      <c r="A403" s="510"/>
      <c r="B403" s="510"/>
      <c r="C403" s="510"/>
      <c r="D403" s="1282"/>
      <c r="E403" s="1282"/>
      <c r="F403" s="1282"/>
      <c r="I403" s="524"/>
    </row>
    <row r="404" spans="1:9">
      <c r="A404" s="510"/>
      <c r="B404" s="510"/>
      <c r="C404" s="510"/>
      <c r="D404" s="1282"/>
      <c r="E404" s="1282"/>
      <c r="F404" s="1282"/>
      <c r="I404" s="524"/>
    </row>
    <row r="405" spans="1:9">
      <c r="A405" s="510"/>
      <c r="B405" s="510"/>
      <c r="C405" s="510"/>
      <c r="D405" s="1282"/>
      <c r="E405" s="1282"/>
      <c r="F405" s="1282"/>
      <c r="I405" s="524"/>
    </row>
    <row r="406" spans="1:9">
      <c r="A406" s="510"/>
      <c r="B406" s="510"/>
      <c r="C406" s="510"/>
      <c r="D406" s="1282"/>
      <c r="E406" s="1282"/>
      <c r="F406" s="1282"/>
      <c r="I406" s="524"/>
    </row>
    <row r="407" spans="1:9">
      <c r="A407" s="510"/>
      <c r="B407" s="510"/>
      <c r="C407" s="510"/>
      <c r="D407" s="1282"/>
      <c r="E407" s="1282"/>
      <c r="F407" s="1282"/>
      <c r="I407" s="524"/>
    </row>
    <row r="408" spans="1:9">
      <c r="A408" s="510"/>
      <c r="B408" s="510"/>
      <c r="C408" s="510"/>
      <c r="D408" s="1282"/>
      <c r="E408" s="1282"/>
      <c r="F408" s="1282"/>
      <c r="I408" s="524"/>
    </row>
    <row r="409" spans="1:9">
      <c r="A409" s="510"/>
      <c r="B409" s="510"/>
      <c r="C409" s="510"/>
      <c r="D409" s="1282"/>
      <c r="E409" s="1282"/>
      <c r="F409" s="1282"/>
      <c r="I409" s="524"/>
    </row>
    <row r="410" spans="1:9">
      <c r="A410" s="510"/>
      <c r="B410" s="510"/>
      <c r="C410" s="510"/>
      <c r="D410" s="1282"/>
      <c r="E410" s="1282"/>
      <c r="F410" s="1282"/>
      <c r="I410" s="524"/>
    </row>
    <row r="411" spans="1:9">
      <c r="A411" s="510"/>
      <c r="B411" s="510"/>
      <c r="C411" s="510"/>
      <c r="D411" s="1282"/>
      <c r="E411" s="1282"/>
      <c r="F411" s="1282"/>
      <c r="I411" s="524"/>
    </row>
    <row r="412" spans="1:9">
      <c r="A412" s="510"/>
      <c r="B412" s="510"/>
      <c r="C412" s="510"/>
      <c r="D412" s="1282"/>
      <c r="E412" s="1282"/>
      <c r="F412" s="1282"/>
      <c r="I412" s="524"/>
    </row>
    <row r="413" spans="1:9">
      <c r="A413" s="510"/>
      <c r="B413" s="510"/>
      <c r="C413" s="530"/>
      <c r="D413" s="1282"/>
      <c r="E413" s="1282"/>
      <c r="F413" s="1282"/>
      <c r="I413" s="524"/>
    </row>
    <row r="414" spans="1:9">
      <c r="A414" s="510"/>
      <c r="B414" s="510"/>
      <c r="C414" s="530"/>
      <c r="D414" s="1282"/>
      <c r="E414" s="1282"/>
      <c r="F414" s="1282"/>
      <c r="I414" s="524"/>
    </row>
    <row r="415" spans="1:9">
      <c r="A415" s="510"/>
      <c r="B415" s="510"/>
      <c r="C415" s="510"/>
      <c r="D415" s="1282"/>
      <c r="E415" s="1282"/>
      <c r="F415" s="1282"/>
      <c r="I415" s="524"/>
    </row>
    <row r="416" spans="1:9">
      <c r="A416" s="510"/>
      <c r="B416" s="510"/>
      <c r="C416" s="530"/>
      <c r="D416" s="1282"/>
      <c r="E416" s="1282"/>
      <c r="F416" s="1282"/>
      <c r="I416" s="524"/>
    </row>
    <row r="417" spans="1:9">
      <c r="A417" s="510"/>
      <c r="B417" s="510"/>
      <c r="C417" s="530"/>
      <c r="D417" s="1282"/>
      <c r="E417" s="1282"/>
      <c r="F417" s="1282"/>
      <c r="I417" s="524"/>
    </row>
    <row r="418" spans="1:9">
      <c r="A418" s="510"/>
      <c r="B418" s="510"/>
      <c r="C418" s="530"/>
      <c r="D418" s="1282"/>
      <c r="E418" s="1282"/>
      <c r="F418" s="1282"/>
      <c r="I418" s="524"/>
    </row>
    <row r="419" spans="1:9">
      <c r="A419" s="510"/>
      <c r="B419" s="510"/>
      <c r="C419" s="510"/>
      <c r="D419" s="481"/>
      <c r="E419" s="481"/>
      <c r="F419" s="480"/>
      <c r="I419" s="524"/>
    </row>
    <row r="420" spans="1:9">
      <c r="A420" s="510"/>
      <c r="B420" s="519" t="s">
        <v>2732</v>
      </c>
      <c r="C420" s="510"/>
      <c r="D420" s="1282" t="s">
        <v>1227</v>
      </c>
      <c r="E420" s="1282"/>
      <c r="F420" s="1282"/>
      <c r="I420" s="524"/>
    </row>
    <row r="421" spans="1:9">
      <c r="A421" s="510"/>
      <c r="B421" s="510"/>
      <c r="C421" s="510"/>
      <c r="D421" s="1282"/>
      <c r="E421" s="1282"/>
      <c r="F421" s="1282"/>
      <c r="I421" s="524"/>
    </row>
    <row r="422" spans="1:9">
      <c r="A422" s="510"/>
      <c r="B422" s="510"/>
      <c r="C422" s="510"/>
      <c r="D422" s="485"/>
      <c r="E422" s="485"/>
      <c r="F422" s="485"/>
      <c r="I422" s="524"/>
    </row>
    <row r="423" spans="1:9" ht="14.45" customHeight="1">
      <c r="A423" s="518"/>
      <c r="B423" s="519" t="s">
        <v>2732</v>
      </c>
      <c r="D423" s="1282" t="s">
        <v>2129</v>
      </c>
      <c r="E423" s="1282"/>
      <c r="F423" s="1282"/>
      <c r="I423" s="524"/>
    </row>
    <row r="424" spans="1:9" ht="14.45" customHeight="1">
      <c r="A424" s="518"/>
      <c r="D424" s="1282"/>
      <c r="E424" s="1282"/>
      <c r="F424" s="1282"/>
      <c r="I424" s="524"/>
    </row>
    <row r="425" spans="1:9" ht="14.45" customHeight="1">
      <c r="A425" s="518"/>
      <c r="D425" s="1282"/>
      <c r="E425" s="1282"/>
      <c r="F425" s="1282"/>
      <c r="I425" s="524"/>
    </row>
    <row r="426" spans="1:9" ht="14.45" customHeight="1">
      <c r="A426" s="518"/>
      <c r="D426" s="1282"/>
      <c r="E426" s="1282"/>
      <c r="F426" s="1282"/>
      <c r="I426" s="524"/>
    </row>
    <row r="427" spans="1:9" ht="14.45" customHeight="1">
      <c r="A427" s="518"/>
      <c r="D427" s="1282"/>
      <c r="E427" s="1282"/>
      <c r="F427" s="1282"/>
      <c r="I427" s="524"/>
    </row>
    <row r="428" spans="1:9" ht="14.45" customHeight="1">
      <c r="A428" s="518"/>
      <c r="D428" s="416"/>
      <c r="E428" s="416"/>
      <c r="F428" s="416"/>
      <c r="I428" s="524"/>
    </row>
    <row r="429" spans="1:9" ht="13.7" customHeight="1">
      <c r="A429" s="518"/>
      <c r="B429" s="519" t="s">
        <v>2732</v>
      </c>
      <c r="C429" s="510"/>
      <c r="D429" s="1282" t="s">
        <v>1346</v>
      </c>
      <c r="E429" s="1282"/>
      <c r="F429" s="1282"/>
      <c r="I429" s="524"/>
    </row>
    <row r="430" spans="1:9" ht="14.25">
      <c r="A430" s="531"/>
      <c r="B430" s="531"/>
      <c r="C430" s="510"/>
      <c r="D430" s="1282"/>
      <c r="E430" s="1282"/>
      <c r="F430" s="1282"/>
      <c r="I430" s="524"/>
    </row>
    <row r="431" spans="1:9" ht="14.25">
      <c r="A431" s="531"/>
      <c r="B431" s="531"/>
      <c r="C431" s="510"/>
      <c r="D431" s="1282"/>
      <c r="E431" s="1282"/>
      <c r="F431" s="1282"/>
      <c r="I431" s="524"/>
    </row>
    <row r="432" spans="1:9" ht="14.25">
      <c r="A432" s="531"/>
      <c r="B432" s="531"/>
      <c r="C432" s="510"/>
      <c r="D432" s="1282"/>
      <c r="E432" s="1282"/>
      <c r="F432" s="1282"/>
      <c r="I432" s="524"/>
    </row>
    <row r="433" spans="1:9" ht="15.75" customHeight="1">
      <c r="A433" s="531"/>
      <c r="B433" s="531"/>
      <c r="C433" s="510"/>
      <c r="D433" s="1353" t="s">
        <v>2389</v>
      </c>
      <c r="E433" s="1282"/>
      <c r="F433" s="1282"/>
      <c r="I433" s="524"/>
    </row>
    <row r="434" spans="1:9">
      <c r="D434" s="480"/>
      <c r="E434" s="480"/>
      <c r="F434" s="480"/>
      <c r="I434" s="524"/>
    </row>
    <row r="435" spans="1:9" ht="14.25">
      <c r="A435" s="518"/>
      <c r="B435" s="519" t="s">
        <v>2732</v>
      </c>
      <c r="C435" s="521"/>
      <c r="D435" s="1300" t="s">
        <v>2372</v>
      </c>
      <c r="E435" s="1300"/>
      <c r="F435" s="1300"/>
      <c r="I435" s="524"/>
    </row>
    <row r="436" spans="1:9" ht="14.25">
      <c r="A436" s="518"/>
      <c r="B436" s="518"/>
      <c r="D436" s="1300"/>
      <c r="E436" s="1300"/>
      <c r="F436" s="1300"/>
      <c r="I436" s="524"/>
    </row>
    <row r="437" spans="1:9">
      <c r="D437" s="1300"/>
      <c r="E437" s="1300"/>
      <c r="F437" s="1300"/>
      <c r="I437" s="524"/>
    </row>
    <row r="438" spans="1:9">
      <c r="D438" s="1300"/>
      <c r="E438" s="1300"/>
      <c r="F438" s="1300"/>
      <c r="I438" s="524"/>
    </row>
    <row r="439" spans="1:9">
      <c r="D439" s="1300"/>
      <c r="E439" s="1300"/>
      <c r="F439" s="1300"/>
      <c r="I439" s="524"/>
    </row>
    <row r="440" spans="1:9">
      <c r="D440" s="1300"/>
      <c r="E440" s="1300"/>
      <c r="F440" s="1300"/>
      <c r="I440" s="524"/>
    </row>
    <row r="441" spans="1:9">
      <c r="D441" s="1300"/>
      <c r="E441" s="1300"/>
      <c r="F441" s="1300"/>
      <c r="I441" s="524"/>
    </row>
    <row r="442" spans="1:9">
      <c r="D442" s="1300"/>
      <c r="E442" s="1300"/>
      <c r="F442" s="1300"/>
      <c r="I442" s="524"/>
    </row>
    <row r="443" spans="1:9">
      <c r="D443" s="1300"/>
      <c r="E443" s="1300"/>
      <c r="F443" s="1300"/>
      <c r="I443" s="524"/>
    </row>
    <row r="444" spans="1:9">
      <c r="D444" s="1300"/>
      <c r="E444" s="1300"/>
      <c r="F444" s="1300"/>
      <c r="I444" s="524"/>
    </row>
    <row r="445" spans="1:9">
      <c r="D445" s="1300"/>
      <c r="E445" s="1300"/>
      <c r="F445" s="1300"/>
      <c r="I445" s="524"/>
    </row>
    <row r="446" spans="1:9">
      <c r="D446" s="1300"/>
      <c r="E446" s="1300"/>
      <c r="F446" s="1300"/>
      <c r="I446" s="524"/>
    </row>
    <row r="447" spans="1:9">
      <c r="D447" s="1300"/>
      <c r="E447" s="1300"/>
      <c r="F447" s="1300"/>
      <c r="I447" s="524"/>
    </row>
    <row r="448" spans="1:9">
      <c r="A448" s="433"/>
      <c r="B448" s="433"/>
      <c r="C448" s="433"/>
      <c r="D448" s="1300"/>
      <c r="E448" s="1300"/>
      <c r="F448" s="1300"/>
      <c r="I448" s="524"/>
    </row>
    <row r="449" spans="1:9">
      <c r="A449" s="433"/>
      <c r="B449" s="433"/>
      <c r="C449" s="433"/>
      <c r="D449" s="1300"/>
      <c r="E449" s="1300"/>
      <c r="F449" s="1300"/>
      <c r="I449" s="524"/>
    </row>
    <row r="450" spans="1:9">
      <c r="A450" s="433"/>
      <c r="B450" s="433"/>
      <c r="C450" s="433"/>
      <c r="D450" s="1300"/>
      <c r="E450" s="1300"/>
      <c r="F450" s="1300"/>
      <c r="I450" s="524"/>
    </row>
    <row r="451" spans="1:9">
      <c r="A451" s="433"/>
      <c r="B451" s="433"/>
      <c r="C451" s="433"/>
      <c r="D451" s="1300"/>
      <c r="E451" s="1300"/>
      <c r="F451" s="1300"/>
      <c r="I451" s="524"/>
    </row>
    <row r="452" spans="1:9">
      <c r="A452" s="433"/>
      <c r="B452" s="433"/>
      <c r="C452" s="433"/>
      <c r="D452" s="1300"/>
      <c r="E452" s="1300"/>
      <c r="F452" s="1300"/>
      <c r="I452" s="524"/>
    </row>
    <row r="453" spans="1:9">
      <c r="A453" s="433"/>
      <c r="B453" s="433"/>
      <c r="C453" s="433"/>
      <c r="D453" s="1300"/>
      <c r="E453" s="1300"/>
      <c r="F453" s="1300"/>
      <c r="I453" s="524"/>
    </row>
    <row r="454" spans="1:9">
      <c r="A454" s="433"/>
      <c r="B454" s="433"/>
      <c r="C454" s="433"/>
      <c r="D454" s="1300"/>
      <c r="E454" s="1300"/>
      <c r="F454" s="1300"/>
      <c r="I454" s="524"/>
    </row>
    <row r="455" spans="1:9">
      <c r="A455" s="433"/>
      <c r="B455" s="433"/>
      <c r="C455" s="433"/>
      <c r="D455" s="1300"/>
      <c r="E455" s="1300"/>
      <c r="F455" s="1300"/>
      <c r="I455" s="524"/>
    </row>
    <row r="456" spans="1:9">
      <c r="A456" s="433"/>
      <c r="B456" s="433"/>
      <c r="C456" s="433"/>
      <c r="D456" s="1300"/>
      <c r="E456" s="1300"/>
      <c r="F456" s="1300"/>
      <c r="I456" s="524"/>
    </row>
    <row r="457" spans="1:9">
      <c r="A457" s="433"/>
      <c r="B457" s="433"/>
      <c r="C457" s="433"/>
      <c r="D457" s="1300"/>
      <c r="E457" s="1300"/>
      <c r="F457" s="1300"/>
      <c r="I457" s="524"/>
    </row>
    <row r="458" spans="1:9">
      <c r="A458" s="433"/>
      <c r="B458" s="433"/>
      <c r="C458" s="433"/>
      <c r="D458" s="1300"/>
      <c r="E458" s="1300"/>
      <c r="F458" s="1300"/>
      <c r="I458" s="524"/>
    </row>
    <row r="459" spans="1:9">
      <c r="A459" s="433"/>
      <c r="B459" s="433"/>
      <c r="C459" s="433"/>
      <c r="D459" s="1300"/>
      <c r="E459" s="1300"/>
      <c r="F459" s="1300"/>
      <c r="I459" s="524"/>
    </row>
    <row r="460" spans="1:9">
      <c r="A460" s="433"/>
      <c r="B460" s="433"/>
      <c r="C460" s="433"/>
      <c r="D460" s="1300"/>
      <c r="E460" s="1300"/>
      <c r="F460" s="1300"/>
      <c r="I460" s="524"/>
    </row>
    <row r="461" spans="1:9">
      <c r="A461" s="433"/>
      <c r="B461" s="433"/>
      <c r="C461" s="433"/>
      <c r="D461" s="1300"/>
      <c r="E461" s="1300"/>
      <c r="F461" s="1300"/>
      <c r="I461" s="524"/>
    </row>
    <row r="462" spans="1:9">
      <c r="A462" s="433"/>
      <c r="B462" s="433"/>
      <c r="C462" s="433"/>
      <c r="D462" s="1300"/>
      <c r="E462" s="1300"/>
      <c r="F462" s="1300"/>
      <c r="I462" s="524"/>
    </row>
    <row r="463" spans="1:9">
      <c r="A463" s="433"/>
      <c r="B463" s="433"/>
      <c r="C463" s="433"/>
      <c r="D463" s="1300"/>
      <c r="E463" s="1300"/>
      <c r="F463" s="1300"/>
      <c r="I463" s="524"/>
    </row>
    <row r="464" spans="1:9">
      <c r="D464" s="1300"/>
      <c r="E464" s="1300"/>
      <c r="F464" s="1300"/>
      <c r="I464" s="524"/>
    </row>
    <row r="465" spans="1:9" ht="40.700000000000003" customHeight="1">
      <c r="D465" s="1300"/>
      <c r="E465" s="1300"/>
      <c r="F465" s="1300"/>
      <c r="I465" s="524"/>
    </row>
    <row r="466" spans="1:9">
      <c r="D466" s="480"/>
      <c r="E466" s="480"/>
      <c r="F466" s="480"/>
      <c r="I466" s="524"/>
    </row>
    <row r="467" spans="1:9" ht="14.25">
      <c r="A467" s="518"/>
      <c r="B467" s="519" t="s">
        <v>2732</v>
      </c>
      <c r="C467" s="521"/>
      <c r="D467" s="1300" t="s">
        <v>1232</v>
      </c>
      <c r="E467" s="1300"/>
      <c r="F467" s="1300"/>
      <c r="I467" s="524"/>
    </row>
    <row r="468" spans="1:9">
      <c r="D468" s="1300"/>
      <c r="E468" s="1300"/>
      <c r="F468" s="1300"/>
      <c r="I468" s="524"/>
    </row>
    <row r="469" spans="1:9">
      <c r="D469" s="1300"/>
      <c r="E469" s="1300"/>
      <c r="F469" s="1300"/>
      <c r="I469" s="524"/>
    </row>
    <row r="470" spans="1:9">
      <c r="D470" s="479"/>
      <c r="E470" s="479"/>
      <c r="F470" s="479"/>
      <c r="I470" s="524"/>
    </row>
    <row r="471" spans="1:9" ht="14.25">
      <c r="B471" s="519" t="s">
        <v>2732</v>
      </c>
      <c r="C471" s="518"/>
      <c r="D471" s="1300" t="s">
        <v>1302</v>
      </c>
      <c r="E471" s="1300"/>
      <c r="F471" s="1300"/>
      <c r="I471" s="524"/>
    </row>
    <row r="472" spans="1:9">
      <c r="D472" s="1300"/>
      <c r="E472" s="1300"/>
      <c r="F472" s="1300"/>
      <c r="I472" s="524"/>
    </row>
    <row r="473" spans="1:9">
      <c r="D473" s="480"/>
      <c r="E473" s="480"/>
      <c r="F473" s="480"/>
      <c r="I473" s="524"/>
    </row>
    <row r="474" spans="1:9" ht="14.25">
      <c r="B474" s="519" t="s">
        <v>2732</v>
      </c>
      <c r="C474" s="518"/>
      <c r="D474" s="1300" t="s">
        <v>1234</v>
      </c>
      <c r="E474" s="1300"/>
      <c r="F474" s="1300"/>
      <c r="I474" s="524"/>
    </row>
    <row r="475" spans="1:9">
      <c r="D475" s="1300"/>
      <c r="E475" s="1300"/>
      <c r="F475" s="1300"/>
      <c r="I475" s="524"/>
    </row>
    <row r="476" spans="1:9">
      <c r="D476" s="1300"/>
      <c r="E476" s="1300"/>
      <c r="F476" s="1300"/>
      <c r="I476" s="524"/>
    </row>
    <row r="477" spans="1:9">
      <c r="D477" s="1300"/>
      <c r="E477" s="1300"/>
      <c r="F477" s="1300"/>
      <c r="I477" s="524"/>
    </row>
    <row r="478" spans="1:9">
      <c r="B478" s="519" t="s">
        <v>2732</v>
      </c>
      <c r="D478" s="1300"/>
      <c r="E478" s="1300"/>
      <c r="F478" s="1300"/>
      <c r="I478" s="524"/>
    </row>
    <row r="479" spans="1:9">
      <c r="A479" s="433"/>
      <c r="B479" s="433"/>
      <c r="C479" s="433"/>
      <c r="D479" s="1300"/>
      <c r="E479" s="1300"/>
      <c r="F479" s="1300"/>
      <c r="I479" s="524"/>
    </row>
    <row r="480" spans="1:9">
      <c r="A480" s="433"/>
      <c r="C480" s="433"/>
      <c r="D480" s="1300"/>
      <c r="E480" s="1300"/>
      <c r="F480" s="1300"/>
      <c r="I480" s="524"/>
    </row>
    <row r="481" spans="1:9">
      <c r="A481" s="433"/>
      <c r="B481" s="519" t="s">
        <v>2732</v>
      </c>
      <c r="C481" s="433"/>
      <c r="D481" s="1300"/>
      <c r="E481" s="1300"/>
      <c r="F481" s="1300"/>
      <c r="I481" s="524"/>
    </row>
    <row r="482" spans="1:9">
      <c r="A482" s="433"/>
      <c r="B482" s="433"/>
      <c r="C482" s="433"/>
      <c r="D482" s="1300"/>
      <c r="E482" s="1300"/>
      <c r="F482" s="1300"/>
      <c r="I482" s="524"/>
    </row>
    <row r="483" spans="1:9">
      <c r="A483" s="433"/>
      <c r="C483" s="433"/>
      <c r="D483" s="1300"/>
      <c r="E483" s="1300"/>
      <c r="F483" s="1300"/>
      <c r="I483" s="524"/>
    </row>
    <row r="484" spans="1:9">
      <c r="A484" s="433"/>
      <c r="C484" s="433"/>
      <c r="D484" s="1300"/>
      <c r="E484" s="1300"/>
      <c r="F484" s="1300"/>
      <c r="I484" s="524"/>
    </row>
    <row r="485" spans="1:9">
      <c r="A485" s="433"/>
      <c r="C485" s="433"/>
      <c r="D485" s="1300"/>
      <c r="E485" s="1300"/>
      <c r="F485" s="1300"/>
      <c r="I485" s="524"/>
    </row>
    <row r="486" spans="1:9">
      <c r="A486" s="433"/>
      <c r="B486" s="519" t="s">
        <v>2732</v>
      </c>
      <c r="C486" s="433"/>
      <c r="D486" s="1300"/>
      <c r="E486" s="1300"/>
      <c r="F486" s="1300"/>
      <c r="I486" s="524"/>
    </row>
    <row r="487" spans="1:9">
      <c r="A487" s="433"/>
      <c r="C487" s="433"/>
      <c r="D487" s="1300"/>
      <c r="E487" s="1300"/>
      <c r="F487" s="1300"/>
      <c r="I487" s="524"/>
    </row>
    <row r="488" spans="1:9">
      <c r="A488" s="433"/>
      <c r="B488" s="519" t="s">
        <v>2732</v>
      </c>
      <c r="C488" s="433"/>
      <c r="D488" s="1300" t="s">
        <v>1235</v>
      </c>
      <c r="E488" s="1300"/>
      <c r="F488" s="1300"/>
      <c r="I488" s="524"/>
    </row>
    <row r="489" spans="1:9">
      <c r="A489" s="433"/>
      <c r="B489" s="433"/>
      <c r="C489" s="433"/>
      <c r="D489" s="1300"/>
      <c r="E489" s="1300"/>
      <c r="F489" s="1300"/>
      <c r="I489" s="524"/>
    </row>
    <row r="490" spans="1:9">
      <c r="A490" s="433"/>
      <c r="B490" s="433"/>
      <c r="C490" s="433"/>
      <c r="D490" s="1300"/>
      <c r="E490" s="1300"/>
      <c r="F490" s="1300"/>
      <c r="I490" s="524"/>
    </row>
    <row r="491" spans="1:9">
      <c r="A491" s="433"/>
      <c r="B491" s="433"/>
      <c r="C491" s="433"/>
      <c r="D491" s="1300"/>
      <c r="E491" s="1300"/>
      <c r="F491" s="1300"/>
      <c r="I491" s="524"/>
    </row>
    <row r="492" spans="1:9">
      <c r="D492" s="1300"/>
      <c r="E492" s="1300"/>
      <c r="F492" s="1300"/>
      <c r="I492" s="524"/>
    </row>
    <row r="493" spans="1:9">
      <c r="D493" s="480"/>
      <c r="E493" s="480"/>
      <c r="F493" s="480"/>
      <c r="I493" s="524"/>
    </row>
    <row r="494" spans="1:9">
      <c r="B494" s="519" t="s">
        <v>2732</v>
      </c>
      <c r="D494" s="1301" t="s">
        <v>1236</v>
      </c>
      <c r="E494" s="1301"/>
      <c r="F494" s="1301"/>
      <c r="I494" s="524"/>
    </row>
    <row r="495" spans="1:9">
      <c r="A495" s="480"/>
      <c r="B495" s="480"/>
      <c r="I495" s="524"/>
    </row>
    <row r="496" spans="1:9">
      <c r="A496" s="1288" t="s">
        <v>1077</v>
      </c>
      <c r="B496" s="1288"/>
      <c r="C496" s="1288"/>
      <c r="D496" s="1288"/>
      <c r="E496" s="1288"/>
      <c r="F496" s="1288"/>
      <c r="G496" s="1288"/>
      <c r="H496" s="1063"/>
      <c r="I496" s="1259"/>
    </row>
    <row r="497" spans="1:9">
      <c r="A497" s="480"/>
      <c r="B497" s="480"/>
      <c r="I497" s="524"/>
    </row>
    <row r="498" spans="1:9">
      <c r="D498" s="1285" t="s">
        <v>895</v>
      </c>
      <c r="E498" s="1285"/>
      <c r="F498" s="1285"/>
      <c r="I498" s="524"/>
    </row>
    <row r="499" spans="1:9" ht="14.25">
      <c r="A499" s="518"/>
      <c r="B499" s="518"/>
      <c r="D499" s="1286" t="s">
        <v>1237</v>
      </c>
      <c r="E499" s="1286"/>
      <c r="F499" s="1286"/>
      <c r="I499" s="524"/>
    </row>
    <row r="500" spans="1:9" ht="14.25">
      <c r="A500" s="518"/>
      <c r="B500" s="518"/>
      <c r="D500" s="481"/>
      <c r="I500" s="524"/>
    </row>
    <row r="501" spans="1:9" ht="14.25">
      <c r="A501" s="518"/>
      <c r="B501" s="519" t="s">
        <v>2732</v>
      </c>
      <c r="D501" s="1282" t="s">
        <v>1238</v>
      </c>
      <c r="E501" s="1282"/>
      <c r="F501" s="1282"/>
      <c r="I501" s="524" t="s">
        <v>2093</v>
      </c>
    </row>
    <row r="502" spans="1:9" ht="14.25">
      <c r="A502" s="518"/>
      <c r="B502" s="518"/>
      <c r="D502" s="1282"/>
      <c r="E502" s="1282"/>
      <c r="F502" s="1282"/>
      <c r="I502" s="524"/>
    </row>
    <row r="503" spans="1:9" ht="14.25">
      <c r="A503" s="518"/>
      <c r="B503" s="518"/>
      <c r="D503" s="480"/>
      <c r="I503" s="524"/>
    </row>
    <row r="504" spans="1:9" ht="12.75" customHeight="1">
      <c r="B504" s="519" t="s">
        <v>2732</v>
      </c>
      <c r="D504" s="1287" t="s">
        <v>1382</v>
      </c>
      <c r="E504" s="1287"/>
      <c r="F504" s="1287"/>
      <c r="I504" s="524" t="s">
        <v>2094</v>
      </c>
    </row>
    <row r="505" spans="1:9" ht="14.25">
      <c r="A505" s="518"/>
      <c r="D505" s="1287"/>
      <c r="E505" s="1287"/>
      <c r="F505" s="1287"/>
      <c r="I505" s="524"/>
    </row>
    <row r="506" spans="1:9" ht="14.25">
      <c r="A506" s="518"/>
      <c r="B506" s="518"/>
      <c r="D506" s="1287"/>
      <c r="E506" s="1287"/>
      <c r="F506" s="1287"/>
      <c r="I506" s="524"/>
    </row>
    <row r="507" spans="1:9" ht="14.25">
      <c r="A507" s="518"/>
      <c r="B507" s="518"/>
      <c r="D507" s="1287"/>
      <c r="E507" s="1287"/>
      <c r="F507" s="1287"/>
      <c r="I507" s="524"/>
    </row>
    <row r="508" spans="1:9" ht="14.25">
      <c r="A508" s="518"/>
      <c r="D508" s="554"/>
      <c r="E508" s="554"/>
      <c r="F508" s="554"/>
      <c r="I508" s="524"/>
    </row>
    <row r="509" spans="1:9" ht="14.25">
      <c r="A509" s="518"/>
      <c r="B509" s="519" t="s">
        <v>2732</v>
      </c>
      <c r="D509" s="1301" t="s">
        <v>1241</v>
      </c>
      <c r="E509" s="1301"/>
      <c r="F509" s="1301"/>
      <c r="I509" s="524" t="s">
        <v>2095</v>
      </c>
    </row>
    <row r="510" spans="1:9" ht="14.25">
      <c r="A510" s="518"/>
      <c r="B510" s="518"/>
      <c r="D510" s="480"/>
      <c r="I510" s="524"/>
    </row>
    <row r="511" spans="1:9" ht="14.25">
      <c r="A511" s="518"/>
      <c r="B511" s="519" t="s">
        <v>2732</v>
      </c>
      <c r="D511" s="1300" t="s">
        <v>1242</v>
      </c>
      <c r="E511" s="1300"/>
      <c r="F511" s="1300"/>
      <c r="I511" s="524" t="s">
        <v>2095</v>
      </c>
    </row>
    <row r="512" spans="1:9" ht="14.25">
      <c r="A512" s="518"/>
      <c r="D512" s="1300"/>
      <c r="E512" s="1300"/>
      <c r="F512" s="1300"/>
      <c r="I512" s="524"/>
    </row>
    <row r="513" spans="1:9">
      <c r="A513" s="524"/>
      <c r="B513" s="524"/>
      <c r="D513" s="481"/>
      <c r="I513" s="524"/>
    </row>
    <row r="514" spans="1:9">
      <c r="A514" s="524"/>
      <c r="B514" s="519" t="s">
        <v>2732</v>
      </c>
      <c r="D514" s="1301" t="s">
        <v>1243</v>
      </c>
      <c r="E514" s="1301"/>
      <c r="F514" s="1301"/>
      <c r="I514" s="524" t="s">
        <v>2148</v>
      </c>
    </row>
    <row r="515" spans="1:9" ht="14.25">
      <c r="A515" s="518"/>
      <c r="B515" s="518"/>
      <c r="D515" s="480"/>
      <c r="I515" s="524"/>
    </row>
    <row r="516" spans="1:9">
      <c r="A516" s="1288" t="s">
        <v>1078</v>
      </c>
      <c r="B516" s="1288"/>
      <c r="C516" s="1288"/>
      <c r="D516" s="1288"/>
      <c r="E516" s="1288"/>
      <c r="F516" s="1288"/>
      <c r="G516" s="1288"/>
      <c r="H516" s="1063"/>
      <c r="I516" s="1259"/>
    </row>
    <row r="517" spans="1:9" ht="12" customHeight="1">
      <c r="A517" s="518"/>
      <c r="B517" s="518"/>
      <c r="D517" s="480"/>
      <c r="I517" s="524"/>
    </row>
    <row r="518" spans="1:9">
      <c r="C518" s="516"/>
      <c r="D518" s="1299" t="s">
        <v>802</v>
      </c>
      <c r="E518" s="1299"/>
      <c r="F518" s="129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2731</v>
      </c>
      <c r="C522" s="517"/>
      <c r="D522" s="1282" t="s">
        <v>2373</v>
      </c>
      <c r="E522" s="1282"/>
      <c r="F522" s="1282"/>
      <c r="I522" s="524" t="s">
        <v>2130</v>
      </c>
    </row>
    <row r="523" spans="1:9">
      <c r="A523" s="517"/>
      <c r="B523" s="517"/>
      <c r="C523" s="517"/>
      <c r="D523" s="1282"/>
      <c r="E523" s="1282"/>
      <c r="F523" s="1282"/>
      <c r="I523" s="524"/>
    </row>
    <row r="524" spans="1:9">
      <c r="A524" s="517"/>
      <c r="B524" s="517"/>
      <c r="C524" s="517"/>
      <c r="D524" s="485"/>
      <c r="E524" s="485"/>
      <c r="F524" s="485"/>
      <c r="I524" s="514"/>
    </row>
    <row r="525" spans="1:9" ht="12.75" customHeight="1">
      <c r="A525" s="517"/>
      <c r="B525" s="519" t="s">
        <v>2731</v>
      </c>
      <c r="D525" s="417" t="s">
        <v>2203</v>
      </c>
      <c r="E525" s="416"/>
      <c r="F525" s="416"/>
      <c r="I525" s="524" t="s">
        <v>2096</v>
      </c>
    </row>
    <row r="526" spans="1:9">
      <c r="A526" s="517"/>
      <c r="B526" s="517"/>
      <c r="C526" s="517"/>
      <c r="D526" s="416"/>
      <c r="E526" s="96" t="s">
        <v>2204</v>
      </c>
      <c r="I526" s="524"/>
    </row>
    <row r="527" spans="1:9">
      <c r="A527" s="517"/>
      <c r="B527" s="517"/>
      <c r="D527" s="1330" t="s">
        <v>2374</v>
      </c>
      <c r="E527" s="1330"/>
      <c r="F527" s="1330"/>
      <c r="I527" s="524"/>
    </row>
    <row r="528" spans="1:9">
      <c r="A528" s="517"/>
      <c r="B528" s="517"/>
      <c r="D528" s="1330"/>
      <c r="E528" s="1330"/>
      <c r="F528" s="1330"/>
      <c r="I528" s="524"/>
    </row>
    <row r="529" spans="1:9">
      <c r="A529" s="517"/>
      <c r="B529" s="517"/>
      <c r="C529" s="517"/>
      <c r="D529" s="1330"/>
      <c r="E529" s="1330"/>
      <c r="F529" s="1330"/>
      <c r="I529" s="524"/>
    </row>
    <row r="530" spans="1:9">
      <c r="A530" s="517"/>
      <c r="B530" s="517"/>
      <c r="C530" s="517"/>
      <c r="D530" s="532"/>
      <c r="F530" s="480"/>
      <c r="I530" s="524"/>
    </row>
    <row r="531" spans="1:9" ht="13.15" customHeight="1">
      <c r="A531" s="517"/>
      <c r="B531" s="519" t="s">
        <v>2732</v>
      </c>
      <c r="C531" s="517"/>
      <c r="D531" s="1300" t="s">
        <v>2375</v>
      </c>
      <c r="E531" s="1300"/>
      <c r="F531" s="1300"/>
      <c r="I531" s="524" t="s">
        <v>2096</v>
      </c>
    </row>
    <row r="532" spans="1:9">
      <c r="A532" s="517"/>
      <c r="B532" s="517"/>
      <c r="C532" s="517"/>
      <c r="D532" s="1300"/>
      <c r="E532" s="1300"/>
      <c r="F532" s="1300"/>
      <c r="I532" s="524"/>
    </row>
    <row r="533" spans="1:9" ht="12" customHeight="1">
      <c r="A533" s="480"/>
      <c r="B533" s="480"/>
      <c r="C533" s="521"/>
      <c r="D533" s="480"/>
      <c r="F533" s="482"/>
      <c r="I533" s="524"/>
    </row>
    <row r="534" spans="1:9">
      <c r="A534" s="1288" t="s">
        <v>1079</v>
      </c>
      <c r="B534" s="1288"/>
      <c r="C534" s="1288"/>
      <c r="D534" s="1288"/>
      <c r="E534" s="1288"/>
      <c r="F534" s="1288"/>
      <c r="G534" s="1288"/>
      <c r="H534" s="1063"/>
      <c r="I534" s="1259"/>
    </row>
    <row r="535" spans="1:9">
      <c r="A535" s="480"/>
      <c r="B535" s="480"/>
      <c r="C535" s="521"/>
      <c r="F535" s="482"/>
      <c r="I535" s="524"/>
    </row>
    <row r="536" spans="1:9">
      <c r="B536" s="1303" t="s">
        <v>448</v>
      </c>
      <c r="C536" s="1303"/>
      <c r="D536" s="1303"/>
      <c r="E536" s="1303"/>
      <c r="F536" s="1303"/>
      <c r="I536" s="524"/>
    </row>
    <row r="537" spans="1:9">
      <c r="A537" s="480"/>
      <c r="B537" s="480"/>
      <c r="C537" s="521"/>
      <c r="D537" s="480"/>
      <c r="F537" s="480"/>
      <c r="I537" s="524"/>
    </row>
    <row r="538" spans="1:9">
      <c r="A538" s="1319" t="s">
        <v>1080</v>
      </c>
      <c r="B538" s="1319"/>
      <c r="C538" s="1319"/>
      <c r="D538" s="1319"/>
      <c r="E538" s="1319"/>
      <c r="F538" s="1319"/>
      <c r="G538" s="1319"/>
      <c r="H538" s="1063"/>
      <c r="I538" s="1259"/>
    </row>
    <row r="539" spans="1:9">
      <c r="A539" s="480"/>
      <c r="B539" s="480"/>
      <c r="C539" s="521"/>
      <c r="D539" s="480"/>
      <c r="F539" s="480"/>
      <c r="I539" s="524"/>
    </row>
    <row r="540" spans="1:9">
      <c r="C540" s="521"/>
      <c r="D540" s="1299" t="s">
        <v>691</v>
      </c>
      <c r="E540" s="1299"/>
      <c r="F540" s="1299"/>
      <c r="I540" s="524"/>
    </row>
    <row r="541" spans="1:9">
      <c r="C541" s="521"/>
      <c r="D541" s="1301" t="s">
        <v>1137</v>
      </c>
      <c r="E541" s="1301"/>
      <c r="F541" s="1301"/>
      <c r="I541" s="524"/>
    </row>
    <row r="542" spans="1:9">
      <c r="C542" s="521"/>
      <c r="D542" s="480"/>
      <c r="E542" s="480"/>
      <c r="F542" s="480"/>
      <c r="I542" s="524"/>
    </row>
    <row r="543" spans="1:9" ht="13.7" customHeight="1">
      <c r="A543" s="518"/>
      <c r="B543" s="519" t="s">
        <v>2731</v>
      </c>
      <c r="C543" s="521"/>
      <c r="D543" s="1301" t="s">
        <v>896</v>
      </c>
      <c r="E543" s="1301"/>
      <c r="F543" s="1301"/>
      <c r="I543" s="524" t="s">
        <v>2146</v>
      </c>
    </row>
    <row r="544" spans="1:9" ht="13.7" customHeight="1">
      <c r="A544" s="521"/>
      <c r="B544" s="521"/>
      <c r="C544" s="521"/>
      <c r="D544" s="480"/>
      <c r="I544" s="524"/>
    </row>
    <row r="545" spans="1:9" ht="14.25">
      <c r="A545" s="518"/>
      <c r="B545" s="519" t="s">
        <v>2731</v>
      </c>
      <c r="C545" s="521"/>
      <c r="D545" s="1300" t="s">
        <v>1138</v>
      </c>
      <c r="E545" s="1300"/>
      <c r="F545" s="1300"/>
      <c r="I545" s="524" t="s">
        <v>2146</v>
      </c>
    </row>
    <row r="546" spans="1:9">
      <c r="A546" s="521"/>
      <c r="B546" s="521"/>
      <c r="C546" s="521"/>
      <c r="D546" s="1300"/>
      <c r="E546" s="1300"/>
      <c r="F546" s="1300"/>
      <c r="I546" s="524"/>
    </row>
    <row r="547" spans="1:9">
      <c r="A547" s="521"/>
      <c r="B547" s="521"/>
      <c r="C547" s="521"/>
      <c r="D547" s="480"/>
      <c r="E547" s="480"/>
      <c r="F547" s="480"/>
      <c r="I547" s="524"/>
    </row>
    <row r="548" spans="1:9" ht="14.25">
      <c r="A548" s="518"/>
      <c r="B548" s="519" t="s">
        <v>2731</v>
      </c>
      <c r="C548" s="521"/>
      <c r="D548" s="1300" t="s">
        <v>1139</v>
      </c>
      <c r="E548" s="1300"/>
      <c r="F548" s="1300"/>
      <c r="I548" s="524" t="s">
        <v>2097</v>
      </c>
    </row>
    <row r="549" spans="1:9">
      <c r="A549" s="521"/>
      <c r="B549" s="521"/>
      <c r="C549" s="521"/>
      <c r="D549" s="1300"/>
      <c r="E549" s="1300"/>
      <c r="F549" s="1300"/>
      <c r="I549" s="524"/>
    </row>
    <row r="550" spans="1:9">
      <c r="A550" s="521"/>
      <c r="B550" s="521"/>
      <c r="C550" s="521"/>
      <c r="D550" s="480"/>
      <c r="E550" s="480"/>
      <c r="F550" s="480"/>
      <c r="I550" s="524"/>
    </row>
    <row r="551" spans="1:9" ht="14.25">
      <c r="A551" s="518"/>
      <c r="B551" s="519" t="s">
        <v>2731</v>
      </c>
      <c r="C551" s="521"/>
      <c r="D551" s="1300" t="s">
        <v>1140</v>
      </c>
      <c r="E551" s="1300"/>
      <c r="F551" s="1300"/>
      <c r="I551" s="524" t="s">
        <v>2098</v>
      </c>
    </row>
    <row r="552" spans="1:9">
      <c r="A552" s="521"/>
      <c r="B552" s="521"/>
      <c r="C552" s="521"/>
      <c r="D552" s="1300"/>
      <c r="E552" s="1300"/>
      <c r="F552" s="1300"/>
      <c r="I552" s="524"/>
    </row>
    <row r="553" spans="1:9">
      <c r="A553" s="521"/>
      <c r="B553" s="521"/>
      <c r="C553" s="521"/>
      <c r="D553" s="480"/>
      <c r="E553" s="480"/>
      <c r="F553" s="480"/>
      <c r="I553" s="524"/>
    </row>
    <row r="554" spans="1:9" ht="14.25">
      <c r="A554" s="518"/>
      <c r="B554" s="519" t="s">
        <v>2731</v>
      </c>
      <c r="C554" s="521"/>
      <c r="D554" s="1300" t="s">
        <v>1141</v>
      </c>
      <c r="E554" s="1300"/>
      <c r="F554" s="1300"/>
      <c r="I554" s="524" t="s">
        <v>2147</v>
      </c>
    </row>
    <row r="555" spans="1:9">
      <c r="A555" s="521"/>
      <c r="B555" s="521"/>
      <c r="C555" s="521"/>
      <c r="D555" s="1300"/>
      <c r="E555" s="1300"/>
      <c r="F555" s="1300"/>
      <c r="I555" s="524"/>
    </row>
    <row r="556" spans="1:9">
      <c r="A556" s="521"/>
      <c r="B556" s="521"/>
      <c r="C556" s="521"/>
      <c r="D556" s="1300"/>
      <c r="E556" s="1300"/>
      <c r="F556" s="1300"/>
      <c r="I556" s="524"/>
    </row>
    <row r="557" spans="1:9">
      <c r="A557" s="521"/>
      <c r="B557" s="521"/>
      <c r="C557" s="521"/>
      <c r="D557" s="480"/>
      <c r="E557" s="480"/>
      <c r="F557" s="480"/>
      <c r="I557" s="524"/>
    </row>
    <row r="558" spans="1:9" ht="14.25">
      <c r="A558" s="518"/>
      <c r="B558" s="519" t="s">
        <v>2732</v>
      </c>
      <c r="C558" s="521"/>
      <c r="D558" s="1300" t="s">
        <v>1259</v>
      </c>
      <c r="E558" s="1300"/>
      <c r="F558" s="1300"/>
      <c r="I558" s="524" t="s">
        <v>2146</v>
      </c>
    </row>
    <row r="559" spans="1:9">
      <c r="A559" s="521"/>
      <c r="B559" s="521"/>
      <c r="C559" s="521"/>
      <c r="D559" s="1300"/>
      <c r="E559" s="1300"/>
      <c r="F559" s="1300"/>
      <c r="I559" s="524"/>
    </row>
    <row r="560" spans="1:9">
      <c r="A560" s="521"/>
      <c r="B560" s="521"/>
      <c r="C560" s="521"/>
      <c r="D560" s="480"/>
      <c r="E560" s="480"/>
      <c r="F560" s="480"/>
      <c r="I560" s="524"/>
    </row>
    <row r="561" spans="1:9" ht="14.25">
      <c r="A561" s="518"/>
      <c r="B561" s="519" t="s">
        <v>2732</v>
      </c>
      <c r="C561" s="521"/>
      <c r="D561" s="1300" t="s">
        <v>1143</v>
      </c>
      <c r="E561" s="1300"/>
      <c r="F561" s="1300"/>
      <c r="I561" s="524" t="s">
        <v>2146</v>
      </c>
    </row>
    <row r="562" spans="1:9">
      <c r="A562" s="521"/>
      <c r="B562" s="521"/>
      <c r="C562" s="521"/>
      <c r="D562" s="1300"/>
      <c r="E562" s="1300"/>
      <c r="F562" s="1300"/>
      <c r="I562" s="524"/>
    </row>
    <row r="563" spans="1:9">
      <c r="A563" s="521"/>
      <c r="B563" s="521"/>
      <c r="C563" s="521"/>
      <c r="D563" s="480"/>
      <c r="E563" s="480"/>
      <c r="F563" s="480"/>
      <c r="I563" s="524"/>
    </row>
    <row r="564" spans="1:9" ht="14.25">
      <c r="A564" s="518"/>
      <c r="B564" s="519" t="s">
        <v>2731</v>
      </c>
      <c r="C564" s="521"/>
      <c r="D564" s="1301" t="s">
        <v>1144</v>
      </c>
      <c r="E564" s="1301"/>
      <c r="F564" s="1301"/>
      <c r="I564" s="524" t="s">
        <v>2149</v>
      </c>
    </row>
    <row r="565" spans="1:9">
      <c r="A565" s="524"/>
      <c r="B565" s="524"/>
      <c r="C565" s="521"/>
      <c r="D565" s="1301" t="s">
        <v>2206</v>
      </c>
      <c r="E565" s="1301"/>
      <c r="F565" s="1301"/>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2731</v>
      </c>
      <c r="C568" s="521"/>
      <c r="D568" s="1301" t="s">
        <v>1146</v>
      </c>
      <c r="E568" s="1301"/>
      <c r="F568" s="1301"/>
      <c r="I568" s="524" t="s">
        <v>2099</v>
      </c>
    </row>
    <row r="569" spans="1:9">
      <c r="C569" s="521"/>
      <c r="D569" s="1300" t="s">
        <v>1147</v>
      </c>
      <c r="E569" s="1300"/>
      <c r="F569" s="1300"/>
      <c r="I569" s="524"/>
    </row>
    <row r="570" spans="1:9">
      <c r="A570" s="521"/>
      <c r="B570" s="521"/>
      <c r="C570" s="521"/>
      <c r="D570" s="1300"/>
      <c r="E570" s="1300"/>
      <c r="F570" s="1300"/>
      <c r="I570" s="524"/>
    </row>
    <row r="571" spans="1:9">
      <c r="A571" s="521"/>
      <c r="B571" s="521"/>
      <c r="C571" s="521"/>
      <c r="D571" s="1300"/>
      <c r="E571" s="1300"/>
      <c r="F571" s="1300"/>
      <c r="I571" s="524"/>
    </row>
    <row r="572" spans="1:9">
      <c r="A572" s="521"/>
      <c r="B572" s="521"/>
      <c r="C572" s="521"/>
      <c r="D572" s="480"/>
      <c r="E572" s="480"/>
      <c r="F572" s="480"/>
      <c r="I572" s="524"/>
    </row>
    <row r="573" spans="1:9" ht="14.25">
      <c r="A573" s="518"/>
      <c r="B573" s="519" t="s">
        <v>2731</v>
      </c>
      <c r="C573" s="521"/>
      <c r="D573" s="1300" t="s">
        <v>2376</v>
      </c>
      <c r="E573" s="1300"/>
      <c r="F573" s="1300"/>
      <c r="I573" s="524" t="s">
        <v>2100</v>
      </c>
    </row>
    <row r="574" spans="1:9" ht="14.25">
      <c r="A574" s="518"/>
      <c r="B574" s="518"/>
      <c r="C574" s="521"/>
      <c r="D574" s="1300"/>
      <c r="E574" s="1300"/>
      <c r="F574" s="1300"/>
      <c r="I574" s="524"/>
    </row>
    <row r="575" spans="1:9" ht="14.25">
      <c r="A575" s="518"/>
      <c r="B575" s="518"/>
      <c r="C575" s="521"/>
      <c r="D575" s="1300"/>
      <c r="E575" s="1300"/>
      <c r="F575" s="1300"/>
      <c r="I575" s="524"/>
    </row>
    <row r="576" spans="1:9" ht="14.25">
      <c r="A576" s="518"/>
      <c r="B576" s="518"/>
      <c r="C576" s="521"/>
      <c r="D576" s="1300"/>
      <c r="E576" s="1300"/>
      <c r="F576" s="1300"/>
      <c r="I576" s="524"/>
    </row>
    <row r="577" spans="1:9" ht="14.25">
      <c r="A577" s="518"/>
      <c r="B577" s="518"/>
      <c r="C577" s="521"/>
      <c r="D577" s="480"/>
      <c r="E577" s="480"/>
      <c r="F577" s="480"/>
      <c r="I577" s="524"/>
    </row>
    <row r="578" spans="1:9">
      <c r="A578" s="1288" t="s">
        <v>1081</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02" t="s">
        <v>211</v>
      </c>
      <c r="E580" s="1302"/>
      <c r="F580" s="1302"/>
      <c r="I580" s="524"/>
    </row>
    <row r="581" spans="1:9">
      <c r="A581" s="517"/>
      <c r="B581" s="517"/>
      <c r="C581" s="517"/>
      <c r="D581" s="1287" t="s">
        <v>1097</v>
      </c>
      <c r="E581" s="1287"/>
      <c r="F581" s="1287"/>
      <c r="I581" s="524"/>
    </row>
    <row r="582" spans="1:9">
      <c r="A582" s="433"/>
      <c r="B582" s="433"/>
      <c r="C582" s="517"/>
      <c r="D582" s="533"/>
      <c r="I582" s="524" t="s">
        <v>2101</v>
      </c>
    </row>
    <row r="583" spans="1:9">
      <c r="A583" s="517"/>
      <c r="B583" s="519" t="s">
        <v>2731</v>
      </c>
      <c r="D583" s="1287" t="s">
        <v>902</v>
      </c>
      <c r="E583" s="1287"/>
      <c r="F583" s="1287"/>
      <c r="I583" s="524"/>
    </row>
    <row r="584" spans="1:9">
      <c r="A584" s="524"/>
      <c r="B584" s="524"/>
      <c r="D584" s="510"/>
      <c r="I584" s="524"/>
    </row>
    <row r="585" spans="1:9">
      <c r="A585" s="524"/>
      <c r="B585" s="519" t="s">
        <v>2731</v>
      </c>
      <c r="D585" s="1287" t="s">
        <v>2377</v>
      </c>
      <c r="E585" s="1287"/>
      <c r="F585" s="1287"/>
      <c r="I585" s="524" t="s">
        <v>2103</v>
      </c>
    </row>
    <row r="586" spans="1:9">
      <c r="A586" s="524"/>
      <c r="B586" s="524"/>
      <c r="D586" s="1287"/>
      <c r="E586" s="1287"/>
      <c r="F586" s="1287"/>
      <c r="I586" s="524" t="s">
        <v>2102</v>
      </c>
    </row>
    <row r="587" spans="1:9">
      <c r="A587" s="524"/>
      <c r="B587" s="524"/>
      <c r="D587" s="1287"/>
      <c r="E587" s="1287"/>
      <c r="F587" s="1287"/>
      <c r="I587" s="524"/>
    </row>
    <row r="588" spans="1:9">
      <c r="A588" s="524"/>
      <c r="B588" s="524"/>
      <c r="D588" s="1287"/>
      <c r="E588" s="1287"/>
      <c r="F588" s="1287"/>
      <c r="I588" s="524"/>
    </row>
    <row r="589" spans="1:9">
      <c r="A589" s="524"/>
      <c r="B589" s="519" t="s">
        <v>2732</v>
      </c>
      <c r="D589" s="1287" t="s">
        <v>1099</v>
      </c>
      <c r="E589" s="1287"/>
      <c r="F589" s="1287"/>
      <c r="I589" s="524"/>
    </row>
    <row r="590" spans="1:9">
      <c r="A590" s="524"/>
      <c r="B590" s="524"/>
      <c r="D590" s="1287"/>
      <c r="E590" s="1287"/>
      <c r="F590" s="1287"/>
      <c r="I590" s="524"/>
    </row>
    <row r="591" spans="1:9">
      <c r="A591" s="524"/>
      <c r="B591" s="524"/>
      <c r="D591" s="1287"/>
      <c r="E591" s="1287"/>
      <c r="F591" s="1287"/>
      <c r="I591" s="524"/>
    </row>
    <row r="592" spans="1:9">
      <c r="A592" s="524"/>
      <c r="B592" s="524"/>
      <c r="D592" s="1287"/>
      <c r="E592" s="1287"/>
      <c r="F592" s="1287"/>
      <c r="I592" s="524"/>
    </row>
    <row r="593" spans="1:9">
      <c r="A593" s="524"/>
      <c r="B593" s="524"/>
      <c r="D593" s="473"/>
      <c r="E593" s="473"/>
      <c r="F593" s="473"/>
      <c r="I593" s="524"/>
    </row>
    <row r="594" spans="1:9">
      <c r="A594" s="524"/>
      <c r="B594" s="519" t="s">
        <v>2731</v>
      </c>
      <c r="D594" s="1287" t="s">
        <v>2378</v>
      </c>
      <c r="E594" s="1287"/>
      <c r="F594" s="1287"/>
      <c r="I594" s="524"/>
    </row>
    <row r="595" spans="1:9">
      <c r="A595" s="524"/>
      <c r="B595" s="524"/>
      <c r="D595" s="1287"/>
      <c r="E595" s="1287"/>
      <c r="F595" s="1287"/>
      <c r="I595" s="524"/>
    </row>
    <row r="596" spans="1:9">
      <c r="A596" s="524"/>
      <c r="B596" s="524"/>
      <c r="D596" s="533"/>
      <c r="I596" s="524"/>
    </row>
    <row r="597" spans="1:9">
      <c r="A597" s="524"/>
      <c r="B597" s="519" t="s">
        <v>2732</v>
      </c>
      <c r="D597" s="1287" t="s">
        <v>1101</v>
      </c>
      <c r="E597" s="1287"/>
      <c r="F597" s="1287"/>
      <c r="I597" s="524" t="s">
        <v>2150</v>
      </c>
    </row>
    <row r="598" spans="1:9">
      <c r="A598" s="524"/>
      <c r="B598" s="524"/>
      <c r="D598" s="1287"/>
      <c r="E598" s="1287"/>
      <c r="F598" s="1287"/>
      <c r="I598" s="524"/>
    </row>
    <row r="599" spans="1:9" ht="14.25">
      <c r="A599" s="518"/>
      <c r="B599" s="518"/>
      <c r="D599" s="533"/>
      <c r="I599" s="524"/>
    </row>
    <row r="600" spans="1:9">
      <c r="A600" s="1288" t="s">
        <v>1082</v>
      </c>
      <c r="B600" s="1288"/>
      <c r="C600" s="1288"/>
      <c r="D600" s="1288"/>
      <c r="E600" s="1288"/>
      <c r="F600" s="1288"/>
      <c r="G600" s="1288"/>
      <c r="H600" s="1063"/>
      <c r="I600" s="1259"/>
    </row>
    <row r="601" spans="1:9">
      <c r="I601" s="524"/>
    </row>
    <row r="602" spans="1:9">
      <c r="D602" s="1299" t="s">
        <v>1182</v>
      </c>
      <c r="E602" s="1299"/>
      <c r="F602" s="1299"/>
      <c r="I602" s="524"/>
    </row>
    <row r="603" spans="1:9">
      <c r="D603" s="1322" t="s">
        <v>1183</v>
      </c>
      <c r="E603" s="1322"/>
      <c r="F603" s="1322"/>
      <c r="I603" s="524"/>
    </row>
    <row r="604" spans="1:9">
      <c r="D604" s="478"/>
      <c r="I604" s="524"/>
    </row>
    <row r="605" spans="1:9" ht="14.25" customHeight="1">
      <c r="A605" s="518"/>
      <c r="B605" s="519" t="s">
        <v>2731</v>
      </c>
      <c r="D605" s="1340" t="s">
        <v>2207</v>
      </c>
      <c r="E605" s="1340"/>
      <c r="F605" s="1340"/>
      <c r="I605" s="524" t="s">
        <v>2131</v>
      </c>
    </row>
    <row r="606" spans="1:9">
      <c r="D606" s="1340"/>
      <c r="E606" s="1340"/>
      <c r="F606" s="1340"/>
      <c r="I606" s="524"/>
    </row>
    <row r="607" spans="1:9">
      <c r="D607" s="416"/>
      <c r="E607" s="1071" t="s">
        <v>2208</v>
      </c>
      <c r="F607" s="416"/>
      <c r="I607" s="524"/>
    </row>
    <row r="608" spans="1:9">
      <c r="I608" s="524"/>
    </row>
    <row r="609" spans="1:9">
      <c r="A609" s="1288" t="s">
        <v>1083</v>
      </c>
      <c r="B609" s="1288"/>
      <c r="C609" s="1288"/>
      <c r="D609" s="1288"/>
      <c r="E609" s="1288"/>
      <c r="F609" s="1288"/>
      <c r="G609" s="1288"/>
      <c r="H609" s="1063"/>
      <c r="I609" s="1259"/>
    </row>
    <row r="610" spans="1:9">
      <c r="A610" s="480"/>
      <c r="B610" s="480"/>
      <c r="I610" s="524"/>
    </row>
    <row r="611" spans="1:9">
      <c r="A611" s="516"/>
      <c r="B611" s="516"/>
      <c r="C611" s="516"/>
      <c r="D611" s="1323" t="s">
        <v>1185</v>
      </c>
      <c r="E611" s="1323"/>
      <c r="F611" s="1323"/>
      <c r="I611" s="524"/>
    </row>
    <row r="612" spans="1:9">
      <c r="A612" s="516"/>
      <c r="B612" s="516"/>
      <c r="C612" s="516"/>
      <c r="D612" s="1323"/>
      <c r="E612" s="1323"/>
      <c r="F612" s="1323"/>
      <c r="I612" s="524"/>
    </row>
    <row r="613" spans="1:9">
      <c r="C613" s="517"/>
      <c r="D613" s="1322" t="s">
        <v>1186</v>
      </c>
      <c r="E613" s="1322"/>
      <c r="F613" s="1322"/>
      <c r="I613" s="524"/>
    </row>
    <row r="614" spans="1:9">
      <c r="C614" s="517"/>
      <c r="D614" s="478"/>
      <c r="E614" s="478"/>
      <c r="F614" s="478"/>
      <c r="I614" s="524"/>
    </row>
    <row r="615" spans="1:9" ht="12.75" customHeight="1">
      <c r="A615" s="524"/>
      <c r="B615" s="519" t="s">
        <v>1068</v>
      </c>
      <c r="D615" s="1298" t="s">
        <v>1187</v>
      </c>
      <c r="E615" s="1298"/>
      <c r="F615" s="1298"/>
      <c r="I615" s="524" t="s">
        <v>2151</v>
      </c>
    </row>
    <row r="616" spans="1:9">
      <c r="D616" s="1298"/>
      <c r="E616" s="1298"/>
      <c r="F616" s="1298"/>
      <c r="I616" s="524"/>
    </row>
    <row r="617" spans="1:9">
      <c r="I617" s="524"/>
    </row>
    <row r="618" spans="1:9">
      <c r="B618" s="519" t="s">
        <v>2731</v>
      </c>
      <c r="D618" s="1298" t="s">
        <v>1188</v>
      </c>
      <c r="E618" s="1298"/>
      <c r="F618" s="1298"/>
      <c r="I618" s="524" t="s">
        <v>2104</v>
      </c>
    </row>
    <row r="619" spans="1:9">
      <c r="C619" s="534"/>
      <c r="D619" s="1298"/>
      <c r="E619" s="1298"/>
      <c r="F619" s="1298"/>
      <c r="I619" s="524"/>
    </row>
    <row r="620" spans="1:9">
      <c r="C620" s="534"/>
      <c r="I620" s="524"/>
    </row>
    <row r="621" spans="1:9">
      <c r="B621" s="519" t="s">
        <v>2731</v>
      </c>
      <c r="C621" s="534"/>
      <c r="D621" s="1298" t="s">
        <v>1189</v>
      </c>
      <c r="E621" s="1298"/>
      <c r="F621" s="1298"/>
      <c r="I621" s="524" t="s">
        <v>2152</v>
      </c>
    </row>
    <row r="622" spans="1:9">
      <c r="C622" s="534"/>
      <c r="D622" s="1298"/>
      <c r="E622" s="1298"/>
      <c r="F622" s="1298"/>
      <c r="I622" s="534" t="s">
        <v>2153</v>
      </c>
    </row>
    <row r="623" spans="1:9">
      <c r="C623" s="534"/>
      <c r="I623" s="524"/>
    </row>
    <row r="624" spans="1:9">
      <c r="A624" s="1288" t="s">
        <v>1084</v>
      </c>
      <c r="B624" s="1288"/>
      <c r="C624" s="1288"/>
      <c r="D624" s="1288"/>
      <c r="E624" s="1288"/>
      <c r="F624" s="1288"/>
      <c r="G624" s="1288"/>
      <c r="H624" s="1063"/>
      <c r="I624" s="1259"/>
    </row>
    <row r="625" spans="1:9">
      <c r="A625" s="516"/>
      <c r="B625" s="516"/>
      <c r="C625" s="516"/>
      <c r="I625" s="524"/>
    </row>
    <row r="626" spans="1:9">
      <c r="C626" s="524"/>
      <c r="D626" s="1299" t="s">
        <v>1190</v>
      </c>
      <c r="E626" s="1299"/>
      <c r="F626" s="1299"/>
      <c r="I626" s="524"/>
    </row>
    <row r="627" spans="1:9">
      <c r="A627" s="524"/>
      <c r="B627" s="524"/>
      <c r="D627" s="435"/>
      <c r="I627" s="524"/>
    </row>
    <row r="628" spans="1:9" ht="14.25" customHeight="1">
      <c r="A628" s="518"/>
      <c r="B628" s="519" t="s">
        <v>2731</v>
      </c>
      <c r="D628" s="1340" t="s">
        <v>2379</v>
      </c>
      <c r="E628" s="1340"/>
      <c r="F628" s="1340"/>
      <c r="I628" s="524" t="s">
        <v>2132</v>
      </c>
    </row>
    <row r="629" spans="1:9">
      <c r="D629" s="1340"/>
      <c r="E629" s="1340"/>
      <c r="F629" s="1340"/>
      <c r="I629" s="524"/>
    </row>
    <row r="630" spans="1:9">
      <c r="D630" s="416"/>
      <c r="E630" s="1071" t="s">
        <v>2210</v>
      </c>
      <c r="F630" s="416"/>
      <c r="I630" s="524"/>
    </row>
    <row r="631" spans="1:9">
      <c r="D631" s="1300" t="s">
        <v>2209</v>
      </c>
      <c r="E631" s="1300"/>
      <c r="F631" s="1300"/>
      <c r="I631" s="524"/>
    </row>
    <row r="632" spans="1:9">
      <c r="D632" s="1300"/>
      <c r="E632" s="1300"/>
      <c r="F632" s="1300"/>
      <c r="I632" s="524"/>
    </row>
    <row r="633" spans="1:9">
      <c r="D633" s="1300"/>
      <c r="E633" s="1300"/>
      <c r="F633" s="1300"/>
      <c r="I633" s="524"/>
    </row>
    <row r="634" spans="1:9">
      <c r="D634" s="479"/>
      <c r="E634" s="479"/>
      <c r="F634" s="479"/>
      <c r="I634" s="524"/>
    </row>
    <row r="635" spans="1:9" ht="14.25">
      <c r="A635" s="518"/>
      <c r="B635" s="519" t="s">
        <v>2732</v>
      </c>
      <c r="D635" s="1300" t="s">
        <v>1192</v>
      </c>
      <c r="E635" s="1300"/>
      <c r="F635" s="1300"/>
      <c r="I635" s="524" t="s">
        <v>2154</v>
      </c>
    </row>
    <row r="636" spans="1:9">
      <c r="A636" s="521"/>
      <c r="B636" s="521"/>
      <c r="C636" s="521"/>
      <c r="D636" s="1300"/>
      <c r="E636" s="1300"/>
      <c r="F636" s="1300"/>
      <c r="I636" s="524"/>
    </row>
    <row r="637" spans="1:9">
      <c r="A637" s="521"/>
      <c r="B637" s="521"/>
      <c r="C637" s="521"/>
      <c r="D637" s="480"/>
      <c r="E637" s="480"/>
      <c r="F637" s="480"/>
      <c r="I637" s="524"/>
    </row>
    <row r="638" spans="1:9" ht="14.25">
      <c r="A638" s="518"/>
      <c r="B638" s="519" t="s">
        <v>2732</v>
      </c>
      <c r="C638" s="521"/>
      <c r="D638" s="1300" t="s">
        <v>1331</v>
      </c>
      <c r="E638" s="1300"/>
      <c r="F638" s="1300"/>
      <c r="I638" s="524" t="s">
        <v>2105</v>
      </c>
    </row>
    <row r="639" spans="1:9" ht="14.25">
      <c r="A639" s="518"/>
      <c r="B639" s="518"/>
      <c r="C639" s="521"/>
      <c r="D639" s="1300"/>
      <c r="E639" s="1300"/>
      <c r="F639" s="1300"/>
      <c r="I639" s="524"/>
    </row>
    <row r="640" spans="1:9" ht="14.25">
      <c r="A640" s="518"/>
      <c r="B640" s="518"/>
      <c r="C640" s="521"/>
      <c r="D640" s="1300"/>
      <c r="E640" s="1300"/>
      <c r="F640" s="1300"/>
      <c r="I640" s="524"/>
    </row>
    <row r="641" spans="1:9">
      <c r="A641" s="521"/>
      <c r="B641" s="519" t="s">
        <v>2732</v>
      </c>
      <c r="C641" s="521"/>
      <c r="D641" s="1301" t="s">
        <v>1194</v>
      </c>
      <c r="E641" s="1301"/>
      <c r="F641" s="1301"/>
      <c r="I641" s="524" t="s">
        <v>2105</v>
      </c>
    </row>
    <row r="642" spans="1:9">
      <c r="A642" s="521"/>
      <c r="B642" s="521"/>
      <c r="C642" s="521"/>
      <c r="D642" s="480"/>
      <c r="E642" s="480"/>
      <c r="F642" s="480"/>
      <c r="I642" s="524"/>
    </row>
    <row r="643" spans="1:9">
      <c r="A643" s="1288" t="s">
        <v>1085</v>
      </c>
      <c r="B643" s="1288"/>
      <c r="C643" s="1288"/>
      <c r="D643" s="1288"/>
      <c r="E643" s="1288"/>
      <c r="F643" s="1288"/>
      <c r="G643" s="1288"/>
      <c r="H643" s="1063"/>
      <c r="I643" s="1259"/>
    </row>
    <row r="644" spans="1:9">
      <c r="A644" s="480"/>
      <c r="B644" s="480"/>
      <c r="C644" s="521"/>
      <c r="D644" s="480"/>
      <c r="E644" s="480"/>
      <c r="F644" s="480"/>
      <c r="I644" s="524"/>
    </row>
    <row r="645" spans="1:9">
      <c r="C645" s="516"/>
      <c r="D645" s="1299" t="s">
        <v>1244</v>
      </c>
      <c r="E645" s="1299"/>
      <c r="F645" s="1299"/>
      <c r="I645" s="524"/>
    </row>
    <row r="646" spans="1:9">
      <c r="A646" s="517"/>
      <c r="B646" s="517"/>
      <c r="C646" s="517"/>
      <c r="D646" s="1301" t="s">
        <v>1245</v>
      </c>
      <c r="E646" s="1301"/>
      <c r="F646" s="1301"/>
      <c r="I646" s="524"/>
    </row>
    <row r="647" spans="1:9">
      <c r="A647" s="517"/>
      <c r="B647" s="517"/>
      <c r="C647" s="517"/>
      <c r="D647" s="480"/>
      <c r="E647" s="480"/>
      <c r="F647" s="480"/>
      <c r="I647" s="524"/>
    </row>
    <row r="648" spans="1:9" ht="12.75" customHeight="1">
      <c r="B648" s="519" t="s">
        <v>2731</v>
      </c>
      <c r="C648" s="521"/>
      <c r="D648" s="1300" t="s">
        <v>1390</v>
      </c>
      <c r="E648" s="1300"/>
      <c r="F648" s="1300"/>
      <c r="I648" s="524" t="s">
        <v>2157</v>
      </c>
    </row>
    <row r="649" spans="1:9">
      <c r="D649" s="1300"/>
      <c r="E649" s="1300"/>
      <c r="F649" s="1300"/>
      <c r="I649" s="524"/>
    </row>
    <row r="650" spans="1:9">
      <c r="D650" s="1300"/>
      <c r="E650" s="1300"/>
      <c r="F650" s="1300"/>
      <c r="I650" s="524"/>
    </row>
    <row r="651" spans="1:9">
      <c r="D651" s="1300"/>
      <c r="E651" s="1300"/>
      <c r="F651" s="1300"/>
      <c r="I651" s="524"/>
    </row>
    <row r="652" spans="1:9" ht="14.45" customHeight="1">
      <c r="A652" s="518"/>
      <c r="B652" s="518"/>
      <c r="C652" s="521"/>
      <c r="D652" s="416"/>
      <c r="E652" s="416"/>
      <c r="F652" s="416"/>
      <c r="I652" s="524"/>
    </row>
    <row r="653" spans="1:9" ht="12.75" customHeight="1">
      <c r="A653" s="517"/>
      <c r="B653" s="519" t="s">
        <v>2731</v>
      </c>
      <c r="C653" s="521"/>
      <c r="D653" s="1300" t="s">
        <v>1392</v>
      </c>
      <c r="E653" s="1300"/>
      <c r="F653" s="1300"/>
      <c r="I653" s="524" t="s">
        <v>2157</v>
      </c>
    </row>
    <row r="654" spans="1:9" ht="14.25">
      <c r="A654" s="517"/>
      <c r="B654" s="518"/>
      <c r="C654" s="521"/>
      <c r="D654" s="1300"/>
      <c r="E654" s="1300"/>
      <c r="F654" s="1300"/>
      <c r="I654" s="524"/>
    </row>
    <row r="655" spans="1:9" ht="14.25">
      <c r="A655" s="517"/>
      <c r="B655" s="518"/>
      <c r="C655" s="521"/>
      <c r="D655" s="1300"/>
      <c r="E655" s="1300"/>
      <c r="F655" s="1300"/>
      <c r="I655" s="524"/>
    </row>
    <row r="656" spans="1:9" ht="14.25">
      <c r="A656" s="517"/>
      <c r="B656" s="518"/>
      <c r="C656" s="521"/>
      <c r="D656" s="1300"/>
      <c r="E656" s="1300"/>
      <c r="F656" s="1300"/>
      <c r="I656" s="524"/>
    </row>
    <row r="657" spans="1:9" ht="14.25">
      <c r="A657" s="517"/>
      <c r="B657" s="518"/>
      <c r="C657" s="521"/>
      <c r="D657" s="1300"/>
      <c r="E657" s="1300"/>
      <c r="F657" s="1300"/>
      <c r="I657" s="524"/>
    </row>
    <row r="658" spans="1:9" ht="14.25" customHeight="1">
      <c r="A658" s="517"/>
      <c r="B658" s="518"/>
      <c r="C658" s="521"/>
      <c r="F658" s="417"/>
      <c r="I658" s="524"/>
    </row>
    <row r="659" spans="1:9" ht="12.75" customHeight="1">
      <c r="A659" s="517"/>
      <c r="B659" s="519" t="s">
        <v>2731</v>
      </c>
      <c r="C659" s="521"/>
      <c r="D659" s="1300" t="s">
        <v>1391</v>
      </c>
      <c r="E659" s="1300"/>
      <c r="F659" s="1300"/>
      <c r="I659" s="524" t="s">
        <v>2157</v>
      </c>
    </row>
    <row r="660" spans="1:9" ht="14.25">
      <c r="A660" s="517"/>
      <c r="B660" s="518"/>
      <c r="C660" s="521"/>
      <c r="D660" s="1300"/>
      <c r="E660" s="1300"/>
      <c r="F660" s="1300"/>
      <c r="I660" s="524"/>
    </row>
    <row r="661" spans="1:9" ht="14.25">
      <c r="A661" s="518"/>
      <c r="B661" s="518"/>
      <c r="C661" s="521"/>
      <c r="D661" s="1300"/>
      <c r="E661" s="1300"/>
      <c r="F661" s="1300"/>
      <c r="I661" s="524"/>
    </row>
    <row r="662" spans="1:9" ht="14.25">
      <c r="A662" s="518"/>
      <c r="B662" s="518"/>
      <c r="C662" s="521"/>
      <c r="D662" s="1300"/>
      <c r="E662" s="1300"/>
      <c r="F662" s="1300"/>
      <c r="I662" s="524"/>
    </row>
    <row r="663" spans="1:9" ht="14.25">
      <c r="A663" s="518"/>
      <c r="B663" s="518"/>
      <c r="C663" s="521"/>
      <c r="D663" s="479"/>
      <c r="E663" s="479"/>
      <c r="F663" s="479"/>
      <c r="I663" s="524"/>
    </row>
    <row r="664" spans="1:9" ht="12.75" customHeight="1">
      <c r="A664" s="517"/>
      <c r="B664" s="519" t="s">
        <v>2732</v>
      </c>
      <c r="C664" s="521"/>
      <c r="D664" s="1300" t="s">
        <v>2380</v>
      </c>
      <c r="E664" s="1300"/>
      <c r="F664" s="1300"/>
      <c r="I664" s="524" t="s">
        <v>2157</v>
      </c>
    </row>
    <row r="665" spans="1:9" ht="12.75" customHeight="1">
      <c r="A665" s="517"/>
      <c r="B665" s="518"/>
      <c r="C665" s="521"/>
      <c r="D665" s="1300"/>
      <c r="E665" s="1300"/>
      <c r="F665" s="1300"/>
      <c r="I665" s="524"/>
    </row>
    <row r="666" spans="1:9" ht="12.75" customHeight="1">
      <c r="A666" s="517"/>
      <c r="B666" s="518"/>
      <c r="C666" s="521"/>
      <c r="D666" s="1300"/>
      <c r="E666" s="1300"/>
      <c r="F666" s="1300"/>
      <c r="I666" s="524"/>
    </row>
    <row r="667" spans="1:9" ht="12.75" customHeight="1">
      <c r="A667" s="517"/>
      <c r="B667" s="518"/>
      <c r="C667" s="521"/>
      <c r="D667" s="1300"/>
      <c r="E667" s="1300"/>
      <c r="F667" s="1300"/>
      <c r="I667" s="524"/>
    </row>
    <row r="668" spans="1:9" ht="12.75" customHeight="1">
      <c r="A668" s="517"/>
      <c r="B668" s="518"/>
      <c r="C668" s="521"/>
      <c r="D668" s="1300"/>
      <c r="E668" s="1300"/>
      <c r="F668" s="1300"/>
      <c r="I668" s="524"/>
    </row>
    <row r="669" spans="1:9" ht="12.75" customHeight="1">
      <c r="A669" s="517"/>
      <c r="B669" s="518"/>
      <c r="C669" s="521"/>
      <c r="D669" s="1300"/>
      <c r="E669" s="1300"/>
      <c r="F669" s="1300"/>
      <c r="I669" s="524"/>
    </row>
    <row r="670" spans="1:9" ht="12.75" customHeight="1">
      <c r="A670" s="517"/>
      <c r="B670" s="518"/>
      <c r="C670" s="521"/>
      <c r="D670" s="1300"/>
      <c r="E670" s="1300"/>
      <c r="F670" s="1300"/>
      <c r="I670" s="524"/>
    </row>
    <row r="671" spans="1:9" ht="12.75" customHeight="1">
      <c r="A671" s="517"/>
      <c r="B671" s="518"/>
      <c r="C671" s="521"/>
      <c r="D671" s="1300"/>
      <c r="E671" s="1300"/>
      <c r="F671" s="1300"/>
      <c r="I671" s="524"/>
    </row>
    <row r="672" spans="1:9" ht="12.75" customHeight="1">
      <c r="A672" s="517"/>
      <c r="B672" s="518"/>
      <c r="C672" s="521"/>
      <c r="D672" s="1300"/>
      <c r="E672" s="1300"/>
      <c r="F672" s="1300"/>
      <c r="I672" s="524"/>
    </row>
    <row r="673" spans="1:11">
      <c r="A673" s="521"/>
      <c r="B673" s="521"/>
      <c r="C673" s="521"/>
      <c r="D673" s="480"/>
      <c r="E673" s="480"/>
      <c r="F673" s="480"/>
      <c r="I673" s="524"/>
    </row>
    <row r="674" spans="1:11">
      <c r="A674" s="1288" t="s">
        <v>1086</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99" t="s">
        <v>99</v>
      </c>
      <c r="E676" s="1299"/>
      <c r="F676" s="1299"/>
      <c r="H676" s="535"/>
      <c r="I676" s="517"/>
      <c r="J676" s="535"/>
      <c r="K676" s="535"/>
    </row>
    <row r="677" spans="1:11">
      <c r="A677" s="516"/>
      <c r="B677" s="516"/>
      <c r="C677" s="516"/>
      <c r="D677" s="1299" t="s">
        <v>123</v>
      </c>
      <c r="E677" s="1299"/>
      <c r="F677" s="1299"/>
      <c r="H677" s="535"/>
      <c r="I677" s="517"/>
      <c r="J677" s="535"/>
      <c r="K677" s="535"/>
    </row>
    <row r="678" spans="1:11">
      <c r="A678" s="517"/>
      <c r="B678" s="517"/>
      <c r="C678" s="517"/>
      <c r="D678" s="1301" t="s">
        <v>1122</v>
      </c>
      <c r="E678" s="1301"/>
      <c r="F678" s="1301"/>
      <c r="H678" s="535"/>
      <c r="I678" s="517"/>
      <c r="J678" s="535"/>
      <c r="K678" s="535"/>
    </row>
    <row r="679" spans="1:11">
      <c r="A679" s="517"/>
      <c r="B679" s="517"/>
      <c r="C679" s="517"/>
      <c r="H679" s="535"/>
      <c r="I679" s="517"/>
      <c r="J679" s="535"/>
      <c r="K679" s="535"/>
    </row>
    <row r="680" spans="1:11" ht="14.25">
      <c r="A680" s="518"/>
      <c r="B680" s="519" t="s">
        <v>2731</v>
      </c>
      <c r="C680" s="517"/>
      <c r="D680" s="1301" t="s">
        <v>898</v>
      </c>
      <c r="E680" s="1301"/>
      <c r="F680" s="1301"/>
      <c r="H680" s="535"/>
      <c r="I680" s="517" t="s">
        <v>2133</v>
      </c>
      <c r="J680" s="535"/>
      <c r="K680" s="535"/>
    </row>
    <row r="681" spans="1:11">
      <c r="A681" s="517"/>
      <c r="B681" s="517"/>
      <c r="C681" s="517"/>
      <c r="D681" s="1301" t="s">
        <v>908</v>
      </c>
      <c r="E681" s="1301"/>
      <c r="F681" s="1301"/>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2732</v>
      </c>
      <c r="C685" s="517"/>
      <c r="D685" s="1300" t="s">
        <v>2381</v>
      </c>
      <c r="E685" s="1300"/>
      <c r="F685" s="1300"/>
      <c r="H685" s="535"/>
      <c r="I685" s="517" t="s">
        <v>2155</v>
      </c>
      <c r="J685" s="535"/>
      <c r="K685" s="535"/>
    </row>
    <row r="686" spans="1:11">
      <c r="A686" s="524"/>
      <c r="B686" s="524"/>
      <c r="C686" s="517"/>
      <c r="D686" s="1300"/>
      <c r="E686" s="1300"/>
      <c r="F686" s="1300"/>
      <c r="H686" s="535"/>
      <c r="I686" s="517"/>
      <c r="J686" s="535"/>
      <c r="K686" s="535"/>
    </row>
    <row r="687" spans="1:11">
      <c r="A687" s="517"/>
      <c r="B687" s="517"/>
      <c r="C687" s="517"/>
      <c r="D687" s="1300"/>
      <c r="E687" s="1300"/>
      <c r="F687" s="1300"/>
      <c r="H687" s="535"/>
      <c r="I687" s="517"/>
      <c r="J687" s="535"/>
      <c r="K687" s="535"/>
    </row>
    <row r="688" spans="1:11">
      <c r="A688" s="517"/>
      <c r="B688" s="517"/>
      <c r="C688" s="517"/>
      <c r="H688" s="535"/>
      <c r="I688" s="517" t="s">
        <v>2134</v>
      </c>
      <c r="J688" s="535"/>
      <c r="K688" s="535"/>
    </row>
    <row r="689" spans="1:11" ht="14.25">
      <c r="A689" s="518"/>
      <c r="B689" s="519" t="s">
        <v>2731</v>
      </c>
      <c r="C689" s="517"/>
      <c r="D689" s="1301" t="s">
        <v>936</v>
      </c>
      <c r="E689" s="1301"/>
      <c r="F689" s="1301"/>
      <c r="H689" s="535"/>
      <c r="I689" s="517"/>
      <c r="J689" s="535"/>
      <c r="K689" s="535"/>
    </row>
    <row r="690" spans="1:11" ht="14.25">
      <c r="A690" s="518"/>
      <c r="B690" s="518"/>
      <c r="C690" s="517"/>
      <c r="D690" s="1301" t="s">
        <v>908</v>
      </c>
      <c r="E690" s="1301"/>
      <c r="F690" s="1301"/>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2731</v>
      </c>
      <c r="C693" s="517"/>
      <c r="D693" s="1300" t="s">
        <v>1135</v>
      </c>
      <c r="E693" s="1300"/>
      <c r="F693" s="1300"/>
      <c r="H693" s="535"/>
      <c r="I693" s="517" t="s">
        <v>2106</v>
      </c>
      <c r="J693" s="535"/>
      <c r="K693" s="535"/>
    </row>
    <row r="694" spans="1:11">
      <c r="A694" s="517"/>
      <c r="B694" s="517"/>
      <c r="C694" s="517"/>
      <c r="D694" s="1300"/>
      <c r="E694" s="1300"/>
      <c r="F694" s="1300"/>
      <c r="H694" s="535"/>
      <c r="I694" s="517"/>
      <c r="J694" s="535"/>
      <c r="K694" s="535"/>
    </row>
    <row r="695" spans="1:11">
      <c r="A695" s="517"/>
      <c r="B695" s="517"/>
      <c r="C695" s="517"/>
      <c r="D695" s="1300"/>
      <c r="E695" s="1300"/>
      <c r="F695" s="1300"/>
      <c r="H695" s="535"/>
      <c r="I695" s="517"/>
      <c r="J695" s="535"/>
      <c r="K695" s="535"/>
    </row>
    <row r="696" spans="1:11">
      <c r="A696" s="517"/>
      <c r="B696" s="517"/>
      <c r="C696" s="517"/>
      <c r="D696" s="1300"/>
      <c r="E696" s="1300"/>
      <c r="F696" s="1300"/>
      <c r="H696" s="535"/>
      <c r="I696" s="517"/>
      <c r="J696" s="535"/>
      <c r="K696" s="535"/>
    </row>
    <row r="697" spans="1:11">
      <c r="A697" s="517"/>
      <c r="B697" s="517"/>
      <c r="C697" s="517"/>
      <c r="D697" s="1300"/>
      <c r="E697" s="1300"/>
      <c r="F697" s="1300"/>
      <c r="H697" s="535"/>
      <c r="I697" s="517"/>
      <c r="J697" s="535"/>
      <c r="K697" s="535"/>
    </row>
    <row r="698" spans="1:11">
      <c r="A698" s="517"/>
      <c r="B698" s="517"/>
      <c r="C698" s="517"/>
      <c r="D698" s="1300"/>
      <c r="E698" s="1300"/>
      <c r="F698" s="1300"/>
      <c r="H698" s="535"/>
      <c r="I698" s="517"/>
      <c r="J698" s="535"/>
      <c r="K698" s="535"/>
    </row>
    <row r="699" spans="1:11">
      <c r="A699" s="517"/>
      <c r="B699" s="517"/>
      <c r="C699" s="517"/>
      <c r="D699" s="479"/>
      <c r="E699" s="479"/>
      <c r="F699" s="479"/>
      <c r="H699" s="535"/>
      <c r="I699" s="517"/>
      <c r="J699" s="535"/>
      <c r="K699" s="535"/>
    </row>
    <row r="700" spans="1:11">
      <c r="A700" s="517"/>
      <c r="B700" s="519" t="s">
        <v>2732</v>
      </c>
      <c r="C700" s="517"/>
      <c r="D700" s="1300" t="s">
        <v>1306</v>
      </c>
      <c r="E700" s="1300"/>
      <c r="F700" s="1300"/>
      <c r="H700" s="535"/>
      <c r="I700" s="517" t="s">
        <v>2106</v>
      </c>
      <c r="J700" s="535"/>
      <c r="K700" s="535"/>
    </row>
    <row r="701" spans="1:11">
      <c r="A701" s="517"/>
      <c r="B701" s="517"/>
      <c r="C701" s="517"/>
      <c r="D701" s="1300"/>
      <c r="E701" s="1300"/>
      <c r="F701" s="1300"/>
      <c r="H701" s="535"/>
      <c r="I701" s="517"/>
      <c r="J701" s="535"/>
      <c r="K701" s="535"/>
    </row>
    <row r="702" spans="1:11">
      <c r="A702" s="517"/>
      <c r="B702" s="517"/>
      <c r="C702" s="517"/>
      <c r="D702" s="479"/>
      <c r="E702" s="479"/>
      <c r="F702" s="479"/>
      <c r="H702" s="535"/>
      <c r="I702" s="517"/>
      <c r="J702" s="535"/>
      <c r="K702" s="535"/>
    </row>
    <row r="703" spans="1:11" ht="14.25">
      <c r="A703" s="518"/>
      <c r="B703" s="519" t="s">
        <v>2732</v>
      </c>
      <c r="C703" s="517"/>
      <c r="D703" s="1300" t="s">
        <v>1126</v>
      </c>
      <c r="E703" s="1300"/>
      <c r="F703" s="1300"/>
      <c r="H703" s="535"/>
      <c r="I703" s="517" t="s">
        <v>2106</v>
      </c>
      <c r="J703" s="535"/>
      <c r="K703" s="535"/>
    </row>
    <row r="704" spans="1:11">
      <c r="A704" s="517"/>
      <c r="B704" s="517"/>
      <c r="C704" s="517"/>
      <c r="D704" s="1300"/>
      <c r="E704" s="1300"/>
      <c r="F704" s="1300"/>
      <c r="H704" s="535"/>
      <c r="I704" s="517"/>
      <c r="J704" s="535"/>
      <c r="K704" s="535"/>
    </row>
    <row r="705" spans="1:11">
      <c r="A705" s="517"/>
      <c r="B705" s="517"/>
      <c r="C705" s="517"/>
      <c r="D705" s="1300"/>
      <c r="E705" s="1300"/>
      <c r="F705" s="1300"/>
      <c r="H705" s="535"/>
      <c r="I705" s="517"/>
      <c r="J705" s="535"/>
      <c r="K705" s="535"/>
    </row>
    <row r="706" spans="1:11" ht="15" customHeight="1">
      <c r="A706" s="517"/>
      <c r="B706" s="517"/>
      <c r="C706" s="517"/>
      <c r="D706" s="1300"/>
      <c r="E706" s="1300"/>
      <c r="F706" s="1300"/>
      <c r="H706" s="535"/>
      <c r="I706" s="517"/>
      <c r="J706" s="535"/>
      <c r="K706" s="535"/>
    </row>
    <row r="707" spans="1:11" ht="15" customHeight="1">
      <c r="A707" s="517"/>
      <c r="B707" s="517"/>
      <c r="C707" s="517"/>
      <c r="D707" s="1300"/>
      <c r="E707" s="1300"/>
      <c r="F707" s="1300"/>
      <c r="H707" s="535"/>
      <c r="I707" s="517"/>
      <c r="J707" s="535"/>
      <c r="K707" s="535"/>
    </row>
    <row r="708" spans="1:11">
      <c r="A708" s="517"/>
      <c r="B708" s="517"/>
      <c r="C708" s="517"/>
      <c r="D708" s="1300"/>
      <c r="E708" s="1300"/>
      <c r="F708" s="1300"/>
      <c r="H708" s="535"/>
      <c r="I708" s="517"/>
      <c r="J708" s="535"/>
      <c r="K708" s="535"/>
    </row>
    <row r="709" spans="1:11">
      <c r="A709" s="517"/>
      <c r="B709" s="517"/>
      <c r="C709" s="517"/>
      <c r="D709" s="1300"/>
      <c r="E709" s="1300"/>
      <c r="F709" s="1300"/>
      <c r="H709" s="535"/>
      <c r="I709" s="517"/>
      <c r="J709" s="535"/>
      <c r="K709" s="535"/>
    </row>
    <row r="710" spans="1:11">
      <c r="A710" s="517"/>
      <c r="B710" s="517"/>
      <c r="C710" s="517"/>
      <c r="D710" s="1300"/>
      <c r="E710" s="1300"/>
      <c r="F710" s="1300"/>
      <c r="H710" s="535"/>
      <c r="I710" s="517"/>
      <c r="J710" s="535"/>
      <c r="K710" s="535"/>
    </row>
    <row r="711" spans="1:11" ht="15" customHeight="1">
      <c r="A711" s="517"/>
      <c r="B711" s="517"/>
      <c r="C711" s="517"/>
      <c r="D711" s="1300"/>
      <c r="E711" s="1300"/>
      <c r="F711" s="1300"/>
      <c r="H711" s="535"/>
      <c r="I711" s="517"/>
      <c r="J711" s="535"/>
      <c r="K711" s="535"/>
    </row>
    <row r="712" spans="1:11">
      <c r="A712" s="517"/>
      <c r="B712" s="517"/>
      <c r="C712" s="517"/>
      <c r="D712" s="1300"/>
      <c r="E712" s="1300"/>
      <c r="F712" s="1300"/>
      <c r="H712" s="535"/>
      <c r="I712" s="517"/>
      <c r="J712" s="535"/>
      <c r="K712" s="535"/>
    </row>
    <row r="713" spans="1:11">
      <c r="A713" s="517"/>
      <c r="B713" s="517"/>
      <c r="C713" s="517"/>
      <c r="D713" s="1300"/>
      <c r="E713" s="1300"/>
      <c r="F713" s="1300"/>
      <c r="H713" s="535"/>
      <c r="I713" s="517"/>
      <c r="J713" s="535"/>
      <c r="K713" s="535"/>
    </row>
    <row r="714" spans="1:11">
      <c r="A714" s="517"/>
      <c r="B714" s="517"/>
      <c r="C714" s="517"/>
      <c r="D714" s="1300"/>
      <c r="E714" s="1300"/>
      <c r="F714" s="1300"/>
      <c r="H714" s="535"/>
      <c r="I714" s="517"/>
      <c r="J714" s="535"/>
      <c r="K714" s="535"/>
    </row>
    <row r="715" spans="1:11">
      <c r="A715" s="517"/>
      <c r="B715" s="517"/>
      <c r="C715" s="517"/>
      <c r="D715" s="1300"/>
      <c r="E715" s="1300"/>
      <c r="F715" s="1300"/>
      <c r="H715" s="535"/>
      <c r="I715" s="517"/>
      <c r="J715" s="535"/>
      <c r="K715" s="535"/>
    </row>
    <row r="716" spans="1:11">
      <c r="A716" s="517"/>
      <c r="B716" s="519" t="s">
        <v>2732</v>
      </c>
      <c r="C716" s="517"/>
      <c r="D716" s="1300" t="s">
        <v>1133</v>
      </c>
      <c r="E716" s="1300"/>
      <c r="F716" s="1300"/>
      <c r="H716" s="535"/>
      <c r="I716" s="517" t="s">
        <v>2156</v>
      </c>
      <c r="J716" s="535"/>
      <c r="K716" s="535"/>
    </row>
    <row r="717" spans="1:11">
      <c r="A717" s="517"/>
      <c r="B717" s="517"/>
      <c r="C717" s="517"/>
      <c r="D717" s="1300"/>
      <c r="E717" s="1300"/>
      <c r="F717" s="1300"/>
      <c r="H717" s="535"/>
      <c r="I717" s="517"/>
      <c r="J717" s="535"/>
      <c r="K717" s="535"/>
    </row>
    <row r="718" spans="1:11">
      <c r="A718" s="517"/>
      <c r="B718" s="517"/>
      <c r="C718" s="517"/>
      <c r="D718" s="479"/>
      <c r="E718" s="479"/>
      <c r="F718" s="479"/>
      <c r="H718" s="535"/>
      <c r="I718" s="517"/>
      <c r="J718" s="535"/>
      <c r="K718" s="535"/>
    </row>
    <row r="719" spans="1:11">
      <c r="A719" s="517"/>
      <c r="B719" s="519" t="s">
        <v>2732</v>
      </c>
      <c r="C719" s="517"/>
      <c r="D719" s="1300" t="s">
        <v>1127</v>
      </c>
      <c r="E719" s="1300"/>
      <c r="F719" s="1300"/>
      <c r="H719" s="535"/>
      <c r="I719" s="517" t="s">
        <v>2156</v>
      </c>
      <c r="J719" s="535"/>
      <c r="K719" s="535"/>
    </row>
    <row r="720" spans="1:11">
      <c r="A720" s="517"/>
      <c r="B720" s="517"/>
      <c r="C720" s="517"/>
      <c r="D720" s="1300"/>
      <c r="E720" s="1300"/>
      <c r="F720" s="1300"/>
      <c r="H720" s="535"/>
      <c r="I720" s="517"/>
      <c r="J720" s="535"/>
      <c r="K720" s="535"/>
    </row>
    <row r="721" spans="1:11">
      <c r="A721" s="517"/>
      <c r="B721" s="517"/>
      <c r="C721" s="517"/>
      <c r="D721" s="1300"/>
      <c r="E721" s="1300"/>
      <c r="F721" s="1300"/>
      <c r="H721" s="535"/>
      <c r="I721" s="517"/>
      <c r="J721" s="535"/>
      <c r="K721" s="535"/>
    </row>
    <row r="722" spans="1:11">
      <c r="A722" s="517"/>
      <c r="B722" s="517"/>
      <c r="C722" s="517"/>
      <c r="H722" s="535"/>
      <c r="I722" s="517"/>
      <c r="J722" s="535"/>
      <c r="K722" s="535"/>
    </row>
    <row r="723" spans="1:11">
      <c r="A723" s="517"/>
      <c r="B723" s="519" t="s">
        <v>2732</v>
      </c>
      <c r="C723" s="517"/>
      <c r="D723" s="1300" t="s">
        <v>1128</v>
      </c>
      <c r="E723" s="1300"/>
      <c r="F723" s="1300"/>
      <c r="H723" s="535"/>
      <c r="I723" s="517" t="s">
        <v>2156</v>
      </c>
      <c r="J723" s="535"/>
      <c r="K723" s="535"/>
    </row>
    <row r="724" spans="1:11">
      <c r="A724" s="517"/>
      <c r="B724" s="517"/>
      <c r="C724" s="517"/>
      <c r="D724" s="1300"/>
      <c r="E724" s="1300"/>
      <c r="F724" s="1300"/>
      <c r="H724" s="535"/>
      <c r="I724" s="517"/>
      <c r="J724" s="535"/>
      <c r="K724" s="535"/>
    </row>
    <row r="725" spans="1:11">
      <c r="A725" s="517"/>
      <c r="B725" s="517"/>
      <c r="C725" s="517"/>
      <c r="D725" s="1300"/>
      <c r="E725" s="1300"/>
      <c r="F725" s="1300"/>
      <c r="H725" s="535"/>
      <c r="I725" s="517"/>
      <c r="J725" s="535"/>
      <c r="K725" s="535"/>
    </row>
    <row r="726" spans="1:11">
      <c r="A726" s="517"/>
      <c r="B726" s="517"/>
      <c r="C726" s="517"/>
      <c r="H726" s="535"/>
      <c r="I726" s="517"/>
      <c r="J726" s="535"/>
      <c r="K726" s="535"/>
    </row>
    <row r="727" spans="1:11" ht="14.25">
      <c r="A727" s="518"/>
      <c r="B727" s="519" t="s">
        <v>2732</v>
      </c>
      <c r="C727" s="517"/>
      <c r="D727" s="1300" t="s">
        <v>1129</v>
      </c>
      <c r="E727" s="1300"/>
      <c r="F727" s="1300"/>
      <c r="H727" s="535"/>
      <c r="I727" s="517" t="s">
        <v>2107</v>
      </c>
      <c r="J727" s="535"/>
      <c r="K727" s="535"/>
    </row>
    <row r="728" spans="1:11">
      <c r="A728" s="517"/>
      <c r="B728" s="517"/>
      <c r="C728" s="517"/>
      <c r="D728" s="1300"/>
      <c r="E728" s="1300"/>
      <c r="F728" s="1300"/>
      <c r="H728" s="535"/>
      <c r="I728" s="517"/>
      <c r="J728" s="535"/>
      <c r="K728" s="535"/>
    </row>
    <row r="729" spans="1:11">
      <c r="A729" s="517"/>
      <c r="B729" s="517"/>
      <c r="C729" s="517"/>
      <c r="D729" s="1300"/>
      <c r="E729" s="1300"/>
      <c r="F729" s="1300"/>
      <c r="H729" s="535"/>
      <c r="I729" s="517"/>
      <c r="J729" s="535"/>
      <c r="K729" s="535"/>
    </row>
    <row r="730" spans="1:11">
      <c r="A730" s="517"/>
      <c r="B730" s="517"/>
      <c r="C730" s="517"/>
      <c r="D730" s="1300"/>
      <c r="E730" s="1300"/>
      <c r="F730" s="1300"/>
      <c r="H730" s="535"/>
      <c r="I730" s="517"/>
      <c r="J730" s="535"/>
      <c r="K730" s="535"/>
    </row>
    <row r="731" spans="1:11">
      <c r="A731" s="517"/>
      <c r="B731" s="517"/>
      <c r="C731" s="517"/>
      <c r="D731" s="526"/>
      <c r="H731" s="535"/>
      <c r="I731" s="517"/>
      <c r="J731" s="535"/>
      <c r="K731" s="535"/>
    </row>
    <row r="732" spans="1:11" ht="14.25">
      <c r="A732" s="518"/>
      <c r="B732" s="519" t="s">
        <v>2731</v>
      </c>
      <c r="C732" s="517"/>
      <c r="D732" s="1300" t="s">
        <v>2504</v>
      </c>
      <c r="E732" s="1300"/>
      <c r="F732" s="1300"/>
      <c r="H732" s="535"/>
      <c r="I732" s="517" t="s">
        <v>2123</v>
      </c>
      <c r="J732" s="535"/>
      <c r="K732" s="535"/>
    </row>
    <row r="733" spans="1:11">
      <c r="A733" s="517"/>
      <c r="B733" s="517"/>
      <c r="C733" s="517"/>
      <c r="D733" s="1300"/>
      <c r="E733" s="1300"/>
      <c r="F733" s="1300"/>
      <c r="H733" s="535"/>
      <c r="I733" s="517"/>
      <c r="J733" s="535"/>
      <c r="K733" s="535"/>
    </row>
    <row r="734" spans="1:11">
      <c r="A734" s="517"/>
      <c r="B734" s="517"/>
      <c r="C734" s="517"/>
      <c r="D734" s="1300"/>
      <c r="E734" s="1300"/>
      <c r="F734" s="1300"/>
      <c r="H734" s="535"/>
      <c r="I734" s="517"/>
      <c r="J734" s="535"/>
      <c r="K734" s="535"/>
    </row>
    <row r="735" spans="1:11">
      <c r="A735" s="517"/>
      <c r="B735" s="517"/>
      <c r="C735" s="517"/>
      <c r="D735" s="1300"/>
      <c r="E735" s="1300"/>
      <c r="F735" s="1300"/>
      <c r="H735" s="535"/>
      <c r="I735" s="517"/>
      <c r="J735" s="535"/>
      <c r="K735" s="535"/>
    </row>
    <row r="736" spans="1:11">
      <c r="A736" s="517"/>
      <c r="B736" s="517"/>
      <c r="C736" s="517"/>
      <c r="D736" s="1300"/>
      <c r="E736" s="1300"/>
      <c r="F736" s="1300"/>
      <c r="H736" s="535"/>
      <c r="I736" s="517"/>
      <c r="J736" s="535"/>
      <c r="K736" s="535"/>
    </row>
    <row r="737" spans="1:11">
      <c r="A737" s="517"/>
      <c r="B737" s="517"/>
      <c r="C737" s="517"/>
      <c r="D737" s="1300"/>
      <c r="E737" s="1300"/>
      <c r="F737" s="1300"/>
      <c r="H737" s="535"/>
      <c r="I737" s="517"/>
      <c r="J737" s="535"/>
      <c r="K737" s="535"/>
    </row>
    <row r="738" spans="1:11">
      <c r="A738" s="517"/>
      <c r="B738" s="517"/>
      <c r="C738" s="517"/>
      <c r="D738" s="1300"/>
      <c r="E738" s="1300"/>
      <c r="F738" s="1300"/>
      <c r="H738" s="535"/>
      <c r="I738" s="517"/>
      <c r="J738" s="535"/>
      <c r="K738" s="535"/>
    </row>
    <row r="739" spans="1:11">
      <c r="A739" s="517"/>
      <c r="B739" s="517"/>
      <c r="C739" s="517"/>
      <c r="D739" s="1317" t="s">
        <v>2390</v>
      </c>
      <c r="E739" s="1317"/>
      <c r="F739" s="1317"/>
      <c r="H739" s="535"/>
      <c r="I739" s="517"/>
      <c r="J739" s="535"/>
      <c r="K739" s="535"/>
    </row>
    <row r="740" spans="1:11">
      <c r="A740" s="517"/>
      <c r="B740" s="517"/>
      <c r="C740" s="517"/>
      <c r="D740" s="369"/>
      <c r="H740" s="535"/>
      <c r="I740" s="517"/>
      <c r="J740" s="535"/>
      <c r="K740" s="535"/>
    </row>
    <row r="741" spans="1:11">
      <c r="A741" s="1319" t="s">
        <v>1087</v>
      </c>
      <c r="B741" s="1319"/>
      <c r="C741" s="1319"/>
      <c r="D741" s="1319"/>
      <c r="E741" s="1319"/>
      <c r="F741" s="1319"/>
      <c r="G741" s="1319"/>
      <c r="H741" s="1065"/>
      <c r="I741" s="1263"/>
      <c r="J741" s="535"/>
      <c r="K741" s="535"/>
    </row>
    <row r="742" spans="1:11">
      <c r="A742" s="517"/>
      <c r="B742" s="517"/>
      <c r="C742" s="517"/>
      <c r="D742" s="526"/>
      <c r="G742" s="535"/>
      <c r="H742" s="535"/>
      <c r="I742" s="517"/>
      <c r="J742" s="535"/>
      <c r="K742" s="535"/>
    </row>
    <row r="743" spans="1:11" ht="13.7" customHeight="1">
      <c r="C743" s="517"/>
      <c r="D743" s="1302" t="s">
        <v>1103</v>
      </c>
      <c r="E743" s="1302"/>
      <c r="F743" s="1302"/>
      <c r="G743" s="535"/>
      <c r="H743" s="535"/>
      <c r="I743" s="517"/>
      <c r="J743" s="535"/>
      <c r="K743" s="535"/>
    </row>
    <row r="744" spans="1:11">
      <c r="A744" s="517"/>
      <c r="B744" s="517"/>
      <c r="C744" s="517"/>
      <c r="D744" s="1303" t="s">
        <v>1104</v>
      </c>
      <c r="E744" s="1303"/>
      <c r="F744" s="1303"/>
      <c r="G744" s="535"/>
      <c r="H744" s="535"/>
      <c r="I744" s="517"/>
      <c r="J744" s="535"/>
      <c r="K744" s="535"/>
    </row>
    <row r="745" spans="1:11">
      <c r="A745" s="517"/>
      <c r="B745" s="517"/>
      <c r="C745" s="517"/>
      <c r="G745" s="535"/>
      <c r="H745" s="535"/>
      <c r="I745" s="517"/>
      <c r="J745" s="535"/>
      <c r="K745" s="535"/>
    </row>
    <row r="746" spans="1:11" ht="14.25">
      <c r="A746" s="518"/>
      <c r="B746" s="519" t="s">
        <v>2731</v>
      </c>
      <c r="D746" s="1300" t="s">
        <v>1105</v>
      </c>
      <c r="E746" s="1300"/>
      <c r="F746" s="1300"/>
      <c r="G746" s="535"/>
      <c r="H746" s="535"/>
      <c r="I746" s="517" t="s">
        <v>2108</v>
      </c>
      <c r="J746" s="535"/>
      <c r="K746" s="535"/>
    </row>
    <row r="747" spans="1:11" ht="10.5" customHeight="1">
      <c r="D747" s="1300"/>
      <c r="E747" s="1300"/>
      <c r="F747" s="1300"/>
      <c r="G747" s="535"/>
      <c r="H747" s="535"/>
      <c r="I747" s="517"/>
      <c r="J747" s="535"/>
      <c r="K747" s="535"/>
    </row>
    <row r="748" spans="1:11">
      <c r="D748" s="1300"/>
      <c r="E748" s="1300"/>
      <c r="F748" s="1300"/>
      <c r="G748" s="535"/>
      <c r="H748" s="535"/>
      <c r="I748" s="517"/>
      <c r="J748" s="535"/>
      <c r="K748" s="535"/>
    </row>
    <row r="749" spans="1:11">
      <c r="D749" s="1300"/>
      <c r="E749" s="1300"/>
      <c r="F749" s="1300"/>
      <c r="G749" s="535"/>
      <c r="H749" s="535"/>
      <c r="I749" s="517"/>
      <c r="J749" s="535"/>
      <c r="K749" s="535"/>
    </row>
    <row r="750" spans="1:11">
      <c r="D750" s="1300"/>
      <c r="E750" s="1300"/>
      <c r="F750" s="1300"/>
      <c r="G750" s="535"/>
      <c r="H750" s="535"/>
      <c r="I750" s="517"/>
      <c r="J750" s="535"/>
      <c r="K750" s="535"/>
    </row>
    <row r="751" spans="1:11" ht="15.6" customHeight="1">
      <c r="D751" s="1300"/>
      <c r="E751" s="1300"/>
      <c r="F751" s="1300"/>
      <c r="G751" s="535"/>
      <c r="H751" s="535"/>
      <c r="I751" s="517"/>
      <c r="J751" s="535"/>
      <c r="K751" s="535"/>
    </row>
    <row r="752" spans="1:11">
      <c r="D752" s="533"/>
      <c r="E752" s="480"/>
      <c r="F752" s="480"/>
      <c r="G752" s="535"/>
      <c r="H752" s="535"/>
      <c r="I752" s="517"/>
      <c r="J752" s="535"/>
      <c r="K752" s="535"/>
    </row>
    <row r="753" spans="1:11" s="539" customFormat="1" ht="14.25">
      <c r="A753" s="537"/>
      <c r="B753" s="519" t="s">
        <v>2732</v>
      </c>
      <c r="C753" s="538"/>
      <c r="D753" s="1300" t="s">
        <v>1347</v>
      </c>
      <c r="E753" s="1300"/>
      <c r="F753" s="1300"/>
      <c r="I753" s="1264" t="s">
        <v>2108</v>
      </c>
    </row>
    <row r="754" spans="1:11" s="539" customFormat="1">
      <c r="A754" s="538"/>
      <c r="B754" s="538"/>
      <c r="C754" s="538"/>
      <c r="D754" s="1300"/>
      <c r="E754" s="1300"/>
      <c r="F754" s="1300"/>
      <c r="I754" s="1264"/>
    </row>
    <row r="755" spans="1:11" s="539" customFormat="1">
      <c r="A755" s="538"/>
      <c r="B755" s="538"/>
      <c r="C755" s="538"/>
      <c r="D755" s="1300"/>
      <c r="E755" s="1300"/>
      <c r="F755" s="1300"/>
      <c r="I755" s="1264"/>
    </row>
    <row r="756" spans="1:11" s="539" customFormat="1">
      <c r="A756" s="538"/>
      <c r="B756" s="538"/>
      <c r="C756" s="538"/>
      <c r="D756" s="1300"/>
      <c r="E756" s="1300"/>
      <c r="F756" s="1300"/>
      <c r="I756" s="1264"/>
    </row>
    <row r="757" spans="1:11" s="539" customFormat="1">
      <c r="A757" s="538"/>
      <c r="B757" s="538"/>
      <c r="C757" s="538"/>
      <c r="D757" s="533"/>
      <c r="I757" s="1264"/>
    </row>
    <row r="758" spans="1:11" s="539" customFormat="1" ht="14.25">
      <c r="A758" s="518"/>
      <c r="B758" s="519" t="s">
        <v>2732</v>
      </c>
      <c r="C758" s="538"/>
      <c r="D758" s="1298" t="s">
        <v>1348</v>
      </c>
      <c r="E758" s="1298"/>
      <c r="F758" s="1298"/>
      <c r="I758" s="1264" t="s">
        <v>2109</v>
      </c>
    </row>
    <row r="759" spans="1:11" s="539" customFormat="1">
      <c r="A759" s="538"/>
      <c r="B759" s="538"/>
      <c r="C759" s="538"/>
      <c r="D759" s="1298"/>
      <c r="E759" s="1298"/>
      <c r="F759" s="1298"/>
      <c r="I759" s="1264"/>
    </row>
    <row r="760" spans="1:11" s="539" customFormat="1">
      <c r="A760" s="538"/>
      <c r="B760" s="538"/>
      <c r="C760" s="538"/>
      <c r="D760" s="1298"/>
      <c r="E760" s="1298"/>
      <c r="F760" s="1298"/>
      <c r="I760" s="1264"/>
    </row>
    <row r="761" spans="1:11">
      <c r="D761" s="533"/>
      <c r="E761" s="480"/>
      <c r="F761" s="480"/>
      <c r="G761" s="535"/>
      <c r="H761" s="535"/>
      <c r="I761" s="517"/>
      <c r="J761" s="535"/>
      <c r="K761" s="535"/>
    </row>
    <row r="762" spans="1:11" ht="14.25">
      <c r="A762" s="518"/>
      <c r="B762" s="519" t="s">
        <v>2732</v>
      </c>
      <c r="D762" s="1300" t="s">
        <v>1303</v>
      </c>
      <c r="E762" s="1300"/>
      <c r="F762" s="1300"/>
      <c r="G762" s="535"/>
      <c r="H762" s="535"/>
      <c r="I762" s="517" t="s">
        <v>2108</v>
      </c>
      <c r="J762" s="535"/>
      <c r="K762" s="535"/>
    </row>
    <row r="763" spans="1:11">
      <c r="D763" s="1300"/>
      <c r="E763" s="1300"/>
      <c r="F763" s="1300"/>
      <c r="G763" s="535"/>
      <c r="H763" s="535"/>
      <c r="I763" s="517"/>
      <c r="J763" s="535"/>
      <c r="K763" s="535"/>
    </row>
    <row r="764" spans="1:11">
      <c r="D764" s="479"/>
      <c r="E764" s="479"/>
      <c r="F764" s="479"/>
      <c r="G764" s="535"/>
      <c r="H764" s="535"/>
      <c r="I764" s="517"/>
      <c r="J764" s="535"/>
      <c r="K764" s="535"/>
    </row>
    <row r="765" spans="1:11">
      <c r="B765" s="519" t="s">
        <v>2732</v>
      </c>
      <c r="D765" s="1300" t="s">
        <v>1320</v>
      </c>
      <c r="E765" s="1300"/>
      <c r="F765" s="1300"/>
      <c r="G765" s="535"/>
      <c r="H765" s="535"/>
      <c r="I765" s="517" t="s">
        <v>2108</v>
      </c>
      <c r="J765" s="535"/>
      <c r="K765" s="535"/>
    </row>
    <row r="766" spans="1:11">
      <c r="D766" s="1300"/>
      <c r="E766" s="1300"/>
      <c r="F766" s="1300"/>
      <c r="G766" s="535"/>
      <c r="H766" s="535"/>
      <c r="I766" s="517"/>
      <c r="J766" s="535"/>
      <c r="K766" s="535"/>
    </row>
    <row r="767" spans="1:11">
      <c r="D767" s="1300"/>
      <c r="E767" s="1300"/>
      <c r="F767" s="1300"/>
      <c r="G767" s="535"/>
      <c r="H767" s="535"/>
      <c r="I767" s="517"/>
      <c r="J767" s="535"/>
      <c r="K767" s="535"/>
    </row>
    <row r="768" spans="1:11">
      <c r="D768" s="479"/>
      <c r="E768" s="479"/>
      <c r="F768" s="479"/>
      <c r="G768" s="535"/>
      <c r="H768" s="535"/>
      <c r="I768" s="517"/>
      <c r="J768" s="535"/>
      <c r="K768" s="535"/>
    </row>
    <row r="769" spans="1:9">
      <c r="A769" s="1352" t="s">
        <v>1991</v>
      </c>
      <c r="B769" s="1352"/>
      <c r="C769" s="1352"/>
      <c r="D769" s="1352"/>
      <c r="E769" s="1352"/>
      <c r="F769" s="1352"/>
      <c r="G769" s="1352"/>
      <c r="H769" s="1063"/>
      <c r="I769" s="1259"/>
    </row>
    <row r="770" spans="1:9">
      <c r="A770" s="57"/>
      <c r="B770" s="57"/>
      <c r="C770" s="385"/>
      <c r="D770" s="3"/>
      <c r="E770" s="3"/>
      <c r="F770" s="3"/>
      <c r="G770" s="3"/>
      <c r="I770" s="524"/>
    </row>
    <row r="771" spans="1:9">
      <c r="A771" s="57"/>
      <c r="B771" s="57"/>
      <c r="C771" s="385"/>
      <c r="D771" s="1341" t="s">
        <v>2045</v>
      </c>
      <c r="E771" s="1341"/>
      <c r="F771" s="1341"/>
      <c r="G771" s="3"/>
      <c r="I771" s="524"/>
    </row>
    <row r="772" spans="1:9">
      <c r="A772" s="57"/>
      <c r="B772" s="57"/>
      <c r="C772" s="385"/>
      <c r="D772" s="1286" t="s">
        <v>1944</v>
      </c>
      <c r="E772" s="1286"/>
      <c r="F772" s="1286"/>
      <c r="G772" s="3"/>
      <c r="I772" s="524"/>
    </row>
    <row r="773" spans="1:9">
      <c r="A773" s="57"/>
      <c r="B773" s="57"/>
      <c r="C773" s="385"/>
      <c r="D773" s="481"/>
      <c r="E773" s="481"/>
      <c r="F773" s="481"/>
      <c r="G773" s="3"/>
      <c r="I773" s="524"/>
    </row>
    <row r="774" spans="1:9">
      <c r="A774" s="57"/>
      <c r="B774" s="519" t="s">
        <v>2731</v>
      </c>
      <c r="C774" s="385"/>
      <c r="D774" s="1313" t="s">
        <v>1945</v>
      </c>
      <c r="E774" s="1313"/>
      <c r="F774" s="1313"/>
      <c r="G774" s="3"/>
      <c r="I774" s="517" t="s">
        <v>2158</v>
      </c>
    </row>
    <row r="775" spans="1:9">
      <c r="A775" s="57"/>
      <c r="B775" s="57"/>
      <c r="C775" s="385"/>
      <c r="D775" s="1313"/>
      <c r="E775" s="1313"/>
      <c r="F775" s="1313"/>
      <c r="G775" s="3"/>
      <c r="I775" s="524"/>
    </row>
    <row r="776" spans="1:9">
      <c r="A776" s="175"/>
      <c r="B776" s="175"/>
      <c r="C776" s="175"/>
      <c r="D776" s="1313"/>
      <c r="E776" s="1313"/>
      <c r="F776" s="1313"/>
      <c r="G776" s="118"/>
      <c r="I776" s="524"/>
    </row>
    <row r="777" spans="1:9">
      <c r="A777" s="385"/>
      <c r="B777" s="385"/>
      <c r="C777" s="385"/>
      <c r="D777" s="174"/>
      <c r="E777" s="3"/>
      <c r="F777" s="3"/>
      <c r="G777" s="3"/>
      <c r="I777" s="524"/>
    </row>
    <row r="778" spans="1:9">
      <c r="A778" s="172"/>
      <c r="B778" s="519" t="s">
        <v>2732</v>
      </c>
      <c r="C778" s="172"/>
      <c r="D778" s="1313" t="s">
        <v>1946</v>
      </c>
      <c r="E778" s="1313"/>
      <c r="F778" s="1313"/>
      <c r="G778" s="3"/>
      <c r="I778" s="517" t="s">
        <v>2158</v>
      </c>
    </row>
    <row r="779" spans="1:9">
      <c r="A779" s="172"/>
      <c r="B779" s="172"/>
      <c r="C779" s="172"/>
      <c r="D779" s="1313"/>
      <c r="E779" s="1313"/>
      <c r="F779" s="1313"/>
      <c r="G779" s="3"/>
      <c r="I779" s="524"/>
    </row>
    <row r="780" spans="1:9">
      <c r="A780" s="172"/>
      <c r="B780" s="172"/>
      <c r="C780" s="172"/>
      <c r="D780" s="1313"/>
      <c r="E780" s="1313"/>
      <c r="F780" s="1313"/>
      <c r="G780" s="3"/>
      <c r="I780" s="524"/>
    </row>
    <row r="781" spans="1:9">
      <c r="A781" s="175"/>
      <c r="B781" s="175"/>
      <c r="C781" s="175"/>
      <c r="D781" s="3"/>
      <c r="E781" s="1023"/>
      <c r="F781" s="1023"/>
      <c r="G781" s="1023"/>
      <c r="I781" s="524"/>
    </row>
    <row r="782" spans="1:9" ht="14.25">
      <c r="A782" s="176"/>
      <c r="B782" s="519" t="s">
        <v>2732</v>
      </c>
      <c r="C782" s="1024"/>
      <c r="D782" s="1313" t="s">
        <v>1947</v>
      </c>
      <c r="E782" s="1313"/>
      <c r="F782" s="1313"/>
      <c r="G782" s="1023"/>
      <c r="I782" s="517" t="s">
        <v>2158</v>
      </c>
    </row>
    <row r="783" spans="1:9" ht="14.25">
      <c r="A783" s="176"/>
      <c r="B783" s="176"/>
      <c r="C783" s="1024"/>
      <c r="D783" s="1313"/>
      <c r="E783" s="1313"/>
      <c r="F783" s="1313"/>
      <c r="G783" s="1023"/>
      <c r="I783" s="524"/>
    </row>
    <row r="784" spans="1:9" ht="14.25">
      <c r="A784" s="176"/>
      <c r="B784" s="176"/>
      <c r="C784" s="1024"/>
      <c r="D784" s="1313"/>
      <c r="E784" s="1313"/>
      <c r="F784" s="1313"/>
      <c r="G784" s="1023"/>
      <c r="I784" s="524"/>
    </row>
    <row r="785" spans="1:9" ht="14.25">
      <c r="A785" s="176"/>
      <c r="B785" s="176"/>
      <c r="C785" s="1024"/>
      <c r="D785" s="118"/>
      <c r="E785" s="3"/>
      <c r="F785" s="3"/>
      <c r="G785" s="1023"/>
      <c r="I785" s="524"/>
    </row>
    <row r="786" spans="1:9" ht="14.25">
      <c r="A786" s="176"/>
      <c r="B786" s="519" t="s">
        <v>2732</v>
      </c>
      <c r="C786" s="1024"/>
      <c r="D786" s="1313" t="s">
        <v>1948</v>
      </c>
      <c r="E786" s="1313"/>
      <c r="F786" s="1313"/>
      <c r="G786" s="1023"/>
      <c r="I786" s="517" t="s">
        <v>2158</v>
      </c>
    </row>
    <row r="787" spans="1:9" ht="14.25">
      <c r="A787" s="176"/>
      <c r="B787" s="176"/>
      <c r="C787" s="1024"/>
      <c r="D787" s="1313"/>
      <c r="E787" s="1313"/>
      <c r="F787" s="1313"/>
      <c r="G787" s="1023"/>
      <c r="I787" s="524"/>
    </row>
    <row r="788" spans="1:9" ht="14.25">
      <c r="A788" s="176"/>
      <c r="B788" s="176"/>
      <c r="C788" s="1024"/>
      <c r="D788" s="1313"/>
      <c r="E788" s="1313"/>
      <c r="F788" s="1313"/>
      <c r="G788" s="1023"/>
      <c r="I788" s="524"/>
    </row>
    <row r="789" spans="1:9" ht="14.25">
      <c r="A789" s="176"/>
      <c r="B789" s="176"/>
      <c r="C789" s="1024"/>
      <c r="D789" s="1313"/>
      <c r="E789" s="1313"/>
      <c r="F789" s="1313"/>
      <c r="G789" s="1023"/>
      <c r="I789" s="524"/>
    </row>
    <row r="790" spans="1:9" ht="14.25">
      <c r="A790" s="176"/>
      <c r="B790" s="176"/>
      <c r="C790" s="1024"/>
      <c r="D790" s="1313"/>
      <c r="E790" s="1313"/>
      <c r="F790" s="1313"/>
      <c r="G790" s="1023"/>
      <c r="I790" s="524"/>
    </row>
    <row r="791" spans="1:9" ht="14.25">
      <c r="A791" s="176"/>
      <c r="B791" s="176"/>
      <c r="C791" s="1024"/>
      <c r="D791" s="1313"/>
      <c r="E791" s="1313"/>
      <c r="F791" s="1313"/>
      <c r="G791" s="1023"/>
      <c r="I791" s="524"/>
    </row>
    <row r="792" spans="1:9" ht="14.25">
      <c r="A792" s="176"/>
      <c r="B792" s="176"/>
      <c r="C792" s="1024"/>
      <c r="D792" s="1313" t="s">
        <v>1992</v>
      </c>
      <c r="E792" s="1313"/>
      <c r="F792" s="1313"/>
      <c r="G792" s="1023"/>
      <c r="I792" s="524"/>
    </row>
    <row r="793" spans="1:9" ht="14.25">
      <c r="A793" s="176"/>
      <c r="B793" s="176"/>
      <c r="C793" s="1024"/>
      <c r="D793" s="1313"/>
      <c r="E793" s="1313"/>
      <c r="F793" s="1313"/>
      <c r="G793" s="1023"/>
      <c r="I793" s="524"/>
    </row>
    <row r="794" spans="1:9" ht="14.25">
      <c r="A794" s="176"/>
      <c r="B794" s="176"/>
      <c r="C794" s="1024"/>
      <c r="D794" s="1313"/>
      <c r="E794" s="1313"/>
      <c r="F794" s="1313"/>
      <c r="G794" s="1023"/>
      <c r="I794" s="524"/>
    </row>
    <row r="795" spans="1:9" ht="14.25">
      <c r="A795" s="176"/>
      <c r="B795" s="385"/>
      <c r="C795" s="1024"/>
      <c r="D795" s="1025"/>
      <c r="E795" s="1025"/>
      <c r="F795" s="1025"/>
      <c r="G795" s="1023"/>
      <c r="I795" s="524"/>
    </row>
    <row r="796" spans="1:9" ht="14.25">
      <c r="A796" s="176"/>
      <c r="B796" s="519" t="s">
        <v>2732</v>
      </c>
      <c r="C796" s="1024"/>
      <c r="D796" s="1313" t="s">
        <v>1949</v>
      </c>
      <c r="E796" s="1313"/>
      <c r="F796" s="1313"/>
      <c r="G796" s="1023"/>
      <c r="I796" s="517" t="s">
        <v>2158</v>
      </c>
    </row>
    <row r="797" spans="1:9" ht="14.25">
      <c r="A797" s="176"/>
      <c r="B797" s="176"/>
      <c r="C797" s="1024"/>
      <c r="D797" s="1313"/>
      <c r="E797" s="1313"/>
      <c r="F797" s="1313"/>
      <c r="G797" s="1023"/>
      <c r="I797" s="524"/>
    </row>
    <row r="798" spans="1:9" ht="14.25">
      <c r="A798" s="176"/>
      <c r="B798" s="176"/>
      <c r="C798" s="1024"/>
      <c r="D798" s="1313"/>
      <c r="E798" s="1313"/>
      <c r="F798" s="1313"/>
      <c r="G798" s="1023"/>
      <c r="I798" s="524"/>
    </row>
    <row r="799" spans="1:9" ht="14.25">
      <c r="A799" s="176"/>
      <c r="B799" s="176"/>
      <c r="C799" s="1024"/>
      <c r="D799" s="1313"/>
      <c r="E799" s="1313"/>
      <c r="F799" s="1313"/>
      <c r="G799" s="1023"/>
      <c r="I799" s="524"/>
    </row>
    <row r="800" spans="1:9" ht="14.25">
      <c r="A800" s="176"/>
      <c r="B800" s="176"/>
      <c r="C800" s="1024"/>
      <c r="D800" s="1313"/>
      <c r="E800" s="1313"/>
      <c r="F800" s="1313"/>
      <c r="G800" s="1023"/>
      <c r="I800" s="524"/>
    </row>
    <row r="801" spans="1:9" ht="14.25">
      <c r="A801" s="176"/>
      <c r="B801" s="176"/>
      <c r="C801" s="1024"/>
      <c r="D801" s="1313"/>
      <c r="E801" s="1313"/>
      <c r="F801" s="1313"/>
      <c r="G801" s="1023"/>
      <c r="I801" s="524"/>
    </row>
    <row r="802" spans="1:9" ht="14.25">
      <c r="A802" s="176"/>
      <c r="B802" s="176"/>
      <c r="C802" s="1024"/>
      <c r="D802" s="1017"/>
      <c r="E802" s="1017"/>
      <c r="F802" s="1017"/>
      <c r="G802" s="1023"/>
      <c r="I802" s="524"/>
    </row>
    <row r="803" spans="1:9" ht="14.25">
      <c r="A803" s="176"/>
      <c r="B803" s="519" t="s">
        <v>2731</v>
      </c>
      <c r="C803" s="1024"/>
      <c r="D803" s="1313" t="s">
        <v>1950</v>
      </c>
      <c r="E803" s="1313"/>
      <c r="F803" s="1313"/>
      <c r="G803" s="1023"/>
      <c r="I803" s="517" t="s">
        <v>2158</v>
      </c>
    </row>
    <row r="804" spans="1:9" ht="14.25">
      <c r="A804" s="176"/>
      <c r="B804" s="176"/>
      <c r="C804" s="1024"/>
      <c r="D804" s="1313"/>
      <c r="E804" s="1313"/>
      <c r="F804" s="1313"/>
      <c r="G804" s="1023"/>
      <c r="I804" s="524"/>
    </row>
    <row r="805" spans="1:9" ht="14.25">
      <c r="A805" s="176"/>
      <c r="B805" s="176"/>
      <c r="C805" s="1024"/>
      <c r="D805" s="1313"/>
      <c r="E805" s="1313"/>
      <c r="F805" s="1313"/>
      <c r="G805" s="1023"/>
      <c r="I805" s="524"/>
    </row>
    <row r="806" spans="1:9" ht="14.25">
      <c r="A806" s="176"/>
      <c r="B806" s="176"/>
      <c r="C806" s="1024"/>
      <c r="D806" s="1313"/>
      <c r="E806" s="1313"/>
      <c r="F806" s="1313"/>
      <c r="G806" s="1023"/>
      <c r="I806" s="524"/>
    </row>
    <row r="807" spans="1:9" ht="14.25">
      <c r="A807" s="176"/>
      <c r="B807" s="176"/>
      <c r="C807" s="1024"/>
      <c r="D807" s="1313"/>
      <c r="E807" s="1313"/>
      <c r="F807" s="1313"/>
      <c r="G807" s="1023"/>
      <c r="I807" s="524"/>
    </row>
    <row r="808" spans="1:9" ht="14.25">
      <c r="A808" s="176"/>
      <c r="B808" s="176"/>
      <c r="C808" s="1024"/>
      <c r="D808" s="1313"/>
      <c r="E808" s="1313"/>
      <c r="F808" s="1313"/>
      <c r="G808" s="1023"/>
      <c r="I808" s="524"/>
    </row>
    <row r="809" spans="1:9" ht="14.25">
      <c r="A809" s="176"/>
      <c r="B809" s="176"/>
      <c r="C809" s="1024"/>
      <c r="D809" s="1017"/>
      <c r="E809" s="1017"/>
      <c r="F809" s="1017"/>
      <c r="G809" s="1023"/>
      <c r="I809" s="524"/>
    </row>
    <row r="810" spans="1:9" ht="14.25">
      <c r="A810" s="176"/>
      <c r="B810" s="519" t="s">
        <v>2732</v>
      </c>
      <c r="C810" s="1024"/>
      <c r="D810" s="1310" t="s">
        <v>1951</v>
      </c>
      <c r="E810" s="1310"/>
      <c r="F810" s="1310"/>
      <c r="G810" s="1023"/>
      <c r="I810" s="517" t="s">
        <v>2158</v>
      </c>
    </row>
    <row r="811" spans="1:9" ht="14.25">
      <c r="A811" s="176"/>
      <c r="B811" s="176"/>
      <c r="C811" s="1024"/>
      <c r="D811" s="1310"/>
      <c r="E811" s="1310"/>
      <c r="F811" s="1310"/>
      <c r="G811" s="1023"/>
      <c r="I811" s="524"/>
    </row>
    <row r="812" spans="1:9">
      <c r="A812" s="13"/>
      <c r="B812" s="13"/>
      <c r="C812" s="1024"/>
      <c r="D812" s="1310"/>
      <c r="E812" s="1310"/>
      <c r="F812" s="1310"/>
      <c r="G812" s="1023"/>
      <c r="I812" s="524"/>
    </row>
    <row r="813" spans="1:9" ht="14.25">
      <c r="A813" s="176"/>
      <c r="B813" s="13"/>
      <c r="C813" s="1024"/>
      <c r="D813" s="1310"/>
      <c r="E813" s="1310"/>
      <c r="F813" s="1310"/>
      <c r="G813" s="1023"/>
      <c r="I813" s="524"/>
    </row>
    <row r="814" spans="1:9" ht="12.75" customHeight="1">
      <c r="A814" s="176"/>
      <c r="B814" s="13"/>
      <c r="C814" s="1024"/>
      <c r="D814" s="1310"/>
      <c r="E814" s="1310"/>
      <c r="F814" s="1310"/>
      <c r="G814" s="1023"/>
      <c r="I814" s="524"/>
    </row>
    <row r="815" spans="1:9" ht="12.75" customHeight="1">
      <c r="A815" s="176"/>
      <c r="B815" s="13"/>
      <c r="C815" s="1024"/>
      <c r="D815" s="1310"/>
      <c r="E815" s="1310"/>
      <c r="F815" s="1310"/>
      <c r="G815" s="1023"/>
      <c r="I815" s="524"/>
    </row>
    <row r="816" spans="1:9" ht="12.75" customHeight="1">
      <c r="A816" s="13"/>
      <c r="B816" s="13"/>
      <c r="C816" s="1024"/>
      <c r="D816" s="1023"/>
      <c r="E816" s="3"/>
      <c r="F816" s="3"/>
      <c r="G816" s="1023"/>
      <c r="I816" s="524"/>
    </row>
    <row r="817" spans="1:9" ht="12.75" customHeight="1">
      <c r="A817" s="1318" t="s">
        <v>1952</v>
      </c>
      <c r="B817" s="1318"/>
      <c r="C817" s="1318"/>
      <c r="D817" s="1318"/>
      <c r="E817" s="1318"/>
      <c r="F817" s="1318"/>
      <c r="G817" s="1318"/>
      <c r="H817" s="1063"/>
      <c r="I817" s="1259"/>
    </row>
    <row r="818" spans="1:9" ht="12.75" customHeight="1">
      <c r="A818" s="172"/>
      <c r="B818" s="172"/>
      <c r="C818" s="1024"/>
      <c r="D818" s="1023"/>
      <c r="E818" s="1023"/>
      <c r="F818" s="1023"/>
      <c r="G818" s="1023"/>
      <c r="I818" s="524"/>
    </row>
    <row r="819" spans="1:9" ht="12.75" customHeight="1">
      <c r="A819" s="176"/>
      <c r="B819" s="176"/>
      <c r="C819" s="385"/>
      <c r="D819" s="1306" t="s">
        <v>1993</v>
      </c>
      <c r="E819" s="1306"/>
      <c r="F819" s="1306"/>
      <c r="G819" s="3"/>
      <c r="I819" s="524"/>
    </row>
    <row r="820" spans="1:9" ht="14.25" customHeight="1">
      <c r="A820" s="176"/>
      <c r="B820" s="176"/>
      <c r="C820" s="385"/>
      <c r="D820" s="1273" t="s">
        <v>1953</v>
      </c>
      <c r="E820" s="1273"/>
      <c r="F820" s="1273"/>
      <c r="G820" s="3"/>
      <c r="I820" s="524"/>
    </row>
    <row r="821" spans="1:9" ht="12.75" customHeight="1">
      <c r="A821" s="176"/>
      <c r="B821" s="176"/>
      <c r="C821" s="385"/>
      <c r="D821" s="474"/>
      <c r="E821" s="474"/>
      <c r="F821" s="474"/>
      <c r="G821" s="3"/>
      <c r="I821" s="524"/>
    </row>
    <row r="822" spans="1:9" ht="12.75" customHeight="1">
      <c r="A822" s="385"/>
      <c r="B822" s="519" t="s">
        <v>2731</v>
      </c>
      <c r="C822" s="1024"/>
      <c r="D822" s="1273" t="s">
        <v>1954</v>
      </c>
      <c r="E822" s="1273"/>
      <c r="F822" s="1273"/>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2391</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2731</v>
      </c>
      <c r="C836" s="1024"/>
      <c r="D836" s="1273" t="s">
        <v>1955</v>
      </c>
      <c r="E836" s="1273"/>
      <c r="F836" s="1273"/>
      <c r="G836" s="3"/>
      <c r="I836" s="524" t="s">
        <v>2144</v>
      </c>
    </row>
    <row r="837" spans="1:9" ht="12.75" customHeight="1">
      <c r="A837" s="176"/>
      <c r="B837" s="176"/>
      <c r="C837" s="1024"/>
      <c r="D837" s="1273"/>
      <c r="E837" s="1273"/>
      <c r="F837" s="1273"/>
      <c r="G837" s="3"/>
      <c r="I837" s="524"/>
    </row>
    <row r="838" spans="1:9" ht="12.75" customHeight="1">
      <c r="A838" s="176"/>
      <c r="B838" s="176"/>
      <c r="C838" s="1024"/>
      <c r="D838" s="1273"/>
      <c r="E838" s="1273"/>
      <c r="F838" s="1273"/>
      <c r="G838" s="3"/>
      <c r="I838" s="524"/>
    </row>
    <row r="839" spans="1:9" ht="12.75" customHeight="1">
      <c r="A839" s="176"/>
      <c r="B839" s="176"/>
      <c r="C839" s="1024"/>
      <c r="D839" s="118"/>
      <c r="E839" s="3"/>
      <c r="F839" s="3"/>
      <c r="G839" s="3"/>
      <c r="I839" s="524"/>
    </row>
    <row r="840" spans="1:9" ht="12.75" customHeight="1">
      <c r="A840" s="1027"/>
      <c r="B840" s="519" t="s">
        <v>2732</v>
      </c>
      <c r="C840" s="1024"/>
      <c r="D840" s="1306" t="s">
        <v>1956</v>
      </c>
      <c r="E840" s="1306"/>
      <c r="F840" s="1306"/>
      <c r="G840" s="3"/>
      <c r="I840" s="524"/>
    </row>
    <row r="841" spans="1:9" ht="12.75" customHeight="1">
      <c r="A841" s="385"/>
      <c r="B841" s="1027"/>
      <c r="C841" s="1024"/>
      <c r="D841" s="1306"/>
      <c r="E841" s="1306"/>
      <c r="F841" s="1306"/>
      <c r="G841" s="3"/>
      <c r="I841" s="524"/>
    </row>
    <row r="842" spans="1:9" ht="12.75" customHeight="1">
      <c r="A842" s="176"/>
      <c r="B842" s="385"/>
      <c r="C842" s="1024"/>
      <c r="D842" s="1273" t="s">
        <v>2382</v>
      </c>
      <c r="E842" s="1273"/>
      <c r="F842" s="1273"/>
      <c r="G842" s="3"/>
      <c r="I842" s="524"/>
    </row>
    <row r="843" spans="1:9" ht="12.75" customHeight="1">
      <c r="A843" s="176"/>
      <c r="B843" s="176"/>
      <c r="C843" s="1024"/>
      <c r="D843" s="1273"/>
      <c r="E843" s="1273"/>
      <c r="F843" s="1273"/>
      <c r="G843" s="3"/>
      <c r="I843" s="524"/>
    </row>
    <row r="844" spans="1:9" ht="12.75" customHeight="1">
      <c r="A844" s="176"/>
      <c r="B844" s="176"/>
      <c r="C844" s="1024"/>
      <c r="D844" s="1273"/>
      <c r="E844" s="1273"/>
      <c r="F844" s="1273"/>
      <c r="G844" s="3"/>
      <c r="I844" s="524"/>
    </row>
    <row r="845" spans="1:9" ht="12.75" customHeight="1">
      <c r="A845" s="176"/>
      <c r="B845" s="176"/>
      <c r="C845" s="1024"/>
      <c r="D845" s="1273"/>
      <c r="E845" s="1273"/>
      <c r="F845" s="1273"/>
      <c r="G845" s="3"/>
      <c r="I845" s="524"/>
    </row>
    <row r="846" spans="1:9" ht="12.75" customHeight="1">
      <c r="A846" s="176"/>
      <c r="B846" s="176"/>
      <c r="C846" s="1024"/>
      <c r="D846" s="1273"/>
      <c r="E846" s="1273"/>
      <c r="F846" s="1273"/>
      <c r="G846" s="3"/>
      <c r="I846" s="524"/>
    </row>
    <row r="847" spans="1:9" ht="12.75" customHeight="1">
      <c r="A847" s="176"/>
      <c r="B847" s="176"/>
      <c r="C847" s="1024"/>
      <c r="D847" s="1273"/>
      <c r="E847" s="1273"/>
      <c r="F847" s="1273"/>
      <c r="G847" s="3"/>
      <c r="I847" s="524"/>
    </row>
    <row r="848" spans="1:9" ht="12.75" customHeight="1">
      <c r="A848" s="176"/>
      <c r="B848" s="176"/>
      <c r="C848" s="1024"/>
      <c r="D848" s="118"/>
      <c r="E848" s="3"/>
      <c r="F848" s="3"/>
      <c r="G848" s="3"/>
      <c r="I848" s="524"/>
    </row>
    <row r="849" spans="1:9" ht="12.75" customHeight="1">
      <c r="A849" s="176"/>
      <c r="B849" s="519" t="s">
        <v>2732</v>
      </c>
      <c r="C849" s="1024"/>
      <c r="D849" s="1273" t="s">
        <v>1957</v>
      </c>
      <c r="E849" s="1273"/>
      <c r="F849" s="1273"/>
      <c r="G849" s="3"/>
      <c r="I849" s="524" t="s">
        <v>2127</v>
      </c>
    </row>
    <row r="850" spans="1:9" ht="12.75" customHeight="1">
      <c r="A850" s="176"/>
      <c r="B850" s="176"/>
      <c r="C850" s="1024"/>
      <c r="D850" s="1273" t="s">
        <v>1958</v>
      </c>
      <c r="E850" s="1273"/>
      <c r="F850" s="1273"/>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2732</v>
      </c>
      <c r="C853" s="1024"/>
      <c r="D853" s="1273" t="s">
        <v>1959</v>
      </c>
      <c r="E853" s="1273"/>
      <c r="F853" s="1273"/>
      <c r="G853" s="3"/>
      <c r="I853" s="524" t="s">
        <v>2145</v>
      </c>
    </row>
    <row r="854" spans="1:9" ht="12.75" customHeight="1">
      <c r="A854" s="176"/>
      <c r="B854" s="176"/>
      <c r="C854" s="1024"/>
      <c r="D854" s="1273"/>
      <c r="E854" s="1273"/>
      <c r="F854" s="1273"/>
      <c r="G854" s="3"/>
      <c r="I854" s="524"/>
    </row>
    <row r="855" spans="1:9" ht="12.75" customHeight="1">
      <c r="A855" s="176"/>
      <c r="B855" s="176"/>
      <c r="C855" s="1024"/>
      <c r="D855" s="1273"/>
      <c r="E855" s="1273"/>
      <c r="F855" s="1273"/>
      <c r="G855" s="3"/>
      <c r="I855" s="524"/>
    </row>
    <row r="856" spans="1:9" ht="12.75" customHeight="1">
      <c r="A856" s="176"/>
      <c r="B856" s="176"/>
      <c r="C856" s="1024"/>
      <c r="D856" s="1273"/>
      <c r="E856" s="1273"/>
      <c r="F856" s="1273"/>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9" t="s">
        <v>1994</v>
      </c>
      <c r="E860" s="1289"/>
      <c r="F860" s="1289"/>
      <c r="G860" s="1023"/>
      <c r="I860" s="524"/>
    </row>
    <row r="861" spans="1:9" ht="12.75" customHeight="1">
      <c r="A861" s="385"/>
      <c r="B861" s="385"/>
      <c r="C861" s="175"/>
      <c r="D861" s="1342" t="s">
        <v>1961</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2731</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2731</v>
      </c>
      <c r="C866" s="385"/>
      <c r="D866" s="1273" t="s">
        <v>1963</v>
      </c>
      <c r="E866" s="1291"/>
      <c r="F866" s="1291"/>
      <c r="G866" s="3"/>
      <c r="I866" s="524" t="s">
        <v>2145</v>
      </c>
    </row>
    <row r="867" spans="1:9" ht="12.75" customHeight="1">
      <c r="A867" s="385"/>
      <c r="B867" s="385"/>
      <c r="C867" s="385"/>
      <c r="D867" s="1291"/>
      <c r="E867" s="1291"/>
      <c r="F867" s="1291"/>
      <c r="G867" s="3"/>
      <c r="I867" s="524"/>
    </row>
    <row r="868" spans="1:9" ht="12.75" customHeight="1">
      <c r="A868" s="385"/>
      <c r="B868" s="385"/>
      <c r="C868" s="385"/>
      <c r="D868" s="118"/>
      <c r="E868" s="3"/>
      <c r="F868" s="3"/>
      <c r="G868" s="3"/>
      <c r="I868" s="524"/>
    </row>
    <row r="869" spans="1:9" ht="12.75" customHeight="1">
      <c r="A869" s="385"/>
      <c r="B869" s="519" t="s">
        <v>2732</v>
      </c>
      <c r="C869" s="385"/>
      <c r="D869" s="1338" t="s">
        <v>1964</v>
      </c>
      <c r="E869" s="1338"/>
      <c r="F869" s="1338"/>
      <c r="G869" s="1023"/>
      <c r="I869" s="524"/>
    </row>
    <row r="870" spans="1:9" ht="12.75" customHeight="1">
      <c r="A870" s="385"/>
      <c r="B870" s="1031"/>
      <c r="C870" s="385"/>
      <c r="D870" s="1338"/>
      <c r="E870" s="1338"/>
      <c r="F870" s="1338"/>
      <c r="G870" s="1023"/>
      <c r="I870" s="524"/>
    </row>
    <row r="871" spans="1:9" ht="12.75" customHeight="1">
      <c r="A871" s="176"/>
      <c r="B871"/>
      <c r="C871" s="385"/>
      <c r="D871" s="1273" t="s">
        <v>2382</v>
      </c>
      <c r="E871" s="1273"/>
      <c r="F871" s="1273"/>
      <c r="G871" s="1023"/>
      <c r="I871" s="524"/>
    </row>
    <row r="872" spans="1:9" ht="12.75" customHeight="1">
      <c r="A872" s="176"/>
      <c r="B872" s="176"/>
      <c r="C872" s="385"/>
      <c r="D872" s="1273"/>
      <c r="E872" s="1273"/>
      <c r="F872" s="1273"/>
      <c r="G872" s="1023"/>
      <c r="I872" s="524"/>
    </row>
    <row r="873" spans="1:9" ht="12.75" customHeight="1">
      <c r="A873" s="176"/>
      <c r="B873" s="176"/>
      <c r="C873" s="385"/>
      <c r="D873" s="1273"/>
      <c r="E873" s="1273"/>
      <c r="F873" s="1273"/>
      <c r="G873" s="1023"/>
      <c r="I873" s="524"/>
    </row>
    <row r="874" spans="1:9" ht="12.75" customHeight="1">
      <c r="A874" s="176"/>
      <c r="B874" s="176"/>
      <c r="C874" s="385"/>
      <c r="D874" s="1273"/>
      <c r="E874" s="1273"/>
      <c r="F874" s="1273"/>
      <c r="G874" s="1023"/>
      <c r="I874" s="524"/>
    </row>
    <row r="875" spans="1:9" ht="12.75" customHeight="1">
      <c r="A875" s="176"/>
      <c r="B875" s="176"/>
      <c r="C875" s="385"/>
      <c r="D875" s="1273"/>
      <c r="E875" s="1273"/>
      <c r="F875" s="1273"/>
      <c r="G875" s="1023"/>
      <c r="I875" s="524"/>
    </row>
    <row r="876" spans="1:9" ht="12.75" customHeight="1">
      <c r="A876" s="176"/>
      <c r="B876" s="176"/>
      <c r="C876" s="385"/>
      <c r="D876" s="1273"/>
      <c r="E876" s="1273"/>
      <c r="F876" s="1273"/>
      <c r="G876" s="1023"/>
      <c r="I876" s="524"/>
    </row>
    <row r="877" spans="1:9" ht="12.75" customHeight="1">
      <c r="A877" s="176"/>
      <c r="B877" s="176"/>
      <c r="C877" s="385"/>
      <c r="D877" s="118"/>
      <c r="E877" s="1023"/>
      <c r="F877" s="1023"/>
      <c r="G877" s="1023"/>
      <c r="I877" s="524"/>
    </row>
    <row r="878" spans="1:9" ht="12.75" customHeight="1">
      <c r="A878" s="176"/>
      <c r="B878" s="519" t="s">
        <v>2732</v>
      </c>
      <c r="C878" s="385"/>
      <c r="D878" s="1316" t="s">
        <v>1957</v>
      </c>
      <c r="E878" s="1316"/>
      <c r="F878" s="1316"/>
      <c r="G878" s="1023"/>
      <c r="I878" s="524" t="s">
        <v>2127</v>
      </c>
    </row>
    <row r="879" spans="1:9" ht="12.75" customHeight="1">
      <c r="A879" s="176"/>
      <c r="B879" s="176"/>
      <c r="C879" s="385"/>
      <c r="D879" s="1316" t="s">
        <v>1958</v>
      </c>
      <c r="E879" s="1316"/>
      <c r="F879" s="1316"/>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2732</v>
      </c>
      <c r="C882" s="385"/>
      <c r="D882" s="1273" t="s">
        <v>1959</v>
      </c>
      <c r="E882" s="1273"/>
      <c r="F882" s="1273"/>
      <c r="G882" s="1023"/>
      <c r="I882" s="524" t="s">
        <v>2145</v>
      </c>
    </row>
    <row r="883" spans="1:9" ht="12.75" customHeight="1">
      <c r="A883" s="176"/>
      <c r="B883" s="176"/>
      <c r="C883" s="385"/>
      <c r="D883" s="1273"/>
      <c r="E883" s="1273"/>
      <c r="F883" s="1273"/>
      <c r="G883" s="1023"/>
      <c r="I883" s="524"/>
    </row>
    <row r="884" spans="1:9" ht="12.75" customHeight="1">
      <c r="A884" s="176"/>
      <c r="B884" s="176"/>
      <c r="C884" s="385"/>
      <c r="D884" s="1273"/>
      <c r="E884" s="1273"/>
      <c r="F884" s="1273"/>
      <c r="G884" s="1023"/>
      <c r="I884" s="524"/>
    </row>
    <row r="885" spans="1:9" ht="12.75" customHeight="1">
      <c r="A885" s="176"/>
      <c r="B885" s="176"/>
      <c r="C885" s="385"/>
      <c r="D885" s="1273"/>
      <c r="E885" s="1273"/>
      <c r="F885" s="1273"/>
      <c r="G885" s="1023"/>
      <c r="I885" s="524"/>
    </row>
    <row r="886" spans="1:9" ht="12.75" customHeight="1">
      <c r="A886" s="118"/>
      <c r="B886" s="118"/>
      <c r="C886" s="1024"/>
      <c r="D886" s="1023"/>
      <c r="E886" s="1023"/>
      <c r="F886" s="1023"/>
      <c r="G886" s="1023"/>
      <c r="I886" s="524"/>
    </row>
    <row r="887" spans="1:9" ht="12.75" customHeight="1">
      <c r="A887" s="1318" t="s">
        <v>1995</v>
      </c>
      <c r="B887" s="1318"/>
      <c r="C887" s="1318"/>
      <c r="D887" s="1318"/>
      <c r="E887" s="1318"/>
      <c r="F887" s="1318"/>
      <c r="G887" s="1318"/>
      <c r="H887" s="1063"/>
      <c r="I887" s="1259"/>
    </row>
    <row r="888" spans="1:9" ht="12.75" customHeight="1">
      <c r="A888" s="57"/>
      <c r="B888" s="57"/>
      <c r="C888" s="57"/>
      <c r="D888" s="57"/>
      <c r="E888" s="57"/>
      <c r="F888" s="57"/>
      <c r="G888" s="57"/>
      <c r="I888" s="524"/>
    </row>
    <row r="889" spans="1:9" ht="12.75" customHeight="1">
      <c r="A889" s="57"/>
      <c r="B889" s="57"/>
      <c r="C889" s="57"/>
      <c r="D889" s="1312" t="s">
        <v>2001</v>
      </c>
      <c r="E889" s="1312"/>
      <c r="F889" s="1312"/>
      <c r="G889" s="57"/>
      <c r="I889" s="524"/>
    </row>
    <row r="890" spans="1:9" ht="12.75" customHeight="1">
      <c r="A890" s="57"/>
      <c r="B890" s="57"/>
      <c r="C890" s="57"/>
      <c r="D890" s="1016"/>
      <c r="E890" s="1016"/>
      <c r="F890" s="1016"/>
      <c r="G890" s="57"/>
      <c r="I890" s="524"/>
    </row>
    <row r="891" spans="1:9" ht="12.75" customHeight="1">
      <c r="A891" s="57"/>
      <c r="B891" s="519" t="s">
        <v>2731</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12" t="s">
        <v>1996</v>
      </c>
      <c r="E893" s="1312"/>
      <c r="F893" s="1312"/>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2731</v>
      </c>
      <c r="C896" s="385"/>
      <c r="D896" s="1273" t="s">
        <v>1969</v>
      </c>
      <c r="E896" s="1273"/>
      <c r="F896" s="1273"/>
      <c r="G896" s="3"/>
      <c r="I896" s="524" t="s">
        <v>2111</v>
      </c>
    </row>
    <row r="897" spans="1:9" ht="12.75" customHeight="1">
      <c r="A897" s="385"/>
      <c r="B897" s="385"/>
      <c r="C897" s="385"/>
      <c r="D897" s="1273"/>
      <c r="E897" s="1273"/>
      <c r="F897" s="1273"/>
      <c r="G897" s="3"/>
      <c r="I897" s="524"/>
    </row>
    <row r="898" spans="1:9" ht="12.75" customHeight="1">
      <c r="A898" s="172"/>
      <c r="B898" s="172"/>
      <c r="C898" s="172"/>
      <c r="D898" s="1273" t="s">
        <v>1968</v>
      </c>
      <c r="E898" s="1273"/>
      <c r="F898" s="1273"/>
      <c r="G898" s="1023"/>
      <c r="I898" s="524"/>
    </row>
    <row r="899" spans="1:9" ht="12.75" customHeight="1">
      <c r="A899" s="172"/>
      <c r="B899" s="172"/>
      <c r="C899" s="172"/>
      <c r="D899" s="1273"/>
      <c r="E899" s="1273"/>
      <c r="F899" s="1273"/>
      <c r="G899" s="1023"/>
      <c r="I899" s="524"/>
    </row>
    <row r="900" spans="1:9" ht="12.75" customHeight="1">
      <c r="A900" s="172"/>
      <c r="B900" s="172"/>
      <c r="C900" s="172"/>
      <c r="D900" s="3"/>
      <c r="E900" s="3"/>
      <c r="F900" s="1023"/>
      <c r="G900" s="1023"/>
      <c r="I900" s="524"/>
    </row>
    <row r="901" spans="1:9" ht="12.75" customHeight="1">
      <c r="A901" s="176"/>
      <c r="B901" s="519" t="s">
        <v>2731</v>
      </c>
      <c r="C901" s="175"/>
      <c r="D901" s="1283" t="s">
        <v>1966</v>
      </c>
      <c r="E901" s="1283"/>
      <c r="F901" s="1283"/>
      <c r="G901" s="1023"/>
      <c r="I901" s="524" t="s">
        <v>2110</v>
      </c>
    </row>
    <row r="902" spans="1:9" ht="12.75" customHeight="1">
      <c r="A902" s="176"/>
      <c r="B902" s="176"/>
      <c r="C902" s="175"/>
      <c r="D902" s="1283"/>
      <c r="E902" s="1283"/>
      <c r="F902" s="1283"/>
      <c r="G902" s="1023"/>
      <c r="I902" s="524"/>
    </row>
    <row r="903" spans="1:9" ht="12.75" customHeight="1">
      <c r="A903" s="176"/>
      <c r="B903" s="176"/>
      <c r="C903" s="175"/>
      <c r="D903" s="1283"/>
      <c r="E903" s="1283"/>
      <c r="F903" s="1283"/>
      <c r="G903" s="1023"/>
      <c r="I903" s="524"/>
    </row>
    <row r="904" spans="1:9" ht="12.75" customHeight="1">
      <c r="A904" s="176"/>
      <c r="B904" s="176"/>
      <c r="C904" s="175"/>
      <c r="D904" s="1283"/>
      <c r="E904" s="1283"/>
      <c r="F904" s="1283"/>
      <c r="G904" s="1023"/>
      <c r="I904" s="524"/>
    </row>
    <row r="905" spans="1:9" ht="12.75" customHeight="1">
      <c r="A905" s="176"/>
      <c r="B905" s="176"/>
      <c r="C905" s="175"/>
      <c r="D905" s="1283"/>
      <c r="E905" s="1283"/>
      <c r="F905" s="1283"/>
      <c r="G905" s="1023"/>
      <c r="I905" s="524"/>
    </row>
    <row r="906" spans="1:9" ht="12.75" customHeight="1">
      <c r="A906" s="175"/>
      <c r="B906" s="175"/>
      <c r="C906" s="175"/>
      <c r="D906" s="1283"/>
      <c r="E906" s="1283"/>
      <c r="F906" s="1283"/>
      <c r="G906" s="1023"/>
      <c r="I906" s="524"/>
    </row>
    <row r="907" spans="1:9" ht="12.75" customHeight="1">
      <c r="A907" s="175"/>
      <c r="B907" s="175"/>
      <c r="C907" s="175"/>
      <c r="D907" s="1283"/>
      <c r="E907" s="1283"/>
      <c r="F907" s="1283"/>
      <c r="G907" s="1023"/>
      <c r="I907" s="524"/>
    </row>
    <row r="908" spans="1:9" ht="12.75" customHeight="1">
      <c r="A908" s="175"/>
      <c r="B908" s="175"/>
      <c r="C908" s="175"/>
      <c r="D908" s="1283"/>
      <c r="E908" s="1283"/>
      <c r="F908" s="1283"/>
      <c r="G908" s="1023"/>
      <c r="I908" s="524"/>
    </row>
    <row r="909" spans="1:9" ht="12.75" customHeight="1">
      <c r="A909" s="175"/>
      <c r="B909" s="175"/>
      <c r="C909" s="175"/>
      <c r="D909" s="363"/>
      <c r="E909" s="363"/>
      <c r="F909" s="363"/>
      <c r="G909" s="1023"/>
      <c r="I909" s="524"/>
    </row>
    <row r="910" spans="1:9" ht="12.75" customHeight="1">
      <c r="A910" s="1024"/>
      <c r="B910" s="519" t="s">
        <v>2732</v>
      </c>
      <c r="C910" s="1024"/>
      <c r="D910" s="1273" t="s">
        <v>1970</v>
      </c>
      <c r="E910" s="1273"/>
      <c r="F910" s="1273"/>
      <c r="G910" s="1023"/>
      <c r="I910" s="524"/>
    </row>
    <row r="911" spans="1:9" ht="12.75" customHeight="1">
      <c r="A911" s="1024"/>
      <c r="B911" s="1024"/>
      <c r="C911" s="1024"/>
      <c r="D911" s="1273"/>
      <c r="E911" s="1273"/>
      <c r="F911" s="1273"/>
      <c r="G911" s="1023"/>
      <c r="I911" s="524"/>
    </row>
    <row r="912" spans="1:9" ht="12.75" customHeight="1">
      <c r="A912" s="1024"/>
      <c r="B912" s="1024"/>
      <c r="C912" s="1024"/>
      <c r="D912" s="1023"/>
      <c r="E912" s="1023"/>
      <c r="F912" s="1023"/>
      <c r="G912" s="1023"/>
      <c r="I912" s="524"/>
    </row>
    <row r="913" spans="1:9" ht="12.75" customHeight="1">
      <c r="A913" s="1024"/>
      <c r="B913" s="519" t="s">
        <v>2732</v>
      </c>
      <c r="C913" s="1024"/>
      <c r="D913" s="1310" t="s">
        <v>1971</v>
      </c>
      <c r="E913" s="1310"/>
      <c r="F913" s="1310"/>
      <c r="G913" s="1023"/>
      <c r="I913" s="524"/>
    </row>
    <row r="914" spans="1:9" ht="12.75" customHeight="1">
      <c r="A914" s="1024"/>
      <c r="B914" s="1024"/>
      <c r="C914" s="1024"/>
      <c r="D914" s="1310"/>
      <c r="E914" s="1310"/>
      <c r="F914" s="1310"/>
      <c r="G914" s="1023"/>
      <c r="I914" s="524"/>
    </row>
    <row r="915" spans="1:9" ht="12.75" customHeight="1">
      <c r="A915" s="1024"/>
      <c r="B915" s="1024"/>
      <c r="C915" s="1024"/>
      <c r="D915" s="1310"/>
      <c r="E915" s="1310"/>
      <c r="F915" s="1310"/>
      <c r="G915" s="1023"/>
      <c r="I915" s="524"/>
    </row>
    <row r="916" spans="1:9" ht="12.75" customHeight="1">
      <c r="A916" s="1024"/>
      <c r="B916" s="1024"/>
      <c r="C916" s="1024"/>
      <c r="D916" s="1310"/>
      <c r="E916" s="1310"/>
      <c r="F916" s="1310"/>
      <c r="G916" s="1023"/>
      <c r="I916" s="524"/>
    </row>
    <row r="917" spans="1:9" ht="12.75" customHeight="1">
      <c r="A917" s="1024"/>
      <c r="B917" s="1024"/>
      <c r="C917" s="1024"/>
      <c r="D917" s="118"/>
      <c r="E917" s="1023"/>
      <c r="F917" s="1023"/>
      <c r="G917" s="1023"/>
      <c r="I917" s="524"/>
    </row>
    <row r="918" spans="1:9" ht="12.75" customHeight="1">
      <c r="A918" s="1024"/>
      <c r="B918" s="519" t="s">
        <v>2732</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2732</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2731</v>
      </c>
      <c r="C922" s="1033"/>
      <c r="D922" s="1283" t="s">
        <v>1967</v>
      </c>
      <c r="E922" s="1283"/>
      <c r="F922" s="1283"/>
      <c r="G922" s="1034"/>
      <c r="I922" s="524" t="s">
        <v>2160</v>
      </c>
    </row>
    <row r="923" spans="1:9" ht="12.75" customHeight="1">
      <c r="A923" s="1032"/>
      <c r="B923" s="1032"/>
      <c r="C923" s="1033"/>
      <c r="D923" s="1283"/>
      <c r="E923" s="1283"/>
      <c r="F923" s="1283"/>
      <c r="G923" s="1034"/>
      <c r="I923" s="524"/>
    </row>
    <row r="924" spans="1:9" ht="12.75" customHeight="1">
      <c r="A924" s="1032"/>
      <c r="B924" s="1032"/>
      <c r="C924" s="1033"/>
      <c r="D924" s="1283"/>
      <c r="E924" s="1283"/>
      <c r="F924" s="1283"/>
      <c r="G924" s="1034"/>
      <c r="I924" s="524"/>
    </row>
    <row r="925" spans="1:9" ht="12.75" customHeight="1">
      <c r="A925" s="1032"/>
      <c r="B925" s="1032"/>
      <c r="C925" s="1033"/>
      <c r="D925" s="1283"/>
      <c r="E925" s="1283"/>
      <c r="F925" s="1283"/>
      <c r="G925" s="1034"/>
      <c r="I925" s="524"/>
    </row>
    <row r="926" spans="1:9" ht="12.75" customHeight="1">
      <c r="A926" s="1032"/>
      <c r="B926" s="1032"/>
      <c r="C926" s="1033"/>
      <c r="D926" s="1283"/>
      <c r="E926" s="1283"/>
      <c r="F926" s="1283"/>
      <c r="G926" s="1034"/>
      <c r="I926" s="524"/>
    </row>
    <row r="927" spans="1:9" ht="12.75" customHeight="1">
      <c r="A927" s="1032"/>
      <c r="B927" s="1032"/>
      <c r="C927" s="1033"/>
      <c r="D927" s="1283"/>
      <c r="E927" s="1283"/>
      <c r="F927" s="1283"/>
      <c r="G927" s="1034"/>
      <c r="I927" s="524"/>
    </row>
    <row r="928" spans="1:9" ht="12.75" customHeight="1">
      <c r="A928" s="1032"/>
      <c r="B928" s="1032"/>
      <c r="C928" s="1033"/>
      <c r="D928" s="1283"/>
      <c r="E928" s="1283"/>
      <c r="F928" s="1283"/>
      <c r="G928" s="1034"/>
      <c r="I928" s="524"/>
    </row>
    <row r="929" spans="1:9" ht="12.75" customHeight="1">
      <c r="A929" s="1032"/>
      <c r="B929" s="1032"/>
      <c r="C929" s="1033"/>
      <c r="D929" s="1283"/>
      <c r="E929" s="1283"/>
      <c r="F929" s="1283"/>
      <c r="G929" s="1034"/>
      <c r="I929" s="524"/>
    </row>
    <row r="930" spans="1:9" ht="12.75" customHeight="1">
      <c r="A930" s="1032"/>
      <c r="B930" s="1032"/>
      <c r="C930" s="1033"/>
      <c r="D930" s="1283"/>
      <c r="E930" s="1283"/>
      <c r="F930" s="1283"/>
      <c r="G930" s="1034"/>
      <c r="I930" s="524"/>
    </row>
    <row r="931" spans="1:9" ht="12.75" customHeight="1">
      <c r="A931" s="175"/>
      <c r="B931" s="175"/>
      <c r="C931" s="175"/>
      <c r="D931" s="2"/>
      <c r="E931" s="3"/>
      <c r="F931" s="1023"/>
      <c r="G931" s="1023"/>
      <c r="I931" s="524"/>
    </row>
    <row r="932" spans="1:9" ht="12.75" customHeight="1">
      <c r="A932" s="176"/>
      <c r="B932" s="519" t="s">
        <v>2731</v>
      </c>
      <c r="C932" s="175"/>
      <c r="D932" s="1339" t="s">
        <v>2162</v>
      </c>
      <c r="E932" s="1339"/>
      <c r="F932" s="1339"/>
      <c r="G932" s="1023"/>
      <c r="I932" s="524" t="s">
        <v>2160</v>
      </c>
    </row>
    <row r="933" spans="1:9" ht="12.75" customHeight="1">
      <c r="A933" s="176"/>
      <c r="B933" s="176"/>
      <c r="C933" s="175"/>
      <c r="D933" s="1339"/>
      <c r="E933" s="1339"/>
      <c r="F933" s="1339"/>
      <c r="G933" s="1023"/>
      <c r="I933" s="524"/>
    </row>
    <row r="934" spans="1:9" ht="12.75" customHeight="1">
      <c r="A934" s="176"/>
      <c r="B934" s="176"/>
      <c r="C934" s="175"/>
      <c r="D934" s="1339"/>
      <c r="E934" s="1339"/>
      <c r="F934" s="1339"/>
      <c r="G934" s="1023"/>
      <c r="I934" s="524"/>
    </row>
    <row r="935" spans="1:9" ht="12.75" customHeight="1">
      <c r="A935" s="176"/>
      <c r="B935" s="176"/>
      <c r="C935" s="175"/>
      <c r="D935" s="1339"/>
      <c r="E935" s="1339"/>
      <c r="F935" s="1339"/>
      <c r="G935" s="1023"/>
      <c r="I935" s="524"/>
    </row>
    <row r="936" spans="1:9" ht="12.75" customHeight="1">
      <c r="A936" s="176"/>
      <c r="B936" s="176"/>
      <c r="C936" s="175"/>
      <c r="D936" s="1339"/>
      <c r="E936" s="1339"/>
      <c r="F936" s="1339"/>
      <c r="G936" s="1023"/>
      <c r="I936" s="524"/>
    </row>
    <row r="937" spans="1:9" ht="12.75" customHeight="1">
      <c r="A937" s="176"/>
      <c r="B937" s="176"/>
      <c r="C937" s="175"/>
      <c r="D937" s="1339"/>
      <c r="E937" s="1339"/>
      <c r="F937" s="1339"/>
      <c r="G937" s="1023"/>
      <c r="I937" s="524"/>
    </row>
    <row r="938" spans="1:9" ht="12.75" customHeight="1">
      <c r="A938" s="176"/>
      <c r="B938" s="176"/>
      <c r="C938" s="175"/>
      <c r="D938" s="1339"/>
      <c r="E938" s="1339"/>
      <c r="F938" s="1339"/>
      <c r="G938" s="1023"/>
      <c r="I938" s="524"/>
    </row>
    <row r="939" spans="1:9" ht="12.75" customHeight="1">
      <c r="A939" s="176"/>
      <c r="B939" s="176"/>
      <c r="C939" s="175"/>
      <c r="D939" s="1061"/>
      <c r="E939" s="1061"/>
      <c r="F939" s="1061"/>
      <c r="G939" s="1023"/>
      <c r="I939" s="524"/>
    </row>
    <row r="940" spans="1:9" ht="12.75" customHeight="1">
      <c r="A940" s="176"/>
      <c r="B940" s="519" t="s">
        <v>2731</v>
      </c>
      <c r="C940" s="175"/>
      <c r="D940" s="1282" t="s">
        <v>2456</v>
      </c>
      <c r="E940" s="1282"/>
      <c r="F940" s="1282"/>
      <c r="G940" s="1023"/>
      <c r="I940" s="524"/>
    </row>
    <row r="941" spans="1:9" ht="12.75" customHeight="1">
      <c r="A941" s="176"/>
      <c r="B941" s="176"/>
      <c r="C941" s="175"/>
      <c r="D941" s="1282"/>
      <c r="E941" s="1282"/>
      <c r="F941" s="1282"/>
      <c r="G941" s="1023"/>
      <c r="I941" s="524"/>
    </row>
    <row r="942" spans="1:9" ht="12.75" customHeight="1">
      <c r="A942" s="176"/>
      <c r="B942" s="176"/>
      <c r="C942" s="175"/>
      <c r="D942" s="1282"/>
      <c r="E942" s="1282"/>
      <c r="F942" s="1282"/>
      <c r="G942" s="1023"/>
      <c r="I942" s="524"/>
    </row>
    <row r="943" spans="1:9" ht="12.75" customHeight="1">
      <c r="A943" s="176"/>
      <c r="B943" s="176"/>
      <c r="C943" s="175"/>
      <c r="D943" s="1282"/>
      <c r="E943" s="1282"/>
      <c r="F943" s="1282"/>
      <c r="G943" s="1023"/>
      <c r="I943" s="524"/>
    </row>
    <row r="944" spans="1:9" ht="12.75" customHeight="1">
      <c r="A944" s="176"/>
      <c r="B944" s="176"/>
      <c r="C944" s="175"/>
      <c r="D944" s="1282"/>
      <c r="E944" s="1282"/>
      <c r="F944" s="1282"/>
      <c r="G944" s="1023"/>
      <c r="I944" s="524"/>
    </row>
    <row r="945" spans="1:9" ht="12.75" customHeight="1">
      <c r="A945" s="176"/>
      <c r="B945" s="176"/>
      <c r="C945" s="175"/>
      <c r="D945" s="1282"/>
      <c r="E945" s="1282"/>
      <c r="F945" s="1282"/>
      <c r="G945" s="1023"/>
      <c r="I945" s="524"/>
    </row>
    <row r="946" spans="1:9" ht="12.75" customHeight="1">
      <c r="A946" s="176"/>
      <c r="B946" s="176"/>
      <c r="C946" s="175"/>
      <c r="D946" s="1061"/>
      <c r="E946" s="1061"/>
      <c r="F946" s="1061"/>
      <c r="G946" s="1023"/>
      <c r="I946" s="524"/>
    </row>
    <row r="947" spans="1:9" ht="12.75" customHeight="1">
      <c r="A947" s="1024"/>
      <c r="B947" s="519" t="s">
        <v>2732</v>
      </c>
      <c r="C947" s="1024"/>
      <c r="D947" s="1310" t="s">
        <v>1972</v>
      </c>
      <c r="E947" s="1310"/>
      <c r="F947" s="1310"/>
      <c r="G947" s="1023"/>
      <c r="I947" s="524"/>
    </row>
    <row r="948" spans="1:9" ht="12.75" customHeight="1">
      <c r="A948" s="1024"/>
      <c r="B948" s="1024"/>
      <c r="C948" s="1024"/>
      <c r="D948" s="1310"/>
      <c r="E948" s="1310"/>
      <c r="F948" s="1310"/>
      <c r="G948" s="1023"/>
      <c r="I948" s="524"/>
    </row>
    <row r="949" spans="1:9" ht="12.75" customHeight="1">
      <c r="A949" s="1024"/>
      <c r="B949" s="1024"/>
      <c r="C949" s="1024"/>
      <c r="D949" s="1310"/>
      <c r="E949" s="1310"/>
      <c r="F949" s="1310"/>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2732</v>
      </c>
      <c r="C952" s="175"/>
      <c r="D952" s="1283" t="s">
        <v>2161</v>
      </c>
      <c r="E952" s="1283"/>
      <c r="F952" s="1283"/>
      <c r="G952" s="1023"/>
      <c r="I952" s="524" t="s">
        <v>2160</v>
      </c>
    </row>
    <row r="953" spans="1:9" ht="12.75" customHeight="1">
      <c r="A953" s="176"/>
      <c r="B953" s="176"/>
      <c r="C953" s="175"/>
      <c r="D953" s="1283"/>
      <c r="E953" s="1283"/>
      <c r="F953" s="1283"/>
      <c r="G953" s="1023"/>
      <c r="I953" s="524"/>
    </row>
    <row r="954" spans="1:9" ht="12.75" customHeight="1">
      <c r="A954" s="176"/>
      <c r="B954" s="176"/>
      <c r="C954" s="175"/>
      <c r="D954" s="1283"/>
      <c r="E954" s="1283"/>
      <c r="F954" s="1283"/>
      <c r="G954" s="1023"/>
      <c r="I954" s="524"/>
    </row>
    <row r="955" spans="1:9" ht="12.75" customHeight="1">
      <c r="A955" s="176"/>
      <c r="B955" s="176"/>
      <c r="C955" s="175"/>
      <c r="D955" s="1283"/>
      <c r="E955" s="1283"/>
      <c r="F955" s="1283"/>
      <c r="G955" s="1023"/>
      <c r="I955" s="524"/>
    </row>
    <row r="956" spans="1:9" ht="12.75" customHeight="1">
      <c r="A956" s="1024"/>
      <c r="B956" s="1024"/>
      <c r="C956" s="1024"/>
      <c r="D956" s="1015"/>
      <c r="E956" s="1015"/>
      <c r="F956" s="1015"/>
      <c r="G956" s="1015"/>
      <c r="I956" s="524"/>
    </row>
    <row r="957" spans="1:9" ht="12.75" customHeight="1">
      <c r="A957" s="385"/>
      <c r="B957" s="385"/>
      <c r="C957" s="385"/>
      <c r="D957" s="1289" t="s">
        <v>1973</v>
      </c>
      <c r="E957" s="1289"/>
      <c r="F957" s="1289"/>
      <c r="G957" s="3"/>
      <c r="I957" s="524"/>
    </row>
    <row r="958" spans="1:9" ht="12.75" customHeight="1">
      <c r="A958" s="176"/>
      <c r="B958" s="519" t="s">
        <v>2732</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9" t="s">
        <v>1974</v>
      </c>
      <c r="E960" s="1289"/>
      <c r="F960" s="1289"/>
      <c r="G960"/>
      <c r="I960" s="524"/>
    </row>
    <row r="961" spans="1:9" ht="12.75" customHeight="1">
      <c r="A961" s="176"/>
      <c r="B961" s="519" t="s">
        <v>2731</v>
      </c>
      <c r="C961" s="385"/>
      <c r="D961" s="1273" t="s">
        <v>2385</v>
      </c>
      <c r="E961" s="1273"/>
      <c r="F961" s="1273"/>
      <c r="G961"/>
      <c r="I961" s="524" t="s">
        <v>2160</v>
      </c>
    </row>
    <row r="962" spans="1:9" ht="12.75" customHeight="1">
      <c r="A962" s="176"/>
      <c r="B962" s="176"/>
      <c r="C962" s="385"/>
      <c r="D962" s="1273"/>
      <c r="E962" s="1273"/>
      <c r="F962" s="1273"/>
      <c r="G962"/>
      <c r="I962" s="524"/>
    </row>
    <row r="963" spans="1:9" ht="12.75" customHeight="1">
      <c r="A963" s="176"/>
      <c r="B963" s="176"/>
      <c r="C963" s="385"/>
      <c r="D963" s="1273"/>
      <c r="E963" s="1273"/>
      <c r="F963" s="1273"/>
      <c r="G963"/>
      <c r="I963" s="524"/>
    </row>
    <row r="964" spans="1:9" ht="12.75" customHeight="1">
      <c r="A964" s="176"/>
      <c r="B964" s="176"/>
      <c r="C964" s="385"/>
      <c r="D964" s="1273"/>
      <c r="E964" s="1273"/>
      <c r="F964" s="1273"/>
      <c r="G964"/>
      <c r="I964" s="524"/>
    </row>
    <row r="965" spans="1:9" ht="12.75" customHeight="1">
      <c r="A965" s="176"/>
      <c r="B965" s="176"/>
      <c r="C965" s="385"/>
      <c r="D965" s="1273"/>
      <c r="E965" s="1273"/>
      <c r="F965" s="1273"/>
      <c r="G965"/>
      <c r="I965" s="524"/>
    </row>
    <row r="966" spans="1:9" ht="12.75" customHeight="1">
      <c r="A966" s="176"/>
      <c r="B966" s="176"/>
      <c r="C966" s="385"/>
      <c r="D966" s="1273"/>
      <c r="E966" s="1273"/>
      <c r="F966" s="1273"/>
      <c r="G966"/>
      <c r="I966" s="524"/>
    </row>
    <row r="967" spans="1:9" ht="12.75" customHeight="1">
      <c r="A967" s="176"/>
      <c r="B967" s="176"/>
      <c r="C967" s="385"/>
      <c r="D967" s="1273"/>
      <c r="E967" s="1273"/>
      <c r="F967" s="1273"/>
      <c r="G967"/>
      <c r="I967" s="524"/>
    </row>
    <row r="968" spans="1:9" ht="12.75" customHeight="1">
      <c r="A968" s="176"/>
      <c r="B968" s="176"/>
      <c r="C968" s="385"/>
      <c r="D968" s="1273"/>
      <c r="E968" s="1273"/>
      <c r="F968" s="1273"/>
      <c r="G968"/>
      <c r="I968" s="524"/>
    </row>
    <row r="969" spans="1:9" ht="12.75" customHeight="1">
      <c r="A969" s="176"/>
      <c r="B969" s="176"/>
      <c r="C969" s="385"/>
      <c r="D969" s="1273"/>
      <c r="E969" s="1273"/>
      <c r="F969" s="1273"/>
      <c r="G969"/>
      <c r="I969" s="524"/>
    </row>
    <row r="970" spans="1:9" ht="12.75" customHeight="1">
      <c r="A970" s="176"/>
      <c r="B970" s="176"/>
      <c r="C970" s="385"/>
      <c r="D970" s="1273"/>
      <c r="E970" s="1273"/>
      <c r="F970" s="1273"/>
      <c r="G970"/>
      <c r="I970" s="524"/>
    </row>
    <row r="971" spans="1:9" ht="12.75" customHeight="1">
      <c r="A971" s="176"/>
      <c r="B971" s="176"/>
      <c r="C971" s="385"/>
      <c r="D971" s="1273"/>
      <c r="E971" s="1273"/>
      <c r="F971" s="1273"/>
      <c r="G971"/>
      <c r="I971" s="524"/>
    </row>
    <row r="972" spans="1:9" ht="12.75" customHeight="1">
      <c r="A972" s="176"/>
      <c r="B972" s="176"/>
      <c r="C972" s="385"/>
      <c r="D972" s="1273"/>
      <c r="E972" s="1273"/>
      <c r="F972" s="1273"/>
      <c r="G972"/>
      <c r="I972" s="524"/>
    </row>
    <row r="973" spans="1:9" ht="12.75" customHeight="1">
      <c r="A973" s="176"/>
      <c r="B973" s="176"/>
      <c r="C973" s="385"/>
      <c r="D973" s="1273"/>
      <c r="E973" s="1273"/>
      <c r="F973" s="1273"/>
      <c r="G973"/>
      <c r="I973" s="524"/>
    </row>
    <row r="974" spans="1:9" ht="12.75" customHeight="1">
      <c r="A974" s="176"/>
      <c r="B974" s="176"/>
      <c r="C974" s="385"/>
      <c r="D974" s="1273"/>
      <c r="E974" s="1273"/>
      <c r="F974" s="1273"/>
      <c r="G974"/>
      <c r="I974" s="524"/>
    </row>
    <row r="975" spans="1:9" ht="12.75" customHeight="1">
      <c r="A975" s="176"/>
      <c r="B975" s="176"/>
      <c r="C975" s="385"/>
      <c r="D975" s="1273"/>
      <c r="E975" s="1273"/>
      <c r="F975" s="1273"/>
      <c r="G975" s="3"/>
      <c r="I975" s="524"/>
    </row>
    <row r="976" spans="1:9" ht="12.75" customHeight="1">
      <c r="A976" s="385"/>
      <c r="B976" s="385"/>
      <c r="C976" s="385"/>
      <c r="D976" s="3"/>
      <c r="E976" s="3"/>
      <c r="F976" s="3"/>
      <c r="G976" s="3"/>
      <c r="I976" s="524"/>
    </row>
    <row r="977" spans="1:9" ht="12.75" customHeight="1">
      <c r="A977" s="1318" t="s">
        <v>1975</v>
      </c>
      <c r="B977" s="1318"/>
      <c r="C977" s="1318"/>
      <c r="D977" s="1318"/>
      <c r="E977" s="1318"/>
      <c r="F977" s="1318"/>
      <c r="G977" s="1318"/>
      <c r="H977" s="1063"/>
      <c r="I977" s="1259"/>
    </row>
    <row r="978" spans="1:9" ht="12.75" customHeight="1">
      <c r="A978" s="118"/>
      <c r="B978" s="118"/>
      <c r="C978" s="385"/>
      <c r="D978" s="3"/>
      <c r="E978" s="3"/>
      <c r="F978" s="3"/>
      <c r="G978" s="3"/>
      <c r="I978" s="524"/>
    </row>
    <row r="979" spans="1:9" ht="12.75" customHeight="1">
      <c r="A979" s="385"/>
      <c r="B979" s="385"/>
      <c r="C979" s="1024"/>
      <c r="D979" s="1289" t="s">
        <v>1998</v>
      </c>
      <c r="E979" s="1289"/>
      <c r="F979" s="1289"/>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1068</v>
      </c>
      <c r="C982" s="385"/>
      <c r="D982" s="1337" t="s">
        <v>2215</v>
      </c>
      <c r="E982" s="1337"/>
      <c r="F982" s="1337"/>
      <c r="G982"/>
      <c r="I982" s="524" t="s">
        <v>2140</v>
      </c>
    </row>
    <row r="983" spans="1:9" ht="12.75" customHeight="1">
      <c r="A983" s="385"/>
      <c r="B983" s="385"/>
      <c r="C983" s="385"/>
      <c r="D983" s="1337"/>
      <c r="E983" s="1337"/>
      <c r="F983" s="1337"/>
      <c r="G983"/>
      <c r="I983" s="524"/>
    </row>
    <row r="984" spans="1:9" ht="12.75" customHeight="1">
      <c r="A984" s="385"/>
      <c r="B984" s="385"/>
      <c r="C984" s="385"/>
      <c r="D984" s="1073"/>
      <c r="E984" s="1071" t="s">
        <v>2216</v>
      </c>
      <c r="F984" s="1073"/>
      <c r="G984"/>
      <c r="I984" s="524"/>
    </row>
    <row r="985" spans="1:9" ht="12.75" customHeight="1">
      <c r="A985" s="385"/>
      <c r="B985" s="385"/>
      <c r="C985" s="385"/>
      <c r="D985" s="1277" t="s">
        <v>2214</v>
      </c>
      <c r="E985" s="1277"/>
      <c r="F985" s="1277"/>
      <c r="G985"/>
      <c r="I985" s="524"/>
    </row>
    <row r="986" spans="1:9" ht="12.75" customHeight="1">
      <c r="A986" s="385"/>
      <c r="B986" s="385"/>
      <c r="C986" s="385"/>
      <c r="D986" s="1277"/>
      <c r="E986" s="1277"/>
      <c r="F986" s="1277"/>
      <c r="G986"/>
      <c r="I986" s="524"/>
    </row>
    <row r="987" spans="1:9" ht="12.75" customHeight="1">
      <c r="A987" s="175"/>
      <c r="B987" s="175"/>
      <c r="C987" s="175"/>
      <c r="D987" s="1277"/>
      <c r="E987" s="1277"/>
      <c r="F987" s="1277"/>
      <c r="G987"/>
      <c r="I987" s="524"/>
    </row>
    <row r="988" spans="1:9" ht="12.75" customHeight="1">
      <c r="A988" s="175"/>
      <c r="B988" s="175"/>
      <c r="C988" s="175"/>
      <c r="D988" s="1277"/>
      <c r="E988" s="1277"/>
      <c r="F988" s="1277"/>
      <c r="G988"/>
      <c r="I988" s="524"/>
    </row>
    <row r="989" spans="1:9" ht="12.75" customHeight="1">
      <c r="A989" s="175"/>
      <c r="B989" s="175"/>
      <c r="C989" s="175"/>
      <c r="D989" s="363"/>
      <c r="E989" s="363"/>
      <c r="F989" s="363"/>
      <c r="G989"/>
      <c r="I989" s="524"/>
    </row>
    <row r="990" spans="1:9" ht="12.75" customHeight="1">
      <c r="A990" s="175"/>
      <c r="B990" s="519" t="s">
        <v>2732</v>
      </c>
      <c r="C990" s="175"/>
      <c r="D990" s="1273" t="s">
        <v>1977</v>
      </c>
      <c r="E990" s="1273"/>
      <c r="F990" s="1273"/>
      <c r="G990"/>
      <c r="I990" s="524"/>
    </row>
    <row r="991" spans="1:9" ht="12.75" customHeight="1">
      <c r="A991" s="175"/>
      <c r="B991" s="175"/>
      <c r="C991" s="175"/>
      <c r="D991" s="1273"/>
      <c r="E991" s="1273"/>
      <c r="F991" s="1273"/>
      <c r="G991"/>
      <c r="I991" s="524"/>
    </row>
    <row r="992" spans="1:9" ht="12.75" customHeight="1">
      <c r="A992" s="175"/>
      <c r="B992" s="175"/>
      <c r="C992" s="175"/>
      <c r="D992" s="1273"/>
      <c r="E992" s="1273"/>
      <c r="F992" s="1273"/>
      <c r="G992"/>
      <c r="I992" s="524"/>
    </row>
    <row r="993" spans="1:9" ht="12.75" customHeight="1">
      <c r="A993" s="175"/>
      <c r="B993" s="175"/>
      <c r="C993" s="175"/>
      <c r="D993" s="1273"/>
      <c r="E993" s="1273"/>
      <c r="F993" s="1273"/>
      <c r="G993"/>
      <c r="I993" s="524"/>
    </row>
    <row r="994" spans="1:9" ht="12.75" customHeight="1">
      <c r="A994" s="175"/>
      <c r="B994" s="175"/>
      <c r="C994" s="175"/>
      <c r="D994" s="474"/>
      <c r="E994" s="474"/>
      <c r="F994" s="474"/>
      <c r="G994"/>
      <c r="I994" s="524"/>
    </row>
    <row r="995" spans="1:9" ht="12.75" customHeight="1">
      <c r="A995" s="175"/>
      <c r="B995" s="519" t="s">
        <v>2732</v>
      </c>
      <c r="C995" s="175"/>
      <c r="D995" s="1273" t="s">
        <v>1978</v>
      </c>
      <c r="E995" s="1273"/>
      <c r="F995" s="1273"/>
      <c r="G995"/>
      <c r="I995" s="524"/>
    </row>
    <row r="996" spans="1:9" ht="12.75" customHeight="1">
      <c r="A996" s="175"/>
      <c r="B996" s="175"/>
      <c r="C996" s="175"/>
      <c r="D996" s="1273"/>
      <c r="E996" s="1273"/>
      <c r="F996" s="1273"/>
      <c r="G996"/>
      <c r="I996" s="524"/>
    </row>
    <row r="997" spans="1:9" ht="12.75" customHeight="1">
      <c r="A997" s="175"/>
      <c r="B997" s="175"/>
      <c r="C997" s="175"/>
      <c r="D997" s="474"/>
      <c r="E997" s="474"/>
      <c r="F997" s="474"/>
      <c r="G997"/>
      <c r="I997" s="524"/>
    </row>
    <row r="998" spans="1:9" ht="12.75" customHeight="1">
      <c r="A998" s="176"/>
      <c r="B998" s="519" t="s">
        <v>2731</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2732</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2731</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2732</v>
      </c>
      <c r="C1004" s="385"/>
      <c r="D1004" s="1273" t="s">
        <v>1982</v>
      </c>
      <c r="E1004" s="1273"/>
      <c r="F1004" s="1273"/>
      <c r="G1004"/>
      <c r="I1004" s="524"/>
    </row>
    <row r="1005" spans="1:9" ht="12.75" customHeight="1">
      <c r="A1005" s="176"/>
      <c r="B1005" s="176"/>
      <c r="C1005" s="385"/>
      <c r="D1005" s="1273"/>
      <c r="E1005" s="1273"/>
      <c r="F1005" s="1273"/>
      <c r="G1005"/>
      <c r="I1005" s="524"/>
    </row>
    <row r="1006" spans="1:9" ht="12.75" customHeight="1">
      <c r="A1006" s="176"/>
      <c r="B1006" s="176"/>
      <c r="C1006" s="385"/>
      <c r="D1006" s="118"/>
      <c r="E1006" s="3"/>
      <c r="F1006" s="3"/>
      <c r="G1006" s="3"/>
      <c r="I1006" s="524"/>
    </row>
    <row r="1007" spans="1:9" ht="12.75" customHeight="1">
      <c r="A1007" s="272"/>
      <c r="B1007" s="519" t="s">
        <v>2732</v>
      </c>
      <c r="C1007" s="1035"/>
      <c r="D1007" s="1313" t="s">
        <v>1983</v>
      </c>
      <c r="E1007" s="1313"/>
      <c r="F1007" s="1313"/>
      <c r="G1007" s="1036"/>
      <c r="I1007" s="524"/>
    </row>
    <row r="1008" spans="1:9" ht="12.75" customHeight="1">
      <c r="A1008" s="1035"/>
      <c r="B1008" s="1035"/>
      <c r="C1008" s="1035"/>
      <c r="D1008" s="1313"/>
      <c r="E1008" s="1313"/>
      <c r="F1008" s="1313"/>
      <c r="G1008" s="1036"/>
      <c r="I1008" s="524"/>
    </row>
    <row r="1009" spans="1:9" ht="12.75" customHeight="1">
      <c r="A1009" s="1035"/>
      <c r="B1009" s="1035"/>
      <c r="C1009" s="1035"/>
      <c r="D1009" s="1019"/>
      <c r="E1009" s="1036"/>
      <c r="F1009" s="1036"/>
      <c r="G1009" s="1036"/>
      <c r="I1009" s="524"/>
    </row>
    <row r="1010" spans="1:9" ht="12.75" customHeight="1">
      <c r="A1010" s="272"/>
      <c r="B1010" s="519" t="s">
        <v>2732</v>
      </c>
      <c r="C1010" s="1035"/>
      <c r="D1010" s="1331" t="s">
        <v>1984</v>
      </c>
      <c r="E1010" s="1331"/>
      <c r="F1010" s="1331"/>
      <c r="G1010" s="1036"/>
      <c r="I1010" s="524"/>
    </row>
    <row r="1011" spans="1:9" ht="12.75" customHeight="1">
      <c r="A1011" s="1035"/>
      <c r="B1011" s="1035"/>
      <c r="C1011" s="1035"/>
      <c r="D1011" s="1019"/>
      <c r="E1011" s="1036"/>
      <c r="F1011" s="1036"/>
      <c r="G1011" s="1036"/>
      <c r="I1011" s="524"/>
    </row>
    <row r="1012" spans="1:9" ht="12.75" customHeight="1">
      <c r="A1012" s="176"/>
      <c r="B1012" s="519" t="s">
        <v>2732</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2732</v>
      </c>
      <c r="C1014" s="385"/>
      <c r="D1014" s="1273" t="s">
        <v>1986</v>
      </c>
      <c r="E1014" s="1273"/>
      <c r="F1014" s="1273"/>
      <c r="G1014" s="3"/>
      <c r="I1014" s="524"/>
    </row>
    <row r="1015" spans="1:9" ht="12.75" customHeight="1">
      <c r="A1015" s="176"/>
      <c r="B1015" s="176"/>
      <c r="C1015" s="385"/>
      <c r="D1015" s="1273"/>
      <c r="E1015" s="1273"/>
      <c r="F1015" s="1273"/>
      <c r="G1015" s="3"/>
      <c r="I1015" s="524"/>
    </row>
    <row r="1016" spans="1:9" ht="12.75" customHeight="1">
      <c r="A1016" s="385"/>
      <c r="B1016" s="385"/>
      <c r="C1016" s="385"/>
      <c r="D1016" s="3"/>
      <c r="E1016" s="3"/>
      <c r="F1016" s="3"/>
      <c r="G1016" s="3"/>
      <c r="I1016" s="524"/>
    </row>
    <row r="1017" spans="1:9" ht="12.75" customHeight="1">
      <c r="A1017" s="1318" t="s">
        <v>1987</v>
      </c>
      <c r="B1017" s="1318"/>
      <c r="C1017" s="1318"/>
      <c r="D1017" s="1318"/>
      <c r="E1017" s="1318"/>
      <c r="F1017" s="1318"/>
      <c r="G1017" s="1318"/>
      <c r="H1017" s="1063"/>
      <c r="I1017" s="1259"/>
    </row>
    <row r="1018" spans="1:9" ht="12.75" customHeight="1">
      <c r="A1018" s="385"/>
      <c r="B1018" s="385"/>
      <c r="C1018" s="385"/>
      <c r="D1018" s="3"/>
      <c r="E1018" s="3"/>
      <c r="F1018" s="3"/>
      <c r="G1018" s="3"/>
      <c r="I1018" s="524"/>
    </row>
    <row r="1019" spans="1:9" ht="12.75" customHeight="1">
      <c r="A1019" s="385"/>
      <c r="B1019" s="385"/>
      <c r="C1019" s="385"/>
      <c r="D1019" s="1312" t="s">
        <v>1988</v>
      </c>
      <c r="E1019" s="1312"/>
      <c r="F1019" s="1312"/>
      <c r="G1019" s="3"/>
      <c r="I1019" s="524"/>
    </row>
    <row r="1020" spans="1:9" ht="12.75" customHeight="1">
      <c r="A1020" s="385"/>
      <c r="B1020" s="385"/>
      <c r="C1020" s="385"/>
      <c r="D1020" s="1331" t="s">
        <v>1989</v>
      </c>
      <c r="E1020" s="1331"/>
      <c r="F1020" s="1331"/>
      <c r="G1020" s="3"/>
      <c r="I1020" s="524"/>
    </row>
    <row r="1021" spans="1:9" ht="12.75" customHeight="1">
      <c r="A1021" s="172"/>
      <c r="B1021" s="172"/>
      <c r="C1021" s="172"/>
      <c r="D1021" s="3"/>
      <c r="E1021" s="3"/>
      <c r="F1021" s="3"/>
      <c r="G1021" s="3"/>
      <c r="I1021" s="524"/>
    </row>
    <row r="1022" spans="1:9" ht="12.75" customHeight="1">
      <c r="A1022" s="176"/>
      <c r="B1022" s="176"/>
      <c r="C1022" s="175"/>
      <c r="D1022" s="1312" t="s">
        <v>2003</v>
      </c>
      <c r="E1022" s="1312"/>
      <c r="F1022" s="1312"/>
      <c r="G1022" s="3"/>
      <c r="I1022" s="524" t="s">
        <v>2112</v>
      </c>
    </row>
    <row r="1023" spans="1:9" ht="12.75" customHeight="1">
      <c r="A1023" s="385"/>
      <c r="B1023" s="519" t="s">
        <v>2731</v>
      </c>
      <c r="C1023" s="385"/>
      <c r="D1023" s="1331" t="s">
        <v>1380</v>
      </c>
      <c r="E1023" s="1331"/>
      <c r="F1023" s="1331"/>
      <c r="G1023" s="3"/>
      <c r="I1023" s="524"/>
    </row>
    <row r="1024" spans="1:9" ht="12.75" customHeight="1">
      <c r="A1024" s="385"/>
      <c r="B1024" s="176"/>
      <c r="C1024" s="385"/>
      <c r="D1024" s="1331" t="s">
        <v>1990</v>
      </c>
      <c r="E1024" s="1331"/>
      <c r="F1024" s="1331"/>
      <c r="G1024" s="3"/>
      <c r="I1024" s="524"/>
    </row>
    <row r="1025" spans="1:9" ht="12.75" customHeight="1">
      <c r="A1025" s="385"/>
      <c r="B1025" s="385"/>
      <c r="C1025" s="385"/>
      <c r="D1025" s="1331"/>
      <c r="E1025" s="1331"/>
      <c r="F1025" s="1331"/>
      <c r="G1025" s="3"/>
      <c r="I1025" s="524"/>
    </row>
    <row r="1026" spans="1:9" ht="12.75" customHeight="1">
      <c r="A1026" s="1318" t="s">
        <v>1999</v>
      </c>
      <c r="B1026" s="1318"/>
      <c r="C1026" s="1318"/>
      <c r="D1026" s="1318"/>
      <c r="E1026" s="1318"/>
      <c r="F1026" s="1318"/>
      <c r="G1026" s="1318"/>
      <c r="H1026" s="1063"/>
      <c r="I1026" s="1259"/>
    </row>
    <row r="1027" spans="1:9" ht="12.75" customHeight="1">
      <c r="A1027" s="118"/>
      <c r="B1027" s="118"/>
      <c r="C1027" s="385"/>
      <c r="D1027" s="3"/>
      <c r="E1027" s="3"/>
      <c r="F1027" s="3"/>
      <c r="G1027" s="3"/>
      <c r="I1027" s="524"/>
    </row>
    <row r="1028" spans="1:9" ht="12.75" hidden="1" customHeight="1">
      <c r="A1028" s="118"/>
      <c r="B1028" s="433"/>
      <c r="D1028" s="1320" t="s">
        <v>1381</v>
      </c>
      <c r="E1028" s="1320"/>
      <c r="F1028" s="1320"/>
      <c r="G1028" s="3"/>
      <c r="I1028" s="524"/>
    </row>
    <row r="1029" spans="1:9" ht="12.75" hidden="1" customHeight="1">
      <c r="A1029" s="118"/>
      <c r="B1029" s="519" t="s">
        <v>308</v>
      </c>
      <c r="D1029" s="1322" t="s">
        <v>1380</v>
      </c>
      <c r="E1029" s="1322"/>
      <c r="F1029" s="1322"/>
      <c r="G1029" s="3"/>
      <c r="I1029" s="524"/>
    </row>
    <row r="1030" spans="1:9" ht="12.75" hidden="1" customHeight="1">
      <c r="A1030" s="118"/>
      <c r="B1030" s="433"/>
      <c r="D1030" s="1322" t="s">
        <v>2000</v>
      </c>
      <c r="E1030" s="1322"/>
      <c r="F1030" s="1322"/>
      <c r="G1030" s="3"/>
      <c r="I1030" s="524"/>
    </row>
    <row r="1031" spans="1:9" ht="12.75" hidden="1" customHeight="1">
      <c r="A1031" s="118"/>
      <c r="B1031" s="433"/>
      <c r="D1031" s="478"/>
      <c r="E1031" s="478"/>
      <c r="F1031" s="478"/>
      <c r="G1031" s="3"/>
      <c r="I1031" s="524"/>
    </row>
    <row r="1032" spans="1:9" ht="12.75" customHeight="1">
      <c r="A1032" s="118"/>
      <c r="B1032" s="118"/>
      <c r="C1032" s="385"/>
      <c r="D1032" s="1332" t="s">
        <v>1094</v>
      </c>
      <c r="E1032" s="1332"/>
      <c r="F1032" s="1332"/>
      <c r="G1032" s="3"/>
      <c r="I1032" s="524" t="s">
        <v>2141</v>
      </c>
    </row>
    <row r="1033" spans="1:9" ht="12.75" customHeight="1">
      <c r="A1033" s="345"/>
      <c r="B1033" s="345"/>
      <c r="C1033" s="345"/>
      <c r="D1033" s="1316" t="s">
        <v>1111</v>
      </c>
      <c r="E1033" s="1316"/>
      <c r="F1033" s="1316"/>
      <c r="G1033" s="98"/>
      <c r="I1033" s="524"/>
    </row>
    <row r="1034" spans="1:9" ht="12.75" customHeight="1">
      <c r="A1034" s="176"/>
      <c r="B1034" s="519" t="s">
        <v>2732</v>
      </c>
      <c r="C1034" s="385"/>
      <c r="D1034" s="1316" t="s">
        <v>1004</v>
      </c>
      <c r="E1034" s="1316"/>
      <c r="F1034" s="1316"/>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8" t="s">
        <v>2020</v>
      </c>
      <c r="B1037" s="1318"/>
      <c r="C1037" s="1318"/>
      <c r="D1037" s="1318"/>
      <c r="E1037" s="1318"/>
      <c r="F1037" s="1318"/>
      <c r="G1037" s="1318"/>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2732</v>
      </c>
      <c r="C1042" s="433"/>
      <c r="D1042" s="1334" t="s">
        <v>2004</v>
      </c>
      <c r="E1042" s="1334"/>
      <c r="F1042" s="1334"/>
      <c r="I1042" s="524" t="s">
        <v>2113</v>
      </c>
    </row>
    <row r="1043" spans="1:9">
      <c r="A1043" s="433"/>
      <c r="B1043" s="433"/>
      <c r="C1043" s="433"/>
      <c r="D1043" s="1334"/>
      <c r="E1043" s="1334"/>
      <c r="F1043" s="1334"/>
      <c r="I1043" s="524"/>
    </row>
    <row r="1044" spans="1:9">
      <c r="A1044" s="433"/>
      <c r="B1044" s="433"/>
      <c r="C1044" s="433"/>
      <c r="D1044" s="1334"/>
      <c r="E1044" s="1334"/>
      <c r="F1044" s="1334"/>
      <c r="I1044" s="524"/>
    </row>
    <row r="1045" spans="1:9">
      <c r="A1045" s="433"/>
      <c r="B1045" s="433"/>
      <c r="C1045" s="433"/>
      <c r="D1045" s="1334"/>
      <c r="E1045" s="1334"/>
      <c r="F1045" s="1334"/>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2732</v>
      </c>
      <c r="C1050" s="433"/>
      <c r="D1050" s="433" t="s">
        <v>2002</v>
      </c>
      <c r="I1050" s="524" t="s">
        <v>2114</v>
      </c>
    </row>
    <row r="1051" spans="1:9">
      <c r="A1051" s="433"/>
      <c r="B1051" s="433"/>
      <c r="C1051" s="433"/>
      <c r="I1051" s="524"/>
    </row>
    <row r="1052" spans="1:9">
      <c r="A1052" s="433"/>
      <c r="B1052" s="519" t="s">
        <v>2731</v>
      </c>
      <c r="C1052" s="433"/>
      <c r="D1052" s="1334" t="s">
        <v>2008</v>
      </c>
      <c r="E1052" s="1334"/>
      <c r="F1052" s="1334"/>
      <c r="I1052" s="524" t="s">
        <v>2115</v>
      </c>
    </row>
    <row r="1053" spans="1:9">
      <c r="A1053" s="433"/>
      <c r="B1053" s="433"/>
      <c r="C1053" s="433"/>
      <c r="D1053" s="1334"/>
      <c r="E1053" s="1334"/>
      <c r="F1053" s="1334"/>
      <c r="I1053" s="524"/>
    </row>
    <row r="1054" spans="1:9">
      <c r="A1054" s="433"/>
      <c r="B1054" s="433"/>
      <c r="C1054" s="433"/>
      <c r="D1054" s="1334"/>
      <c r="E1054" s="1334"/>
      <c r="F1054" s="1334"/>
      <c r="I1054" s="524"/>
    </row>
    <row r="1055" spans="1:9">
      <c r="A1055" s="433"/>
      <c r="B1055" s="433"/>
      <c r="C1055" s="433"/>
      <c r="D1055" s="1334"/>
      <c r="E1055" s="1334"/>
      <c r="F1055" s="1334"/>
      <c r="I1055" s="524"/>
    </row>
    <row r="1056" spans="1:9">
      <c r="A1056" s="433"/>
      <c r="B1056" s="433"/>
      <c r="C1056" s="433"/>
      <c r="D1056" s="1334"/>
      <c r="E1056" s="1334"/>
      <c r="F1056" s="1334"/>
      <c r="I1056" s="524"/>
    </row>
    <row r="1057" spans="1:9">
      <c r="A1057" s="433"/>
      <c r="B1057" s="433"/>
      <c r="C1057" s="433"/>
      <c r="I1057" s="524"/>
    </row>
    <row r="1058" spans="1:9">
      <c r="A1058" s="1318" t="s">
        <v>2009</v>
      </c>
      <c r="B1058" s="1318"/>
      <c r="C1058" s="1318"/>
      <c r="D1058" s="1318"/>
      <c r="E1058" s="1318"/>
      <c r="F1058" s="1318"/>
      <c r="G1058" s="1318"/>
      <c r="H1058" s="1063"/>
      <c r="I1058" s="1259"/>
    </row>
    <row r="1059" spans="1:9">
      <c r="A1059" s="433"/>
      <c r="B1059" s="433"/>
      <c r="C1059" s="433"/>
      <c r="I1059" s="524"/>
    </row>
    <row r="1060" spans="1:9">
      <c r="A1060" s="433"/>
      <c r="B1060" s="433"/>
      <c r="C1060" s="433"/>
      <c r="I1060" s="524"/>
    </row>
    <row r="1061" spans="1:9">
      <c r="A1061" s="433"/>
      <c r="B1061" s="519" t="s">
        <v>2731</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2732</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2732</v>
      </c>
      <c r="C1067" s="433"/>
      <c r="D1067" s="119" t="s">
        <v>2018</v>
      </c>
      <c r="I1067" s="524" t="s">
        <v>2118</v>
      </c>
    </row>
    <row r="1068" spans="1:9">
      <c r="A1068" s="433"/>
      <c r="B1068" s="433"/>
      <c r="C1068" s="433"/>
      <c r="D1068" s="1273" t="s">
        <v>2019</v>
      </c>
      <c r="E1068" s="1273"/>
      <c r="F1068" s="1273"/>
      <c r="I1068" s="524"/>
    </row>
    <row r="1069" spans="1:9">
      <c r="A1069" s="433"/>
      <c r="B1069" s="433"/>
      <c r="C1069" s="433"/>
      <c r="D1069" s="1273"/>
      <c r="E1069" s="1273"/>
      <c r="F1069" s="1273"/>
      <c r="I1069" s="524"/>
    </row>
    <row r="1070" spans="1:9">
      <c r="A1070" s="433"/>
      <c r="B1070" s="433"/>
      <c r="C1070" s="433"/>
      <c r="D1070" s="1273"/>
      <c r="E1070" s="1273"/>
      <c r="F1070" s="1273"/>
      <c r="I1070" s="524"/>
    </row>
    <row r="1071" spans="1:9">
      <c r="A1071" s="433"/>
      <c r="B1071" s="433"/>
      <c r="C1071" s="433"/>
      <c r="D1071" s="1273"/>
      <c r="E1071" s="1273"/>
      <c r="F1071" s="1273"/>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2732</v>
      </c>
      <c r="C1075" s="433"/>
      <c r="D1075" s="1333" t="s">
        <v>2011</v>
      </c>
      <c r="E1075" s="1333"/>
      <c r="F1075" s="1333"/>
      <c r="I1075" s="524"/>
    </row>
    <row r="1076" spans="1:9">
      <c r="A1076" s="433"/>
      <c r="B1076" s="433"/>
      <c r="C1076" s="433"/>
      <c r="D1076" s="1333"/>
      <c r="E1076" s="1333"/>
      <c r="F1076" s="1333"/>
      <c r="I1076" s="524"/>
    </row>
    <row r="1077" spans="1:9">
      <c r="A1077" s="433"/>
      <c r="B1077" s="433"/>
      <c r="C1077" s="433"/>
      <c r="D1077" s="1333"/>
      <c r="E1077" s="1333"/>
      <c r="F1077" s="1333"/>
      <c r="I1077" s="524"/>
    </row>
    <row r="1078" spans="1:9">
      <c r="A1078" s="433"/>
      <c r="B1078" s="433"/>
      <c r="C1078" s="433"/>
      <c r="D1078" s="1333"/>
      <c r="E1078" s="1333"/>
      <c r="F1078" s="1333"/>
      <c r="I1078" s="524"/>
    </row>
    <row r="1079" spans="1:9">
      <c r="A1079" s="433"/>
      <c r="B1079" s="433"/>
      <c r="C1079" s="433"/>
      <c r="D1079" s="1333"/>
      <c r="E1079" s="1333"/>
      <c r="F1079" s="1333"/>
      <c r="I1079" s="524"/>
    </row>
    <row r="1080" spans="1:9">
      <c r="A1080" s="433"/>
      <c r="B1080" s="433"/>
      <c r="C1080" s="433"/>
      <c r="D1080" s="561" t="s">
        <v>2016</v>
      </c>
      <c r="I1080" s="524"/>
    </row>
    <row r="1081" spans="1:9">
      <c r="A1081" s="433"/>
      <c r="B1081" s="433"/>
      <c r="C1081" s="433"/>
      <c r="I1081" s="524"/>
    </row>
    <row r="1082" spans="1:9">
      <c r="A1082" s="1318" t="s">
        <v>2021</v>
      </c>
      <c r="B1082" s="1318"/>
      <c r="C1082" s="1318"/>
      <c r="D1082" s="1318"/>
      <c r="E1082" s="1318"/>
      <c r="F1082" s="1318"/>
      <c r="G1082" s="1318"/>
      <c r="H1082" s="1063"/>
      <c r="I1082" s="1259"/>
    </row>
    <row r="1083" spans="1:9">
      <c r="A1083" s="433"/>
      <c r="B1083" s="433"/>
      <c r="C1083" s="433"/>
      <c r="I1083" s="524"/>
    </row>
    <row r="1084" spans="1:9">
      <c r="A1084" s="433"/>
      <c r="B1084" s="433"/>
      <c r="C1084" s="433"/>
      <c r="I1084" s="524"/>
    </row>
    <row r="1085" spans="1:9" ht="12.75" customHeight="1">
      <c r="A1085" s="433"/>
      <c r="B1085" s="519" t="s">
        <v>2732</v>
      </c>
      <c r="C1085" s="433"/>
      <c r="D1085" s="1335" t="s">
        <v>2229</v>
      </c>
      <c r="E1085" s="1335"/>
      <c r="F1085" s="1335"/>
      <c r="I1085" s="524" t="s">
        <v>2120</v>
      </c>
    </row>
    <row r="1086" spans="1:9">
      <c r="A1086" s="433"/>
      <c r="B1086" s="433"/>
      <c r="C1086" s="433"/>
      <c r="D1086" s="1335"/>
      <c r="E1086" s="1335"/>
      <c r="F1086" s="1335"/>
      <c r="I1086" s="524"/>
    </row>
    <row r="1087" spans="1:9">
      <c r="A1087" s="433"/>
      <c r="B1087" s="433"/>
      <c r="C1087" s="433"/>
      <c r="D1087" s="1336" t="s">
        <v>2502</v>
      </c>
      <c r="E1087" s="1273"/>
      <c r="F1087" s="1273"/>
      <c r="I1087" s="524"/>
    </row>
    <row r="1088" spans="1:9">
      <c r="A1088" s="433"/>
      <c r="B1088" s="433"/>
      <c r="C1088" s="433"/>
      <c r="D1088" s="561"/>
      <c r="I1088" s="524"/>
    </row>
    <row r="1089" spans="1:9">
      <c r="A1089" s="433"/>
      <c r="B1089" s="519" t="s">
        <v>2732</v>
      </c>
      <c r="C1089" s="433"/>
      <c r="D1089" s="1333" t="s">
        <v>2022</v>
      </c>
      <c r="E1089" s="1333"/>
      <c r="F1089" s="1333"/>
      <c r="I1089" s="524" t="s">
        <v>2121</v>
      </c>
    </row>
    <row r="1090" spans="1:9">
      <c r="A1090" s="433"/>
      <c r="B1090" s="433"/>
      <c r="C1090" s="433"/>
      <c r="D1090" s="1333"/>
      <c r="E1090" s="1333"/>
      <c r="F1090" s="1333"/>
      <c r="I1090" s="524"/>
    </row>
    <row r="1091" spans="1:9">
      <c r="A1091" s="433"/>
      <c r="B1091" s="433"/>
      <c r="C1091" s="433"/>
      <c r="D1091" s="561"/>
      <c r="I1091" s="524"/>
    </row>
    <row r="1092" spans="1:9">
      <c r="A1092" s="433"/>
      <c r="B1092" s="519" t="s">
        <v>2732</v>
      </c>
      <c r="C1092" s="433"/>
      <c r="D1092" s="1333" t="s">
        <v>2165</v>
      </c>
      <c r="E1092" s="1333"/>
      <c r="F1092" s="1333"/>
      <c r="I1092" s="524" t="s">
        <v>2163</v>
      </c>
    </row>
    <row r="1093" spans="1:9">
      <c r="A1093" s="433"/>
      <c r="B1093" s="433"/>
      <c r="C1093" s="433"/>
      <c r="D1093" s="1333"/>
      <c r="E1093" s="1333"/>
      <c r="F1093" s="1333"/>
      <c r="I1093" s="524"/>
    </row>
    <row r="1094" spans="1:9">
      <c r="A1094" s="433"/>
      <c r="B1094" s="433"/>
      <c r="C1094" s="433"/>
      <c r="D1094" s="1333"/>
      <c r="E1094" s="1333"/>
      <c r="F1094" s="1333"/>
      <c r="I1094" s="524"/>
    </row>
    <row r="1095" spans="1:9">
      <c r="A1095" s="433"/>
      <c r="B1095" s="433"/>
      <c r="C1095" s="433"/>
      <c r="D1095" s="1333"/>
      <c r="E1095" s="1333"/>
      <c r="F1095" s="1333"/>
      <c r="I1095" s="524"/>
    </row>
    <row r="1096" spans="1:9">
      <c r="A1096" s="433"/>
      <c r="B1096" s="433"/>
      <c r="C1096" s="433"/>
      <c r="D1096" s="1333"/>
      <c r="E1096" s="1333"/>
      <c r="F1096" s="1333"/>
      <c r="I1096" s="524"/>
    </row>
    <row r="1097" spans="1:9">
      <c r="A1097" s="433"/>
      <c r="B1097" s="433"/>
      <c r="C1097" s="433"/>
      <c r="D1097" s="1333"/>
      <c r="E1097" s="1333"/>
      <c r="F1097" s="1333"/>
      <c r="I1097" s="524"/>
    </row>
    <row r="1098" spans="1:9">
      <c r="A1098" s="433"/>
      <c r="B1098" s="433"/>
      <c r="C1098" s="433"/>
      <c r="D1098" s="561" t="s">
        <v>2164</v>
      </c>
      <c r="I1098" s="514"/>
    </row>
    <row r="1099" spans="1:9">
      <c r="A1099" s="433"/>
      <c r="B1099" s="519" t="s">
        <v>2732</v>
      </c>
      <c r="C1099" s="433"/>
      <c r="D1099" s="1333" t="s">
        <v>2023</v>
      </c>
      <c r="E1099" s="1333"/>
      <c r="F1099" s="1333"/>
      <c r="I1099" s="524" t="s">
        <v>2122</v>
      </c>
    </row>
    <row r="1100" spans="1:9">
      <c r="A1100" s="433"/>
      <c r="B1100" s="433"/>
      <c r="C1100" s="433"/>
      <c r="D1100" s="1333"/>
      <c r="E1100" s="1333"/>
      <c r="F1100" s="1333"/>
      <c r="I1100" s="524"/>
    </row>
    <row r="1101" spans="1:9">
      <c r="A1101" s="433"/>
      <c r="B1101" s="433"/>
      <c r="C1101" s="433"/>
      <c r="D1101" s="1333"/>
      <c r="E1101" s="1333"/>
      <c r="F1101" s="1333"/>
      <c r="I1101" s="524"/>
    </row>
    <row r="1102" spans="1:9">
      <c r="A1102" s="433"/>
      <c r="B1102" s="433"/>
      <c r="C1102" s="433"/>
      <c r="D1102" s="561"/>
      <c r="I1102" s="524"/>
    </row>
    <row r="1103" spans="1:9">
      <c r="A1103" s="433"/>
      <c r="B1103" s="519" t="s">
        <v>2731</v>
      </c>
      <c r="C1103" s="433"/>
      <c r="D1103" s="1277" t="s">
        <v>2166</v>
      </c>
      <c r="E1103" s="1277"/>
      <c r="F1103" s="1277"/>
      <c r="I1103" s="524" t="s">
        <v>2123</v>
      </c>
    </row>
    <row r="1104" spans="1:9">
      <c r="A1104" s="433"/>
      <c r="B1104" s="433"/>
      <c r="C1104" s="433"/>
      <c r="D1104" s="1277"/>
      <c r="E1104" s="1277"/>
      <c r="F1104" s="1277"/>
      <c r="I1104" s="524"/>
    </row>
    <row r="1105" spans="1:9">
      <c r="A1105" s="433"/>
      <c r="B1105" s="433"/>
      <c r="C1105" s="433"/>
      <c r="D1105" s="1277"/>
      <c r="E1105" s="1277"/>
      <c r="F1105" s="1277"/>
      <c r="I1105" s="524"/>
    </row>
    <row r="1106" spans="1:9">
      <c r="A1106" s="433"/>
      <c r="B1106" s="433"/>
      <c r="C1106" s="433"/>
      <c r="D1106" s="1015"/>
      <c r="E1106" s="1015"/>
      <c r="F1106" s="1015"/>
      <c r="I1106" s="524"/>
    </row>
    <row r="1107" spans="1:9" ht="15.75" customHeight="1">
      <c r="A1107" s="433"/>
      <c r="B1107" s="519" t="s">
        <v>2732</v>
      </c>
      <c r="C1107" s="433"/>
      <c r="D1107" s="1273" t="s">
        <v>2168</v>
      </c>
      <c r="E1107" s="1273"/>
      <c r="F1107" s="1273"/>
      <c r="I1107" s="524" t="s">
        <v>2167</v>
      </c>
    </row>
    <row r="1108" spans="1:9">
      <c r="A1108" s="433"/>
      <c r="B1108" s="433"/>
      <c r="C1108" s="433"/>
      <c r="D1108" s="1273"/>
      <c r="E1108" s="1273"/>
      <c r="F1108" s="1273"/>
      <c r="I1108" s="524"/>
    </row>
    <row r="1109" spans="1:9">
      <c r="A1109" s="433"/>
      <c r="B1109" s="433"/>
      <c r="C1109" s="433"/>
      <c r="D1109" s="1273"/>
      <c r="E1109" s="1273"/>
      <c r="F1109" s="1273"/>
      <c r="I1109" s="524"/>
    </row>
    <row r="1110" spans="1:9">
      <c r="A1110" s="433"/>
      <c r="B1110" s="433"/>
      <c r="C1110" s="433"/>
      <c r="D1110" s="1273"/>
      <c r="E1110" s="1273"/>
      <c r="F1110" s="1273"/>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9"/>
      <c r="H1525" s="1299"/>
      <c r="I1525" s="129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897" zoomScaleNormal="100" workbookViewId="0">
      <selection activeCell="AL921" sqref="AL92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71" t="s">
        <v>100</v>
      </c>
      <c r="B8" s="1471"/>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c r="AT8" s="1471"/>
      <c r="AU8" s="933"/>
      <c r="AV8" s="933"/>
      <c r="AW8" s="933"/>
      <c r="AX8" s="933"/>
      <c r="AY8" s="933"/>
    </row>
    <row r="9" spans="1:51" ht="12.95" customHeight="1">
      <c r="A9" s="1309" t="s">
        <v>2392</v>
      </c>
      <c r="B9" s="1309"/>
      <c r="C9" s="1309"/>
      <c r="D9" s="1309"/>
      <c r="E9" s="1309"/>
      <c r="F9" s="1309"/>
      <c r="G9" s="1309"/>
      <c r="H9" s="1309"/>
      <c r="I9" s="1309"/>
      <c r="J9" s="1309"/>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
      <c r="AV9" s="13"/>
      <c r="AW9" s="13"/>
      <c r="AX9" s="13"/>
      <c r="AY9" s="13"/>
    </row>
    <row r="10" spans="1:51" ht="12.95" customHeight="1">
      <c r="A10" s="1309" t="s">
        <v>2583</v>
      </c>
      <c r="B10" s="1309"/>
      <c r="C10" s="1309"/>
      <c r="D10" s="1309"/>
      <c r="E10" s="1309"/>
      <c r="F10" s="1309"/>
      <c r="G10" s="1309"/>
      <c r="H10" s="1309"/>
      <c r="I10" s="1309"/>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
      <c r="AV10" s="13"/>
      <c r="AW10" s="13"/>
      <c r="AX10" s="13"/>
      <c r="AY10" s="13"/>
    </row>
    <row r="11" spans="1:51" ht="12.95" customHeight="1">
      <c r="A11" s="1309" t="s">
        <v>1770</v>
      </c>
      <c r="B11" s="1309"/>
      <c r="C11" s="1309"/>
      <c r="D11" s="1309"/>
      <c r="E11" s="1309"/>
      <c r="F11" s="1309"/>
      <c r="G11" s="1309"/>
      <c r="H11" s="1309"/>
      <c r="I11" s="1309"/>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
      <c r="AV11" s="13"/>
      <c r="AW11" s="13"/>
      <c r="AX11" s="13"/>
      <c r="AY11" s="13"/>
    </row>
    <row r="12" spans="1:51" ht="12.95" customHeight="1">
      <c r="A12" s="1472" t="s">
        <v>2636</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c r="AT12" s="1472"/>
      <c r="AU12" s="6"/>
      <c r="AV12" s="6"/>
      <c r="AW12" s="6"/>
      <c r="AX12" s="6"/>
      <c r="AY12" s="6"/>
    </row>
    <row r="13" spans="1:51" ht="12.95" customHeight="1">
      <c r="A13" s="1271" t="s">
        <v>2393</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34"/>
      <c r="AV13" s="934"/>
      <c r="AW13" s="934"/>
      <c r="AX13" s="934"/>
      <c r="AY13" s="934"/>
    </row>
    <row r="14" spans="1:51"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795" t="s">
        <v>2654</v>
      </c>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row>
    <row r="17" spans="1:52" ht="12.95" customHeight="1"/>
    <row r="18" spans="1:52" ht="12.95" customHeight="1">
      <c r="A18" s="57" t="s">
        <v>101</v>
      </c>
      <c r="C18" s="4"/>
      <c r="D18" s="4"/>
      <c r="E18" s="4"/>
      <c r="F18" s="4"/>
      <c r="G18" s="4"/>
      <c r="H18" s="1477" t="s">
        <v>2637</v>
      </c>
      <c r="I18" s="1478"/>
      <c r="J18" s="1478"/>
      <c r="K18" s="1478"/>
      <c r="L18" s="1478"/>
      <c r="M18" s="1478"/>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row>
    <row r="19" spans="1:52" ht="12.95" customHeight="1"/>
    <row r="20" spans="1:52" ht="12.95" customHeight="1">
      <c r="A20" s="1473" t="s">
        <v>884</v>
      </c>
      <c r="B20" s="1473"/>
      <c r="C20" s="1473"/>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935"/>
      <c r="AV20" s="935"/>
      <c r="AW20" s="935"/>
      <c r="AX20" s="935"/>
      <c r="AY20" s="935"/>
    </row>
    <row r="21" spans="1:52" ht="12.95" customHeight="1">
      <c r="A21" s="1797" t="s">
        <v>1032</v>
      </c>
      <c r="B21" s="1797"/>
      <c r="C21" s="1797"/>
      <c r="D21" s="1797"/>
      <c r="E21" s="1797"/>
      <c r="F21" s="1797"/>
      <c r="G21" s="1797"/>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c r="AL21" s="1797"/>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5" t="s">
        <v>2508</v>
      </c>
      <c r="B23" s="1335"/>
      <c r="C23" s="1335"/>
      <c r="D23" s="1335"/>
      <c r="E23" s="1335"/>
      <c r="F23" s="1335"/>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c r="AP23" s="1335"/>
      <c r="AQ23" s="1335"/>
      <c r="AR23" s="1335"/>
      <c r="AS23" s="1335"/>
      <c r="AT23" s="1335"/>
      <c r="AU23" s="18"/>
      <c r="AV23" s="18"/>
      <c r="AW23" s="18"/>
      <c r="AX23" s="18"/>
      <c r="AY23" s="18"/>
      <c r="AZ23" s="18"/>
    </row>
    <row r="24" spans="1:52" ht="12.95" customHeight="1">
      <c r="A24" s="1335"/>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4">
        <f>'Basis &amp; Credits'!AB56</f>
        <v>5933208</v>
      </c>
      <c r="N26" s="1794"/>
      <c r="O26" s="1794"/>
      <c r="P26" s="1794"/>
      <c r="Q26" s="1794"/>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0">
        <f>'Basis &amp; Credits'!AB77</f>
        <v>32546795</v>
      </c>
      <c r="N27" s="1390"/>
      <c r="O27" s="1390"/>
      <c r="P27" s="1390"/>
      <c r="Q27" s="1390"/>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74" t="s">
        <v>2509</v>
      </c>
      <c r="B29" s="1474"/>
      <c r="C29" s="1474"/>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474"/>
      <c r="AM29" s="1474"/>
      <c r="AN29" s="1474"/>
      <c r="AO29" s="1474"/>
      <c r="AP29" s="1474"/>
      <c r="AQ29" s="1474"/>
      <c r="AR29" s="1474"/>
      <c r="AS29" s="1474"/>
      <c r="AT29" s="1474"/>
    </row>
    <row r="30" spans="1:52" ht="12.95" customHeight="1">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c r="W30" s="1474"/>
      <c r="X30" s="1474"/>
      <c r="Y30" s="1474"/>
      <c r="Z30" s="1474"/>
      <c r="AA30" s="1474"/>
      <c r="AB30" s="1474"/>
      <c r="AC30" s="1474"/>
      <c r="AD30" s="1474"/>
      <c r="AE30" s="1474"/>
      <c r="AF30" s="1474"/>
      <c r="AG30" s="1474"/>
      <c r="AH30" s="1474"/>
      <c r="AI30" s="1474"/>
      <c r="AJ30" s="1474"/>
      <c r="AK30" s="1474"/>
      <c r="AL30" s="1474"/>
      <c r="AM30" s="1474"/>
      <c r="AN30" s="1474"/>
      <c r="AO30" s="1474"/>
      <c r="AP30" s="1474"/>
      <c r="AQ30" s="1474"/>
      <c r="AR30" s="1474"/>
      <c r="AS30" s="1474"/>
      <c r="AT30" s="1474"/>
      <c r="AZ30" s="20"/>
    </row>
    <row r="31" spans="1:52" ht="12.95" customHeight="1">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4"/>
      <c r="AD31" s="1474"/>
      <c r="AE31" s="1474"/>
      <c r="AF31" s="1474"/>
      <c r="AG31" s="1474"/>
      <c r="AH31" s="1474"/>
      <c r="AI31" s="1474"/>
      <c r="AJ31" s="1474"/>
      <c r="AK31" s="1474"/>
      <c r="AL31" s="1474"/>
      <c r="AM31" s="1474"/>
      <c r="AN31" s="1474"/>
      <c r="AO31" s="1474"/>
      <c r="AP31" s="1474"/>
      <c r="AQ31" s="1474"/>
      <c r="AR31" s="1474"/>
      <c r="AS31" s="1474"/>
      <c r="AT31" s="147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79" t="s">
        <v>553</v>
      </c>
      <c r="P33" s="1479"/>
      <c r="Q33" s="1475" t="s">
        <v>2510</v>
      </c>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5"/>
      <c r="AS33" s="1475"/>
      <c r="AT33" s="1475"/>
      <c r="AU33" s="20"/>
      <c r="AV33" s="20"/>
      <c r="AW33" s="20"/>
      <c r="AX33" s="20"/>
      <c r="AY33" s="20"/>
    </row>
    <row r="34" spans="1:52" ht="12.95" customHeight="1">
      <c r="A34" s="1474" t="s">
        <v>2511</v>
      </c>
      <c r="B34" s="1474"/>
      <c r="C34" s="1474"/>
      <c r="D34" s="1474"/>
      <c r="E34" s="1474"/>
      <c r="F34" s="1474"/>
      <c r="G34" s="1474"/>
      <c r="H34" s="1474"/>
      <c r="I34" s="1474"/>
      <c r="J34" s="1474"/>
      <c r="K34" s="1474"/>
      <c r="L34" s="1474"/>
      <c r="M34" s="1474"/>
      <c r="N34" s="1474"/>
      <c r="O34" s="1474"/>
      <c r="P34" s="1474"/>
      <c r="Q34" s="1474"/>
      <c r="R34" s="1474"/>
      <c r="S34" s="1474"/>
      <c r="T34" s="1474"/>
      <c r="U34" s="1474"/>
      <c r="V34" s="1474"/>
      <c r="W34" s="1474"/>
      <c r="X34" s="1474"/>
      <c r="Y34" s="1474"/>
      <c r="Z34" s="1474"/>
      <c r="AA34" s="1474"/>
      <c r="AB34" s="1474"/>
      <c r="AC34" s="1474"/>
      <c r="AD34" s="1474"/>
      <c r="AE34" s="1474"/>
      <c r="AF34" s="1474"/>
      <c r="AG34" s="1474"/>
      <c r="AH34" s="1474"/>
      <c r="AI34" s="1474"/>
      <c r="AJ34" s="1474"/>
      <c r="AK34" s="1474"/>
      <c r="AL34" s="1474"/>
      <c r="AM34" s="1474"/>
      <c r="AN34" s="1474"/>
      <c r="AO34" s="1474"/>
      <c r="AP34" s="1474"/>
      <c r="AQ34" s="1474"/>
      <c r="AR34" s="1474"/>
      <c r="AS34" s="1474"/>
      <c r="AT34" s="1474"/>
      <c r="AU34" s="20"/>
      <c r="AV34" s="20"/>
      <c r="AW34" s="20"/>
      <c r="AX34" s="20"/>
      <c r="AY34" s="20"/>
      <c r="AZ34" s="20"/>
    </row>
    <row r="35" spans="1:52" ht="12.95" customHeight="1">
      <c r="A35" s="1474"/>
      <c r="B35" s="1474"/>
      <c r="C35" s="1474"/>
      <c r="D35" s="1474"/>
      <c r="E35" s="1474"/>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1474"/>
      <c r="AL35" s="1474"/>
      <c r="AM35" s="1474"/>
      <c r="AN35" s="1474"/>
      <c r="AO35" s="1474"/>
      <c r="AP35" s="1474"/>
      <c r="AQ35" s="1474"/>
      <c r="AR35" s="1474"/>
      <c r="AS35" s="1474"/>
      <c r="AT35" s="1474"/>
      <c r="AU35" s="20"/>
      <c r="AV35" s="20"/>
      <c r="AW35" s="20"/>
      <c r="AX35" s="20"/>
      <c r="AY35" s="20"/>
      <c r="AZ35" s="20"/>
    </row>
    <row r="36" spans="1:52" ht="12.95" customHeight="1">
      <c r="A36" s="1474"/>
      <c r="B36" s="1474"/>
      <c r="C36" s="1474"/>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20"/>
      <c r="AV36" s="20"/>
      <c r="AW36" s="20"/>
      <c r="AX36" s="20"/>
      <c r="AY36" s="20"/>
      <c r="AZ36" s="20"/>
    </row>
    <row r="37" spans="1:52" ht="12.95" customHeight="1">
      <c r="A37" s="1474"/>
      <c r="B37" s="1474"/>
      <c r="C37" s="1474"/>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Z37" s="20"/>
    </row>
    <row r="38" spans="1:52" ht="12.95" customHeight="1">
      <c r="A38" s="3"/>
      <c r="AZ38" s="20"/>
    </row>
    <row r="39" spans="1:52" ht="12.95" customHeight="1">
      <c r="A39" s="1273" t="s">
        <v>2512</v>
      </c>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Z39" s="20"/>
    </row>
    <row r="40" spans="1:52" ht="12.95" customHeight="1">
      <c r="A40" s="1273"/>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20"/>
      <c r="AV40" s="20"/>
      <c r="AW40" s="20"/>
      <c r="AX40" s="20"/>
      <c r="AY40" s="20"/>
      <c r="AZ40" s="20"/>
    </row>
    <row r="41" spans="1:52" ht="12.95" customHeight="1">
      <c r="A41" s="1273"/>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20"/>
      <c r="AV41" s="20"/>
      <c r="AW41" s="20"/>
      <c r="AX41" s="20"/>
      <c r="AY41" s="20"/>
      <c r="AZ41" s="20"/>
    </row>
    <row r="42" spans="1:52" ht="12.95" customHeight="1">
      <c r="A42" s="1273"/>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Z42" s="20"/>
    </row>
    <row r="43" spans="1:52" ht="12.95" customHeight="1">
      <c r="A43" s="1273"/>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20"/>
      <c r="AV43" s="20"/>
      <c r="AW43" s="20"/>
      <c r="AX43" s="20"/>
      <c r="AY43" s="20"/>
      <c r="AZ43" s="20"/>
    </row>
    <row r="44" spans="1:52" ht="12.95" customHeight="1">
      <c r="A44" s="1273"/>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5" t="s">
        <v>2513</v>
      </c>
      <c r="B46" s="1335"/>
      <c r="C46" s="1335"/>
      <c r="D46" s="1335"/>
      <c r="E46" s="1335"/>
      <c r="F46" s="1335"/>
      <c r="G46" s="1335"/>
      <c r="H46" s="1335"/>
      <c r="I46" s="1335"/>
      <c r="J46" s="1335"/>
      <c r="K46" s="1335"/>
      <c r="L46" s="1335"/>
      <c r="M46" s="1335"/>
      <c r="N46" s="1335"/>
      <c r="O46" s="1335"/>
      <c r="P46" s="1335"/>
      <c r="Q46" s="1335"/>
      <c r="R46" s="1335"/>
      <c r="S46" s="1335"/>
      <c r="T46" s="1335"/>
      <c r="U46" s="1335"/>
      <c r="V46" s="1335"/>
      <c r="W46" s="1335"/>
      <c r="X46" s="1335"/>
      <c r="Y46" s="1335"/>
      <c r="Z46" s="1335"/>
      <c r="AA46" s="1335"/>
      <c r="AB46" s="1335"/>
      <c r="AC46" s="1335"/>
      <c r="AD46" s="1335"/>
      <c r="AE46" s="1335"/>
      <c r="AF46" s="1335"/>
      <c r="AG46" s="1335"/>
      <c r="AH46" s="1335"/>
      <c r="AI46" s="1335"/>
      <c r="AJ46" s="1335"/>
      <c r="AK46" s="1335"/>
      <c r="AL46" s="1335"/>
      <c r="AM46" s="1335"/>
      <c r="AN46" s="1335"/>
      <c r="AO46" s="1335"/>
      <c r="AP46" s="1335"/>
      <c r="AQ46" s="1335"/>
      <c r="AR46" s="1335"/>
      <c r="AS46" s="1335"/>
      <c r="AT46" s="1335"/>
      <c r="AU46" s="20"/>
      <c r="AV46" s="20"/>
      <c r="AW46" s="20"/>
      <c r="AX46" s="20"/>
      <c r="AY46" s="20"/>
      <c r="AZ46" s="20"/>
    </row>
    <row r="47" spans="1:52" ht="12.95" customHeight="1">
      <c r="A47" s="1335"/>
      <c r="B47" s="1335"/>
      <c r="C47" s="1335"/>
      <c r="D47" s="1335"/>
      <c r="E47" s="1335"/>
      <c r="F47" s="1335"/>
      <c r="G47" s="1335"/>
      <c r="H47" s="1335"/>
      <c r="I47" s="1335"/>
      <c r="J47" s="1335"/>
      <c r="K47" s="1335"/>
      <c r="L47" s="1335"/>
      <c r="M47" s="1335"/>
      <c r="N47" s="1335"/>
      <c r="O47" s="1335"/>
      <c r="P47" s="1335"/>
      <c r="Q47" s="1335"/>
      <c r="R47" s="1335"/>
      <c r="S47" s="1335"/>
      <c r="T47" s="1335"/>
      <c r="U47" s="1335"/>
      <c r="V47" s="1335"/>
      <c r="W47" s="1335"/>
      <c r="X47" s="1335"/>
      <c r="Y47" s="1335"/>
      <c r="Z47" s="1335"/>
      <c r="AA47" s="1335"/>
      <c r="AB47" s="1335"/>
      <c r="AC47" s="1335"/>
      <c r="AD47" s="1335"/>
      <c r="AE47" s="1335"/>
      <c r="AF47" s="1335"/>
      <c r="AG47" s="1335"/>
      <c r="AH47" s="1335"/>
      <c r="AI47" s="1335"/>
      <c r="AJ47" s="1335"/>
      <c r="AK47" s="1335"/>
      <c r="AL47" s="1335"/>
      <c r="AM47" s="1335"/>
      <c r="AN47" s="1335"/>
      <c r="AO47" s="1335"/>
      <c r="AP47" s="1335"/>
      <c r="AQ47" s="1335"/>
      <c r="AR47" s="1335"/>
      <c r="AS47" s="1335"/>
      <c r="AT47" s="1335"/>
      <c r="AU47" s="20"/>
      <c r="AV47" s="20"/>
      <c r="AW47" s="20"/>
      <c r="AX47" s="20"/>
      <c r="AY47" s="20"/>
      <c r="AZ47" s="20"/>
    </row>
    <row r="48" spans="1:52" ht="12.95" customHeight="1">
      <c r="A48" s="1335"/>
      <c r="B48" s="1335"/>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5"/>
      <c r="AH48" s="1335"/>
      <c r="AI48" s="1335"/>
      <c r="AJ48" s="1335"/>
      <c r="AK48" s="1335"/>
      <c r="AL48" s="1335"/>
      <c r="AM48" s="1335"/>
      <c r="AN48" s="1335"/>
      <c r="AO48" s="1335"/>
      <c r="AP48" s="1335"/>
      <c r="AQ48" s="1335"/>
      <c r="AR48" s="1335"/>
      <c r="AS48" s="1335"/>
      <c r="AT48" s="1335"/>
      <c r="AU48" s="20"/>
      <c r="AV48" s="20"/>
      <c r="AW48" s="20"/>
      <c r="AX48" s="20"/>
      <c r="AY48" s="20"/>
      <c r="AZ48" s="20"/>
    </row>
    <row r="49" spans="1:52" ht="12.95" customHeight="1">
      <c r="A49" s="1335"/>
      <c r="B49" s="1335"/>
      <c r="C49" s="1335"/>
      <c r="D49" s="1335"/>
      <c r="E49" s="1335"/>
      <c r="F49" s="1335"/>
      <c r="G49" s="1335"/>
      <c r="H49" s="1335"/>
      <c r="I49" s="1335"/>
      <c r="J49" s="1335"/>
      <c r="K49" s="1335"/>
      <c r="L49" s="1335"/>
      <c r="M49" s="1335"/>
      <c r="N49" s="1335"/>
      <c r="O49" s="1335"/>
      <c r="P49" s="1335"/>
      <c r="Q49" s="1335"/>
      <c r="R49" s="1335"/>
      <c r="S49" s="1335"/>
      <c r="T49" s="1335"/>
      <c r="U49" s="1335"/>
      <c r="V49" s="1335"/>
      <c r="W49" s="1335"/>
      <c r="X49" s="1335"/>
      <c r="Y49" s="1335"/>
      <c r="Z49" s="1335"/>
      <c r="AA49" s="1335"/>
      <c r="AB49" s="1335"/>
      <c r="AC49" s="1335"/>
      <c r="AD49" s="1335"/>
      <c r="AE49" s="1335"/>
      <c r="AF49" s="1335"/>
      <c r="AG49" s="1335"/>
      <c r="AH49" s="1335"/>
      <c r="AI49" s="1335"/>
      <c r="AJ49" s="1335"/>
      <c r="AK49" s="1335"/>
      <c r="AL49" s="1335"/>
      <c r="AM49" s="1335"/>
      <c r="AN49" s="1335"/>
      <c r="AO49" s="1335"/>
      <c r="AP49" s="1335"/>
      <c r="AQ49" s="1335"/>
      <c r="AR49" s="1335"/>
      <c r="AS49" s="1335"/>
      <c r="AT49" s="1335"/>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3" t="s">
        <v>2514</v>
      </c>
      <c r="B51" s="1273"/>
      <c r="C51" s="1273"/>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c r="AF51" s="1273"/>
      <c r="AG51" s="1273"/>
      <c r="AH51" s="1273"/>
      <c r="AI51" s="1273"/>
      <c r="AJ51" s="1273"/>
      <c r="AK51" s="1273"/>
      <c r="AL51" s="1273"/>
      <c r="AM51" s="1273"/>
      <c r="AN51" s="1273"/>
      <c r="AO51" s="1273"/>
      <c r="AP51" s="1273"/>
      <c r="AQ51" s="1273"/>
      <c r="AR51" s="1273"/>
      <c r="AS51" s="1273"/>
      <c r="AT51" s="1273"/>
      <c r="AU51" s="20"/>
      <c r="AV51" s="20"/>
      <c r="AW51" s="20"/>
      <c r="AX51" s="20"/>
      <c r="AY51" s="20"/>
      <c r="AZ51" s="20"/>
    </row>
    <row r="52" spans="1:52" ht="12.95" customHeight="1">
      <c r="A52" s="1273"/>
      <c r="B52" s="1273"/>
      <c r="C52" s="1273"/>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273"/>
      <c r="AL52" s="1273"/>
      <c r="AM52" s="1273"/>
      <c r="AN52" s="1273"/>
      <c r="AO52" s="1273"/>
      <c r="AP52" s="1273"/>
      <c r="AQ52" s="1273"/>
      <c r="AR52" s="1273"/>
      <c r="AS52" s="1273"/>
      <c r="AT52" s="1273"/>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3" t="s">
        <v>2515</v>
      </c>
      <c r="B54" s="1273"/>
      <c r="C54" s="1273"/>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1273"/>
      <c r="AM54" s="1273"/>
      <c r="AN54" s="1273"/>
      <c r="AO54" s="1273"/>
      <c r="AP54" s="1273"/>
      <c r="AQ54" s="1273"/>
      <c r="AR54" s="1273"/>
      <c r="AS54" s="1273"/>
      <c r="AT54" s="1273"/>
      <c r="AU54" s="20"/>
      <c r="AV54" s="20"/>
      <c r="AW54" s="20"/>
      <c r="AX54" s="20"/>
      <c r="AY54" s="20"/>
      <c r="AZ54" s="21"/>
    </row>
    <row r="55" spans="1:52" ht="12.95" customHeight="1">
      <c r="A55" s="1273"/>
      <c r="B55" s="1273"/>
      <c r="C55" s="1273"/>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s="1273"/>
      <c r="AG55" s="1273"/>
      <c r="AH55" s="1273"/>
      <c r="AI55" s="1273"/>
      <c r="AJ55" s="1273"/>
      <c r="AK55" s="1273"/>
      <c r="AL55" s="1273"/>
      <c r="AM55" s="1273"/>
      <c r="AN55" s="1273"/>
      <c r="AO55" s="1273"/>
      <c r="AP55" s="1273"/>
      <c r="AQ55" s="1273"/>
      <c r="AR55" s="1273"/>
      <c r="AS55" s="1273"/>
      <c r="AT55" s="1273"/>
      <c r="AZ55" s="21"/>
    </row>
    <row r="56" spans="1:52" ht="12.95" customHeight="1">
      <c r="A56" s="1273"/>
      <c r="B56" s="1273"/>
      <c r="C56" s="1273"/>
      <c r="D56" s="1273"/>
      <c r="E56" s="1273"/>
      <c r="F56" s="1273"/>
      <c r="G56" s="1273"/>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3"/>
      <c r="AT56" s="1273"/>
    </row>
    <row r="57" spans="1:52" ht="12.95" customHeight="1">
      <c r="A57" s="1273"/>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row>
    <row r="58" spans="1:52" ht="12.95" customHeight="1">
      <c r="A58" s="1273"/>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3" t="s">
        <v>2516</v>
      </c>
      <c r="B60" s="1273"/>
      <c r="C60" s="1273"/>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c r="AM60" s="1273"/>
      <c r="AN60" s="1273"/>
      <c r="AO60" s="1273"/>
      <c r="AP60" s="1273"/>
      <c r="AQ60" s="1273"/>
      <c r="AR60" s="1273"/>
      <c r="AS60" s="1273"/>
      <c r="AT60" s="1273"/>
      <c r="AU60" s="20"/>
      <c r="AV60" s="20"/>
      <c r="AW60" s="20"/>
      <c r="AX60" s="20"/>
      <c r="AY60" s="20"/>
      <c r="AZ60" s="20"/>
    </row>
    <row r="61" spans="1:52" ht="12.95" customHeight="1">
      <c r="A61" s="1273"/>
      <c r="B61" s="1273"/>
      <c r="C61" s="1273"/>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3"/>
      <c r="AT61" s="1273"/>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6" t="s">
        <v>2518</v>
      </c>
      <c r="B65" s="1476"/>
      <c r="C65" s="1476"/>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c r="AL65" s="1476"/>
      <c r="AM65" s="1476"/>
      <c r="AN65" s="1476"/>
      <c r="AO65" s="1476"/>
      <c r="AP65" s="1476"/>
      <c r="AQ65" s="1476"/>
      <c r="AR65" s="1476"/>
      <c r="AS65" s="1476"/>
      <c r="AT65" s="1476"/>
      <c r="AU65" s="21"/>
      <c r="AV65" s="21"/>
      <c r="AW65" s="21"/>
      <c r="AX65" s="21"/>
      <c r="AY65" s="21"/>
      <c r="AZ65" s="20"/>
    </row>
    <row r="66" spans="1:52" ht="12.95" customHeight="1">
      <c r="A66" s="1476"/>
      <c r="B66" s="1476"/>
      <c r="C66" s="1476"/>
      <c r="D66" s="1476"/>
      <c r="E66" s="1476"/>
      <c r="F66" s="1476"/>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c r="AL66" s="1476"/>
      <c r="AM66" s="1476"/>
      <c r="AN66" s="1476"/>
      <c r="AO66" s="1476"/>
      <c r="AP66" s="1476"/>
      <c r="AQ66" s="1476"/>
      <c r="AR66" s="1476"/>
      <c r="AS66" s="1476"/>
      <c r="AT66" s="1476"/>
      <c r="AU66" s="21"/>
      <c r="AV66" s="21"/>
      <c r="AW66" s="21"/>
      <c r="AX66" s="21"/>
      <c r="AY66" s="21"/>
      <c r="AZ66" s="20"/>
    </row>
    <row r="67" spans="1:52" ht="12.95" customHeight="1">
      <c r="A67" s="1476"/>
      <c r="B67" s="1476"/>
      <c r="C67" s="1476"/>
      <c r="D67" s="1476"/>
      <c r="E67" s="1476"/>
      <c r="F67" s="1476"/>
      <c r="G67" s="1476"/>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c r="AL67" s="1476"/>
      <c r="AM67" s="1476"/>
      <c r="AN67" s="1476"/>
      <c r="AO67" s="1476"/>
      <c r="AP67" s="1476"/>
      <c r="AQ67" s="1476"/>
      <c r="AR67" s="1476"/>
      <c r="AS67" s="1476"/>
      <c r="AT67" s="147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6" t="s">
        <v>2519</v>
      </c>
      <c r="B69" s="1476"/>
      <c r="C69" s="1476"/>
      <c r="D69" s="1476"/>
      <c r="E69" s="1476"/>
      <c r="F69" s="1476"/>
      <c r="G69" s="1476"/>
      <c r="H69" s="1476"/>
      <c r="I69" s="1476"/>
      <c r="J69" s="1476"/>
      <c r="K69" s="1476"/>
      <c r="L69" s="1476"/>
      <c r="M69" s="1476"/>
      <c r="N69" s="1476"/>
      <c r="O69" s="1476"/>
      <c r="P69" s="1476"/>
      <c r="Q69" s="1476"/>
      <c r="R69" s="1476"/>
      <c r="S69" s="1476"/>
      <c r="T69" s="1476"/>
      <c r="U69" s="1476"/>
      <c r="V69" s="1476"/>
      <c r="W69" s="1476"/>
      <c r="X69" s="1476"/>
      <c r="Y69" s="1476"/>
      <c r="Z69" s="1476"/>
      <c r="AA69" s="1476"/>
      <c r="AB69" s="1476"/>
      <c r="AC69" s="1476"/>
      <c r="AD69" s="1476"/>
      <c r="AE69" s="1476"/>
      <c r="AF69" s="1476"/>
      <c r="AG69" s="1476"/>
      <c r="AH69" s="1476"/>
      <c r="AI69" s="1476"/>
      <c r="AJ69" s="1476"/>
      <c r="AK69" s="1476"/>
      <c r="AL69" s="1476"/>
      <c r="AM69" s="1476"/>
      <c r="AN69" s="1476"/>
      <c r="AO69" s="1476"/>
      <c r="AP69" s="1476"/>
      <c r="AQ69" s="1476"/>
      <c r="AR69" s="1476"/>
      <c r="AS69" s="1476"/>
      <c r="AT69" s="1476"/>
      <c r="AZ69" s="20"/>
    </row>
    <row r="70" spans="1:52" ht="12.95" customHeight="1">
      <c r="A70" s="1476"/>
      <c r="B70" s="1476"/>
      <c r="C70" s="1476"/>
      <c r="D70" s="1476"/>
      <c r="E70" s="1476"/>
      <c r="F70" s="1476"/>
      <c r="G70" s="1476"/>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c r="AL70" s="1476"/>
      <c r="AM70" s="1476"/>
      <c r="AN70" s="1476"/>
      <c r="AO70" s="1476"/>
      <c r="AP70" s="1476"/>
      <c r="AQ70" s="1476"/>
      <c r="AR70" s="1476"/>
      <c r="AS70" s="1476"/>
      <c r="AT70" s="147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74" t="s">
        <v>2520</v>
      </c>
      <c r="B72" s="1474"/>
      <c r="C72" s="1474"/>
      <c r="D72" s="1474"/>
      <c r="E72" s="1474"/>
      <c r="F72" s="1474"/>
      <c r="G72" s="1474"/>
      <c r="H72" s="1474"/>
      <c r="I72" s="1474"/>
      <c r="J72" s="1474"/>
      <c r="K72" s="1474"/>
      <c r="L72" s="1474"/>
      <c r="M72" s="1474"/>
      <c r="N72" s="1474"/>
      <c r="O72" s="1474"/>
      <c r="P72" s="1474"/>
      <c r="Q72" s="1474"/>
      <c r="R72" s="1474"/>
      <c r="S72" s="1474"/>
      <c r="T72" s="1474"/>
      <c r="U72" s="1474"/>
      <c r="V72" s="1474"/>
      <c r="W72" s="1474"/>
      <c r="X72" s="1474"/>
      <c r="Y72" s="1474"/>
      <c r="Z72" s="1474"/>
      <c r="AA72" s="1474"/>
      <c r="AB72" s="1474"/>
      <c r="AC72" s="1474"/>
      <c r="AD72" s="1474"/>
      <c r="AE72" s="1474"/>
      <c r="AF72" s="1474"/>
      <c r="AG72" s="1474"/>
      <c r="AH72" s="1474"/>
      <c r="AI72" s="1474"/>
      <c r="AJ72" s="1474"/>
      <c r="AK72" s="1474"/>
      <c r="AL72" s="1474"/>
      <c r="AM72" s="1474"/>
      <c r="AN72" s="1474"/>
      <c r="AO72" s="1474"/>
      <c r="AP72" s="1474"/>
      <c r="AQ72" s="1474"/>
      <c r="AR72" s="1474"/>
      <c r="AS72" s="1474"/>
      <c r="AT72" s="1474"/>
      <c r="AU72" s="20"/>
      <c r="AV72" s="20"/>
      <c r="AW72" s="20"/>
      <c r="AX72" s="20"/>
      <c r="AY72" s="20"/>
      <c r="AZ72" s="20"/>
    </row>
    <row r="73" spans="1:52" ht="12.95" customHeight="1">
      <c r="A73" s="1474"/>
      <c r="B73" s="1474"/>
      <c r="C73" s="1474"/>
      <c r="D73" s="1474"/>
      <c r="E73" s="1474"/>
      <c r="F73" s="1474"/>
      <c r="G73" s="1474"/>
      <c r="H73" s="1474"/>
      <c r="I73" s="1474"/>
      <c r="J73" s="1474"/>
      <c r="K73" s="1474"/>
      <c r="L73" s="1474"/>
      <c r="M73" s="1474"/>
      <c r="N73" s="1474"/>
      <c r="O73" s="1474"/>
      <c r="P73" s="1474"/>
      <c r="Q73" s="1474"/>
      <c r="R73" s="1474"/>
      <c r="S73" s="1474"/>
      <c r="T73" s="1474"/>
      <c r="U73" s="1474"/>
      <c r="V73" s="1474"/>
      <c r="W73" s="1474"/>
      <c r="X73" s="1474"/>
      <c r="Y73" s="1474"/>
      <c r="Z73" s="1474"/>
      <c r="AA73" s="1474"/>
      <c r="AB73" s="1474"/>
      <c r="AC73" s="1474"/>
      <c r="AD73" s="1474"/>
      <c r="AE73" s="1474"/>
      <c r="AF73" s="1474"/>
      <c r="AG73" s="1474"/>
      <c r="AH73" s="1474"/>
      <c r="AI73" s="1474"/>
      <c r="AJ73" s="1474"/>
      <c r="AK73" s="1474"/>
      <c r="AL73" s="1474"/>
      <c r="AM73" s="1474"/>
      <c r="AN73" s="1474"/>
      <c r="AO73" s="1474"/>
      <c r="AP73" s="1474"/>
      <c r="AQ73" s="1474"/>
      <c r="AR73" s="1474"/>
      <c r="AS73" s="1474"/>
      <c r="AT73" s="147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31" t="s">
        <v>2521</v>
      </c>
      <c r="B75" s="1831"/>
      <c r="C75" s="1831"/>
      <c r="D75" s="1831"/>
      <c r="E75" s="1831"/>
      <c r="F75" s="1831"/>
      <c r="G75" s="1831"/>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20"/>
      <c r="AV75" s="20"/>
      <c r="AW75" s="20"/>
      <c r="AX75" s="20"/>
      <c r="AY75" s="20"/>
      <c r="AZ75" s="20"/>
    </row>
    <row r="76" spans="1:52" ht="12.95" customHeight="1">
      <c r="A76" s="1831"/>
      <c r="B76" s="1831"/>
      <c r="C76" s="1831"/>
      <c r="D76" s="1831"/>
      <c r="E76" s="1831"/>
      <c r="F76" s="1831"/>
      <c r="G76" s="1831"/>
      <c r="H76" s="1831"/>
      <c r="I76" s="1831"/>
      <c r="J76" s="1831"/>
      <c r="K76" s="1831"/>
      <c r="L76" s="1831"/>
      <c r="M76" s="1831"/>
      <c r="N76" s="1831"/>
      <c r="O76" s="1831"/>
      <c r="P76" s="1831"/>
      <c r="Q76" s="1831"/>
      <c r="R76" s="1831"/>
      <c r="S76" s="1831"/>
      <c r="T76" s="1831"/>
      <c r="U76" s="1831"/>
      <c r="V76" s="1831"/>
      <c r="W76" s="1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20"/>
      <c r="AV76" s="20"/>
      <c r="AW76" s="20"/>
      <c r="AX76" s="20"/>
      <c r="AY76" s="20"/>
      <c r="AZ76" s="17"/>
    </row>
    <row r="77" spans="1:52" ht="12.95" customHeight="1">
      <c r="A77" s="1831"/>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6" t="s">
        <v>2522</v>
      </c>
      <c r="B79" s="1476"/>
      <c r="C79" s="1476"/>
      <c r="D79" s="1476"/>
      <c r="E79" s="1476"/>
      <c r="F79" s="1476"/>
      <c r="G79" s="1476"/>
      <c r="H79" s="1476"/>
      <c r="I79" s="1476"/>
      <c r="J79" s="1476"/>
      <c r="K79" s="1476"/>
      <c r="L79" s="1476"/>
      <c r="M79" s="1476"/>
      <c r="N79" s="1476"/>
      <c r="O79" s="1476"/>
      <c r="P79" s="1476"/>
      <c r="Q79" s="1476"/>
      <c r="R79" s="1476"/>
      <c r="S79" s="1476"/>
      <c r="T79" s="1476"/>
      <c r="U79" s="1476"/>
      <c r="V79" s="1476"/>
      <c r="W79" s="1476"/>
      <c r="X79" s="1476"/>
      <c r="Y79" s="1476"/>
      <c r="Z79" s="1476"/>
      <c r="AA79" s="1476"/>
      <c r="AB79" s="1476"/>
      <c r="AC79" s="1476"/>
      <c r="AD79" s="1476"/>
      <c r="AE79" s="1476"/>
      <c r="AF79" s="1476"/>
      <c r="AG79" s="1476"/>
      <c r="AH79" s="1476"/>
      <c r="AI79" s="1476"/>
      <c r="AJ79" s="1476"/>
      <c r="AK79" s="1476"/>
      <c r="AL79" s="1476"/>
      <c r="AM79" s="1476"/>
      <c r="AN79" s="1476"/>
      <c r="AO79" s="1476"/>
      <c r="AP79" s="1476"/>
      <c r="AQ79" s="1476"/>
      <c r="AR79" s="1476"/>
      <c r="AS79" s="1476"/>
      <c r="AT79" s="1476"/>
      <c r="AU79" s="20"/>
      <c r="AV79" s="20"/>
      <c r="AW79" s="20"/>
      <c r="AX79" s="20"/>
      <c r="AY79" s="20"/>
      <c r="AZ79" s="20"/>
    </row>
    <row r="80" spans="1:52" ht="12.95" customHeight="1">
      <c r="A80" s="1476"/>
      <c r="B80" s="1476"/>
      <c r="C80" s="1476"/>
      <c r="D80" s="1476"/>
      <c r="E80" s="1476"/>
      <c r="F80" s="1476"/>
      <c r="G80" s="1476"/>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c r="AL80" s="1476"/>
      <c r="AM80" s="1476"/>
      <c r="AN80" s="1476"/>
      <c r="AO80" s="1476"/>
      <c r="AP80" s="1476"/>
      <c r="AQ80" s="1476"/>
      <c r="AR80" s="1476"/>
      <c r="AS80" s="1476"/>
      <c r="AT80" s="1476"/>
      <c r="AU80" s="20"/>
      <c r="AV80" s="20"/>
      <c r="AW80" s="20"/>
      <c r="AX80" s="20"/>
      <c r="AY80" s="20"/>
      <c r="AZ80" s="20"/>
    </row>
    <row r="81" spans="1:52" ht="12.95" customHeight="1">
      <c r="A81" s="1476"/>
      <c r="B81" s="1476"/>
      <c r="C81" s="1476"/>
      <c r="D81" s="1476"/>
      <c r="E81" s="1476"/>
      <c r="F81" s="1476"/>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c r="AL81" s="1476"/>
      <c r="AM81" s="1476"/>
      <c r="AN81" s="1476"/>
      <c r="AO81" s="1476"/>
      <c r="AP81" s="1476"/>
      <c r="AQ81" s="1476"/>
      <c r="AR81" s="1476"/>
      <c r="AS81" s="1476"/>
      <c r="AT81" s="147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3" t="s">
        <v>2523</v>
      </c>
      <c r="B83" s="1273"/>
      <c r="C83" s="1273"/>
      <c r="D83" s="1273"/>
      <c r="E83" s="1273"/>
      <c r="F83" s="1273"/>
      <c r="G83" s="1273"/>
      <c r="H83" s="1273"/>
      <c r="I83" s="1273"/>
      <c r="J83" s="1273"/>
      <c r="K83" s="1273"/>
      <c r="L83" s="1273"/>
      <c r="M83" s="1273"/>
      <c r="N83" s="1273"/>
      <c r="O83" s="1273"/>
      <c r="P83" s="1273"/>
      <c r="Q83" s="1273"/>
      <c r="R83" s="1273"/>
      <c r="S83" s="1273"/>
      <c r="T83" s="1273"/>
      <c r="U83" s="1273"/>
      <c r="V83" s="1273"/>
      <c r="W83" s="1273"/>
      <c r="X83" s="1273"/>
      <c r="Y83" s="1273"/>
      <c r="Z83" s="1273"/>
      <c r="AA83" s="1273"/>
      <c r="AB83" s="1273"/>
      <c r="AC83" s="1273"/>
      <c r="AD83" s="1273"/>
      <c r="AE83" s="1273"/>
      <c r="AF83" s="1273"/>
      <c r="AG83" s="1273"/>
      <c r="AH83" s="1273"/>
      <c r="AI83" s="1273"/>
      <c r="AJ83" s="1273"/>
      <c r="AK83" s="1273"/>
      <c r="AL83" s="1273"/>
      <c r="AM83" s="1273"/>
      <c r="AN83" s="1273"/>
      <c r="AO83" s="1273"/>
      <c r="AP83" s="1273"/>
      <c r="AQ83" s="1273"/>
      <c r="AR83" s="1273"/>
      <c r="AS83" s="1273"/>
      <c r="AT83" s="1273"/>
      <c r="AU83" s="20"/>
      <c r="AV83" s="20"/>
      <c r="AW83" s="20"/>
      <c r="AX83" s="20"/>
      <c r="AY83" s="20"/>
      <c r="AZ83" s="20"/>
    </row>
    <row r="84" spans="1:52" ht="12.95" customHeight="1">
      <c r="A84" s="1273"/>
      <c r="B84" s="1273"/>
      <c r="C84" s="1273"/>
      <c r="D84" s="1273"/>
      <c r="E84" s="1273"/>
      <c r="F84" s="1273"/>
      <c r="G84" s="1273"/>
      <c r="H84" s="1273"/>
      <c r="I84" s="1273"/>
      <c r="J84" s="1273"/>
      <c r="K84" s="1273"/>
      <c r="L84" s="1273"/>
      <c r="M84" s="1273"/>
      <c r="N84" s="1273"/>
      <c r="O84" s="1273"/>
      <c r="P84" s="1273"/>
      <c r="Q84" s="1273"/>
      <c r="R84" s="1273"/>
      <c r="S84" s="1273"/>
      <c r="T84" s="1273"/>
      <c r="U84" s="1273"/>
      <c r="V84" s="1273"/>
      <c r="W84" s="1273"/>
      <c r="X84" s="1273"/>
      <c r="Y84" s="1273"/>
      <c r="Z84" s="1273"/>
      <c r="AA84" s="1273"/>
      <c r="AB84" s="1273"/>
      <c r="AC84" s="1273"/>
      <c r="AD84" s="1273"/>
      <c r="AE84" s="1273"/>
      <c r="AF84" s="1273"/>
      <c r="AG84" s="1273"/>
      <c r="AH84" s="1273"/>
      <c r="AI84" s="1273"/>
      <c r="AJ84" s="1273"/>
      <c r="AK84" s="1273"/>
      <c r="AL84" s="1273"/>
      <c r="AM84" s="1273"/>
      <c r="AN84" s="1273"/>
      <c r="AO84" s="1273"/>
      <c r="AP84" s="1273"/>
      <c r="AQ84" s="1273"/>
      <c r="AR84" s="1273"/>
      <c r="AS84" s="1273"/>
      <c r="AT84" s="1273"/>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3" t="s">
        <v>2524</v>
      </c>
      <c r="B86" s="1273"/>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c r="Z86" s="1273"/>
      <c r="AA86" s="1273"/>
      <c r="AB86" s="1273"/>
      <c r="AC86" s="1273"/>
      <c r="AD86" s="1273"/>
      <c r="AE86" s="1273"/>
      <c r="AF86" s="1273"/>
      <c r="AG86" s="1273"/>
      <c r="AH86" s="1273"/>
      <c r="AI86" s="1273"/>
      <c r="AJ86" s="1273"/>
      <c r="AK86" s="1273"/>
      <c r="AL86" s="1273"/>
      <c r="AM86" s="1273"/>
      <c r="AN86" s="1273"/>
      <c r="AO86" s="1273"/>
      <c r="AP86" s="1273"/>
      <c r="AQ86" s="1273"/>
      <c r="AR86" s="1273"/>
      <c r="AS86" s="1273"/>
      <c r="AT86" s="1273"/>
      <c r="AU86" s="20"/>
      <c r="AV86" s="20"/>
      <c r="AW86" s="20"/>
      <c r="AX86" s="20"/>
      <c r="AY86" s="20"/>
      <c r="AZ86" s="20"/>
    </row>
    <row r="87" spans="1:52" ht="12.95" customHeight="1">
      <c r="A87" s="1273"/>
      <c r="B87" s="1273"/>
      <c r="C87" s="1273"/>
      <c r="D87" s="1273"/>
      <c r="E87" s="1273"/>
      <c r="F87" s="1273"/>
      <c r="G87" s="1273"/>
      <c r="H87" s="1273"/>
      <c r="I87" s="1273"/>
      <c r="J87" s="1273"/>
      <c r="K87" s="1273"/>
      <c r="L87" s="1273"/>
      <c r="M87" s="1273"/>
      <c r="N87" s="1273"/>
      <c r="O87" s="1273"/>
      <c r="P87" s="1273"/>
      <c r="Q87" s="1273"/>
      <c r="R87" s="1273"/>
      <c r="S87" s="1273"/>
      <c r="T87" s="1273"/>
      <c r="U87" s="1273"/>
      <c r="V87" s="1273"/>
      <c r="W87" s="1273"/>
      <c r="X87" s="1273"/>
      <c r="Y87" s="1273"/>
      <c r="Z87" s="1273"/>
      <c r="AA87" s="1273"/>
      <c r="AB87" s="1273"/>
      <c r="AC87" s="1273"/>
      <c r="AD87" s="1273"/>
      <c r="AE87" s="1273"/>
      <c r="AF87" s="1273"/>
      <c r="AG87" s="1273"/>
      <c r="AH87" s="1273"/>
      <c r="AI87" s="1273"/>
      <c r="AJ87" s="1273"/>
      <c r="AK87" s="1273"/>
      <c r="AL87" s="1273"/>
      <c r="AM87" s="1273"/>
      <c r="AN87" s="1273"/>
      <c r="AO87" s="1273"/>
      <c r="AP87" s="1273"/>
      <c r="AQ87" s="1273"/>
      <c r="AR87" s="1273"/>
      <c r="AS87" s="1273"/>
      <c r="AT87" s="1273"/>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30" t="s">
        <v>2525</v>
      </c>
      <c r="B89" s="1830"/>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0"/>
      <c r="AN89" s="1830"/>
      <c r="AO89" s="1830"/>
      <c r="AP89" s="1830"/>
      <c r="AQ89" s="1830"/>
      <c r="AR89" s="1830"/>
      <c r="AS89" s="1830"/>
      <c r="AT89" s="1830"/>
      <c r="AU89" s="17"/>
      <c r="AV89" s="17"/>
      <c r="AW89" s="17"/>
      <c r="AX89" s="17"/>
      <c r="AY89" s="17"/>
      <c r="AZ89" s="20"/>
    </row>
    <row r="90" spans="1:52" ht="12.95" customHeight="1">
      <c r="A90" s="1830"/>
      <c r="B90" s="1830"/>
      <c r="C90" s="1830"/>
      <c r="D90" s="1830"/>
      <c r="E90" s="1830"/>
      <c r="F90" s="1830"/>
      <c r="G90" s="1830"/>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c r="AL90" s="1830"/>
      <c r="AM90" s="1830"/>
      <c r="AN90" s="1830"/>
      <c r="AO90" s="1830"/>
      <c r="AP90" s="1830"/>
      <c r="AQ90" s="1830"/>
      <c r="AR90" s="1830"/>
      <c r="AS90" s="1830"/>
      <c r="AT90" s="183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31" t="s">
        <v>2526</v>
      </c>
      <c r="B92" s="1831"/>
      <c r="C92" s="1831"/>
      <c r="D92" s="1831"/>
      <c r="E92" s="1831"/>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1"/>
      <c r="AK92" s="1831"/>
      <c r="AL92" s="1831"/>
      <c r="AM92" s="1831"/>
      <c r="AN92" s="1831"/>
      <c r="AO92" s="1831"/>
      <c r="AP92" s="1831"/>
      <c r="AQ92" s="1831"/>
      <c r="AR92" s="1831"/>
      <c r="AS92" s="1831"/>
      <c r="AT92" s="1831"/>
      <c r="AU92" s="20"/>
      <c r="AV92" s="20"/>
      <c r="AW92" s="20"/>
      <c r="AX92" s="20"/>
      <c r="AY92" s="20"/>
      <c r="AZ92" s="20"/>
    </row>
    <row r="93" spans="1:52" ht="12.95" customHeight="1">
      <c r="A93" s="1831"/>
      <c r="B93" s="1831"/>
      <c r="C93" s="1831"/>
      <c r="D93" s="1831"/>
      <c r="E93" s="1831"/>
      <c r="F93" s="1831"/>
      <c r="G93" s="1831"/>
      <c r="H93" s="1831"/>
      <c r="I93" s="1831"/>
      <c r="J93" s="1831"/>
      <c r="K93" s="1831"/>
      <c r="L93" s="1831"/>
      <c r="M93" s="1831"/>
      <c r="N93" s="1831"/>
      <c r="O93" s="1831"/>
      <c r="P93" s="1831"/>
      <c r="Q93" s="1831"/>
      <c r="R93" s="1831"/>
      <c r="S93" s="1831"/>
      <c r="T93" s="1831"/>
      <c r="U93" s="1831"/>
      <c r="V93" s="1831"/>
      <c r="W93" s="1831"/>
      <c r="X93" s="1831"/>
      <c r="Y93" s="1831"/>
      <c r="Z93" s="1831"/>
      <c r="AA93" s="1831"/>
      <c r="AB93" s="1831"/>
      <c r="AC93" s="1831"/>
      <c r="AD93" s="1831"/>
      <c r="AE93" s="1831"/>
      <c r="AF93" s="1831"/>
      <c r="AG93" s="1831"/>
      <c r="AH93" s="1831"/>
      <c r="AI93" s="1831"/>
      <c r="AJ93" s="1831"/>
      <c r="AK93" s="1831"/>
      <c r="AL93" s="1831"/>
      <c r="AM93" s="1831"/>
      <c r="AN93" s="1831"/>
      <c r="AO93" s="1831"/>
      <c r="AP93" s="1831"/>
      <c r="AQ93" s="1831"/>
      <c r="AR93" s="1831"/>
      <c r="AS93" s="1831"/>
      <c r="AT93" s="1831"/>
      <c r="AU93" s="20"/>
      <c r="AV93" s="20"/>
      <c r="AW93" s="20"/>
      <c r="AX93" s="20"/>
      <c r="AY93" s="20"/>
      <c r="AZ93" s="20"/>
    </row>
    <row r="94" spans="1:52" ht="12.95" customHeight="1">
      <c r="A94" s="1831"/>
      <c r="B94" s="1831"/>
      <c r="C94" s="1831"/>
      <c r="D94" s="1831"/>
      <c r="E94" s="1831"/>
      <c r="F94" s="1831"/>
      <c r="G94" s="1831"/>
      <c r="H94" s="1831"/>
      <c r="I94" s="1831"/>
      <c r="J94" s="1831"/>
      <c r="K94" s="1831"/>
      <c r="L94" s="1831"/>
      <c r="M94" s="1831"/>
      <c r="N94" s="1831"/>
      <c r="O94" s="1831"/>
      <c r="P94" s="1831"/>
      <c r="Q94" s="1831"/>
      <c r="R94" s="1831"/>
      <c r="S94" s="1831"/>
      <c r="T94" s="1831"/>
      <c r="U94" s="1831"/>
      <c r="V94" s="1831"/>
      <c r="W94" s="1831"/>
      <c r="X94" s="1831"/>
      <c r="Y94" s="1831"/>
      <c r="Z94" s="1831"/>
      <c r="AA94" s="1831"/>
      <c r="AB94" s="1831"/>
      <c r="AC94" s="1831"/>
      <c r="AD94" s="1831"/>
      <c r="AE94" s="1831"/>
      <c r="AF94" s="1831"/>
      <c r="AG94" s="1831"/>
      <c r="AH94" s="1831"/>
      <c r="AI94" s="1831"/>
      <c r="AJ94" s="1831"/>
      <c r="AK94" s="1831"/>
      <c r="AL94" s="1831"/>
      <c r="AM94" s="1831"/>
      <c r="AN94" s="1831"/>
      <c r="AO94" s="1831"/>
      <c r="AP94" s="1831"/>
      <c r="AQ94" s="1831"/>
      <c r="AR94" s="1831"/>
      <c r="AS94" s="1831"/>
      <c r="AT94" s="1831"/>
      <c r="AU94" s="20"/>
      <c r="AV94" s="20"/>
      <c r="AW94" s="20"/>
      <c r="AX94" s="20"/>
      <c r="AY94" s="20"/>
      <c r="AZ94" s="20"/>
    </row>
    <row r="95" spans="1:52" ht="12.95" customHeight="1">
      <c r="A95" s="1831"/>
      <c r="B95" s="1831"/>
      <c r="C95" s="1831"/>
      <c r="D95" s="1831"/>
      <c r="E95" s="1831"/>
      <c r="F95" s="1831"/>
      <c r="G95" s="1831"/>
      <c r="H95" s="1831"/>
      <c r="I95" s="1831"/>
      <c r="J95" s="1831"/>
      <c r="K95" s="1831"/>
      <c r="L95" s="1831"/>
      <c r="M95" s="1831"/>
      <c r="N95" s="1831"/>
      <c r="O95" s="1831"/>
      <c r="P95" s="1831"/>
      <c r="Q95" s="1831"/>
      <c r="R95" s="1831"/>
      <c r="S95" s="1831"/>
      <c r="T95" s="1831"/>
      <c r="U95" s="1831"/>
      <c r="V95" s="1831"/>
      <c r="W95" s="1831"/>
      <c r="X95" s="1831"/>
      <c r="Y95" s="1831"/>
      <c r="Z95" s="1831"/>
      <c r="AA95" s="1831"/>
      <c r="AB95" s="1831"/>
      <c r="AC95" s="1831"/>
      <c r="AD95" s="1831"/>
      <c r="AE95" s="1831"/>
      <c r="AF95" s="1831"/>
      <c r="AG95" s="1831"/>
      <c r="AH95" s="1831"/>
      <c r="AI95" s="1831"/>
      <c r="AJ95" s="1831"/>
      <c r="AK95" s="1831"/>
      <c r="AL95" s="1831"/>
      <c r="AM95" s="1831"/>
      <c r="AN95" s="1831"/>
      <c r="AO95" s="1831"/>
      <c r="AP95" s="1831"/>
      <c r="AQ95" s="1831"/>
      <c r="AR95" s="1831"/>
      <c r="AS95" s="1831"/>
      <c r="AT95" s="1831"/>
      <c r="AU95" s="20"/>
      <c r="AV95" s="20"/>
      <c r="AW95" s="20"/>
      <c r="AX95" s="20"/>
      <c r="AY95" s="20"/>
      <c r="AZ95" s="20"/>
    </row>
    <row r="96" spans="1:52" ht="12.95" customHeight="1">
      <c r="A96" s="1831"/>
      <c r="B96" s="1831"/>
      <c r="C96" s="1831"/>
      <c r="D96" s="1831"/>
      <c r="E96" s="1831"/>
      <c r="F96" s="1831"/>
      <c r="G96" s="1831"/>
      <c r="H96" s="1831"/>
      <c r="I96" s="1831"/>
      <c r="J96" s="1831"/>
      <c r="K96" s="1831"/>
      <c r="L96" s="1831"/>
      <c r="M96" s="1831"/>
      <c r="N96" s="1831"/>
      <c r="O96" s="1831"/>
      <c r="P96" s="1831"/>
      <c r="Q96" s="1831"/>
      <c r="R96" s="1831"/>
      <c r="S96" s="1831"/>
      <c r="T96" s="1831"/>
      <c r="U96" s="1831"/>
      <c r="V96" s="1831"/>
      <c r="W96" s="1831"/>
      <c r="X96" s="1831"/>
      <c r="Y96" s="1831"/>
      <c r="Z96" s="1831"/>
      <c r="AA96" s="1831"/>
      <c r="AB96" s="1831"/>
      <c r="AC96" s="1831"/>
      <c r="AD96" s="1831"/>
      <c r="AE96" s="1831"/>
      <c r="AF96" s="1831"/>
      <c r="AG96" s="1831"/>
      <c r="AH96" s="1831"/>
      <c r="AI96" s="1831"/>
      <c r="AJ96" s="1831"/>
      <c r="AK96" s="1831"/>
      <c r="AL96" s="1831"/>
      <c r="AM96" s="1831"/>
      <c r="AN96" s="1831"/>
      <c r="AO96" s="1831"/>
      <c r="AP96" s="1831"/>
      <c r="AQ96" s="1831"/>
      <c r="AR96" s="1831"/>
      <c r="AS96" s="1831"/>
      <c r="AT96" s="1831"/>
      <c r="AU96" s="20"/>
      <c r="AV96" s="20"/>
      <c r="AW96" s="20"/>
      <c r="AX96" s="20"/>
      <c r="AY96" s="20"/>
      <c r="AZ96" s="20"/>
    </row>
    <row r="97" spans="1:52" ht="12.95" customHeight="1">
      <c r="A97" s="1831"/>
      <c r="B97" s="1831"/>
      <c r="C97" s="1831"/>
      <c r="D97" s="1831"/>
      <c r="E97" s="1831"/>
      <c r="F97" s="1831"/>
      <c r="G97" s="1831"/>
      <c r="H97" s="1831"/>
      <c r="I97" s="1831"/>
      <c r="J97" s="1831"/>
      <c r="K97" s="1831"/>
      <c r="L97" s="1831"/>
      <c r="M97" s="1831"/>
      <c r="N97" s="1831"/>
      <c r="O97" s="1831"/>
      <c r="P97" s="1831"/>
      <c r="Q97" s="1831"/>
      <c r="R97" s="1831"/>
      <c r="S97" s="1831"/>
      <c r="T97" s="1831"/>
      <c r="U97" s="1831"/>
      <c r="V97" s="1831"/>
      <c r="W97" s="1831"/>
      <c r="X97" s="1831"/>
      <c r="Y97" s="1831"/>
      <c r="Z97" s="1831"/>
      <c r="AA97" s="1831"/>
      <c r="AB97" s="1831"/>
      <c r="AC97" s="1831"/>
      <c r="AD97" s="1831"/>
      <c r="AE97" s="1831"/>
      <c r="AF97" s="1831"/>
      <c r="AG97" s="1831"/>
      <c r="AH97" s="1831"/>
      <c r="AI97" s="1831"/>
      <c r="AJ97" s="1831"/>
      <c r="AK97" s="1831"/>
      <c r="AL97" s="1831"/>
      <c r="AM97" s="1831"/>
      <c r="AN97" s="1831"/>
      <c r="AO97" s="1831"/>
      <c r="AP97" s="1831"/>
      <c r="AQ97" s="1831"/>
      <c r="AR97" s="1831"/>
      <c r="AS97" s="1831"/>
      <c r="AT97" s="1831"/>
      <c r="AU97" s="20"/>
      <c r="AV97" s="20"/>
      <c r="AW97" s="20"/>
      <c r="AX97" s="20"/>
      <c r="AY97" s="20"/>
      <c r="AZ97" s="20"/>
    </row>
    <row r="98" spans="1:52" ht="12.95" customHeight="1">
      <c r="A98" s="1831"/>
      <c r="B98" s="1831"/>
      <c r="C98" s="1831"/>
      <c r="D98" s="1831"/>
      <c r="E98" s="1831"/>
      <c r="F98" s="1831"/>
      <c r="G98" s="1831"/>
      <c r="H98" s="1831"/>
      <c r="I98" s="1831"/>
      <c r="J98" s="1831"/>
      <c r="K98" s="1831"/>
      <c r="L98" s="1831"/>
      <c r="M98" s="1831"/>
      <c r="N98" s="1831"/>
      <c r="O98" s="1831"/>
      <c r="P98" s="1831"/>
      <c r="Q98" s="1831"/>
      <c r="R98" s="1831"/>
      <c r="S98" s="1831"/>
      <c r="T98" s="1831"/>
      <c r="U98" s="1831"/>
      <c r="V98" s="1831"/>
      <c r="W98" s="1831"/>
      <c r="X98" s="1831"/>
      <c r="Y98" s="1831"/>
      <c r="Z98" s="1831"/>
      <c r="AA98" s="1831"/>
      <c r="AB98" s="1831"/>
      <c r="AC98" s="1831"/>
      <c r="AD98" s="1831"/>
      <c r="AE98" s="1831"/>
      <c r="AF98" s="1831"/>
      <c r="AG98" s="1831"/>
      <c r="AH98" s="1831"/>
      <c r="AI98" s="1831"/>
      <c r="AJ98" s="1831"/>
      <c r="AK98" s="1831"/>
      <c r="AL98" s="1831"/>
      <c r="AM98" s="1831"/>
      <c r="AN98" s="1831"/>
      <c r="AO98" s="1831"/>
      <c r="AP98" s="1831"/>
      <c r="AQ98" s="1831"/>
      <c r="AR98" s="1831"/>
      <c r="AS98" s="1831"/>
      <c r="AT98" s="183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4" t="s">
        <v>2527</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2.95"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2.95"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2.95"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4" t="s">
        <v>2528</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2.95"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1"/>
      <c r="H113" s="1811"/>
      <c r="I113" s="3" t="s">
        <v>182</v>
      </c>
      <c r="L113" s="1811"/>
      <c r="M113" s="1811"/>
      <c r="N113" s="1811"/>
      <c r="O113" s="1811"/>
      <c r="P113" s="1805" t="s">
        <v>2530</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c r="D115" s="1812"/>
      <c r="E115" s="1812"/>
      <c r="F115" s="1812"/>
      <c r="G115" s="1812"/>
      <c r="H115" s="1812"/>
      <c r="I115" s="1812"/>
      <c r="J115" s="1812"/>
      <c r="K115" s="181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1"/>
      <c r="Z117" s="1811"/>
      <c r="AA117" s="1811"/>
      <c r="AB117" s="1811"/>
      <c r="AC117" s="1811"/>
      <c r="AD117" s="1811"/>
      <c r="AE117" s="1811"/>
      <c r="AF117" s="1811"/>
      <c r="AG117" s="1811"/>
      <c r="AH117" s="1811"/>
      <c r="AI117" s="1811"/>
      <c r="AJ117" s="1811"/>
      <c r="AK117" s="181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1"/>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1"/>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8"/>
      <c r="G150" s="1308"/>
      <c r="H150" s="1308"/>
      <c r="I150" s="1308"/>
      <c r="J150" s="1308"/>
      <c r="K150" s="1308"/>
      <c r="L150" s="1308"/>
      <c r="M150" s="1308"/>
      <c r="N150" s="1308"/>
      <c r="O150" s="1308"/>
      <c r="P150" s="1308"/>
      <c r="Q150" s="1308"/>
      <c r="R150" s="1308"/>
      <c r="S150" s="1308"/>
      <c r="T150" s="13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77" t="s">
        <v>2638</v>
      </c>
      <c r="P153" s="1478"/>
      <c r="Q153" s="1478"/>
      <c r="R153" s="1478"/>
      <c r="S153" s="1478"/>
      <c r="T153" s="1478"/>
      <c r="U153" s="1478"/>
      <c r="V153" s="1478"/>
      <c r="W153" s="1478"/>
      <c r="X153" s="1478"/>
      <c r="Y153" s="1478"/>
      <c r="Z153" s="1478"/>
      <c r="AA153" s="1478"/>
      <c r="AB153" s="1478"/>
      <c r="AC153" s="1478"/>
      <c r="AD153" s="1478"/>
      <c r="AE153" s="1478"/>
      <c r="AF153" s="1478"/>
      <c r="AG153" s="1478"/>
      <c r="AH153" s="1478"/>
    </row>
    <row r="154" spans="1:72" ht="12.95" customHeight="1">
      <c r="D154" s="325" t="s">
        <v>442</v>
      </c>
      <c r="O154" s="1406" t="s">
        <v>2777</v>
      </c>
      <c r="P154" s="1515"/>
      <c r="Q154" s="1515"/>
      <c r="R154" s="1515"/>
      <c r="S154" s="1515"/>
      <c r="T154" s="1515"/>
      <c r="U154" s="1515"/>
      <c r="V154" s="1515"/>
      <c r="W154" s="1515"/>
      <c r="X154" s="1515"/>
      <c r="Y154" s="1515"/>
      <c r="Z154" s="1515"/>
      <c r="AA154" s="1515"/>
      <c r="AB154" s="1515"/>
      <c r="AC154" s="1515"/>
      <c r="AD154" s="1515"/>
      <c r="AE154" s="1515"/>
      <c r="AF154" s="1515"/>
      <c r="AG154" s="1515"/>
      <c r="AH154" s="1515"/>
    </row>
    <row r="155" spans="1:72" ht="12.95" customHeight="1">
      <c r="D155" s="8" t="s">
        <v>443</v>
      </c>
      <c r="F155" s="8"/>
      <c r="G155" s="8"/>
      <c r="H155" s="8"/>
      <c r="I155" s="8"/>
      <c r="J155" s="8"/>
      <c r="K155" s="8"/>
      <c r="L155" s="8"/>
      <c r="M155" s="8"/>
      <c r="N155" s="8"/>
      <c r="O155" s="1799" t="s">
        <v>2790</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5" customHeight="1">
      <c r="D156" t="s">
        <v>314</v>
      </c>
      <c r="O156" s="1477" t="s">
        <v>2639</v>
      </c>
      <c r="P156" s="1486"/>
      <c r="Q156" s="1486"/>
      <c r="R156" s="1486"/>
      <c r="S156" s="1486"/>
      <c r="T156" s="1486"/>
      <c r="U156" s="1486"/>
      <c r="V156" s="1486"/>
      <c r="W156" s="1486"/>
      <c r="X156" s="1486"/>
      <c r="Y156" s="1486"/>
      <c r="Z156" s="1486"/>
      <c r="AA156" s="1486"/>
      <c r="AB156" s="1486"/>
      <c r="AC156" s="1486"/>
      <c r="AD156" s="1486"/>
      <c r="AE156" s="1486"/>
      <c r="AF156" s="1486"/>
      <c r="AG156" s="1486"/>
      <c r="AH156" s="1486"/>
      <c r="BT156" t="s">
        <v>308</v>
      </c>
    </row>
    <row r="157" spans="1:72" ht="12.95" customHeight="1">
      <c r="D157" t="s">
        <v>315</v>
      </c>
      <c r="O157" s="1477" t="s">
        <v>2640</v>
      </c>
      <c r="P157" s="1478"/>
      <c r="Q157" s="1478"/>
      <c r="R157" s="1478"/>
      <c r="S157" s="1478"/>
      <c r="T157" s="1478"/>
      <c r="U157" s="1478"/>
      <c r="V157" s="1478"/>
      <c r="W157" s="1478"/>
      <c r="X157" s="1478"/>
      <c r="Y157" s="8"/>
      <c r="Z157" s="8"/>
      <c r="AA157" s="8"/>
      <c r="AB157" s="8"/>
      <c r="AC157" s="8"/>
      <c r="AD157" s="8"/>
      <c r="AE157" s="8"/>
      <c r="AF157" s="8"/>
      <c r="BN157" s="23" t="s">
        <v>644</v>
      </c>
      <c r="BT157" t="s">
        <v>484</v>
      </c>
    </row>
    <row r="158" spans="1:72" ht="12.95" customHeight="1">
      <c r="D158" t="s">
        <v>316</v>
      </c>
      <c r="O158" s="1801">
        <v>95113</v>
      </c>
      <c r="P158" s="1801"/>
      <c r="Q158" s="1801"/>
      <c r="R158" s="1801"/>
      <c r="S158" s="9"/>
      <c r="T158" s="9"/>
      <c r="U158" s="9"/>
      <c r="V158" s="9"/>
      <c r="W158" s="9"/>
      <c r="X158" s="9"/>
      <c r="Y158" s="9"/>
      <c r="Z158" s="9"/>
      <c r="AA158" s="9"/>
      <c r="AB158" s="9"/>
      <c r="AC158" s="9"/>
      <c r="AD158" s="9"/>
      <c r="AE158" s="9"/>
      <c r="AF158" s="9"/>
      <c r="BN158" s="23" t="s">
        <v>645</v>
      </c>
      <c r="BT158" t="s">
        <v>485</v>
      </c>
    </row>
    <row r="159" spans="1:72" ht="12.95" customHeight="1">
      <c r="D159" t="s">
        <v>317</v>
      </c>
      <c r="O159" s="1790" t="s">
        <v>2641</v>
      </c>
      <c r="P159" s="1803"/>
      <c r="Q159" s="1803"/>
      <c r="R159" s="1803"/>
      <c r="S159" s="1803"/>
      <c r="T159" s="1803"/>
      <c r="V159" s="97" t="s">
        <v>272</v>
      </c>
      <c r="W159" s="1802"/>
      <c r="X159" s="1802"/>
      <c r="Y159" s="10"/>
      <c r="Z159" s="10"/>
      <c r="AA159" s="10"/>
      <c r="AB159" s="10"/>
      <c r="AC159" s="10"/>
      <c r="AD159" s="10"/>
      <c r="AE159" s="10"/>
      <c r="AF159" s="10"/>
      <c r="BN159" s="23" t="s">
        <v>340</v>
      </c>
      <c r="BT159" t="s">
        <v>486</v>
      </c>
    </row>
    <row r="160" spans="1:72" ht="12.95" customHeight="1">
      <c r="D160" t="s">
        <v>318</v>
      </c>
      <c r="O160" s="1790" t="s">
        <v>2642</v>
      </c>
      <c r="P160" s="1803"/>
      <c r="Q160" s="1803"/>
      <c r="R160" s="1803"/>
      <c r="S160" s="1803"/>
      <c r="T160" s="1803"/>
      <c r="U160" s="10"/>
      <c r="V160" s="10"/>
      <c r="W160" s="10"/>
      <c r="X160" s="10"/>
      <c r="Y160" s="10"/>
      <c r="Z160" s="10"/>
      <c r="AA160" s="10"/>
      <c r="AB160" s="10"/>
      <c r="AC160" s="10"/>
      <c r="AD160" s="10"/>
      <c r="AE160" s="10"/>
      <c r="AF160" s="10"/>
      <c r="BN160" s="23" t="s">
        <v>668</v>
      </c>
      <c r="BT160" t="s">
        <v>487</v>
      </c>
    </row>
    <row r="161" spans="1:72" ht="12.95" customHeight="1">
      <c r="D161" t="s">
        <v>319</v>
      </c>
      <c r="O161" s="1792" t="s">
        <v>2778</v>
      </c>
      <c r="P161" s="1792"/>
      <c r="Q161" s="1792"/>
      <c r="R161" s="1792"/>
      <c r="S161" s="1792"/>
      <c r="T161" s="1792"/>
      <c r="U161" s="1792"/>
      <c r="V161" s="1792"/>
      <c r="W161" s="1792"/>
      <c r="X161" s="1792"/>
      <c r="Y161" s="1792"/>
      <c r="Z161" s="1792"/>
      <c r="AA161" s="1792"/>
      <c r="AB161" s="1792"/>
      <c r="AC161" s="1792"/>
      <c r="AD161" s="1792"/>
      <c r="AE161" s="1792"/>
      <c r="AF161" s="1792"/>
      <c r="AG161" s="1792"/>
      <c r="AH161" s="179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3" t="s">
        <v>2625</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1" t="s">
        <v>547</v>
      </c>
      <c r="B169" s="1651"/>
      <c r="C169" s="1651"/>
      <c r="D169" s="1651"/>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D169" s="1651"/>
      <c r="AE169" s="1651"/>
      <c r="AF169" s="1651"/>
      <c r="AG169" s="1651"/>
      <c r="AH169" s="1651"/>
      <c r="AI169" s="1651"/>
      <c r="AJ169" s="1651"/>
      <c r="AK169" s="1651"/>
      <c r="AL169" s="1651"/>
      <c r="AM169" s="1651"/>
      <c r="AN169" s="1651"/>
      <c r="AO169" s="1651"/>
      <c r="AP169" s="1651"/>
      <c r="AQ169" s="1651"/>
      <c r="AR169" s="1651"/>
      <c r="AS169" s="1651"/>
      <c r="AT169" s="1651"/>
      <c r="AU169" s="95"/>
      <c r="AV169" s="95"/>
      <c r="AW169" s="95"/>
      <c r="AX169" s="95"/>
      <c r="AY169" s="95"/>
      <c r="BN169" s="23" t="s">
        <v>681</v>
      </c>
      <c r="BT169" t="s">
        <v>496</v>
      </c>
    </row>
    <row r="170" spans="1:72" ht="12.95" customHeight="1">
      <c r="A170" s="1651"/>
      <c r="B170" s="1651"/>
      <c r="C170" s="1651"/>
      <c r="D170" s="1651"/>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D170" s="1651"/>
      <c r="AE170" s="1651"/>
      <c r="AF170" s="1651"/>
      <c r="AG170" s="1651"/>
      <c r="AH170" s="1651"/>
      <c r="AI170" s="1651"/>
      <c r="AJ170" s="1651"/>
      <c r="AK170" s="1651"/>
      <c r="AL170" s="1651"/>
      <c r="AM170" s="1651"/>
      <c r="AN170" s="1651"/>
      <c r="AO170" s="1651"/>
      <c r="AP170" s="1651"/>
      <c r="AQ170" s="1651"/>
      <c r="AR170" s="1651"/>
      <c r="AS170" s="1651"/>
      <c r="AT170" s="1651"/>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98" t="s">
        <v>372</v>
      </c>
      <c r="K173" s="1798"/>
      <c r="L173" s="1798"/>
      <c r="M173" s="1798"/>
      <c r="N173" s="1798"/>
      <c r="O173" s="1798"/>
      <c r="P173" s="1798"/>
      <c r="Q173" s="1798"/>
      <c r="R173" s="1798"/>
      <c r="S173" s="1798"/>
      <c r="U173" s="25"/>
      <c r="X173" s="25"/>
      <c r="BB173" s="3" t="s">
        <v>308</v>
      </c>
      <c r="BN173" s="23" t="s">
        <v>215</v>
      </c>
      <c r="BT173" t="s">
        <v>500</v>
      </c>
    </row>
    <row r="174" spans="1:72" ht="12.95" customHeight="1">
      <c r="C174" s="24"/>
      <c r="D174" s="3" t="s">
        <v>1307</v>
      </c>
      <c r="J174" s="1486" t="s">
        <v>2420</v>
      </c>
      <c r="K174" s="1486"/>
      <c r="L174" s="1486"/>
      <c r="M174" s="1486"/>
      <c r="N174" s="1486"/>
      <c r="O174" s="1486"/>
      <c r="P174" s="1486"/>
      <c r="Q174" s="1486"/>
      <c r="R174" s="1486"/>
      <c r="S174" s="1486"/>
      <c r="T174" s="1486"/>
      <c r="U174" s="1486"/>
      <c r="V174" s="1486"/>
      <c r="W174" s="1486"/>
      <c r="X174" s="1486"/>
      <c r="Y174" s="1486"/>
      <c r="Z174" s="1486"/>
      <c r="AA174" s="1486"/>
      <c r="AB174" s="1486"/>
      <c r="BB174" t="s">
        <v>2273</v>
      </c>
      <c r="BN174" s="23" t="s">
        <v>217</v>
      </c>
      <c r="BT174" t="s">
        <v>501</v>
      </c>
    </row>
    <row r="175" spans="1:72" ht="12.95" customHeight="1">
      <c r="C175" s="8"/>
      <c r="D175" s="3" t="s">
        <v>323</v>
      </c>
      <c r="O175" s="27"/>
      <c r="U175" s="1479" t="s">
        <v>677</v>
      </c>
      <c r="V175" s="1479"/>
      <c r="BB175" t="s">
        <v>2237</v>
      </c>
      <c r="BN175" s="23" t="s">
        <v>218</v>
      </c>
      <c r="BT175" t="s">
        <v>502</v>
      </c>
    </row>
    <row r="176" spans="1:72" ht="12.95" customHeight="1">
      <c r="C176" s="8"/>
      <c r="D176" s="26"/>
      <c r="E176" t="s">
        <v>305</v>
      </c>
      <c r="O176" s="27"/>
      <c r="P176" t="s">
        <v>2395</v>
      </c>
      <c r="T176" s="27" t="s">
        <v>306</v>
      </c>
      <c r="U176" s="1815" t="s">
        <v>599</v>
      </c>
      <c r="V176" s="1720"/>
      <c r="W176" s="1" t="s">
        <v>307</v>
      </c>
      <c r="X176" s="1832" t="s">
        <v>599</v>
      </c>
      <c r="Y176" s="1833"/>
      <c r="BB176" t="s">
        <v>2274</v>
      </c>
      <c r="BN176" s="23" t="s">
        <v>220</v>
      </c>
      <c r="BT176" t="s">
        <v>503</v>
      </c>
    </row>
    <row r="177" spans="1:72" ht="12.95" customHeight="1">
      <c r="C177" s="24"/>
      <c r="D177" t="s">
        <v>250</v>
      </c>
      <c r="R177" s="1479" t="s">
        <v>677</v>
      </c>
      <c r="S177" s="1479"/>
      <c r="BB177" t="s">
        <v>2579</v>
      </c>
      <c r="BN177" s="23" t="s">
        <v>221</v>
      </c>
      <c r="BT177" t="s">
        <v>504</v>
      </c>
    </row>
    <row r="178" spans="1:72" ht="12.95" customHeight="1">
      <c r="C178" s="24"/>
      <c r="D178" s="3" t="s">
        <v>1308</v>
      </c>
      <c r="AA178" t="s">
        <v>2395</v>
      </c>
      <c r="AE178" s="27" t="s">
        <v>306</v>
      </c>
      <c r="AF178" s="1816" t="s">
        <v>599</v>
      </c>
      <c r="AG178" s="1817"/>
      <c r="AH178" s="1" t="s">
        <v>307</v>
      </c>
      <c r="AI178" s="1827" t="s">
        <v>599</v>
      </c>
      <c r="AJ178" s="1683"/>
      <c r="AK178" s="1683"/>
      <c r="BB178" t="s">
        <v>2580</v>
      </c>
      <c r="BN178" s="23" t="s">
        <v>222</v>
      </c>
      <c r="BT178" t="s">
        <v>53</v>
      </c>
    </row>
    <row r="179" spans="1:72" ht="12.95" customHeight="1">
      <c r="C179" s="24"/>
      <c r="BN179" s="23" t="s">
        <v>223</v>
      </c>
      <c r="BT179" t="s">
        <v>54</v>
      </c>
    </row>
    <row r="180" spans="1:72" ht="12.95" customHeight="1">
      <c r="C180" s="24"/>
      <c r="D180" t="s">
        <v>2396</v>
      </c>
      <c r="X180" s="1479" t="s">
        <v>677</v>
      </c>
      <c r="Y180" s="1479"/>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81" t="str">
        <f>H18</f>
        <v>Kooser Apartments</v>
      </c>
      <c r="J184" s="1481"/>
      <c r="K184" s="1481"/>
      <c r="L184" s="1481"/>
      <c r="M184" s="1481"/>
      <c r="N184" s="1481"/>
      <c r="O184" s="1481"/>
      <c r="P184" s="1481"/>
      <c r="Q184" s="1481"/>
      <c r="R184" s="1481"/>
      <c r="S184" s="1481"/>
      <c r="T184" s="1481"/>
      <c r="U184" s="1481"/>
      <c r="V184" s="1481"/>
      <c r="W184" s="1481"/>
      <c r="X184" s="1481"/>
      <c r="Y184" s="1481"/>
      <c r="Z184" s="1481"/>
      <c r="AA184" s="1481"/>
      <c r="AB184" s="1481"/>
      <c r="AC184" s="1481"/>
      <c r="AD184" s="1481"/>
      <c r="AE184" s="1481"/>
      <c r="BC184" t="s">
        <v>595</v>
      </c>
      <c r="BN184" s="23" t="s">
        <v>231</v>
      </c>
      <c r="BT184" t="s">
        <v>62</v>
      </c>
    </row>
    <row r="185" spans="1:72" ht="12.95" customHeight="1">
      <c r="C185" s="21"/>
      <c r="D185" t="s">
        <v>587</v>
      </c>
      <c r="I185" s="1406" t="s">
        <v>2643</v>
      </c>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BC185" t="s">
        <v>596</v>
      </c>
      <c r="BN185" s="23" t="s">
        <v>232</v>
      </c>
      <c r="BT185" t="s">
        <v>63</v>
      </c>
    </row>
    <row r="186" spans="1:72" ht="12.95" customHeight="1">
      <c r="C186" s="21"/>
      <c r="E186" t="s">
        <v>168</v>
      </c>
      <c r="BN186" s="23" t="s">
        <v>233</v>
      </c>
      <c r="BT186" t="s">
        <v>64</v>
      </c>
    </row>
    <row r="187" spans="1:72" ht="12.95" customHeight="1">
      <c r="C187" s="21"/>
      <c r="E187" s="1823"/>
      <c r="F187" s="1824"/>
      <c r="G187" s="1824"/>
      <c r="H187" s="1824"/>
      <c r="I187" s="1824"/>
      <c r="J187" s="1824"/>
      <c r="K187" s="1824"/>
      <c r="L187" s="1824"/>
      <c r="M187" s="1824"/>
      <c r="N187" s="1824"/>
      <c r="O187" s="1824"/>
      <c r="P187" s="1824"/>
      <c r="Q187" s="1824"/>
      <c r="R187" s="1824"/>
      <c r="S187" s="1824"/>
      <c r="T187" s="1824"/>
      <c r="U187" s="1824"/>
      <c r="V187" s="1824"/>
      <c r="W187" s="1824"/>
      <c r="X187" s="1824"/>
      <c r="Y187" s="1824"/>
      <c r="Z187" s="1824"/>
      <c r="AA187" s="1824"/>
      <c r="AB187" s="1824"/>
      <c r="AC187" s="1824"/>
      <c r="AD187" s="1824"/>
      <c r="AE187" s="1824"/>
      <c r="BN187" s="23" t="s">
        <v>234</v>
      </c>
      <c r="BT187" t="s">
        <v>65</v>
      </c>
    </row>
    <row r="188" spans="1:72" ht="12.95" customHeight="1">
      <c r="C188" s="21"/>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23" t="s">
        <v>236</v>
      </c>
      <c r="BT188" t="s">
        <v>66</v>
      </c>
    </row>
    <row r="189" spans="1:72" ht="12.95" customHeight="1">
      <c r="C189" s="21"/>
      <c r="D189" t="s">
        <v>588</v>
      </c>
      <c r="I189" s="1477" t="s">
        <v>2640</v>
      </c>
      <c r="J189" s="1486"/>
      <c r="K189" s="1486"/>
      <c r="L189" s="1486"/>
      <c r="M189" s="1486"/>
      <c r="N189" s="1486"/>
      <c r="O189" s="1486"/>
      <c r="P189" s="1486"/>
      <c r="Q189" t="s">
        <v>590</v>
      </c>
      <c r="T189" s="1486" t="s">
        <v>193</v>
      </c>
      <c r="U189" s="1486"/>
      <c r="V189" s="1486"/>
      <c r="W189" s="1486"/>
      <c r="X189" s="1486"/>
      <c r="Y189" s="1486"/>
      <c r="Z189" s="1486"/>
      <c r="AA189" s="1486"/>
      <c r="AB189" s="1486"/>
      <c r="AC189" s="1486"/>
      <c r="AD189" s="1486"/>
      <c r="AE189" s="1486"/>
      <c r="BC189" t="s">
        <v>308</v>
      </c>
      <c r="BH189" s="3" t="s">
        <v>599</v>
      </c>
      <c r="BN189" s="23" t="s">
        <v>237</v>
      </c>
      <c r="BT189" t="s">
        <v>67</v>
      </c>
    </row>
    <row r="190" spans="1:72" ht="12.95" customHeight="1">
      <c r="C190" s="21"/>
      <c r="D190" t="s">
        <v>591</v>
      </c>
      <c r="I190" s="1485">
        <v>95118</v>
      </c>
      <c r="J190" s="1485"/>
      <c r="K190" s="1485"/>
      <c r="L190" s="1485"/>
      <c r="M190" s="1485"/>
      <c r="N190" s="1485"/>
      <c r="O190" t="s">
        <v>593</v>
      </c>
      <c r="T190" s="1821">
        <v>5029.1000000000004</v>
      </c>
      <c r="U190" s="1821"/>
      <c r="V190" s="1821"/>
      <c r="W190" s="1821"/>
      <c r="X190" s="1821"/>
      <c r="Y190" s="1821"/>
      <c r="Z190" s="1821"/>
      <c r="AA190" s="1821"/>
      <c r="AB190" s="1821"/>
      <c r="AC190" s="1821"/>
      <c r="AD190" s="1821"/>
      <c r="AE190" s="1821"/>
      <c r="BC190" t="s">
        <v>1064</v>
      </c>
      <c r="BH190" t="s">
        <v>1064</v>
      </c>
      <c r="BN190" s="23" t="s">
        <v>643</v>
      </c>
      <c r="BT190" t="s">
        <v>68</v>
      </c>
    </row>
    <row r="191" spans="1:72" ht="12.95" customHeight="1">
      <c r="C191" s="21"/>
      <c r="D191" t="s">
        <v>470</v>
      </c>
      <c r="N191" s="1823" t="s">
        <v>2644</v>
      </c>
      <c r="O191" s="1824"/>
      <c r="P191" s="1824"/>
      <c r="Q191" s="1824"/>
      <c r="R191" s="1824"/>
      <c r="S191" s="1824"/>
      <c r="T191" s="1824"/>
      <c r="U191" s="1824"/>
      <c r="V191" s="1824"/>
      <c r="W191" s="1824"/>
      <c r="X191" s="1824"/>
      <c r="Y191" s="1824"/>
      <c r="Z191" s="1824"/>
      <c r="AA191" s="1824"/>
      <c r="AB191" s="1824"/>
      <c r="AC191" s="1824"/>
      <c r="AD191" s="1824"/>
      <c r="AE191" s="1824"/>
      <c r="BC191" t="s">
        <v>1063</v>
      </c>
      <c r="BH191" t="s">
        <v>1063</v>
      </c>
      <c r="BN191" s="23" t="s">
        <v>697</v>
      </c>
      <c r="BT191" t="s">
        <v>736</v>
      </c>
    </row>
    <row r="192" spans="1:72" ht="12.95" customHeight="1">
      <c r="C192" s="21"/>
      <c r="M192" s="40"/>
      <c r="N192" s="1697"/>
      <c r="O192" s="1697"/>
      <c r="P192" s="1697"/>
      <c r="Q192" s="1697"/>
      <c r="R192" s="1697"/>
      <c r="S192" s="1697"/>
      <c r="T192" s="1697"/>
      <c r="U192" s="1697"/>
      <c r="V192" s="1697"/>
      <c r="W192" s="1697"/>
      <c r="X192" s="1697"/>
      <c r="Y192" s="1697"/>
      <c r="Z192" s="1697"/>
      <c r="AA192" s="1697"/>
      <c r="AB192" s="1697"/>
      <c r="AC192" s="1697"/>
      <c r="AD192" s="1697"/>
      <c r="AE192" s="1697"/>
      <c r="BC192" t="s">
        <v>1066</v>
      </c>
      <c r="BH192" s="3" t="s">
        <v>1474</v>
      </c>
      <c r="BN192" s="23" t="s">
        <v>698</v>
      </c>
      <c r="BT192" t="s">
        <v>737</v>
      </c>
    </row>
    <row r="193" spans="1:74" ht="12.95" customHeight="1">
      <c r="C193" s="21"/>
      <c r="D193" t="s">
        <v>2397</v>
      </c>
      <c r="M193" s="40"/>
      <c r="N193" s="928"/>
      <c r="O193" s="928"/>
      <c r="P193" s="928"/>
      <c r="Q193" s="928"/>
      <c r="R193" s="928"/>
      <c r="S193" s="928"/>
      <c r="T193" s="1810" t="s">
        <v>2237</v>
      </c>
      <c r="U193" s="1810"/>
      <c r="V193" s="1810"/>
      <c r="W193" s="1810"/>
      <c r="X193" s="1810"/>
      <c r="Y193" s="1810"/>
      <c r="Z193" s="1810"/>
      <c r="AA193" s="1810"/>
      <c r="AB193" s="1810"/>
      <c r="AC193" s="1810"/>
      <c r="AD193" s="1810"/>
      <c r="AE193" s="1810"/>
      <c r="AF193" s="1810"/>
      <c r="AG193" s="1810"/>
      <c r="AH193" s="1810"/>
      <c r="AI193" s="1810"/>
      <c r="BC193" t="s">
        <v>1065</v>
      </c>
      <c r="BH193" s="3" t="s">
        <v>1741</v>
      </c>
      <c r="BN193" s="23" t="s">
        <v>699</v>
      </c>
      <c r="BT193" t="s">
        <v>738</v>
      </c>
    </row>
    <row r="194" spans="1:74" ht="12.95" customHeight="1">
      <c r="C194" s="21"/>
      <c r="D194" s="3" t="s">
        <v>2581</v>
      </c>
      <c r="M194" s="40"/>
      <c r="N194" s="928"/>
      <c r="O194" s="928"/>
      <c r="P194" s="928"/>
      <c r="Q194" s="928"/>
      <c r="R194" s="928"/>
      <c r="S194" s="928"/>
      <c r="AH194" s="1479" t="s">
        <v>677</v>
      </c>
      <c r="AI194" s="1479"/>
      <c r="BC194" t="s">
        <v>1474</v>
      </c>
      <c r="BN194" s="23" t="s">
        <v>700</v>
      </c>
      <c r="BT194" t="s">
        <v>739</v>
      </c>
    </row>
    <row r="195" spans="1:74" ht="12.95" customHeight="1">
      <c r="C195" s="21"/>
      <c r="D195" t="s">
        <v>332</v>
      </c>
      <c r="T195" s="1479" t="s">
        <v>677</v>
      </c>
      <c r="U195" s="1479"/>
      <c r="W195" t="s">
        <v>693</v>
      </c>
      <c r="AH195" s="1479">
        <v>16</v>
      </c>
      <c r="AI195" s="1479"/>
      <c r="BC195" t="s">
        <v>2047</v>
      </c>
      <c r="BN195" s="23" t="s">
        <v>243</v>
      </c>
      <c r="BT195" t="s">
        <v>740</v>
      </c>
    </row>
    <row r="196" spans="1:74" ht="12.95" customHeight="1">
      <c r="C196" s="21"/>
      <c r="D196" t="s">
        <v>387</v>
      </c>
      <c r="T196" s="1380" t="s">
        <v>677</v>
      </c>
      <c r="U196" s="1380"/>
      <c r="W196" t="s">
        <v>694</v>
      </c>
      <c r="AH196" s="1479">
        <v>28</v>
      </c>
      <c r="AI196" s="1479"/>
      <c r="BN196" s="23" t="s">
        <v>244</v>
      </c>
      <c r="BT196" t="s">
        <v>69</v>
      </c>
    </row>
    <row r="197" spans="1:74" ht="12.95" customHeight="1">
      <c r="C197" s="21"/>
      <c r="D197" s="3" t="s">
        <v>169</v>
      </c>
      <c r="T197" s="1380" t="s">
        <v>677</v>
      </c>
      <c r="U197" s="1380"/>
      <c r="W197" t="s">
        <v>695</v>
      </c>
      <c r="AH197" s="1479">
        <v>15</v>
      </c>
      <c r="AI197" s="14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80">
        <v>0</v>
      </c>
      <c r="U198" s="138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79" t="s">
        <v>677</v>
      </c>
      <c r="AA199" s="147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481" t="s">
        <v>386</v>
      </c>
      <c r="E204" s="1481"/>
      <c r="F204" s="1481"/>
      <c r="G204" s="1481"/>
      <c r="H204" s="1481"/>
      <c r="I204" s="1481"/>
      <c r="J204" s="1481"/>
      <c r="K204" s="1481"/>
      <c r="L204" s="1481"/>
      <c r="M204" s="1481"/>
      <c r="P204" s="1814">
        <f>M26</f>
        <v>5933208</v>
      </c>
      <c r="Q204" s="1809"/>
      <c r="R204" s="1809"/>
      <c r="S204" s="1809"/>
      <c r="T204" s="1809"/>
      <c r="U204" s="1809"/>
      <c r="Z204" s="1807" t="s">
        <v>2629</v>
      </c>
      <c r="AA204" s="1807"/>
      <c r="AB204" s="1807"/>
      <c r="AC204" s="1807"/>
      <c r="AD204" s="1807"/>
      <c r="AE204" s="1807"/>
      <c r="AF204" s="1807"/>
      <c r="BC204" t="s">
        <v>618</v>
      </c>
      <c r="BN204" s="23" t="s">
        <v>712</v>
      </c>
      <c r="BT204" s="32" t="s">
        <v>198</v>
      </c>
      <c r="BU204" s="14"/>
    </row>
    <row r="205" spans="1:74" ht="12.95" customHeight="1">
      <c r="C205" s="21"/>
      <c r="D205" s="1806" t="s">
        <v>1354</v>
      </c>
      <c r="E205" s="1481"/>
      <c r="F205" s="1481"/>
      <c r="G205" s="1481"/>
      <c r="H205" s="1481"/>
      <c r="I205" s="1481"/>
      <c r="J205" s="1481"/>
      <c r="K205" s="1481"/>
      <c r="L205" s="1481"/>
      <c r="M205" s="1481"/>
      <c r="P205" s="1809">
        <f>M27</f>
        <v>32546795</v>
      </c>
      <c r="Q205" s="1809"/>
      <c r="R205" s="1809"/>
      <c r="S205" s="1809"/>
      <c r="T205" s="1809"/>
      <c r="U205" s="1809"/>
      <c r="V205" s="28"/>
      <c r="W205" s="3" t="s">
        <v>1909</v>
      </c>
      <c r="Z205" s="1807"/>
      <c r="AA205" s="1807"/>
      <c r="AB205" s="1807"/>
      <c r="AC205" s="1807"/>
      <c r="AD205" s="1807"/>
      <c r="AE205" s="1807"/>
      <c r="AF205" s="1807"/>
      <c r="AG205" t="s">
        <v>1355</v>
      </c>
      <c r="AP205" s="1479" t="s">
        <v>677</v>
      </c>
      <c r="AQ205" s="1479"/>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808"/>
      <c r="AA206" s="1808"/>
      <c r="AB206" s="1808"/>
      <c r="AC206" s="1808"/>
      <c r="AD206" s="1808"/>
      <c r="AE206" s="1808"/>
      <c r="AF206" s="1808"/>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478" t="s">
        <v>2779</v>
      </c>
      <c r="E208" s="1478"/>
      <c r="F208" s="1478"/>
      <c r="G208" s="1478"/>
      <c r="H208" s="1478"/>
      <c r="I208" s="1478"/>
      <c r="J208" s="1478"/>
      <c r="K208" s="1478"/>
      <c r="L208" s="1478"/>
      <c r="M208" s="1478"/>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78" t="s">
        <v>1064</v>
      </c>
      <c r="E211" s="1478"/>
      <c r="F211" s="1478"/>
      <c r="G211" s="1478"/>
      <c r="H211" s="1478"/>
      <c r="I211" s="1478"/>
      <c r="J211" s="1478"/>
      <c r="K211" s="1478"/>
      <c r="L211" s="1478"/>
      <c r="M211" s="1478"/>
      <c r="BN211" s="23" t="s">
        <v>129</v>
      </c>
      <c r="BT211" s="32" t="s">
        <v>130</v>
      </c>
    </row>
    <row r="212" spans="1:72" ht="12.95" customHeight="1">
      <c r="C212" s="21"/>
      <c r="D212" t="s">
        <v>1351</v>
      </c>
      <c r="Y212" s="1479"/>
      <c r="Z212" s="1479"/>
      <c r="AB212" s="1828">
        <f>IFERROR(Y212/AG440,"")</f>
        <v>0</v>
      </c>
      <c r="AC212" s="1829"/>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819" t="s">
        <v>599</v>
      </c>
      <c r="E214" s="1819"/>
      <c r="F214" s="1819"/>
      <c r="G214" s="1819"/>
      <c r="H214" s="1819"/>
      <c r="I214" s="1819"/>
      <c r="J214" s="1819"/>
      <c r="K214" s="1819"/>
      <c r="L214" s="1819"/>
      <c r="M214" s="1819"/>
      <c r="N214" s="1819"/>
      <c r="O214" s="1819"/>
      <c r="P214" s="1819"/>
      <c r="Q214" s="1819"/>
      <c r="R214" s="1819"/>
      <c r="S214" s="1819"/>
      <c r="T214" s="1819"/>
      <c r="U214" s="1819"/>
      <c r="V214" s="1819"/>
      <c r="W214" s="1819"/>
      <c r="X214" s="1819"/>
      <c r="Y214" s="1819"/>
      <c r="Z214" s="1819"/>
      <c r="AU214" s="21"/>
      <c r="AV214" s="21"/>
      <c r="AW214" s="21"/>
      <c r="AX214" s="21"/>
      <c r="AY214" s="21"/>
      <c r="BC214" t="s">
        <v>538</v>
      </c>
      <c r="BI214" t="s">
        <v>2635</v>
      </c>
      <c r="BN214" s="23" t="s">
        <v>327</v>
      </c>
      <c r="BT214" s="32" t="s">
        <v>206</v>
      </c>
    </row>
    <row r="215" spans="1:72" ht="12.95" customHeight="1">
      <c r="D215" s="3" t="s">
        <v>1765</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818"/>
      <c r="AC216" s="1818"/>
      <c r="AD216" s="1818"/>
      <c r="AE216" s="1818"/>
      <c r="AF216" s="1818"/>
      <c r="AG216" s="1818"/>
      <c r="AH216" s="1818"/>
      <c r="AI216" s="1818"/>
      <c r="AJ216" s="1818"/>
      <c r="AK216" s="1818"/>
      <c r="AL216" s="1818"/>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78" t="s">
        <v>1049</v>
      </c>
      <c r="E220" s="1478"/>
      <c r="F220" s="1478"/>
      <c r="G220" s="1478"/>
      <c r="H220" s="1478"/>
      <c r="I220" s="1478"/>
      <c r="J220" s="1478"/>
      <c r="K220" s="1478"/>
      <c r="L220" s="1478"/>
      <c r="M220" s="1478"/>
      <c r="N220" s="1478"/>
      <c r="O220" s="1478"/>
      <c r="P220" s="1478"/>
      <c r="Q220" s="1478"/>
      <c r="R220" s="1478"/>
      <c r="S220" s="1478"/>
      <c r="T220" s="1478"/>
      <c r="U220" s="1478"/>
      <c r="V220" s="1478"/>
      <c r="W220" s="1478"/>
      <c r="X220" s="1478"/>
      <c r="Y220" s="1478"/>
      <c r="Z220" s="1478"/>
      <c r="BA220" s="3"/>
      <c r="BC220" t="s">
        <v>301</v>
      </c>
    </row>
    <row r="221" spans="1:72" ht="12.95" customHeight="1">
      <c r="A221" s="2"/>
      <c r="B221" s="14"/>
      <c r="C221" s="2"/>
      <c r="AU221" s="95"/>
      <c r="AV221" s="95"/>
      <c r="AW221" s="95"/>
      <c r="AX221" s="95"/>
      <c r="AY221" s="95"/>
      <c r="BA221" s="3"/>
    </row>
    <row r="222" spans="1:72" ht="12.95" customHeight="1">
      <c r="A222" s="1651" t="s">
        <v>548</v>
      </c>
      <c r="B222" s="1651"/>
      <c r="C222" s="1651"/>
      <c r="D222" s="1651"/>
      <c r="E222" s="1651"/>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1651"/>
      <c r="AD222" s="1651"/>
      <c r="AE222" s="1651"/>
      <c r="AF222" s="1651"/>
      <c r="AG222" s="1651"/>
      <c r="AH222" s="1651"/>
      <c r="AI222" s="1651"/>
      <c r="AJ222" s="1651"/>
      <c r="AK222" s="1651"/>
      <c r="AL222" s="1651"/>
      <c r="AM222" s="1651"/>
      <c r="AN222" s="1651"/>
      <c r="AO222" s="1651"/>
      <c r="AP222" s="1651"/>
      <c r="AQ222" s="1651"/>
      <c r="AR222" s="1651"/>
      <c r="AS222" s="1651"/>
      <c r="AT222" s="1651"/>
      <c r="AU222" s="95"/>
      <c r="AV222" s="95"/>
      <c r="AW222" s="95"/>
      <c r="AX222" s="95"/>
      <c r="AY222" s="95"/>
      <c r="AZ222" s="3"/>
      <c r="BA222" s="3"/>
      <c r="BP222" s="34"/>
    </row>
    <row r="223" spans="1:72" ht="12.95" customHeight="1">
      <c r="A223" s="1651"/>
      <c r="B223" s="1651"/>
      <c r="C223" s="1651"/>
      <c r="D223" s="1651"/>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1651"/>
      <c r="AD223" s="1651"/>
      <c r="AE223" s="1651"/>
      <c r="AF223" s="1651"/>
      <c r="AG223" s="1651"/>
      <c r="AH223" s="1651"/>
      <c r="AI223" s="1651"/>
      <c r="AJ223" s="1651"/>
      <c r="AK223" s="1651"/>
      <c r="AL223" s="1651"/>
      <c r="AM223" s="1651"/>
      <c r="AN223" s="1651"/>
      <c r="AO223" s="1651"/>
      <c r="AP223" s="1651"/>
      <c r="AQ223" s="1651"/>
      <c r="AR223" s="1651"/>
      <c r="AS223" s="1651"/>
      <c r="AT223" s="1651"/>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79" t="s">
        <v>599</v>
      </c>
      <c r="AJ226" s="147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79" t="s">
        <v>553</v>
      </c>
      <c r="AJ227" s="1479"/>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79" t="s">
        <v>599</v>
      </c>
      <c r="AJ228" s="147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79" t="s">
        <v>599</v>
      </c>
      <c r="AJ229" s="1479"/>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22" t="str">
        <f>H16</f>
        <v xml:space="preserve">Compass for Affordable Housing </v>
      </c>
      <c r="N232" s="1822"/>
      <c r="O232" s="1822"/>
      <c r="P232" s="1822"/>
      <c r="Q232" s="1822"/>
      <c r="R232" s="1822"/>
      <c r="S232" s="1822"/>
      <c r="T232" s="1822"/>
      <c r="U232" s="1822"/>
      <c r="V232" s="1822"/>
      <c r="W232" s="1822"/>
      <c r="X232" s="1822"/>
      <c r="Y232" s="1822"/>
      <c r="Z232" s="1822"/>
      <c r="AA232" s="1822"/>
      <c r="AB232" s="1822"/>
      <c r="AC232" s="1822"/>
      <c r="AD232" s="1822"/>
      <c r="AE232" s="1822"/>
      <c r="AF232" s="1822"/>
      <c r="AG232" s="1822"/>
      <c r="AH232" s="1822"/>
      <c r="AI232" s="1822"/>
      <c r="AJ232" s="1822"/>
      <c r="AK232" s="182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77" t="s">
        <v>2752</v>
      </c>
      <c r="N233" s="1478"/>
      <c r="O233" s="1478"/>
      <c r="P233" s="1478"/>
      <c r="Q233" s="1478"/>
      <c r="R233" s="1478"/>
      <c r="S233" s="1478"/>
      <c r="T233" s="1478"/>
      <c r="U233" s="1478"/>
      <c r="V233" s="1478"/>
      <c r="W233" s="1478"/>
      <c r="X233" s="1478"/>
      <c r="Y233" s="1478"/>
      <c r="Z233" s="1478"/>
      <c r="AA233" s="1478"/>
      <c r="AB233" s="1478"/>
      <c r="AC233" s="1478"/>
      <c r="AD233" s="1478"/>
      <c r="AE233" s="1478"/>
      <c r="BB233" s="219" t="s">
        <v>546</v>
      </c>
      <c r="BG233" s="259">
        <f>IF(AND(AND($M$249="nonprofit",$M$257="for profit",$M$265="nonprofit")),2,0)</f>
        <v>0</v>
      </c>
    </row>
    <row r="234" spans="1:69" ht="12.95" customHeight="1">
      <c r="D234" s="4" t="s">
        <v>588</v>
      </c>
      <c r="E234" s="4"/>
      <c r="M234" s="1477" t="s">
        <v>738</v>
      </c>
      <c r="N234" s="1478"/>
      <c r="O234" s="1478"/>
      <c r="P234" s="1478"/>
      <c r="Q234" s="1478"/>
      <c r="R234" s="1478"/>
      <c r="S234" s="1478"/>
      <c r="T234" s="1478"/>
      <c r="V234" s="33" t="s">
        <v>86</v>
      </c>
      <c r="W234" s="1406" t="s">
        <v>2646</v>
      </c>
      <c r="X234" s="1515"/>
      <c r="Y234" s="4" t="s">
        <v>591</v>
      </c>
      <c r="AC234" s="1478">
        <v>92128</v>
      </c>
      <c r="AD234" s="1478"/>
      <c r="AE234" s="1478"/>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77" t="s">
        <v>2748</v>
      </c>
      <c r="N235" s="1478"/>
      <c r="O235" s="1478"/>
      <c r="P235" s="1478"/>
      <c r="Q235" s="1478"/>
      <c r="R235" s="1478"/>
      <c r="S235" s="1478"/>
      <c r="T235" s="1478"/>
      <c r="U235" s="1478"/>
      <c r="V235" s="1478"/>
      <c r="W235" s="1478"/>
      <c r="X235" s="1478"/>
      <c r="Y235" s="1478"/>
      <c r="Z235" s="1478"/>
      <c r="AA235" s="1478"/>
      <c r="AB235" s="1478"/>
      <c r="AC235" s="1478"/>
      <c r="AD235" s="1478"/>
      <c r="AE235" s="1478"/>
      <c r="AI235" s="4"/>
      <c r="AJ235" s="4"/>
      <c r="AK235" s="4"/>
      <c r="AL235" s="4"/>
      <c r="AM235" s="4"/>
      <c r="AN235" s="4"/>
      <c r="AO235" s="4"/>
      <c r="AP235" s="4"/>
      <c r="AQ235" s="4"/>
      <c r="AR235" s="4"/>
      <c r="AS235" s="4"/>
      <c r="AT235" s="4"/>
      <c r="BB235" s="219"/>
      <c r="BG235" s="218"/>
    </row>
    <row r="236" spans="1:69" ht="12.95" customHeight="1">
      <c r="D236" s="4" t="s">
        <v>88</v>
      </c>
      <c r="E236" s="4"/>
      <c r="F236" s="4"/>
      <c r="M236" s="1547" t="s">
        <v>2749</v>
      </c>
      <c r="N236" s="1480"/>
      <c r="O236" s="1480"/>
      <c r="P236" s="1480"/>
      <c r="Q236" s="1480"/>
      <c r="R236" s="1480"/>
      <c r="S236" s="4" t="s">
        <v>207</v>
      </c>
      <c r="T236" s="4"/>
      <c r="U236" s="1406" t="s">
        <v>599</v>
      </c>
      <c r="V236" s="1515"/>
      <c r="W236" s="1515"/>
      <c r="X236" s="4" t="s">
        <v>89</v>
      </c>
      <c r="Z236" s="1547" t="s">
        <v>599</v>
      </c>
      <c r="AA236" s="1480"/>
      <c r="AB236" s="1480"/>
      <c r="AC236" s="1480"/>
      <c r="AD236" s="1480"/>
      <c r="AE236" s="1480"/>
      <c r="AU236" s="4"/>
      <c r="AV236" s="4"/>
      <c r="AW236" s="4"/>
      <c r="AX236" s="4"/>
      <c r="AY236" s="4"/>
      <c r="AZ236" s="4"/>
      <c r="BB236" s="218" t="s">
        <v>545</v>
      </c>
      <c r="BG236" s="259">
        <f>IF(AND(AND($M$249="nonprofit",$M$257="nonprofit",$M$265="(select one)")),1,0)</f>
        <v>0</v>
      </c>
    </row>
    <row r="237" spans="1:69" ht="12.95" customHeight="1">
      <c r="D237" s="4" t="s">
        <v>90</v>
      </c>
      <c r="E237" s="4"/>
      <c r="F237" s="4"/>
      <c r="M237" s="1792" t="s">
        <v>2750</v>
      </c>
      <c r="N237" s="1792"/>
      <c r="O237" s="1792"/>
      <c r="P237" s="1792"/>
      <c r="Q237" s="1792"/>
      <c r="R237" s="1792"/>
      <c r="S237" s="1792"/>
      <c r="T237" s="1792"/>
      <c r="U237" s="1792"/>
      <c r="V237" s="1792"/>
      <c r="W237" s="1792"/>
      <c r="X237" s="1792"/>
      <c r="Y237" s="1792"/>
      <c r="Z237" s="1792"/>
      <c r="AA237" s="1792"/>
      <c r="AB237" s="1792"/>
      <c r="AC237" s="1792"/>
      <c r="AD237" s="1792"/>
      <c r="AE237" s="179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85" t="s">
        <v>378</v>
      </c>
      <c r="N238" s="1485"/>
      <c r="O238" s="1485"/>
      <c r="P238" s="1485"/>
      <c r="Q238" s="1485"/>
      <c r="R238" s="1485"/>
      <c r="S238" s="1485"/>
      <c r="T238" s="1485"/>
      <c r="U238" s="218" t="s">
        <v>921</v>
      </c>
      <c r="V238" s="218"/>
      <c r="W238" s="218"/>
      <c r="X238" s="218"/>
      <c r="Y238" s="218"/>
      <c r="Z238" s="218"/>
      <c r="AA238" s="1825" t="s">
        <v>599</v>
      </c>
      <c r="AB238" s="1826"/>
      <c r="AC238" s="1826"/>
      <c r="AD238" s="1826"/>
      <c r="AE238" s="1826"/>
      <c r="AF238" s="1826"/>
      <c r="AG238" s="1826"/>
      <c r="AH238" s="1826"/>
      <c r="AI238" s="1826"/>
      <c r="AJ238" s="1826"/>
      <c r="AK238" s="1826"/>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77" t="s">
        <v>599</v>
      </c>
      <c r="N239" s="1486"/>
      <c r="O239" s="1486"/>
      <c r="P239" s="1486"/>
      <c r="Q239" s="1486"/>
      <c r="R239" s="1486"/>
      <c r="S239" s="1486"/>
      <c r="T239" s="1486"/>
      <c r="U239" s="1486"/>
      <c r="V239" s="1486"/>
      <c r="W239" s="1486"/>
      <c r="X239" s="1486"/>
      <c r="Y239" s="1486"/>
      <c r="Z239" s="1486"/>
      <c r="AA239" s="1486"/>
      <c r="AB239" s="1486"/>
      <c r="AC239" s="1486"/>
      <c r="AD239" s="1486"/>
      <c r="AE239" s="148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95" t="s">
        <v>2649</v>
      </c>
      <c r="N243" s="1796"/>
      <c r="O243" s="1796"/>
      <c r="P243" s="1796"/>
      <c r="Q243" s="1796"/>
      <c r="R243" s="1796"/>
      <c r="S243" s="1796"/>
      <c r="T243" s="1796"/>
      <c r="U243" s="1796"/>
      <c r="V243" s="1796"/>
      <c r="W243" s="1796"/>
      <c r="X243" s="1796"/>
      <c r="Y243" s="1796"/>
      <c r="Z243" s="1796"/>
      <c r="AA243" s="1796"/>
      <c r="AB243" s="1796"/>
      <c r="AC243" s="1796"/>
      <c r="AD243" s="1796"/>
      <c r="AE243" s="1796"/>
      <c r="AF243" s="1796" t="s">
        <v>2650</v>
      </c>
      <c r="AG243" s="1796"/>
      <c r="AH243" s="1796"/>
      <c r="AI243" s="1796"/>
      <c r="AJ243" s="1796"/>
      <c r="AK243" s="179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77" t="s">
        <v>2645</v>
      </c>
      <c r="N244" s="1478"/>
      <c r="O244" s="1478"/>
      <c r="P244" s="1478"/>
      <c r="Q244" s="1478"/>
      <c r="R244" s="1478"/>
      <c r="S244" s="1478"/>
      <c r="T244" s="1478"/>
      <c r="U244" s="1478"/>
      <c r="V244" s="1478"/>
      <c r="W244" s="1478"/>
      <c r="X244" s="1478"/>
      <c r="Y244" s="1478"/>
      <c r="Z244" s="1478"/>
      <c r="AA244" s="1478"/>
      <c r="AB244" s="1478"/>
      <c r="AC244" s="1478"/>
      <c r="AD244" s="1478"/>
      <c r="AE244" s="1478"/>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77" t="s">
        <v>738</v>
      </c>
      <c r="N245" s="1478"/>
      <c r="O245" s="1478"/>
      <c r="P245" s="1478"/>
      <c r="Q245" s="1478"/>
      <c r="R245" s="1478"/>
      <c r="S245" s="1478"/>
      <c r="T245" s="1478"/>
      <c r="V245" s="33" t="s">
        <v>86</v>
      </c>
      <c r="W245" s="1406" t="s">
        <v>2646</v>
      </c>
      <c r="X245" s="1515"/>
      <c r="Y245" s="4" t="s">
        <v>591</v>
      </c>
      <c r="AC245" s="1478">
        <v>92128</v>
      </c>
      <c r="AD245" s="1478"/>
      <c r="AE245" s="1478"/>
      <c r="AF245" s="3" t="s">
        <v>1285</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77" t="s">
        <v>2647</v>
      </c>
      <c r="N246" s="1478"/>
      <c r="O246" s="1478"/>
      <c r="P246" s="1478"/>
      <c r="Q246" s="1478"/>
      <c r="R246" s="1478"/>
      <c r="S246" s="1478"/>
      <c r="T246" s="1478"/>
      <c r="U246" s="1478"/>
      <c r="V246" s="1478"/>
      <c r="W246" s="1478"/>
      <c r="X246" s="1478"/>
      <c r="Y246" s="1478"/>
      <c r="Z246" s="1478"/>
      <c r="AA246" s="1478"/>
      <c r="AB246" s="1478"/>
      <c r="AC246" s="1478"/>
      <c r="AD246" s="1478"/>
      <c r="AE246" s="1478"/>
      <c r="AH246" s="1804">
        <v>0.99</v>
      </c>
      <c r="AI246" s="1804"/>
      <c r="AJ246" s="1804"/>
      <c r="AK246" s="1804"/>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47" t="s">
        <v>2648</v>
      </c>
      <c r="N247" s="1480"/>
      <c r="O247" s="1480"/>
      <c r="P247" s="1480"/>
      <c r="Q247" s="1480"/>
      <c r="R247" s="1480"/>
      <c r="S247" s="4" t="s">
        <v>207</v>
      </c>
      <c r="T247" s="4"/>
      <c r="U247" s="1515"/>
      <c r="V247" s="1515"/>
      <c r="W247" s="1515"/>
      <c r="X247" s="4" t="s">
        <v>89</v>
      </c>
      <c r="Z247" s="1547" t="s">
        <v>2751</v>
      </c>
      <c r="AA247" s="1480"/>
      <c r="AB247" s="1480"/>
      <c r="AC247" s="1480"/>
      <c r="AD247" s="1480"/>
      <c r="AE247" s="1480"/>
      <c r="AU247" s="4"/>
      <c r="AV247" s="4"/>
      <c r="AW247" s="4"/>
      <c r="AX247" s="4"/>
      <c r="AY247" s="4"/>
      <c r="BG247">
        <v>0</v>
      </c>
      <c r="BH247" s="3"/>
      <c r="BN247" s="34"/>
    </row>
    <row r="248" spans="1:71" ht="12.95" customHeight="1">
      <c r="A248" s="19"/>
      <c r="B248" s="4"/>
      <c r="C248" s="4"/>
      <c r="D248" s="4" t="s">
        <v>90</v>
      </c>
      <c r="E248" s="4"/>
      <c r="F248" s="4"/>
      <c r="M248" s="1792" t="s">
        <v>2651</v>
      </c>
      <c r="N248" s="1792"/>
      <c r="O248" s="1792"/>
      <c r="P248" s="1792"/>
      <c r="Q248" s="1792"/>
      <c r="R248" s="1792"/>
      <c r="S248" s="1792"/>
      <c r="T248" s="1792"/>
      <c r="U248" s="1792"/>
      <c r="V248" s="1792"/>
      <c r="W248" s="1792"/>
      <c r="X248" s="1792"/>
      <c r="Y248" s="1792"/>
      <c r="Z248" s="1792"/>
      <c r="AA248" s="1792"/>
      <c r="AB248" s="1792"/>
      <c r="AC248" s="1792"/>
      <c r="AD248" s="1792"/>
      <c r="AE248" s="179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85" t="s">
        <v>544</v>
      </c>
      <c r="N249" s="1485"/>
      <c r="O249" s="1485"/>
      <c r="P249" s="1485"/>
      <c r="Q249" s="1485"/>
      <c r="R249" s="1485"/>
      <c r="S249" s="1485"/>
      <c r="T249" s="1485"/>
      <c r="U249" s="218" t="s">
        <v>921</v>
      </c>
      <c r="V249" s="218"/>
      <c r="W249" s="218"/>
      <c r="X249" s="218"/>
      <c r="Y249" s="218"/>
      <c r="Z249" s="218"/>
      <c r="AA249" s="1825" t="s">
        <v>2659</v>
      </c>
      <c r="AB249" s="1826"/>
      <c r="AC249" s="1826"/>
      <c r="AD249" s="1826"/>
      <c r="AE249" s="1826"/>
      <c r="AF249" s="1826"/>
      <c r="AG249" s="1826"/>
      <c r="AH249" s="1826"/>
      <c r="AI249" s="1826"/>
      <c r="AJ249" s="1826"/>
      <c r="AK249" s="182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95" t="s">
        <v>2652</v>
      </c>
      <c r="N251" s="1796"/>
      <c r="O251" s="1796"/>
      <c r="P251" s="1796"/>
      <c r="Q251" s="1796"/>
      <c r="R251" s="1796"/>
      <c r="S251" s="1796"/>
      <c r="T251" s="1796"/>
      <c r="U251" s="1796"/>
      <c r="V251" s="1796"/>
      <c r="W251" s="1796"/>
      <c r="X251" s="1796"/>
      <c r="Y251" s="1796"/>
      <c r="Z251" s="1796"/>
      <c r="AA251" s="1796"/>
      <c r="AB251" s="1796"/>
      <c r="AC251" s="1796"/>
      <c r="AD251" s="1796"/>
      <c r="AE251" s="1796"/>
      <c r="AF251" s="1796" t="s">
        <v>2653</v>
      </c>
      <c r="AG251" s="1796"/>
      <c r="AH251" s="1796"/>
      <c r="AI251" s="1796"/>
      <c r="AJ251" s="1796"/>
      <c r="AK251" s="1796"/>
      <c r="AU251" s="4"/>
      <c r="AV251" s="4"/>
      <c r="AW251" s="4"/>
      <c r="AX251" s="4"/>
      <c r="AY251" s="4"/>
      <c r="BN251" s="34"/>
    </row>
    <row r="252" spans="1:71" ht="12.95" customHeight="1">
      <c r="A252" s="19"/>
      <c r="B252" s="4"/>
      <c r="C252" s="4"/>
      <c r="D252" s="4" t="s">
        <v>85</v>
      </c>
      <c r="E252" s="4"/>
      <c r="F252" s="4"/>
      <c r="G252" s="4"/>
      <c r="H252" s="4"/>
      <c r="I252" s="4"/>
      <c r="J252" s="4"/>
      <c r="K252" s="4"/>
      <c r="L252" s="4"/>
      <c r="M252" s="1477" t="s">
        <v>2752</v>
      </c>
      <c r="N252" s="1478"/>
      <c r="O252" s="1478"/>
      <c r="P252" s="1478"/>
      <c r="Q252" s="1478"/>
      <c r="R252" s="1478"/>
      <c r="S252" s="1478"/>
      <c r="T252" s="1478"/>
      <c r="U252" s="1478"/>
      <c r="V252" s="1478"/>
      <c r="W252" s="1478"/>
      <c r="X252" s="1478"/>
      <c r="Y252" s="1478"/>
      <c r="Z252" s="1478"/>
      <c r="AA252" s="1478"/>
      <c r="AB252" s="1478"/>
      <c r="AC252" s="1478"/>
      <c r="AD252" s="1478"/>
      <c r="AE252" s="1478"/>
      <c r="AF252" s="3" t="s">
        <v>1284</v>
      </c>
      <c r="AL252" s="4"/>
      <c r="AM252" s="4"/>
      <c r="AN252" s="4"/>
      <c r="AO252" s="4"/>
      <c r="AP252" s="4"/>
      <c r="AQ252" s="4"/>
      <c r="AR252" s="4"/>
      <c r="AS252" s="4"/>
      <c r="AT252" s="4"/>
      <c r="BN252" s="34"/>
    </row>
    <row r="253" spans="1:71" ht="12.95" customHeight="1">
      <c r="A253" s="19"/>
      <c r="B253" s="4"/>
      <c r="C253" s="4"/>
      <c r="D253" s="4" t="s">
        <v>588</v>
      </c>
      <c r="E253" s="4"/>
      <c r="M253" s="1477" t="s">
        <v>738</v>
      </c>
      <c r="N253" s="1478"/>
      <c r="O253" s="1478"/>
      <c r="P253" s="1478"/>
      <c r="Q253" s="1478"/>
      <c r="R253" s="1478"/>
      <c r="S253" s="1478"/>
      <c r="T253" s="1478"/>
      <c r="V253" s="33" t="s">
        <v>86</v>
      </c>
      <c r="W253" s="1406" t="s">
        <v>2646</v>
      </c>
      <c r="X253" s="1515"/>
      <c r="Y253" s="4" t="s">
        <v>591</v>
      </c>
      <c r="AC253" s="1478">
        <v>92128</v>
      </c>
      <c r="AD253" s="1478"/>
      <c r="AE253" s="147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77" t="s">
        <v>2748</v>
      </c>
      <c r="N254" s="1478"/>
      <c r="O254" s="1478"/>
      <c r="P254" s="1478"/>
      <c r="Q254" s="1478"/>
      <c r="R254" s="1478"/>
      <c r="S254" s="1478"/>
      <c r="T254" s="1478"/>
      <c r="U254" s="1478"/>
      <c r="V254" s="1478"/>
      <c r="W254" s="1478"/>
      <c r="X254" s="1478"/>
      <c r="Y254" s="1478"/>
      <c r="Z254" s="1478"/>
      <c r="AA254" s="1478"/>
      <c r="AB254" s="1478"/>
      <c r="AC254" s="1478"/>
      <c r="AD254" s="1478"/>
      <c r="AE254" s="1478"/>
      <c r="AH254" s="1804">
        <v>0.01</v>
      </c>
      <c r="AI254" s="1804"/>
      <c r="AJ254" s="1804"/>
      <c r="AK254" s="1804"/>
      <c r="AL254" s="4"/>
      <c r="AM254" s="4"/>
      <c r="AN254" s="4"/>
      <c r="AO254" s="4"/>
      <c r="AP254" s="4"/>
      <c r="AQ254" s="4"/>
      <c r="AR254" s="4"/>
      <c r="AS254" s="4"/>
      <c r="AT254" s="4"/>
    </row>
    <row r="255" spans="1:71" ht="12.95" customHeight="1">
      <c r="A255" s="19"/>
      <c r="B255" s="4"/>
      <c r="C255" s="4"/>
      <c r="D255" s="4" t="s">
        <v>88</v>
      </c>
      <c r="E255" s="4"/>
      <c r="F255" s="4"/>
      <c r="M255" s="1480" t="s">
        <v>2749</v>
      </c>
      <c r="N255" s="1480"/>
      <c r="O255" s="1480"/>
      <c r="P255" s="1480"/>
      <c r="Q255" s="1480"/>
      <c r="R255" s="1480"/>
      <c r="S255" s="4" t="s">
        <v>207</v>
      </c>
      <c r="T255" s="4"/>
      <c r="U255" s="1406" t="s">
        <v>599</v>
      </c>
      <c r="V255" s="1515"/>
      <c r="W255" s="1515"/>
      <c r="X255" s="4" t="s">
        <v>89</v>
      </c>
      <c r="Z255" s="1547" t="s">
        <v>599</v>
      </c>
      <c r="AA255" s="1480"/>
      <c r="AB255" s="1480"/>
      <c r="AC255" s="1480"/>
      <c r="AD255" s="1480"/>
      <c r="AE255" s="1480"/>
      <c r="AU255" s="4"/>
      <c r="AV255" s="4"/>
      <c r="AW255" s="4"/>
      <c r="AX255" s="4"/>
      <c r="AY255" s="4"/>
      <c r="BN255" s="34"/>
    </row>
    <row r="256" spans="1:71" ht="12.95" customHeight="1">
      <c r="A256" s="19"/>
      <c r="B256" s="4"/>
      <c r="C256" s="4"/>
      <c r="D256" s="4" t="s">
        <v>90</v>
      </c>
      <c r="E256" s="4"/>
      <c r="F256" s="4"/>
      <c r="M256" s="1792" t="s">
        <v>2750</v>
      </c>
      <c r="N256" s="1792"/>
      <c r="O256" s="1792"/>
      <c r="P256" s="1792"/>
      <c r="Q256" s="1792"/>
      <c r="R256" s="1792"/>
      <c r="S256" s="1792"/>
      <c r="T256" s="1792"/>
      <c r="U256" s="1792"/>
      <c r="V256" s="1792"/>
      <c r="W256" s="1792"/>
      <c r="X256" s="1792"/>
      <c r="Y256" s="1792"/>
      <c r="Z256" s="1792"/>
      <c r="AA256" s="1792"/>
      <c r="AB256" s="1792"/>
      <c r="AC256" s="1792"/>
      <c r="AD256" s="1792"/>
      <c r="AE256" s="179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85" t="s">
        <v>542</v>
      </c>
      <c r="N257" s="1485"/>
      <c r="O257" s="1485"/>
      <c r="P257" s="1485"/>
      <c r="Q257" s="1485"/>
      <c r="R257" s="1485"/>
      <c r="S257" s="1485"/>
      <c r="T257" s="1485"/>
      <c r="U257" s="218" t="s">
        <v>921</v>
      </c>
      <c r="V257" s="218"/>
      <c r="W257" s="218"/>
      <c r="X257" s="218"/>
      <c r="Y257" s="218"/>
      <c r="Z257" s="218"/>
      <c r="AA257" s="1825" t="s">
        <v>2654</v>
      </c>
      <c r="AB257" s="1826"/>
      <c r="AC257" s="1826"/>
      <c r="AD257" s="1826"/>
      <c r="AE257" s="1826"/>
      <c r="AF257" s="1826"/>
      <c r="AG257" s="1826"/>
      <c r="AH257" s="1826"/>
      <c r="AI257" s="1826"/>
      <c r="AJ257" s="1826"/>
      <c r="AK257" s="182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96"/>
      <c r="N259" s="1796"/>
      <c r="O259" s="1796"/>
      <c r="P259" s="1796"/>
      <c r="Q259" s="1796"/>
      <c r="R259" s="1796"/>
      <c r="S259" s="1796"/>
      <c r="T259" s="1796"/>
      <c r="U259" s="1796"/>
      <c r="V259" s="1796"/>
      <c r="W259" s="1796"/>
      <c r="X259" s="1796"/>
      <c r="Y259" s="1796"/>
      <c r="Z259" s="1796"/>
      <c r="AA259" s="1796"/>
      <c r="AB259" s="1796"/>
      <c r="AC259" s="1796"/>
      <c r="AD259" s="1796"/>
      <c r="AE259" s="1796"/>
      <c r="AF259" s="1796" t="s">
        <v>308</v>
      </c>
      <c r="AG259" s="1796"/>
      <c r="AH259" s="1796"/>
      <c r="AI259" s="1796"/>
      <c r="AJ259" s="1796"/>
      <c r="AK259" s="179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8"/>
      <c r="N260" s="1478"/>
      <c r="O260" s="1478"/>
      <c r="P260" s="1478"/>
      <c r="Q260" s="1478"/>
      <c r="R260" s="1478"/>
      <c r="S260" s="1478"/>
      <c r="T260" s="1478"/>
      <c r="U260" s="1478"/>
      <c r="V260" s="1478"/>
      <c r="W260" s="1478"/>
      <c r="X260" s="1478"/>
      <c r="Y260" s="1478"/>
      <c r="Z260" s="1478"/>
      <c r="AA260" s="1478"/>
      <c r="AB260" s="1478"/>
      <c r="AC260" s="1478"/>
      <c r="AD260" s="1478"/>
      <c r="AE260" s="147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78"/>
      <c r="N261" s="1478"/>
      <c r="O261" s="1478"/>
      <c r="P261" s="1478"/>
      <c r="Q261" s="1478"/>
      <c r="R261" s="1478"/>
      <c r="S261" s="1478"/>
      <c r="T261" s="1478"/>
      <c r="V261" s="33" t="s">
        <v>86</v>
      </c>
      <c r="W261" s="1515"/>
      <c r="X261" s="1515"/>
      <c r="Y261" s="4" t="s">
        <v>591</v>
      </c>
      <c r="AC261" s="1478"/>
      <c r="AD261" s="1478"/>
      <c r="AE261" s="147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8"/>
      <c r="N262" s="1478"/>
      <c r="O262" s="1478"/>
      <c r="P262" s="1478"/>
      <c r="Q262" s="1478"/>
      <c r="R262" s="1478"/>
      <c r="S262" s="1478"/>
      <c r="T262" s="1478"/>
      <c r="U262" s="1478"/>
      <c r="V262" s="1478"/>
      <c r="W262" s="1478"/>
      <c r="X262" s="1478"/>
      <c r="Y262" s="1478"/>
      <c r="Z262" s="1478"/>
      <c r="AA262" s="1478"/>
      <c r="AB262" s="1478"/>
      <c r="AC262" s="1478"/>
      <c r="AD262" s="1478"/>
      <c r="AE262" s="1478"/>
      <c r="AH262" s="1804"/>
      <c r="AI262" s="1804"/>
      <c r="AJ262" s="1804"/>
      <c r="AK262" s="180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0"/>
      <c r="N263" s="1480"/>
      <c r="O263" s="1480"/>
      <c r="P263" s="1480"/>
      <c r="Q263" s="1480"/>
      <c r="R263" s="1480"/>
      <c r="S263" s="4" t="s">
        <v>207</v>
      </c>
      <c r="T263" s="4"/>
      <c r="U263" s="1515"/>
      <c r="V263" s="1515"/>
      <c r="W263" s="1515"/>
      <c r="X263" s="4" t="s">
        <v>89</v>
      </c>
      <c r="Z263" s="1480"/>
      <c r="AA263" s="1480"/>
      <c r="AB263" s="1480"/>
      <c r="AC263" s="1480"/>
      <c r="AD263" s="1480"/>
      <c r="AE263" s="148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2"/>
      <c r="N264" s="1792"/>
      <c r="O264" s="1792"/>
      <c r="P264" s="1792"/>
      <c r="Q264" s="1792"/>
      <c r="R264" s="1792"/>
      <c r="S264" s="1792"/>
      <c r="T264" s="1792"/>
      <c r="U264" s="1792"/>
      <c r="V264" s="1792"/>
      <c r="W264" s="1792"/>
      <c r="X264" s="1792"/>
      <c r="Y264" s="1792"/>
      <c r="Z264" s="1792"/>
      <c r="AA264" s="1838"/>
      <c r="AB264" s="1838"/>
      <c r="AC264" s="1838"/>
      <c r="AD264" s="1838"/>
      <c r="AE264" s="18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85" t="s">
        <v>308</v>
      </c>
      <c r="N265" s="1485"/>
      <c r="O265" s="1485"/>
      <c r="P265" s="1485"/>
      <c r="Q265" s="1485"/>
      <c r="R265" s="1485"/>
      <c r="S265" s="1485"/>
      <c r="T265" s="1485"/>
      <c r="U265" s="218" t="s">
        <v>921</v>
      </c>
      <c r="V265" s="218"/>
      <c r="W265" s="218"/>
      <c r="X265" s="218"/>
      <c r="Y265" s="218"/>
      <c r="Z265" s="218"/>
      <c r="AA265" s="1835"/>
      <c r="AB265" s="1835"/>
      <c r="AC265" s="1835"/>
      <c r="AD265" s="1835"/>
      <c r="AE265" s="1835"/>
      <c r="AF265" s="1835"/>
      <c r="AG265" s="1835"/>
      <c r="AH265" s="1835"/>
      <c r="AI265" s="1835"/>
      <c r="AJ265" s="1835"/>
      <c r="AK265" s="183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20" t="str">
        <f>IFERROR(BO245,"")</f>
        <v>Joint Venture</v>
      </c>
      <c r="U267" s="1820"/>
      <c r="V267" s="1820"/>
      <c r="W267" s="1820"/>
      <c r="X267" s="182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78" t="s">
        <v>281</v>
      </c>
      <c r="E270" s="1478"/>
      <c r="F270" s="1478"/>
      <c r="G270" s="1478"/>
      <c r="H270" s="1478"/>
      <c r="J270" t="s">
        <v>280</v>
      </c>
      <c r="X270" s="1836" t="s">
        <v>599</v>
      </c>
      <c r="Y270" s="1545"/>
      <c r="Z270" s="1545"/>
      <c r="AA270" s="1545"/>
      <c r="AB270" s="1545"/>
      <c r="AC270" s="154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95" t="s">
        <v>2655</v>
      </c>
      <c r="M274" s="1796"/>
      <c r="N274" s="1796"/>
      <c r="O274" s="1796"/>
      <c r="P274" s="1796"/>
      <c r="Q274" s="1796"/>
      <c r="R274" s="1796"/>
      <c r="S274" s="1796"/>
      <c r="T274" s="1796"/>
      <c r="U274" s="1796"/>
      <c r="V274" s="1796"/>
      <c r="W274" s="1796"/>
      <c r="X274" s="1796"/>
      <c r="Y274" s="1796"/>
      <c r="Z274" s="1796"/>
      <c r="AA274" s="1796"/>
      <c r="AB274" s="1796"/>
      <c r="AC274" s="1796"/>
      <c r="AD274" s="1796"/>
      <c r="AE274" s="1796"/>
      <c r="AF274" s="1796"/>
      <c r="AG274" s="1796"/>
      <c r="AH274" s="1796"/>
      <c r="AI274" s="1796"/>
      <c r="AJ274" s="179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7" t="s">
        <v>2645</v>
      </c>
      <c r="M275" s="1478"/>
      <c r="N275" s="1478"/>
      <c r="O275" s="1478"/>
      <c r="P275" s="1478"/>
      <c r="Q275" s="1478"/>
      <c r="R275" s="1478"/>
      <c r="S275" s="1478"/>
      <c r="T275" s="1478"/>
      <c r="U275" s="1478"/>
      <c r="V275" s="1478"/>
      <c r="W275" s="1478"/>
      <c r="X275" s="1478"/>
      <c r="Y275" s="1478"/>
      <c r="Z275" s="1478"/>
      <c r="AA275" s="1478"/>
      <c r="AB275" s="1478"/>
      <c r="AC275" s="1478"/>
      <c r="AD275" s="1478"/>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77" t="s">
        <v>738</v>
      </c>
      <c r="M276" s="1478"/>
      <c r="N276" s="1478"/>
      <c r="O276" s="1478"/>
      <c r="P276" s="1478"/>
      <c r="Q276" s="1478"/>
      <c r="R276" s="1478"/>
      <c r="S276" s="1478"/>
      <c r="U276" s="33" t="s">
        <v>86</v>
      </c>
      <c r="V276" s="1406" t="s">
        <v>2646</v>
      </c>
      <c r="W276" s="1515"/>
      <c r="X276" s="4" t="s">
        <v>591</v>
      </c>
      <c r="AB276" s="1478">
        <v>92128</v>
      </c>
      <c r="AC276" s="1478"/>
      <c r="AD276" s="147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7" t="s">
        <v>2656</v>
      </c>
      <c r="M277" s="1478"/>
      <c r="N277" s="1478"/>
      <c r="O277" s="1478"/>
      <c r="P277" s="1478"/>
      <c r="Q277" s="1478"/>
      <c r="R277" s="1478"/>
      <c r="S277" s="1478"/>
      <c r="T277" s="1478"/>
      <c r="U277" s="1478"/>
      <c r="V277" s="1478"/>
      <c r="W277" s="1478"/>
      <c r="X277" s="1478"/>
      <c r="Y277" s="1478"/>
      <c r="Z277" s="1478"/>
      <c r="AA277" s="1478"/>
      <c r="AB277" s="1478"/>
      <c r="AC277" s="1478"/>
      <c r="AD277" s="1478"/>
      <c r="AI277" s="4"/>
      <c r="AJ277" s="4"/>
      <c r="AK277" s="3"/>
      <c r="AL277" s="3"/>
      <c r="AM277" s="3"/>
      <c r="AN277" s="3"/>
      <c r="AO277" s="3"/>
      <c r="AP277" s="3"/>
      <c r="AQ277" s="3"/>
      <c r="AR277" s="3"/>
      <c r="AS277" s="3"/>
      <c r="AT277" s="3"/>
      <c r="BN277" s="34"/>
    </row>
    <row r="278" spans="1:66" ht="12.95" customHeight="1">
      <c r="D278" s="4" t="s">
        <v>88</v>
      </c>
      <c r="E278" s="4"/>
      <c r="F278" s="4"/>
      <c r="L278" s="1547" t="s">
        <v>2657</v>
      </c>
      <c r="M278" s="1480"/>
      <c r="N278" s="1480"/>
      <c r="O278" s="1480"/>
      <c r="P278" s="1480"/>
      <c r="Q278" s="1480"/>
      <c r="R278" s="4" t="s">
        <v>207</v>
      </c>
      <c r="S278" s="4"/>
      <c r="T278" s="1515" t="s">
        <v>599</v>
      </c>
      <c r="U278" s="1515"/>
      <c r="V278" s="1515"/>
      <c r="W278" s="4" t="s">
        <v>89</v>
      </c>
      <c r="Y278" s="1480" t="s">
        <v>599</v>
      </c>
      <c r="Z278" s="1480"/>
      <c r="AA278" s="1480"/>
      <c r="AB278" s="1480"/>
      <c r="AC278" s="1480"/>
      <c r="AD278" s="1480"/>
      <c r="BN278" s="34"/>
    </row>
    <row r="279" spans="1:66" ht="12.95" customHeight="1">
      <c r="D279" s="4" t="s">
        <v>90</v>
      </c>
      <c r="E279" s="4"/>
      <c r="F279" s="4"/>
      <c r="L279" s="1792" t="s">
        <v>2658</v>
      </c>
      <c r="M279" s="1792"/>
      <c r="N279" s="1792"/>
      <c r="O279" s="1792"/>
      <c r="P279" s="1792"/>
      <c r="Q279" s="1792"/>
      <c r="R279" s="1792"/>
      <c r="S279" s="1792"/>
      <c r="T279" s="1792"/>
      <c r="U279" s="1792"/>
      <c r="V279" s="1792"/>
      <c r="W279" s="1792"/>
      <c r="X279" s="1792"/>
      <c r="Y279" s="1792"/>
      <c r="Z279" s="1792"/>
      <c r="AA279" s="1792"/>
      <c r="AB279" s="1792"/>
      <c r="AC279" s="1792"/>
      <c r="AD279" s="1792"/>
      <c r="AF279" s="4"/>
      <c r="AG279" s="4"/>
      <c r="AH279" s="4"/>
      <c r="AI279" s="4"/>
      <c r="AJ279" s="4"/>
      <c r="AU279" s="3"/>
      <c r="AV279" s="3"/>
      <c r="AW279" s="3"/>
      <c r="AX279" s="3"/>
      <c r="AY279" s="3"/>
      <c r="BN279" s="34"/>
    </row>
    <row r="280" spans="1:66" ht="12.95" customHeight="1">
      <c r="D280" s="3" t="s">
        <v>631</v>
      </c>
      <c r="E280" s="3"/>
      <c r="F280" s="3"/>
      <c r="G280" s="3"/>
      <c r="H280" s="3"/>
      <c r="I280" s="3"/>
      <c r="L280" s="1406" t="s">
        <v>2793</v>
      </c>
      <c r="M280" s="1406"/>
      <c r="N280" s="1406"/>
      <c r="O280" s="1406"/>
      <c r="P280" s="1406"/>
      <c r="Q280" s="1406"/>
      <c r="R280" s="1406"/>
      <c r="S280" s="1406"/>
      <c r="T280" s="1406"/>
      <c r="U280" s="1406"/>
      <c r="V280" s="1406"/>
      <c r="W280" s="1406"/>
      <c r="X280" s="1406"/>
      <c r="Y280" s="1406"/>
      <c r="Z280" s="1406"/>
      <c r="AA280" s="1406"/>
      <c r="AB280" s="1406"/>
      <c r="AC280" s="1406"/>
      <c r="AD280" s="140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1" t="s">
        <v>549</v>
      </c>
      <c r="B282" s="1651"/>
      <c r="C282" s="1651"/>
      <c r="D282" s="1651"/>
      <c r="E282" s="1651"/>
      <c r="F282" s="1651"/>
      <c r="G282" s="1651"/>
      <c r="H282" s="1651"/>
      <c r="I282" s="1651"/>
      <c r="J282" s="1651"/>
      <c r="K282" s="1651"/>
      <c r="L282" s="1651"/>
      <c r="M282" s="1651"/>
      <c r="N282" s="1651"/>
      <c r="O282" s="1651"/>
      <c r="P282" s="1651"/>
      <c r="Q282" s="1651"/>
      <c r="R282" s="1651"/>
      <c r="S282" s="1651"/>
      <c r="T282" s="1651"/>
      <c r="U282" s="1651"/>
      <c r="V282" s="1651"/>
      <c r="W282" s="1651"/>
      <c r="X282" s="1651"/>
      <c r="Y282" s="1651"/>
      <c r="Z282" s="1651"/>
      <c r="AA282" s="1651"/>
      <c r="AB282" s="1651"/>
      <c r="AC282" s="1651"/>
      <c r="AD282" s="1651"/>
      <c r="AE282" s="1651"/>
      <c r="AF282" s="1651"/>
      <c r="AG282" s="1651"/>
      <c r="AH282" s="1651"/>
      <c r="AI282" s="1651"/>
      <c r="AJ282" s="1651"/>
      <c r="AK282" s="1651"/>
      <c r="AL282" s="1651"/>
      <c r="AM282" s="1651"/>
      <c r="AN282" s="1651"/>
      <c r="AO282" s="1651"/>
      <c r="AP282" s="1651"/>
      <c r="AQ282" s="1651"/>
      <c r="AR282" s="1651"/>
      <c r="AS282" s="1651"/>
      <c r="AT282" s="1651"/>
      <c r="AU282" s="95"/>
      <c r="AV282" s="95"/>
      <c r="AW282" s="95"/>
      <c r="AX282" s="95"/>
      <c r="AY282" s="95"/>
      <c r="BN282" s="34"/>
    </row>
    <row r="283" spans="1:66" ht="12.95" customHeight="1">
      <c r="A283" s="1651"/>
      <c r="B283" s="1651"/>
      <c r="C283" s="1651"/>
      <c r="D283" s="1651"/>
      <c r="E283" s="1651"/>
      <c r="F283" s="1651"/>
      <c r="G283" s="1651"/>
      <c r="H283" s="1651"/>
      <c r="I283" s="1651"/>
      <c r="J283" s="1651"/>
      <c r="K283" s="1651"/>
      <c r="L283" s="1651"/>
      <c r="M283" s="1651"/>
      <c r="N283" s="1651"/>
      <c r="O283" s="1651"/>
      <c r="P283" s="1651"/>
      <c r="Q283" s="1651"/>
      <c r="R283" s="1651"/>
      <c r="S283" s="1651"/>
      <c r="T283" s="1651"/>
      <c r="U283" s="1651"/>
      <c r="V283" s="1651"/>
      <c r="W283" s="1651"/>
      <c r="X283" s="1651"/>
      <c r="Y283" s="1651"/>
      <c r="Z283" s="1651"/>
      <c r="AA283" s="1651"/>
      <c r="AB283" s="1651"/>
      <c r="AC283" s="1651"/>
      <c r="AD283" s="1651"/>
      <c r="AE283" s="1651"/>
      <c r="AF283" s="1651"/>
      <c r="AG283" s="1651"/>
      <c r="AH283" s="1651"/>
      <c r="AI283" s="1651"/>
      <c r="AJ283" s="1651"/>
      <c r="AK283" s="1651"/>
      <c r="AL283" s="1651"/>
      <c r="AM283" s="1651"/>
      <c r="AN283" s="1651"/>
      <c r="AO283" s="1651"/>
      <c r="AP283" s="1651"/>
      <c r="AQ283" s="1651"/>
      <c r="AR283" s="1651"/>
      <c r="AS283" s="1651"/>
      <c r="AT283" s="165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77" t="s">
        <v>2659</v>
      </c>
      <c r="I287" s="1486"/>
      <c r="J287" s="1486"/>
      <c r="K287" s="1486"/>
      <c r="L287" s="1486"/>
      <c r="M287" s="1486"/>
      <c r="N287" s="1486"/>
      <c r="O287" s="1486"/>
      <c r="P287" s="1486"/>
      <c r="Q287" s="1486"/>
      <c r="R287" s="1486"/>
      <c r="T287" s="3" t="s">
        <v>575</v>
      </c>
      <c r="V287" s="3"/>
      <c r="W287" s="3"/>
      <c r="X287" s="3"/>
      <c r="Y287" s="3"/>
      <c r="AA287" s="1266" t="s">
        <v>2709</v>
      </c>
      <c r="AB287" s="1266"/>
      <c r="AC287" s="1266"/>
      <c r="AD287" s="1266"/>
      <c r="AE287" s="1266"/>
      <c r="AF287" s="1266"/>
      <c r="AG287" s="1266"/>
      <c r="AH287" s="1266"/>
      <c r="AI287" s="1266"/>
      <c r="AJ287" s="1266"/>
      <c r="AK287" s="1266"/>
      <c r="BN287" s="34"/>
    </row>
    <row r="288" spans="1:66" ht="12.95" customHeight="1">
      <c r="B288" s="3" t="s">
        <v>479</v>
      </c>
      <c r="C288" s="3"/>
      <c r="D288" s="3"/>
      <c r="E288" s="3"/>
      <c r="F288" s="3"/>
      <c r="H288" s="1406" t="s">
        <v>2645</v>
      </c>
      <c r="I288" s="1485"/>
      <c r="J288" s="1485"/>
      <c r="K288" s="1485"/>
      <c r="L288" s="1485"/>
      <c r="M288" s="1485"/>
      <c r="N288" s="1485"/>
      <c r="O288" s="1485"/>
      <c r="P288" s="1485"/>
      <c r="Q288" s="1485"/>
      <c r="R288" s="1485"/>
      <c r="T288" s="3" t="s">
        <v>479</v>
      </c>
      <c r="V288" s="3"/>
      <c r="W288" s="3"/>
      <c r="X288" s="3"/>
      <c r="Y288" s="3"/>
      <c r="AA288" s="1270" t="s">
        <v>2754</v>
      </c>
      <c r="AB288" s="269"/>
      <c r="AC288" s="269"/>
      <c r="AD288" s="269"/>
      <c r="AE288" s="269"/>
      <c r="AF288" s="269"/>
      <c r="AG288" s="269"/>
      <c r="AH288" s="269"/>
      <c r="AI288" s="269"/>
      <c r="AJ288" s="269"/>
      <c r="AK288" s="269"/>
      <c r="BN288" s="34"/>
    </row>
    <row r="289" spans="2:66" ht="12.95" customHeight="1">
      <c r="B289" s="3" t="s">
        <v>480</v>
      </c>
      <c r="C289" s="3"/>
      <c r="D289" s="3"/>
      <c r="E289" s="3"/>
      <c r="F289" s="3"/>
      <c r="H289" s="1406" t="s">
        <v>2660</v>
      </c>
      <c r="I289" s="1485"/>
      <c r="J289" s="1485"/>
      <c r="K289" s="1485"/>
      <c r="L289" s="1485"/>
      <c r="M289" s="1485"/>
      <c r="N289" s="1485"/>
      <c r="O289" s="1485"/>
      <c r="P289" s="1485"/>
      <c r="Q289" s="1485"/>
      <c r="R289" s="1485"/>
      <c r="T289" s="3" t="s">
        <v>75</v>
      </c>
      <c r="V289" s="3"/>
      <c r="W289" s="3"/>
      <c r="X289" s="3"/>
      <c r="Y289" s="3"/>
      <c r="AA289" s="269" t="s">
        <v>2710</v>
      </c>
      <c r="AB289" s="269"/>
      <c r="AC289" s="269"/>
      <c r="AD289" s="269"/>
      <c r="AE289" s="269"/>
      <c r="AF289" s="269"/>
      <c r="AG289" s="269"/>
      <c r="AH289" s="269"/>
      <c r="AI289" s="269"/>
      <c r="AJ289" s="269"/>
      <c r="AK289" s="269"/>
      <c r="BN289" s="34"/>
    </row>
    <row r="290" spans="2:66" ht="12.95" customHeight="1">
      <c r="B290" s="3" t="s">
        <v>87</v>
      </c>
      <c r="C290" s="3"/>
      <c r="D290" s="3"/>
      <c r="E290" s="3"/>
      <c r="F290" s="3"/>
      <c r="H290" s="1406" t="s">
        <v>2661</v>
      </c>
      <c r="I290" s="1485"/>
      <c r="J290" s="1485"/>
      <c r="K290" s="1485"/>
      <c r="L290" s="1485"/>
      <c r="M290" s="1485"/>
      <c r="N290" s="1485"/>
      <c r="O290" s="1485"/>
      <c r="P290" s="1485"/>
      <c r="Q290" s="1485"/>
      <c r="R290" s="1485"/>
      <c r="T290" s="3" t="s">
        <v>87</v>
      </c>
      <c r="V290" s="3"/>
      <c r="W290" s="3"/>
      <c r="X290" s="3"/>
      <c r="Y290" s="3"/>
      <c r="AA290" s="269" t="s">
        <v>2711</v>
      </c>
      <c r="AB290" s="269"/>
      <c r="AC290" s="269"/>
      <c r="AD290" s="269"/>
      <c r="AE290" s="269"/>
      <c r="AF290" s="269"/>
      <c r="AG290" s="269"/>
      <c r="AH290" s="269"/>
      <c r="AI290" s="269"/>
      <c r="AJ290" s="269"/>
      <c r="AK290" s="269"/>
      <c r="BN290" s="34"/>
    </row>
    <row r="291" spans="2:66" ht="12.95" customHeight="1">
      <c r="B291" s="3" t="s">
        <v>88</v>
      </c>
      <c r="C291" s="3"/>
      <c r="D291" s="3"/>
      <c r="E291" s="3"/>
      <c r="F291" s="3"/>
      <c r="G291" s="3"/>
      <c r="H291" s="1790" t="s">
        <v>2657</v>
      </c>
      <c r="I291" s="1791"/>
      <c r="J291" s="1791"/>
      <c r="K291" s="1791"/>
      <c r="L291" s="1791"/>
      <c r="M291" s="1791"/>
      <c r="N291" s="4" t="s">
        <v>207</v>
      </c>
      <c r="O291" s="4"/>
      <c r="P291" s="1478" t="s">
        <v>599</v>
      </c>
      <c r="Q291" s="1478"/>
      <c r="R291" s="1478"/>
      <c r="S291" s="3"/>
      <c r="T291" s="3" t="s">
        <v>88</v>
      </c>
      <c r="V291" s="3"/>
      <c r="W291" s="3"/>
      <c r="X291" s="3"/>
      <c r="Y291" s="3"/>
      <c r="AA291" s="1790" t="s">
        <v>2755</v>
      </c>
      <c r="AB291" s="1791"/>
      <c r="AC291" s="1791"/>
      <c r="AD291" s="1791"/>
      <c r="AE291" s="1791"/>
      <c r="AF291" s="1791"/>
      <c r="AG291" s="4" t="s">
        <v>207</v>
      </c>
      <c r="AH291" s="4"/>
      <c r="AI291" s="1478">
        <v>220</v>
      </c>
      <c r="AJ291" s="1478"/>
      <c r="AK291" s="1478"/>
      <c r="BN291" s="34"/>
    </row>
    <row r="292" spans="2:66" ht="12.95" customHeight="1">
      <c r="B292" s="3" t="s">
        <v>89</v>
      </c>
      <c r="C292" s="3"/>
      <c r="D292" s="3"/>
      <c r="E292" s="3"/>
      <c r="F292" s="3"/>
      <c r="G292" s="3"/>
      <c r="H292" s="1480" t="s">
        <v>2753</v>
      </c>
      <c r="I292" s="1480"/>
      <c r="J292" s="1480"/>
      <c r="K292" s="1480"/>
      <c r="L292" s="1480"/>
      <c r="M292" s="1480"/>
      <c r="N292" s="4"/>
      <c r="O292" s="4"/>
      <c r="P292" s="35"/>
      <c r="Q292" s="35"/>
      <c r="R292" s="35"/>
      <c r="S292" s="3"/>
      <c r="T292" s="3" t="s">
        <v>89</v>
      </c>
      <c r="V292" s="3"/>
      <c r="W292" s="3"/>
      <c r="X292" s="3"/>
      <c r="Y292" s="3"/>
      <c r="AA292" s="1547" t="s">
        <v>2712</v>
      </c>
      <c r="AB292" s="1480"/>
      <c r="AC292" s="1480"/>
      <c r="AD292" s="1480"/>
      <c r="AE292" s="1480"/>
      <c r="AF292" s="1480"/>
      <c r="AG292" s="4"/>
      <c r="AH292" s="4"/>
      <c r="AI292" s="35"/>
      <c r="AJ292" s="35"/>
      <c r="AK292" s="35"/>
      <c r="BN292" s="34"/>
    </row>
    <row r="293" spans="2:66" ht="12.95" customHeight="1">
      <c r="B293" s="3" t="s">
        <v>76</v>
      </c>
      <c r="C293" s="3"/>
      <c r="D293" s="3"/>
      <c r="E293" s="3"/>
      <c r="F293" s="3"/>
      <c r="G293" s="3"/>
      <c r="H293" s="1406" t="s">
        <v>2662</v>
      </c>
      <c r="I293" s="1485"/>
      <c r="J293" s="1485"/>
      <c r="K293" s="1485"/>
      <c r="L293" s="1485"/>
      <c r="M293" s="1485"/>
      <c r="N293" s="1486"/>
      <c r="O293" s="1486"/>
      <c r="P293" s="1486"/>
      <c r="Q293" s="1486"/>
      <c r="R293" s="1486"/>
      <c r="S293" s="3"/>
      <c r="T293" s="3" t="s">
        <v>76</v>
      </c>
      <c r="V293" s="3"/>
      <c r="W293" s="3"/>
      <c r="X293" s="3"/>
      <c r="Y293" s="3"/>
      <c r="AA293" s="1485" t="s">
        <v>2713</v>
      </c>
      <c r="AB293" s="1485"/>
      <c r="AC293" s="1485"/>
      <c r="AD293" s="1485"/>
      <c r="AE293" s="1485"/>
      <c r="AF293" s="1485"/>
      <c r="AG293" s="1486"/>
      <c r="AH293" s="1486"/>
      <c r="AI293" s="1486"/>
      <c r="AJ293" s="1486"/>
      <c r="AK293" s="148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886" t="s">
        <v>2670</v>
      </c>
      <c r="I295" s="1886"/>
      <c r="J295" s="1886"/>
      <c r="K295" s="1886"/>
      <c r="L295" s="1886"/>
      <c r="M295" s="1886"/>
      <c r="N295" s="1886"/>
      <c r="O295" s="1886"/>
      <c r="P295" s="1886"/>
      <c r="Q295" s="1886"/>
      <c r="R295" s="1886"/>
      <c r="T295" s="3" t="s">
        <v>365</v>
      </c>
      <c r="V295" s="3"/>
      <c r="W295" s="3"/>
      <c r="X295" s="3"/>
      <c r="Y295" s="3"/>
      <c r="AA295" s="1477" t="s">
        <v>2677</v>
      </c>
      <c r="AB295" s="1486"/>
      <c r="AC295" s="1486"/>
      <c r="AD295" s="1486"/>
      <c r="AE295" s="1486"/>
      <c r="AF295" s="1486"/>
      <c r="AG295" s="1486"/>
      <c r="AH295" s="1486"/>
      <c r="AI295" s="1486"/>
      <c r="AJ295" s="1486"/>
      <c r="AK295" s="1486"/>
      <c r="BN295" s="34"/>
    </row>
    <row r="296" spans="2:66" ht="12.95" customHeight="1">
      <c r="B296" s="3" t="s">
        <v>479</v>
      </c>
      <c r="C296" s="3"/>
      <c r="D296" s="3"/>
      <c r="E296" s="3"/>
      <c r="F296" s="3"/>
      <c r="H296" s="1793" t="s">
        <v>2671</v>
      </c>
      <c r="I296" s="1793"/>
      <c r="J296" s="1793"/>
      <c r="K296" s="1793"/>
      <c r="L296" s="1793"/>
      <c r="M296" s="1793"/>
      <c r="N296" s="1793"/>
      <c r="O296" s="1793"/>
      <c r="P296" s="1793"/>
      <c r="Q296" s="1793"/>
      <c r="R296" s="1793"/>
      <c r="T296" s="3" t="s">
        <v>479</v>
      </c>
      <c r="V296" s="3"/>
      <c r="W296" s="3"/>
      <c r="X296" s="3"/>
      <c r="Y296" s="3"/>
      <c r="AA296" s="1485"/>
      <c r="AB296" s="1485"/>
      <c r="AC296" s="1485"/>
      <c r="AD296" s="1485"/>
      <c r="AE296" s="1485"/>
      <c r="AF296" s="1485"/>
      <c r="AG296" s="1485"/>
      <c r="AH296" s="1485"/>
      <c r="AI296" s="1485"/>
      <c r="AJ296" s="1485"/>
      <c r="AK296" s="1485"/>
      <c r="BN296" s="34"/>
    </row>
    <row r="297" spans="2:66" ht="12.95" customHeight="1">
      <c r="B297" s="3" t="s">
        <v>480</v>
      </c>
      <c r="C297" s="3"/>
      <c r="D297" s="3"/>
      <c r="E297" s="3"/>
      <c r="F297" s="3"/>
      <c r="H297" s="1793" t="s">
        <v>2672</v>
      </c>
      <c r="I297" s="1793"/>
      <c r="J297" s="1793"/>
      <c r="K297" s="1793"/>
      <c r="L297" s="1793"/>
      <c r="M297" s="1793"/>
      <c r="N297" s="1793"/>
      <c r="O297" s="1793"/>
      <c r="P297" s="1793"/>
      <c r="Q297" s="1793"/>
      <c r="R297" s="1793"/>
      <c r="T297" s="3" t="s">
        <v>75</v>
      </c>
      <c r="V297" s="3"/>
      <c r="W297" s="3"/>
      <c r="X297" s="3"/>
      <c r="Y297" s="3"/>
      <c r="AA297" s="1485"/>
      <c r="AB297" s="1485"/>
      <c r="AC297" s="1485"/>
      <c r="AD297" s="1485"/>
      <c r="AE297" s="1485"/>
      <c r="AF297" s="1485"/>
      <c r="AG297" s="1485"/>
      <c r="AH297" s="1485"/>
      <c r="AI297" s="1485"/>
      <c r="AJ297" s="1485"/>
      <c r="AK297" s="1485"/>
      <c r="BN297" s="34"/>
    </row>
    <row r="298" spans="2:66" ht="12.95" customHeight="1">
      <c r="B298" s="3" t="s">
        <v>87</v>
      </c>
      <c r="C298" s="3"/>
      <c r="D298" s="3"/>
      <c r="E298" s="3"/>
      <c r="F298" s="3"/>
      <c r="H298" s="1793" t="s">
        <v>2673</v>
      </c>
      <c r="I298" s="1793"/>
      <c r="J298" s="1793"/>
      <c r="K298" s="1793"/>
      <c r="L298" s="1793"/>
      <c r="M298" s="1793"/>
      <c r="N298" s="1793"/>
      <c r="O298" s="1793"/>
      <c r="P298" s="1793"/>
      <c r="Q298" s="1793"/>
      <c r="R298" s="1793"/>
      <c r="T298" s="3" t="s">
        <v>87</v>
      </c>
      <c r="V298" s="3"/>
      <c r="W298" s="3"/>
      <c r="X298" s="3"/>
      <c r="Y298" s="3"/>
      <c r="AA298" s="1485"/>
      <c r="AB298" s="1485"/>
      <c r="AC298" s="1485"/>
      <c r="AD298" s="1485"/>
      <c r="AE298" s="1485"/>
      <c r="AF298" s="1485"/>
      <c r="AG298" s="1485"/>
      <c r="AH298" s="1485"/>
      <c r="AI298" s="1485"/>
      <c r="AJ298" s="1485"/>
      <c r="AK298" s="1485"/>
      <c r="BN298" s="34"/>
    </row>
    <row r="299" spans="2:66" ht="12.95" customHeight="1">
      <c r="B299" s="3" t="s">
        <v>88</v>
      </c>
      <c r="C299" s="3"/>
      <c r="D299" s="3"/>
      <c r="E299" s="3"/>
      <c r="F299" s="3"/>
      <c r="G299" s="3"/>
      <c r="H299" s="1790" t="s">
        <v>2674</v>
      </c>
      <c r="I299" s="1791"/>
      <c r="J299" s="1791"/>
      <c r="K299" s="1791"/>
      <c r="L299" s="1791"/>
      <c r="M299" s="1791"/>
      <c r="N299" s="4" t="s">
        <v>207</v>
      </c>
      <c r="O299" s="4"/>
      <c r="P299" s="1477" t="s">
        <v>599</v>
      </c>
      <c r="Q299" s="1478"/>
      <c r="R299" s="1478"/>
      <c r="S299" s="3"/>
      <c r="T299" s="3" t="s">
        <v>88</v>
      </c>
      <c r="V299" s="3"/>
      <c r="W299" s="3"/>
      <c r="X299" s="3"/>
      <c r="Y299" s="3"/>
      <c r="AA299" s="1791"/>
      <c r="AB299" s="1791"/>
      <c r="AC299" s="1791"/>
      <c r="AD299" s="1791"/>
      <c r="AE299" s="1791"/>
      <c r="AF299" s="1791"/>
      <c r="AG299" s="4" t="s">
        <v>207</v>
      </c>
      <c r="AH299" s="4"/>
      <c r="AI299" s="1478"/>
      <c r="AJ299" s="1478"/>
      <c r="AK299" s="1478"/>
      <c r="BN299" s="34"/>
    </row>
    <row r="300" spans="2:66" ht="12.95" customHeight="1">
      <c r="B300" s="3" t="s">
        <v>89</v>
      </c>
      <c r="C300" s="3"/>
      <c r="D300" s="3"/>
      <c r="E300" s="3"/>
      <c r="F300" s="3"/>
      <c r="G300" s="3"/>
      <c r="H300" s="1547" t="s">
        <v>2675</v>
      </c>
      <c r="I300" s="1480"/>
      <c r="J300" s="1480"/>
      <c r="K300" s="1480"/>
      <c r="L300" s="1480"/>
      <c r="M300" s="1480"/>
      <c r="N300" s="4"/>
      <c r="O300" s="4"/>
      <c r="P300" s="35"/>
      <c r="Q300" s="35"/>
      <c r="R300" s="35"/>
      <c r="S300" s="3"/>
      <c r="T300" s="3" t="s">
        <v>89</v>
      </c>
      <c r="V300" s="3"/>
      <c r="W300" s="3"/>
      <c r="X300" s="3"/>
      <c r="Y300" s="3"/>
      <c r="AA300" s="1480"/>
      <c r="AB300" s="1480"/>
      <c r="AC300" s="1480"/>
      <c r="AD300" s="1480"/>
      <c r="AE300" s="1480"/>
      <c r="AF300" s="1480"/>
      <c r="AG300" s="4"/>
      <c r="AH300" s="4"/>
      <c r="AI300" s="35"/>
      <c r="AJ300" s="35"/>
      <c r="AK300" s="35"/>
      <c r="BN300" s="34"/>
    </row>
    <row r="301" spans="2:66" ht="12.95" customHeight="1">
      <c r="B301" s="3" t="s">
        <v>76</v>
      </c>
      <c r="C301" s="3"/>
      <c r="D301" s="3"/>
      <c r="E301" s="3"/>
      <c r="F301" s="3"/>
      <c r="G301" s="3"/>
      <c r="H301" s="1406" t="s">
        <v>2676</v>
      </c>
      <c r="I301" s="1485"/>
      <c r="J301" s="1485"/>
      <c r="K301" s="1485"/>
      <c r="L301" s="1485"/>
      <c r="M301" s="1485"/>
      <c r="N301" s="1486"/>
      <c r="O301" s="1486"/>
      <c r="P301" s="1486"/>
      <c r="Q301" s="1486"/>
      <c r="R301" s="1486"/>
      <c r="S301" s="3"/>
      <c r="T301" s="3" t="s">
        <v>76</v>
      </c>
      <c r="V301" s="3"/>
      <c r="W301" s="3"/>
      <c r="X301" s="3"/>
      <c r="Y301" s="3"/>
      <c r="AA301" s="1485"/>
      <c r="AB301" s="1485"/>
      <c r="AC301" s="1485"/>
      <c r="AD301" s="1485"/>
      <c r="AE301" s="1485"/>
      <c r="AF301" s="1485"/>
      <c r="AG301" s="1486"/>
      <c r="AH301" s="1486"/>
      <c r="AI301" s="1486"/>
      <c r="AJ301" s="1486"/>
      <c r="AK301" s="1486"/>
      <c r="BN301" s="34"/>
    </row>
    <row r="302" spans="2:66" ht="12.95" customHeight="1">
      <c r="BN302" s="34"/>
    </row>
    <row r="303" spans="2:66" ht="12.95" customHeight="1">
      <c r="B303" s="3" t="s">
        <v>77</v>
      </c>
      <c r="C303" s="3"/>
      <c r="D303" s="3"/>
      <c r="E303" s="3"/>
      <c r="F303" s="3"/>
      <c r="H303" s="1883" t="s">
        <v>2678</v>
      </c>
      <c r="I303" s="1883"/>
      <c r="J303" s="1883"/>
      <c r="K303" s="1883"/>
      <c r="L303" s="1883"/>
      <c r="M303" s="1883"/>
      <c r="N303" s="1883"/>
      <c r="O303" s="1883"/>
      <c r="P303" s="1883"/>
      <c r="Q303" s="1883"/>
      <c r="R303" s="1883"/>
      <c r="T303" s="4" t="s">
        <v>890</v>
      </c>
      <c r="V303" s="3"/>
      <c r="W303" s="3"/>
      <c r="X303" s="3"/>
      <c r="Y303" s="3"/>
      <c r="AA303" s="1883" t="s">
        <v>2684</v>
      </c>
      <c r="AB303" s="1883"/>
      <c r="AC303" s="1883"/>
      <c r="AD303" s="1883"/>
      <c r="AE303" s="1883"/>
      <c r="AF303" s="1883"/>
      <c r="AG303" s="1883"/>
      <c r="AH303" s="1883"/>
      <c r="AI303" s="1883"/>
      <c r="AJ303" s="1883"/>
      <c r="AK303" s="1883"/>
      <c r="BN303" s="34"/>
    </row>
    <row r="304" spans="2:66" ht="12.95" customHeight="1">
      <c r="B304" s="3" t="s">
        <v>479</v>
      </c>
      <c r="C304" s="3"/>
      <c r="D304" s="3"/>
      <c r="E304" s="3"/>
      <c r="F304" s="3"/>
      <c r="H304" s="1793" t="s">
        <v>2679</v>
      </c>
      <c r="I304" s="1793"/>
      <c r="J304" s="1793"/>
      <c r="K304" s="1793"/>
      <c r="L304" s="1793"/>
      <c r="M304" s="1793"/>
      <c r="N304" s="1793"/>
      <c r="O304" s="1793"/>
      <c r="P304" s="1793"/>
      <c r="Q304" s="1793"/>
      <c r="R304" s="1793"/>
      <c r="T304" s="3" t="s">
        <v>479</v>
      </c>
      <c r="V304" s="3"/>
      <c r="W304" s="3"/>
      <c r="X304" s="3"/>
      <c r="Y304" s="3"/>
      <c r="AA304" s="1793" t="s">
        <v>2685</v>
      </c>
      <c r="AB304" s="1793"/>
      <c r="AC304" s="1793"/>
      <c r="AD304" s="1793"/>
      <c r="AE304" s="1793"/>
      <c r="AF304" s="1793"/>
      <c r="AG304" s="1793"/>
      <c r="AH304" s="1793"/>
      <c r="AI304" s="1793"/>
      <c r="AJ304" s="1793"/>
      <c r="AK304" s="1793"/>
      <c r="BN304" s="34"/>
    </row>
    <row r="305" spans="2:66" ht="12.95" customHeight="1">
      <c r="B305" s="3" t="s">
        <v>480</v>
      </c>
      <c r="C305" s="3"/>
      <c r="D305" s="3"/>
      <c r="E305" s="3"/>
      <c r="F305" s="3"/>
      <c r="H305" s="1793" t="s">
        <v>2680</v>
      </c>
      <c r="I305" s="1793"/>
      <c r="J305" s="1793"/>
      <c r="K305" s="1793"/>
      <c r="L305" s="1793"/>
      <c r="M305" s="1793"/>
      <c r="N305" s="1793"/>
      <c r="O305" s="1793"/>
      <c r="P305" s="1793"/>
      <c r="Q305" s="1793"/>
      <c r="R305" s="1793"/>
      <c r="T305" s="3" t="s">
        <v>75</v>
      </c>
      <c r="V305" s="3"/>
      <c r="W305" s="3"/>
      <c r="X305" s="3"/>
      <c r="Y305" s="3"/>
      <c r="AA305" s="1793" t="s">
        <v>2686</v>
      </c>
      <c r="AB305" s="1793"/>
      <c r="AC305" s="1793"/>
      <c r="AD305" s="1793"/>
      <c r="AE305" s="1793"/>
      <c r="AF305" s="1793"/>
      <c r="AG305" s="1793"/>
      <c r="AH305" s="1793"/>
      <c r="AI305" s="1793"/>
      <c r="AJ305" s="1793"/>
      <c r="AK305" s="1793"/>
      <c r="BN305" s="34"/>
    </row>
    <row r="306" spans="2:66" ht="12.95" customHeight="1">
      <c r="B306" s="3" t="s">
        <v>87</v>
      </c>
      <c r="C306" s="3"/>
      <c r="D306" s="3"/>
      <c r="E306" s="3"/>
      <c r="F306" s="3"/>
      <c r="H306" s="1793" t="s">
        <v>2681</v>
      </c>
      <c r="I306" s="1793"/>
      <c r="J306" s="1793"/>
      <c r="K306" s="1793"/>
      <c r="L306" s="1793"/>
      <c r="M306" s="1793"/>
      <c r="N306" s="1793"/>
      <c r="O306" s="1793"/>
      <c r="P306" s="1793"/>
      <c r="Q306" s="1793"/>
      <c r="R306" s="1793"/>
      <c r="T306" s="3" t="s">
        <v>87</v>
      </c>
      <c r="V306" s="3"/>
      <c r="W306" s="3"/>
      <c r="X306" s="3"/>
      <c r="Y306" s="3"/>
      <c r="AA306" s="1793" t="s">
        <v>2687</v>
      </c>
      <c r="AB306" s="1793"/>
      <c r="AC306" s="1793"/>
      <c r="AD306" s="1793"/>
      <c r="AE306" s="1793"/>
      <c r="AF306" s="1793"/>
      <c r="AG306" s="1793"/>
      <c r="AH306" s="1793"/>
      <c r="AI306" s="1793"/>
      <c r="AJ306" s="1793"/>
      <c r="AK306" s="1793"/>
      <c r="BN306" s="34"/>
    </row>
    <row r="307" spans="2:66" ht="12.95" customHeight="1">
      <c r="B307" s="3" t="s">
        <v>88</v>
      </c>
      <c r="C307" s="3"/>
      <c r="D307" s="3"/>
      <c r="E307" s="3"/>
      <c r="F307" s="3"/>
      <c r="G307" s="3"/>
      <c r="H307" s="1790" t="s">
        <v>2682</v>
      </c>
      <c r="I307" s="1791"/>
      <c r="J307" s="1791"/>
      <c r="K307" s="1791"/>
      <c r="L307" s="1791"/>
      <c r="M307" s="1791"/>
      <c r="N307" s="4" t="s">
        <v>207</v>
      </c>
      <c r="O307" s="4"/>
      <c r="P307" s="1478" t="s">
        <v>599</v>
      </c>
      <c r="Q307" s="1478"/>
      <c r="R307" s="1478"/>
      <c r="S307" s="3"/>
      <c r="T307" s="3" t="s">
        <v>88</v>
      </c>
      <c r="V307" s="3"/>
      <c r="W307" s="3"/>
      <c r="X307" s="3"/>
      <c r="Y307" s="3"/>
      <c r="AA307" s="1884" t="s">
        <v>2688</v>
      </c>
      <c r="AB307" s="1884"/>
      <c r="AC307" s="1884"/>
      <c r="AD307" s="1884"/>
      <c r="AE307" s="1884"/>
      <c r="AF307" s="1884"/>
      <c r="AG307" s="4" t="s">
        <v>207</v>
      </c>
      <c r="AH307" s="4"/>
      <c r="AI307" s="1478" t="s">
        <v>599</v>
      </c>
      <c r="AJ307" s="1478"/>
      <c r="AK307" s="1478"/>
      <c r="BN307" s="34"/>
    </row>
    <row r="308" spans="2:66" ht="12.95" customHeight="1">
      <c r="B308" s="3" t="s">
        <v>89</v>
      </c>
      <c r="C308" s="3"/>
      <c r="D308" s="3"/>
      <c r="E308" s="3"/>
      <c r="F308" s="3"/>
      <c r="G308" s="3"/>
      <c r="H308" s="1547" t="s">
        <v>599</v>
      </c>
      <c r="I308" s="1480"/>
      <c r="J308" s="1480"/>
      <c r="K308" s="1480"/>
      <c r="L308" s="1480"/>
      <c r="M308" s="1480"/>
      <c r="N308" s="4"/>
      <c r="O308" s="4"/>
      <c r="P308" s="35"/>
      <c r="Q308" s="35"/>
      <c r="R308" s="35"/>
      <c r="S308" s="3"/>
      <c r="T308" s="3" t="s">
        <v>89</v>
      </c>
      <c r="V308" s="3"/>
      <c r="W308" s="3"/>
      <c r="X308" s="3"/>
      <c r="Y308" s="3"/>
      <c r="AA308" s="1885" t="s">
        <v>599</v>
      </c>
      <c r="AB308" s="1885"/>
      <c r="AC308" s="1885"/>
      <c r="AD308" s="1885"/>
      <c r="AE308" s="1885"/>
      <c r="AF308" s="1885"/>
      <c r="AG308" s="4"/>
      <c r="AH308" s="4"/>
      <c r="AI308" s="35"/>
      <c r="AJ308" s="35"/>
      <c r="AK308" s="35"/>
      <c r="BN308" s="34"/>
    </row>
    <row r="309" spans="2:66" ht="12.95" customHeight="1">
      <c r="B309" s="3" t="s">
        <v>76</v>
      </c>
      <c r="C309" s="3"/>
      <c r="D309" s="3"/>
      <c r="E309" s="3"/>
      <c r="F309" s="3"/>
      <c r="G309" s="3"/>
      <c r="H309" s="1793" t="s">
        <v>2683</v>
      </c>
      <c r="I309" s="1793"/>
      <c r="J309" s="1793"/>
      <c r="K309" s="1793"/>
      <c r="L309" s="1793"/>
      <c r="M309" s="1793"/>
      <c r="N309" s="1883"/>
      <c r="O309" s="1883"/>
      <c r="P309" s="1883"/>
      <c r="Q309" s="1883"/>
      <c r="R309" s="1883"/>
      <c r="S309" s="3"/>
      <c r="T309" s="3" t="s">
        <v>76</v>
      </c>
      <c r="V309" s="3"/>
      <c r="W309" s="3"/>
      <c r="X309" s="3"/>
      <c r="Y309" s="3"/>
      <c r="AA309" s="1793" t="s">
        <v>2689</v>
      </c>
      <c r="AB309" s="1793"/>
      <c r="AC309" s="1793"/>
      <c r="AD309" s="1793"/>
      <c r="AE309" s="1793"/>
      <c r="AF309" s="1793"/>
      <c r="AG309" s="1883"/>
      <c r="AH309" s="1883"/>
      <c r="AI309" s="1883"/>
      <c r="AJ309" s="1883"/>
      <c r="AK309" s="188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883" t="s">
        <v>2678</v>
      </c>
      <c r="I311" s="1883"/>
      <c r="J311" s="1883"/>
      <c r="K311" s="1883"/>
      <c r="L311" s="1883"/>
      <c r="M311" s="1883"/>
      <c r="N311" s="1883"/>
      <c r="O311" s="1883"/>
      <c r="P311" s="1883"/>
      <c r="Q311" s="1883"/>
      <c r="R311" s="1883"/>
      <c r="S311" s="3"/>
      <c r="T311" s="3" t="s">
        <v>366</v>
      </c>
      <c r="V311" s="3"/>
      <c r="W311" s="3"/>
      <c r="X311" s="3"/>
      <c r="Y311" s="3"/>
      <c r="AA311" s="1883" t="s">
        <v>2786</v>
      </c>
      <c r="AB311" s="1883"/>
      <c r="AC311" s="1883"/>
      <c r="AD311" s="1883"/>
      <c r="AE311" s="1883"/>
      <c r="AF311" s="1883"/>
      <c r="AG311" s="1883"/>
      <c r="AH311" s="1883"/>
      <c r="AI311" s="1883"/>
      <c r="AJ311" s="1883"/>
      <c r="AK311" s="1883"/>
      <c r="BN311" s="34"/>
    </row>
    <row r="312" spans="2:66" ht="12.95" customHeight="1">
      <c r="B312" s="3" t="s">
        <v>479</v>
      </c>
      <c r="C312" s="3"/>
      <c r="D312" s="3"/>
      <c r="E312" s="3"/>
      <c r="F312" s="3"/>
      <c r="H312" s="1793" t="s">
        <v>2679</v>
      </c>
      <c r="I312" s="1793"/>
      <c r="J312" s="1793"/>
      <c r="K312" s="1793"/>
      <c r="L312" s="1793"/>
      <c r="M312" s="1793"/>
      <c r="N312" s="1793"/>
      <c r="O312" s="1793"/>
      <c r="P312" s="1793"/>
      <c r="Q312" s="1793"/>
      <c r="R312" s="1793"/>
      <c r="S312" s="3"/>
      <c r="T312" s="3" t="s">
        <v>479</v>
      </c>
      <c r="V312" s="3"/>
      <c r="W312" s="3"/>
      <c r="X312" s="3"/>
      <c r="Y312" s="3"/>
      <c r="AA312" s="1793" t="s">
        <v>2765</v>
      </c>
      <c r="AB312" s="1793"/>
      <c r="AC312" s="1793"/>
      <c r="AD312" s="1793"/>
      <c r="AE312" s="1793"/>
      <c r="AF312" s="1793"/>
      <c r="AG312" s="1793"/>
      <c r="AH312" s="1793"/>
      <c r="AI312" s="1793"/>
      <c r="AJ312" s="1793"/>
      <c r="AK312" s="1793"/>
      <c r="BN312" s="34"/>
    </row>
    <row r="313" spans="2:66" ht="12.95" customHeight="1">
      <c r="B313" s="3" t="s">
        <v>480</v>
      </c>
      <c r="C313" s="3"/>
      <c r="D313" s="3"/>
      <c r="E313" s="3"/>
      <c r="F313" s="3"/>
      <c r="H313" s="1793" t="s">
        <v>2680</v>
      </c>
      <c r="I313" s="1793"/>
      <c r="J313" s="1793"/>
      <c r="K313" s="1793"/>
      <c r="L313" s="1793"/>
      <c r="M313" s="1793"/>
      <c r="N313" s="1793"/>
      <c r="O313" s="1793"/>
      <c r="P313" s="1793"/>
      <c r="Q313" s="1793"/>
      <c r="R313" s="1793"/>
      <c r="S313" s="3"/>
      <c r="T313" s="3" t="s">
        <v>75</v>
      </c>
      <c r="V313" s="3"/>
      <c r="W313" s="3"/>
      <c r="X313" s="3"/>
      <c r="Y313" s="3"/>
      <c r="AA313" s="1793" t="s">
        <v>2788</v>
      </c>
      <c r="AB313" s="1793"/>
      <c r="AC313" s="1793"/>
      <c r="AD313" s="1793"/>
      <c r="AE313" s="1793"/>
      <c r="AF313" s="1793"/>
      <c r="AG313" s="1793"/>
      <c r="AH313" s="1793"/>
      <c r="AI313" s="1793"/>
      <c r="AJ313" s="1793"/>
      <c r="AK313" s="1793"/>
      <c r="BN313" s="34"/>
    </row>
    <row r="314" spans="2:66" ht="12.95" customHeight="1">
      <c r="B314" s="3" t="s">
        <v>87</v>
      </c>
      <c r="C314" s="3"/>
      <c r="D314" s="3"/>
      <c r="E314" s="3"/>
      <c r="F314" s="3"/>
      <c r="H314" s="1793" t="s">
        <v>2681</v>
      </c>
      <c r="I314" s="1793"/>
      <c r="J314" s="1793"/>
      <c r="K314" s="1793"/>
      <c r="L314" s="1793"/>
      <c r="M314" s="1793"/>
      <c r="N314" s="1793"/>
      <c r="O314" s="1793"/>
      <c r="P314" s="1793"/>
      <c r="Q314" s="1793"/>
      <c r="R314" s="1793"/>
      <c r="S314" s="3"/>
      <c r="T314" s="3" t="s">
        <v>87</v>
      </c>
      <c r="V314" s="3"/>
      <c r="W314" s="3"/>
      <c r="X314" s="3"/>
      <c r="Y314" s="3"/>
      <c r="AA314" s="1793" t="s">
        <v>2787</v>
      </c>
      <c r="AB314" s="1793"/>
      <c r="AC314" s="1793"/>
      <c r="AD314" s="1793"/>
      <c r="AE314" s="1793"/>
      <c r="AF314" s="1793"/>
      <c r="AG314" s="1793"/>
      <c r="AH314" s="1793"/>
      <c r="AI314" s="1793"/>
      <c r="AJ314" s="1793"/>
      <c r="AK314" s="1793"/>
      <c r="BN314" s="34"/>
    </row>
    <row r="315" spans="2:66" ht="12.95" customHeight="1">
      <c r="B315" s="3" t="s">
        <v>88</v>
      </c>
      <c r="C315" s="3"/>
      <c r="D315" s="3"/>
      <c r="E315" s="3"/>
      <c r="F315" s="3"/>
      <c r="G315" s="3"/>
      <c r="H315" s="1791" t="s">
        <v>2682</v>
      </c>
      <c r="I315" s="1791"/>
      <c r="J315" s="1791"/>
      <c r="K315" s="1791"/>
      <c r="L315" s="1791"/>
      <c r="M315" s="1791"/>
      <c r="N315" s="4" t="s">
        <v>207</v>
      </c>
      <c r="O315" s="4"/>
      <c r="P315" s="1478" t="s">
        <v>599</v>
      </c>
      <c r="Q315" s="1478"/>
      <c r="R315" s="1478"/>
      <c r="S315" s="3"/>
      <c r="T315" s="3" t="s">
        <v>88</v>
      </c>
      <c r="V315" s="3"/>
      <c r="W315" s="3"/>
      <c r="X315" s="3"/>
      <c r="Y315" s="3"/>
      <c r="AA315" s="1884" t="s">
        <v>2763</v>
      </c>
      <c r="AB315" s="1884"/>
      <c r="AC315" s="1884"/>
      <c r="AD315" s="1884"/>
      <c r="AE315" s="1884"/>
      <c r="AF315" s="1884"/>
      <c r="AG315" s="4" t="s">
        <v>207</v>
      </c>
      <c r="AH315" s="4"/>
      <c r="AI315" s="1478" t="s">
        <v>599</v>
      </c>
      <c r="AJ315" s="1478"/>
      <c r="AK315" s="1478"/>
      <c r="BN315" s="34"/>
    </row>
    <row r="316" spans="2:66" ht="12.95" customHeight="1">
      <c r="B316" s="3" t="s">
        <v>89</v>
      </c>
      <c r="C316" s="3"/>
      <c r="D316" s="3"/>
      <c r="E316" s="3"/>
      <c r="F316" s="3"/>
      <c r="G316" s="3"/>
      <c r="H316" s="1480" t="s">
        <v>599</v>
      </c>
      <c r="I316" s="1480"/>
      <c r="J316" s="1480"/>
      <c r="K316" s="1480"/>
      <c r="L316" s="1480"/>
      <c r="M316" s="1480"/>
      <c r="N316" s="4"/>
      <c r="O316" s="4"/>
      <c r="P316" s="35"/>
      <c r="Q316" s="35"/>
      <c r="R316" s="35"/>
      <c r="S316" s="3"/>
      <c r="T316" s="3" t="s">
        <v>89</v>
      </c>
      <c r="V316" s="3"/>
      <c r="W316" s="3"/>
      <c r="X316" s="3"/>
      <c r="Y316" s="3"/>
      <c r="AA316" s="1885" t="s">
        <v>599</v>
      </c>
      <c r="AB316" s="1885"/>
      <c r="AC316" s="1885"/>
      <c r="AD316" s="1885"/>
      <c r="AE316" s="1885"/>
      <c r="AF316" s="1885"/>
      <c r="AG316" s="4"/>
      <c r="AH316" s="4"/>
      <c r="AI316" s="35"/>
      <c r="AJ316" s="35"/>
      <c r="AK316" s="35"/>
      <c r="BN316" s="34"/>
    </row>
    <row r="317" spans="2:66" ht="12.95" customHeight="1">
      <c r="B317" s="3" t="s">
        <v>76</v>
      </c>
      <c r="C317" s="3"/>
      <c r="D317" s="3"/>
      <c r="E317" s="3"/>
      <c r="F317" s="3"/>
      <c r="G317" s="3"/>
      <c r="H317" s="1793" t="s">
        <v>2683</v>
      </c>
      <c r="I317" s="1793"/>
      <c r="J317" s="1793"/>
      <c r="K317" s="1793"/>
      <c r="L317" s="1793"/>
      <c r="M317" s="1793"/>
      <c r="N317" s="1883"/>
      <c r="O317" s="1883"/>
      <c r="P317" s="1883"/>
      <c r="Q317" s="1883"/>
      <c r="R317" s="1883"/>
      <c r="S317" s="3"/>
      <c r="T317" s="3" t="s">
        <v>76</v>
      </c>
      <c r="V317" s="3"/>
      <c r="W317" s="3"/>
      <c r="X317" s="3"/>
      <c r="Y317" s="3"/>
      <c r="AA317" s="1793" t="s">
        <v>2789</v>
      </c>
      <c r="AB317" s="1793"/>
      <c r="AC317" s="1793"/>
      <c r="AD317" s="1793"/>
      <c r="AE317" s="1793"/>
      <c r="AF317" s="1793"/>
      <c r="AG317" s="1883"/>
      <c r="AH317" s="1883"/>
      <c r="AI317" s="1883"/>
      <c r="AJ317" s="1883"/>
      <c r="AK317" s="1883"/>
      <c r="BN317" s="34"/>
    </row>
    <row r="318" spans="2:66" ht="12.95" customHeight="1">
      <c r="BN318" s="34"/>
    </row>
    <row r="319" spans="2:66" ht="12.95" customHeight="1">
      <c r="B319" s="4" t="s">
        <v>923</v>
      </c>
      <c r="C319" s="3"/>
      <c r="D319" s="3"/>
      <c r="E319" s="3"/>
      <c r="F319" s="3"/>
      <c r="H319" s="1486" t="s">
        <v>599</v>
      </c>
      <c r="I319" s="1486"/>
      <c r="J319" s="1486"/>
      <c r="K319" s="1486"/>
      <c r="L319" s="1486"/>
      <c r="M319" s="1486"/>
      <c r="N319" s="1486"/>
      <c r="O319" s="1486"/>
      <c r="P319" s="1486"/>
      <c r="Q319" s="1486"/>
      <c r="R319" s="1486"/>
      <c r="T319" s="3" t="s">
        <v>367</v>
      </c>
      <c r="V319" s="3"/>
      <c r="W319" s="3"/>
      <c r="X319" s="3"/>
      <c r="Y319" s="3"/>
      <c r="AA319" s="1883" t="s">
        <v>2690</v>
      </c>
      <c r="AB319" s="1883"/>
      <c r="AC319" s="1883"/>
      <c r="AD319" s="1883"/>
      <c r="AE319" s="1883"/>
      <c r="AF319" s="1883"/>
      <c r="AG319" s="1883"/>
      <c r="AH319" s="1883"/>
      <c r="AI319" s="1883"/>
      <c r="AJ319" s="1883"/>
      <c r="AK319" s="1883"/>
      <c r="BN319" s="34"/>
    </row>
    <row r="320" spans="2:66" ht="12.95" customHeight="1">
      <c r="B320" s="3" t="s">
        <v>479</v>
      </c>
      <c r="C320" s="3"/>
      <c r="D320" s="3"/>
      <c r="E320" s="3"/>
      <c r="F320" s="3"/>
      <c r="H320" s="1485"/>
      <c r="I320" s="1485"/>
      <c r="J320" s="1485"/>
      <c r="K320" s="1485"/>
      <c r="L320" s="1485"/>
      <c r="M320" s="1485"/>
      <c r="N320" s="1485"/>
      <c r="O320" s="1485"/>
      <c r="P320" s="1485"/>
      <c r="Q320" s="1485"/>
      <c r="R320" s="1485"/>
      <c r="T320" s="3" t="s">
        <v>479</v>
      </c>
      <c r="V320" s="3"/>
      <c r="W320" s="3"/>
      <c r="X320" s="3"/>
      <c r="Y320" s="3"/>
      <c r="AA320" s="1793" t="s">
        <v>2691</v>
      </c>
      <c r="AB320" s="1793"/>
      <c r="AC320" s="1793"/>
      <c r="AD320" s="1793"/>
      <c r="AE320" s="1793"/>
      <c r="AF320" s="1793"/>
      <c r="AG320" s="1793"/>
      <c r="AH320" s="1793"/>
      <c r="AI320" s="1793"/>
      <c r="AJ320" s="1793"/>
      <c r="AK320" s="1793"/>
      <c r="BN320" s="34"/>
    </row>
    <row r="321" spans="2:66" ht="12.95" customHeight="1">
      <c r="B321" s="3" t="s">
        <v>480</v>
      </c>
      <c r="C321" s="3"/>
      <c r="D321" s="3"/>
      <c r="E321" s="3"/>
      <c r="F321" s="3"/>
      <c r="H321" s="1485"/>
      <c r="I321" s="1485"/>
      <c r="J321" s="1485"/>
      <c r="K321" s="1485"/>
      <c r="L321" s="1485"/>
      <c r="M321" s="1485"/>
      <c r="N321" s="1485"/>
      <c r="O321" s="1485"/>
      <c r="P321" s="1485"/>
      <c r="Q321" s="1485"/>
      <c r="R321" s="1485"/>
      <c r="T321" s="3" t="s">
        <v>75</v>
      </c>
      <c r="V321" s="3"/>
      <c r="W321" s="3"/>
      <c r="X321" s="3"/>
      <c r="Y321" s="3"/>
      <c r="AA321" s="1793" t="s">
        <v>2692</v>
      </c>
      <c r="AB321" s="1793"/>
      <c r="AC321" s="1793"/>
      <c r="AD321" s="1793"/>
      <c r="AE321" s="1793"/>
      <c r="AF321" s="1793"/>
      <c r="AG321" s="1793"/>
      <c r="AH321" s="1793"/>
      <c r="AI321" s="1793"/>
      <c r="AJ321" s="1793"/>
      <c r="AK321" s="1793"/>
      <c r="BN321" s="34"/>
    </row>
    <row r="322" spans="2:66" ht="12.95" customHeight="1">
      <c r="B322" s="3" t="s">
        <v>87</v>
      </c>
      <c r="C322" s="3"/>
      <c r="D322" s="3"/>
      <c r="E322" s="3"/>
      <c r="F322" s="3"/>
      <c r="H322" s="1485"/>
      <c r="I322" s="1485"/>
      <c r="J322" s="1485"/>
      <c r="K322" s="1485"/>
      <c r="L322" s="1485"/>
      <c r="M322" s="1485"/>
      <c r="N322" s="1485"/>
      <c r="O322" s="1485"/>
      <c r="P322" s="1485"/>
      <c r="Q322" s="1485"/>
      <c r="R322" s="1485"/>
      <c r="T322" s="3" t="s">
        <v>87</v>
      </c>
      <c r="V322" s="3"/>
      <c r="W322" s="3"/>
      <c r="X322" s="3"/>
      <c r="Y322" s="3"/>
      <c r="AA322" s="1793" t="s">
        <v>2693</v>
      </c>
      <c r="AB322" s="1793"/>
      <c r="AC322" s="1793"/>
      <c r="AD322" s="1793"/>
      <c r="AE322" s="1793"/>
      <c r="AF322" s="1793"/>
      <c r="AG322" s="1793"/>
      <c r="AH322" s="1793"/>
      <c r="AI322" s="1793"/>
      <c r="AJ322" s="1793"/>
      <c r="AK322" s="1793"/>
      <c r="BN322" s="34"/>
    </row>
    <row r="323" spans="2:66" ht="12.95" customHeight="1">
      <c r="B323" s="3" t="s">
        <v>88</v>
      </c>
      <c r="C323" s="3"/>
      <c r="D323" s="3"/>
      <c r="E323" s="3"/>
      <c r="F323" s="3"/>
      <c r="G323" s="3"/>
      <c r="H323" s="1791"/>
      <c r="I323" s="1791"/>
      <c r="J323" s="1791"/>
      <c r="K323" s="1791"/>
      <c r="L323" s="1791"/>
      <c r="M323" s="1791"/>
      <c r="N323" s="4" t="s">
        <v>207</v>
      </c>
      <c r="O323" s="4"/>
      <c r="P323" s="1478"/>
      <c r="Q323" s="1478"/>
      <c r="R323" s="1478"/>
      <c r="S323" s="3"/>
      <c r="T323" s="3" t="s">
        <v>88</v>
      </c>
      <c r="V323" s="3"/>
      <c r="W323" s="3"/>
      <c r="X323" s="3"/>
      <c r="Y323" s="3"/>
      <c r="AA323" s="1884" t="s">
        <v>2694</v>
      </c>
      <c r="AB323" s="1884"/>
      <c r="AC323" s="1884"/>
      <c r="AD323" s="1884"/>
      <c r="AE323" s="1884"/>
      <c r="AF323" s="1884"/>
      <c r="AG323" s="4" t="s">
        <v>207</v>
      </c>
      <c r="AH323" s="4"/>
      <c r="AI323" s="1478" t="s">
        <v>599</v>
      </c>
      <c r="AJ323" s="1478"/>
      <c r="AK323" s="1478"/>
    </row>
    <row r="324" spans="2:66" ht="12.95" customHeight="1">
      <c r="B324" s="3" t="s">
        <v>89</v>
      </c>
      <c r="C324" s="3"/>
      <c r="D324" s="3"/>
      <c r="E324" s="3"/>
      <c r="F324" s="3"/>
      <c r="G324" s="3"/>
      <c r="H324" s="1480"/>
      <c r="I324" s="1480"/>
      <c r="J324" s="1480"/>
      <c r="K324" s="1480"/>
      <c r="L324" s="1480"/>
      <c r="M324" s="1480"/>
      <c r="N324" s="4"/>
      <c r="O324" s="4"/>
      <c r="P324" s="35"/>
      <c r="Q324" s="35"/>
      <c r="R324" s="35"/>
      <c r="S324" s="3"/>
      <c r="T324" s="3" t="s">
        <v>89</v>
      </c>
      <c r="V324" s="3"/>
      <c r="W324" s="3"/>
      <c r="X324" s="3"/>
      <c r="Y324" s="3"/>
      <c r="AA324" s="1885" t="s">
        <v>599</v>
      </c>
      <c r="AB324" s="1885"/>
      <c r="AC324" s="1885"/>
      <c r="AD324" s="1885"/>
      <c r="AE324" s="1885"/>
      <c r="AF324" s="1885"/>
      <c r="AG324" s="4"/>
      <c r="AH324" s="4"/>
      <c r="AI324" s="35"/>
      <c r="AJ324" s="35"/>
      <c r="AK324" s="35"/>
    </row>
    <row r="325" spans="2:66" ht="12.95" customHeight="1">
      <c r="B325" s="3" t="s">
        <v>76</v>
      </c>
      <c r="C325" s="3"/>
      <c r="D325" s="3"/>
      <c r="E325" s="3"/>
      <c r="F325" s="3"/>
      <c r="G325" s="3"/>
      <c r="H325" s="1485"/>
      <c r="I325" s="1485"/>
      <c r="J325" s="1485"/>
      <c r="K325" s="1485"/>
      <c r="L325" s="1485"/>
      <c r="M325" s="1485"/>
      <c r="N325" s="1486"/>
      <c r="O325" s="1486"/>
      <c r="P325" s="1486"/>
      <c r="Q325" s="1486"/>
      <c r="R325" s="1486"/>
      <c r="S325" s="3"/>
      <c r="T325" s="3" t="s">
        <v>76</v>
      </c>
      <c r="V325" s="3"/>
      <c r="W325" s="3"/>
      <c r="X325" s="3"/>
      <c r="Y325" s="3"/>
      <c r="AA325" s="1793" t="s">
        <v>2695</v>
      </c>
      <c r="AB325" s="1793"/>
      <c r="AC325" s="1793"/>
      <c r="AD325" s="1793"/>
      <c r="AE325" s="1793"/>
      <c r="AF325" s="1793"/>
      <c r="AG325" s="1883"/>
      <c r="AH325" s="1883"/>
      <c r="AI325" s="1883"/>
      <c r="AJ325" s="1883"/>
      <c r="AK325" s="188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894" t="s">
        <v>2696</v>
      </c>
      <c r="I327" s="1895"/>
      <c r="J327" s="1895"/>
      <c r="K327" s="1895"/>
      <c r="L327" s="1895"/>
      <c r="M327" s="1895"/>
      <c r="N327" s="1895"/>
      <c r="O327" s="1895"/>
      <c r="P327" s="1895"/>
      <c r="Q327" s="1895"/>
      <c r="R327" s="1895"/>
      <c r="T327" s="3" t="s">
        <v>369</v>
      </c>
      <c r="V327" s="3"/>
      <c r="W327" s="3"/>
      <c r="X327" s="3"/>
      <c r="Y327" s="3"/>
      <c r="AA327" s="1486" t="s">
        <v>599</v>
      </c>
      <c r="AB327" s="1486"/>
      <c r="AC327" s="1486"/>
      <c r="AD327" s="1486"/>
      <c r="AE327" s="1486"/>
      <c r="AF327" s="1486"/>
      <c r="AG327" s="1486"/>
      <c r="AH327" s="1486"/>
      <c r="AI327" s="1486"/>
      <c r="AJ327" s="1486"/>
      <c r="AK327" s="1486"/>
    </row>
    <row r="328" spans="2:66" ht="12.95" customHeight="1">
      <c r="B328" s="3" t="s">
        <v>479</v>
      </c>
      <c r="C328" s="3"/>
      <c r="D328" s="3"/>
      <c r="E328" s="3"/>
      <c r="F328" s="3"/>
      <c r="H328" s="1406" t="s">
        <v>2697</v>
      </c>
      <c r="I328" s="1485"/>
      <c r="J328" s="1485"/>
      <c r="K328" s="1485"/>
      <c r="L328" s="1485"/>
      <c r="M328" s="1485"/>
      <c r="N328" s="1485"/>
      <c r="O328" s="1485"/>
      <c r="P328" s="1485"/>
      <c r="Q328" s="1485"/>
      <c r="R328" s="1485"/>
      <c r="T328" s="3" t="s">
        <v>479</v>
      </c>
      <c r="V328" s="3"/>
      <c r="W328" s="3"/>
      <c r="X328" s="3"/>
      <c r="Y328" s="3"/>
      <c r="AA328" s="1485"/>
      <c r="AB328" s="1485"/>
      <c r="AC328" s="1485"/>
      <c r="AD328" s="1485"/>
      <c r="AE328" s="1485"/>
      <c r="AF328" s="1485"/>
      <c r="AG328" s="1485"/>
      <c r="AH328" s="1485"/>
      <c r="AI328" s="1485"/>
      <c r="AJ328" s="1485"/>
      <c r="AK328" s="1485"/>
    </row>
    <row r="329" spans="2:66" ht="12.95" customHeight="1">
      <c r="B329" s="3" t="s">
        <v>480</v>
      </c>
      <c r="C329" s="3"/>
      <c r="D329" s="3"/>
      <c r="E329" s="3"/>
      <c r="F329" s="3"/>
      <c r="H329" s="1406" t="s">
        <v>2698</v>
      </c>
      <c r="I329" s="1485"/>
      <c r="J329" s="1485"/>
      <c r="K329" s="1485"/>
      <c r="L329" s="1485"/>
      <c r="M329" s="1485"/>
      <c r="N329" s="1485"/>
      <c r="O329" s="1485"/>
      <c r="P329" s="1485"/>
      <c r="Q329" s="1485"/>
      <c r="R329" s="1485"/>
      <c r="T329" s="3" t="s">
        <v>75</v>
      </c>
      <c r="V329" s="3"/>
      <c r="W329" s="3"/>
      <c r="X329" s="3"/>
      <c r="Y329" s="3"/>
      <c r="AA329" s="1485"/>
      <c r="AB329" s="1485"/>
      <c r="AC329" s="1485"/>
      <c r="AD329" s="1485"/>
      <c r="AE329" s="1485"/>
      <c r="AF329" s="1485"/>
      <c r="AG329" s="1485"/>
      <c r="AH329" s="1485"/>
      <c r="AI329" s="1485"/>
      <c r="AJ329" s="1485"/>
      <c r="AK329" s="1485"/>
    </row>
    <row r="330" spans="2:66" ht="12.95" customHeight="1">
      <c r="B330" s="3" t="s">
        <v>87</v>
      </c>
      <c r="C330" s="3"/>
      <c r="D330" s="3"/>
      <c r="E330" s="3"/>
      <c r="F330" s="3"/>
      <c r="H330" s="1406" t="s">
        <v>2699</v>
      </c>
      <c r="I330" s="1485"/>
      <c r="J330" s="1485"/>
      <c r="K330" s="1485"/>
      <c r="L330" s="1485"/>
      <c r="M330" s="1485"/>
      <c r="N330" s="1485"/>
      <c r="O330" s="1485"/>
      <c r="P330" s="1485"/>
      <c r="Q330" s="1485"/>
      <c r="R330" s="1485"/>
      <c r="T330" s="3" t="s">
        <v>87</v>
      </c>
      <c r="V330" s="3"/>
      <c r="W330" s="3"/>
      <c r="X330" s="3"/>
      <c r="Y330" s="3"/>
      <c r="AA330" s="1485"/>
      <c r="AB330" s="1485"/>
      <c r="AC330" s="1485"/>
      <c r="AD330" s="1485"/>
      <c r="AE330" s="1485"/>
      <c r="AF330" s="1485"/>
      <c r="AG330" s="1485"/>
      <c r="AH330" s="1485"/>
      <c r="AI330" s="1485"/>
      <c r="AJ330" s="1485"/>
      <c r="AK330" s="1485"/>
    </row>
    <row r="331" spans="2:66" ht="12.95" customHeight="1">
      <c r="B331" s="3" t="s">
        <v>88</v>
      </c>
      <c r="C331" s="3"/>
      <c r="D331" s="3"/>
      <c r="E331" s="3"/>
      <c r="F331" s="3"/>
      <c r="G331" s="3"/>
      <c r="H331" s="1268" t="s">
        <v>2700</v>
      </c>
      <c r="I331" s="1267"/>
      <c r="J331" s="1267"/>
      <c r="K331" s="1267"/>
      <c r="L331" s="1267"/>
      <c r="M331" s="1267"/>
      <c r="N331" s="4" t="s">
        <v>207</v>
      </c>
      <c r="O331" s="4"/>
      <c r="P331" s="1478"/>
      <c r="Q331" s="1478"/>
      <c r="R331" s="1478"/>
      <c r="S331" s="3"/>
      <c r="T331" s="3" t="s">
        <v>88</v>
      </c>
      <c r="V331" s="3"/>
      <c r="W331" s="3"/>
      <c r="X331" s="3"/>
      <c r="Y331" s="3"/>
      <c r="AA331" s="1791"/>
      <c r="AB331" s="1791"/>
      <c r="AC331" s="1791"/>
      <c r="AD331" s="1791"/>
      <c r="AE331" s="1791"/>
      <c r="AF331" s="1791"/>
      <c r="AG331" s="4" t="s">
        <v>207</v>
      </c>
      <c r="AH331" s="4"/>
      <c r="AI331" s="1478"/>
      <c r="AJ331" s="1478"/>
      <c r="AK331" s="1478"/>
    </row>
    <row r="332" spans="2:66" ht="12.95" customHeight="1">
      <c r="B332" s="3" t="s">
        <v>89</v>
      </c>
      <c r="C332" s="3"/>
      <c r="D332" s="3"/>
      <c r="E332" s="3"/>
      <c r="F332" s="3"/>
      <c r="G332" s="3"/>
      <c r="H332" s="1547" t="s">
        <v>599</v>
      </c>
      <c r="I332" s="1480"/>
      <c r="J332" s="1480"/>
      <c r="K332" s="1480"/>
      <c r="L332" s="1480"/>
      <c r="M332" s="1480"/>
      <c r="N332" s="4"/>
      <c r="O332" s="4"/>
      <c r="P332" s="35"/>
      <c r="Q332" s="35"/>
      <c r="R332" s="35"/>
      <c r="S332" s="3"/>
      <c r="T332" s="3" t="s">
        <v>89</v>
      </c>
      <c r="V332" s="3"/>
      <c r="W332" s="3"/>
      <c r="X332" s="3"/>
      <c r="Y332" s="3"/>
      <c r="AA332" s="1480"/>
      <c r="AB332" s="1480"/>
      <c r="AC332" s="1480"/>
      <c r="AD332" s="1480"/>
      <c r="AE332" s="1480"/>
      <c r="AF332" s="1480"/>
      <c r="AG332" s="4"/>
      <c r="AH332" s="4"/>
      <c r="AI332" s="35"/>
      <c r="AJ332" s="35"/>
      <c r="AK332" s="35"/>
    </row>
    <row r="333" spans="2:66" ht="12.95" customHeight="1">
      <c r="B333" s="3" t="s">
        <v>76</v>
      </c>
      <c r="C333" s="3"/>
      <c r="D333" s="3"/>
      <c r="E333" s="3"/>
      <c r="F333" s="3"/>
      <c r="G333" s="3"/>
      <c r="H333" s="1485" t="s">
        <v>2701</v>
      </c>
      <c r="I333" s="1485"/>
      <c r="J333" s="1485"/>
      <c r="K333" s="1485"/>
      <c r="L333" s="1485"/>
      <c r="M333" s="1485"/>
      <c r="N333" s="1486"/>
      <c r="O333" s="1486"/>
      <c r="P333" s="1486"/>
      <c r="Q333" s="1486"/>
      <c r="R333" s="1486"/>
      <c r="S333" s="3"/>
      <c r="T333" s="3" t="s">
        <v>76</v>
      </c>
      <c r="V333" s="3"/>
      <c r="W333" s="3"/>
      <c r="X333" s="3"/>
      <c r="Y333" s="3"/>
      <c r="AA333" s="1485"/>
      <c r="AB333" s="1485"/>
      <c r="AC333" s="1485"/>
      <c r="AD333" s="1485"/>
      <c r="AE333" s="1485"/>
      <c r="AF333" s="1485"/>
      <c r="AG333" s="1486"/>
      <c r="AH333" s="1486"/>
      <c r="AI333" s="1486"/>
      <c r="AJ333" s="1486"/>
      <c r="AK333" s="148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7" t="s">
        <v>2638</v>
      </c>
      <c r="I335" s="1486"/>
      <c r="J335" s="1486"/>
      <c r="K335" s="1486"/>
      <c r="L335" s="1486"/>
      <c r="M335" s="1486"/>
      <c r="N335" s="1486"/>
      <c r="O335" s="1486"/>
      <c r="P335" s="1486"/>
      <c r="Q335" s="1486"/>
      <c r="R335" s="1486"/>
      <c r="T335" s="218" t="s">
        <v>899</v>
      </c>
      <c r="V335" s="3"/>
      <c r="W335" s="3"/>
      <c r="X335" s="3"/>
      <c r="Y335" s="3"/>
      <c r="AA335" s="1266" t="s">
        <v>2703</v>
      </c>
      <c r="AB335" s="1266"/>
      <c r="AC335" s="1266"/>
      <c r="AD335" s="1266"/>
      <c r="AE335" s="1266"/>
      <c r="AF335" s="1266"/>
      <c r="AG335" s="1266"/>
      <c r="AH335" s="1266"/>
      <c r="AI335" s="1266"/>
      <c r="AJ335" s="1266"/>
      <c r="AK335" s="1266"/>
    </row>
    <row r="336" spans="2:66" ht="12.95" customHeight="1">
      <c r="B336" s="3" t="s">
        <v>479</v>
      </c>
      <c r="C336" s="3"/>
      <c r="D336" s="3"/>
      <c r="E336" s="3"/>
      <c r="F336" s="3"/>
      <c r="H336" s="1406" t="s">
        <v>2663</v>
      </c>
      <c r="I336" s="1485"/>
      <c r="J336" s="1485"/>
      <c r="K336" s="1485"/>
      <c r="L336" s="1485"/>
      <c r="M336" s="1485"/>
      <c r="N336" s="1485"/>
      <c r="O336" s="1485"/>
      <c r="P336" s="1485"/>
      <c r="Q336" s="1485"/>
      <c r="R336" s="1485"/>
      <c r="T336" s="3" t="s">
        <v>479</v>
      </c>
      <c r="V336" s="3"/>
      <c r="W336" s="3"/>
      <c r="X336" s="3"/>
      <c r="Y336" s="3"/>
      <c r="AA336" s="269" t="s">
        <v>2704</v>
      </c>
      <c r="AB336" s="269"/>
      <c r="AC336" s="269"/>
      <c r="AD336" s="269"/>
      <c r="AE336" s="269"/>
      <c r="AF336" s="269"/>
      <c r="AG336" s="269"/>
      <c r="AH336" s="269"/>
      <c r="AI336" s="269"/>
      <c r="AJ336" s="269"/>
      <c r="AK336" s="269"/>
    </row>
    <row r="337" spans="1:66" ht="12.95" customHeight="1">
      <c r="B337" s="3" t="s">
        <v>75</v>
      </c>
      <c r="C337" s="3"/>
      <c r="D337" s="3"/>
      <c r="E337" s="3"/>
      <c r="F337" s="3"/>
      <c r="H337" s="1485" t="s">
        <v>2702</v>
      </c>
      <c r="I337" s="1485"/>
      <c r="J337" s="1485"/>
      <c r="K337" s="1485"/>
      <c r="L337" s="1485"/>
      <c r="M337" s="1485"/>
      <c r="N337" s="1485"/>
      <c r="O337" s="1485"/>
      <c r="P337" s="1485"/>
      <c r="Q337" s="1485"/>
      <c r="R337" s="1485"/>
      <c r="T337" s="3" t="s">
        <v>75</v>
      </c>
      <c r="V337" s="3"/>
      <c r="W337" s="3"/>
      <c r="X337" s="3"/>
      <c r="Y337" s="3"/>
      <c r="AA337" s="269" t="s">
        <v>2705</v>
      </c>
      <c r="AB337" s="269"/>
      <c r="AC337" s="269"/>
      <c r="AD337" s="269"/>
      <c r="AE337" s="269"/>
      <c r="AF337" s="269"/>
      <c r="AG337" s="269"/>
      <c r="AH337" s="269"/>
      <c r="AI337" s="269"/>
      <c r="AJ337" s="269"/>
      <c r="AK337" s="269"/>
    </row>
    <row r="338" spans="1:66" ht="12.95" customHeight="1">
      <c r="B338" s="3" t="s">
        <v>87</v>
      </c>
      <c r="C338" s="3"/>
      <c r="D338" s="3"/>
      <c r="E338" s="3"/>
      <c r="F338" s="3"/>
      <c r="G338" s="3"/>
      <c r="H338" s="1406" t="s">
        <v>2741</v>
      </c>
      <c r="I338" s="1485"/>
      <c r="J338" s="1485"/>
      <c r="K338" s="1485"/>
      <c r="L338" s="1485"/>
      <c r="M338" s="1485"/>
      <c r="N338" s="1485"/>
      <c r="O338" s="1485"/>
      <c r="P338" s="1485"/>
      <c r="Q338" s="1485"/>
      <c r="R338" s="1485"/>
      <c r="T338" s="3" t="s">
        <v>87</v>
      </c>
      <c r="V338" s="3"/>
      <c r="W338" s="3"/>
      <c r="X338" s="3"/>
      <c r="Y338" s="3"/>
      <c r="AA338" s="269" t="s">
        <v>2706</v>
      </c>
      <c r="AB338" s="269"/>
      <c r="AC338" s="269"/>
      <c r="AD338" s="269"/>
      <c r="AE338" s="269"/>
      <c r="AF338" s="269"/>
      <c r="AG338" s="269"/>
      <c r="AH338" s="269"/>
      <c r="AI338" s="269"/>
      <c r="AJ338" s="269"/>
      <c r="AK338" s="269"/>
    </row>
    <row r="339" spans="1:66" ht="12.95" customHeight="1">
      <c r="B339" s="3" t="s">
        <v>88</v>
      </c>
      <c r="C339" s="3"/>
      <c r="D339" s="3"/>
      <c r="E339" s="3"/>
      <c r="F339" s="3"/>
      <c r="G339" s="3"/>
      <c r="H339" s="1790" t="s">
        <v>2756</v>
      </c>
      <c r="I339" s="1791"/>
      <c r="J339" s="1791"/>
      <c r="K339" s="1791"/>
      <c r="L339" s="1791"/>
      <c r="M339" s="1791"/>
      <c r="N339" s="4" t="s">
        <v>207</v>
      </c>
      <c r="O339" s="4"/>
      <c r="P339" s="1477" t="s">
        <v>599</v>
      </c>
      <c r="Q339" s="1478"/>
      <c r="R339" s="1478"/>
      <c r="S339" s="3"/>
      <c r="T339" s="3" t="s">
        <v>88</v>
      </c>
      <c r="V339" s="3"/>
      <c r="W339" s="3"/>
      <c r="X339" s="3"/>
      <c r="Y339" s="3"/>
      <c r="AA339" s="1790" t="s">
        <v>2707</v>
      </c>
      <c r="AB339" s="1791"/>
      <c r="AC339" s="1791"/>
      <c r="AD339" s="1791"/>
      <c r="AE339" s="1791"/>
      <c r="AF339" s="1791"/>
      <c r="AG339" s="4" t="s">
        <v>207</v>
      </c>
      <c r="AH339" s="4"/>
      <c r="AI339" s="1478" t="s">
        <v>599</v>
      </c>
      <c r="AJ339" s="1478"/>
      <c r="AK339" s="1478"/>
    </row>
    <row r="340" spans="1:66" ht="12.95" customHeight="1">
      <c r="B340" s="3" t="s">
        <v>89</v>
      </c>
      <c r="C340" s="3"/>
      <c r="D340" s="3"/>
      <c r="E340" s="3"/>
      <c r="F340" s="3"/>
      <c r="G340" s="3"/>
      <c r="H340" s="1480" t="s">
        <v>599</v>
      </c>
      <c r="I340" s="1480"/>
      <c r="J340" s="1480"/>
      <c r="K340" s="1480"/>
      <c r="L340" s="1480"/>
      <c r="M340" s="1480"/>
      <c r="N340" s="4"/>
      <c r="O340" s="4"/>
      <c r="P340" s="35"/>
      <c r="Q340" s="35"/>
      <c r="R340" s="35"/>
      <c r="S340" s="3"/>
      <c r="T340" s="3" t="s">
        <v>89</v>
      </c>
      <c r="V340" s="3"/>
      <c r="W340" s="3"/>
      <c r="X340" s="3"/>
      <c r="Y340" s="3"/>
      <c r="AA340" s="1547" t="s">
        <v>599</v>
      </c>
      <c r="AB340" s="1480"/>
      <c r="AC340" s="1480"/>
      <c r="AD340" s="1480"/>
      <c r="AE340" s="1480"/>
      <c r="AF340" s="1480"/>
      <c r="AG340" s="4"/>
      <c r="AH340" s="4"/>
      <c r="AI340" s="35"/>
      <c r="AJ340" s="35"/>
      <c r="AK340" s="35"/>
    </row>
    <row r="341" spans="1:66" ht="12.95" customHeight="1">
      <c r="B341" s="3" t="s">
        <v>76</v>
      </c>
      <c r="C341" s="3"/>
      <c r="D341" s="3"/>
      <c r="E341" s="3"/>
      <c r="F341" s="3"/>
      <c r="G341" s="3"/>
      <c r="H341" s="1406" t="s">
        <v>2757</v>
      </c>
      <c r="I341" s="1485"/>
      <c r="J341" s="1485"/>
      <c r="K341" s="1485"/>
      <c r="L341" s="1485"/>
      <c r="M341" s="1485"/>
      <c r="N341" s="1486"/>
      <c r="O341" s="1486"/>
      <c r="P341" s="1486"/>
      <c r="Q341" s="1486"/>
      <c r="R341" s="1486"/>
      <c r="S341" s="3"/>
      <c r="T341" s="3" t="s">
        <v>76</v>
      </c>
      <c r="V341" s="3"/>
      <c r="W341" s="3"/>
      <c r="X341" s="3"/>
      <c r="Y341" s="3"/>
      <c r="AA341" s="1485" t="s">
        <v>2708</v>
      </c>
      <c r="AB341" s="1485"/>
      <c r="AC341" s="1485"/>
      <c r="AD341" s="1485"/>
      <c r="AE341" s="1485"/>
      <c r="AF341" s="1485"/>
      <c r="AG341" s="1486"/>
      <c r="AH341" s="1486"/>
      <c r="AI341" s="1486"/>
      <c r="AJ341" s="1486"/>
      <c r="AK341" s="148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86" t="s">
        <v>599</v>
      </c>
      <c r="Q343" s="1486"/>
      <c r="R343" s="1486"/>
      <c r="S343" s="1486"/>
      <c r="T343" s="1486"/>
      <c r="U343" s="1486"/>
      <c r="V343" s="1486"/>
      <c r="W343" s="1486"/>
      <c r="X343" s="1486"/>
      <c r="Y343" s="1486"/>
      <c r="Z343" s="1486"/>
      <c r="AA343" s="1486"/>
      <c r="AB343" s="1486"/>
      <c r="AC343" s="1486"/>
      <c r="AD343" s="1486"/>
      <c r="AE343" s="1486"/>
      <c r="BN343" t="s">
        <v>677</v>
      </c>
    </row>
    <row r="344" spans="1:66" ht="12.95" customHeight="1">
      <c r="B344" s="4"/>
      <c r="C344" s="4"/>
      <c r="D344" s="4"/>
      <c r="E344" s="4"/>
      <c r="F344" s="4"/>
      <c r="I344" s="4" t="s">
        <v>479</v>
      </c>
      <c r="P344" s="1485"/>
      <c r="Q344" s="1485"/>
      <c r="R344" s="1485"/>
      <c r="S344" s="1485"/>
      <c r="T344" s="1485"/>
      <c r="U344" s="1485"/>
      <c r="V344" s="1485"/>
      <c r="W344" s="1485"/>
      <c r="X344" s="1485"/>
      <c r="Y344" s="1485"/>
      <c r="Z344" s="1485"/>
      <c r="AA344" s="1485"/>
      <c r="AB344" s="1485"/>
      <c r="AC344" s="1485"/>
      <c r="AD344" s="1485"/>
      <c r="AE344" s="1485"/>
      <c r="BN344" t="s">
        <v>553</v>
      </c>
    </row>
    <row r="345" spans="1:66" ht="12.95" customHeight="1">
      <c r="B345" s="4"/>
      <c r="C345" s="4"/>
      <c r="D345" s="4"/>
      <c r="E345" s="4"/>
      <c r="F345" s="4"/>
      <c r="I345" s="4" t="s">
        <v>75</v>
      </c>
      <c r="P345" s="1485"/>
      <c r="Q345" s="1485"/>
      <c r="R345" s="1485"/>
      <c r="S345" s="1485"/>
      <c r="T345" s="1485"/>
      <c r="U345" s="1485"/>
      <c r="V345" s="1485"/>
      <c r="W345" s="1485"/>
      <c r="X345" s="1485"/>
      <c r="Y345" s="1485"/>
      <c r="Z345" s="1485"/>
      <c r="AA345" s="1485"/>
      <c r="AB345" s="1485"/>
      <c r="AC345" s="1485"/>
      <c r="AD345" s="1485"/>
      <c r="AE345" s="1485"/>
    </row>
    <row r="346" spans="1:66" ht="12.95" customHeight="1">
      <c r="B346" s="4"/>
      <c r="C346" s="4"/>
      <c r="D346" s="4"/>
      <c r="E346" s="4"/>
      <c r="F346" s="4"/>
      <c r="G346" s="4"/>
      <c r="I346" s="4" t="s">
        <v>87</v>
      </c>
      <c r="P346" s="1485"/>
      <c r="Q346" s="1485"/>
      <c r="R346" s="1485"/>
      <c r="S346" s="1485"/>
      <c r="T346" s="1485"/>
      <c r="U346" s="1485"/>
      <c r="V346" s="1485"/>
      <c r="W346" s="1485"/>
      <c r="X346" s="1485"/>
      <c r="Y346" s="1485"/>
      <c r="Z346" s="1485"/>
      <c r="AA346" s="1485"/>
      <c r="AB346" s="1485"/>
      <c r="AC346" s="1485"/>
      <c r="AD346" s="1485"/>
      <c r="AE346" s="1485"/>
    </row>
    <row r="347" spans="1:66" ht="12.95" customHeight="1">
      <c r="B347" s="4"/>
      <c r="C347" s="4"/>
      <c r="D347" s="4"/>
      <c r="E347" s="4"/>
      <c r="F347" s="4"/>
      <c r="G347" s="4"/>
      <c r="H347" s="324"/>
      <c r="I347" s="4" t="s">
        <v>88</v>
      </c>
      <c r="P347" s="1480"/>
      <c r="Q347" s="1480"/>
      <c r="R347" s="1480"/>
      <c r="S347" s="1480"/>
      <c r="T347" s="1480"/>
      <c r="U347" s="1480"/>
      <c r="V347" s="1480"/>
      <c r="W347" s="1480"/>
      <c r="X347" s="1480"/>
      <c r="Y347" s="1480"/>
      <c r="Z347" s="1480"/>
      <c r="AA347" s="4" t="s">
        <v>207</v>
      </c>
      <c r="AB347" s="4"/>
      <c r="AC347" s="1515"/>
      <c r="AD347" s="1515"/>
      <c r="AE347" s="1515"/>
      <c r="AF347" s="324"/>
      <c r="AG347" s="4"/>
      <c r="AH347" s="4"/>
      <c r="AI347" s="4"/>
      <c r="AJ347" s="4"/>
      <c r="AK347" s="4"/>
    </row>
    <row r="348" spans="1:66" ht="12.95" customHeight="1">
      <c r="B348" s="4"/>
      <c r="C348" s="4"/>
      <c r="D348" s="4"/>
      <c r="E348" s="4"/>
      <c r="F348" s="4"/>
      <c r="G348" s="4"/>
      <c r="H348" s="324"/>
      <c r="I348" s="4" t="s">
        <v>89</v>
      </c>
      <c r="P348" s="1480"/>
      <c r="Q348" s="1480"/>
      <c r="R348" s="1480"/>
      <c r="S348" s="1480"/>
      <c r="T348" s="1480"/>
      <c r="U348" s="1480"/>
      <c r="V348" s="1480"/>
      <c r="W348" s="1480"/>
      <c r="X348" s="1480"/>
      <c r="Y348" s="1480"/>
      <c r="Z348" s="1480"/>
      <c r="AF348" s="324"/>
      <c r="AG348" s="4"/>
      <c r="AH348" s="4"/>
      <c r="AI348" s="35"/>
      <c r="AJ348" s="35"/>
      <c r="AK348" s="35"/>
    </row>
    <row r="349" spans="1:66" ht="12.95" customHeight="1">
      <c r="B349" s="4"/>
      <c r="C349" s="4"/>
      <c r="D349" s="4"/>
      <c r="E349" s="4"/>
      <c r="F349" s="4"/>
      <c r="G349" s="4"/>
      <c r="I349" s="4" t="s">
        <v>76</v>
      </c>
      <c r="P349" s="1486"/>
      <c r="Q349" s="1486"/>
      <c r="R349" s="1486"/>
      <c r="S349" s="1486"/>
      <c r="T349" s="1486"/>
      <c r="U349" s="1486"/>
      <c r="V349" s="1486"/>
      <c r="W349" s="1486"/>
      <c r="X349" s="1486"/>
      <c r="Y349" s="1486"/>
      <c r="Z349" s="1486"/>
      <c r="AA349" s="1486"/>
      <c r="AB349" s="1486"/>
      <c r="AC349" s="1486"/>
      <c r="AD349" s="1486"/>
      <c r="AE349" s="1486"/>
    </row>
    <row r="350" spans="1:66" ht="12.95" customHeight="1">
      <c r="T350" s="8"/>
      <c r="U350" s="8"/>
      <c r="V350" s="8"/>
      <c r="W350" s="8"/>
      <c r="X350" s="8"/>
      <c r="Y350" s="8"/>
      <c r="Z350" s="8"/>
      <c r="AU350" s="95"/>
      <c r="AV350" s="95"/>
      <c r="AW350" s="95"/>
      <c r="AX350" s="95"/>
      <c r="AY350" s="95"/>
    </row>
    <row r="351" spans="1:66" ht="12.95" customHeight="1">
      <c r="A351" s="1651" t="s">
        <v>550</v>
      </c>
      <c r="B351" s="1651"/>
      <c r="C351" s="1651"/>
      <c r="D351" s="1651"/>
      <c r="E351" s="1651"/>
      <c r="F351" s="1651"/>
      <c r="G351" s="1651"/>
      <c r="H351" s="1651"/>
      <c r="I351" s="1651"/>
      <c r="J351" s="1651"/>
      <c r="K351" s="1651"/>
      <c r="L351" s="1651"/>
      <c r="M351" s="1651"/>
      <c r="N351" s="1651"/>
      <c r="O351" s="1651"/>
      <c r="P351" s="1651"/>
      <c r="Q351" s="1651"/>
      <c r="R351" s="1651"/>
      <c r="S351" s="1651"/>
      <c r="T351" s="1651"/>
      <c r="U351" s="1651"/>
      <c r="V351" s="1651"/>
      <c r="W351" s="1651"/>
      <c r="X351" s="1651"/>
      <c r="Y351" s="1651"/>
      <c r="Z351" s="1651"/>
      <c r="AA351" s="1651"/>
      <c r="AB351" s="1651"/>
      <c r="AC351" s="1651"/>
      <c r="AD351" s="1651"/>
      <c r="AE351" s="1651"/>
      <c r="AF351" s="1651"/>
      <c r="AG351" s="1651"/>
      <c r="AH351" s="1651"/>
      <c r="AI351" s="1651"/>
      <c r="AJ351" s="1651"/>
      <c r="AK351" s="1651"/>
      <c r="AL351" s="1651"/>
      <c r="AM351" s="1651"/>
      <c r="AN351" s="1651"/>
      <c r="AO351" s="1651"/>
      <c r="AP351" s="1651"/>
      <c r="AQ351" s="1651"/>
      <c r="AR351" s="1651"/>
      <c r="AS351" s="1651"/>
      <c r="AT351" s="1651"/>
      <c r="AU351" s="95"/>
      <c r="AV351" s="95"/>
      <c r="AW351" s="95"/>
      <c r="AX351" s="95"/>
      <c r="AY351" s="95"/>
    </row>
    <row r="352" spans="1:66" ht="12.95" customHeight="1">
      <c r="A352" s="1651"/>
      <c r="B352" s="1651"/>
      <c r="C352" s="1651"/>
      <c r="D352" s="1651"/>
      <c r="E352" s="1651"/>
      <c r="F352" s="1651"/>
      <c r="G352" s="1651"/>
      <c r="H352" s="1651"/>
      <c r="I352" s="1651"/>
      <c r="J352" s="1651"/>
      <c r="K352" s="1651"/>
      <c r="L352" s="1651"/>
      <c r="M352" s="1651"/>
      <c r="N352" s="1651"/>
      <c r="O352" s="1651"/>
      <c r="P352" s="1651"/>
      <c r="Q352" s="1651"/>
      <c r="R352" s="1651"/>
      <c r="S352" s="1651"/>
      <c r="T352" s="1651"/>
      <c r="U352" s="1651"/>
      <c r="V352" s="1651"/>
      <c r="W352" s="1651"/>
      <c r="X352" s="1651"/>
      <c r="Y352" s="1651"/>
      <c r="Z352" s="1651"/>
      <c r="AA352" s="1651"/>
      <c r="AB352" s="1651"/>
      <c r="AC352" s="1651"/>
      <c r="AD352" s="1651"/>
      <c r="AE352" s="1651"/>
      <c r="AF352" s="1651"/>
      <c r="AG352" s="1651"/>
      <c r="AH352" s="1651"/>
      <c r="AI352" s="1651"/>
      <c r="AJ352" s="1651"/>
      <c r="AK352" s="1651"/>
      <c r="AL352" s="1651"/>
      <c r="AM352" s="1651"/>
      <c r="AN352" s="1651"/>
      <c r="AO352" s="1651"/>
      <c r="AP352" s="1651"/>
      <c r="AQ352" s="1651"/>
      <c r="AR352" s="1651"/>
      <c r="AS352" s="1651"/>
      <c r="AT352" s="165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479" t="s">
        <v>553</v>
      </c>
      <c r="N355" s="1479"/>
      <c r="P355" t="s">
        <v>1762</v>
      </c>
      <c r="AJ355" s="1479" t="s">
        <v>553</v>
      </c>
      <c r="AK355" s="1479"/>
    </row>
    <row r="356" spans="1:46" ht="12.95" customHeight="1">
      <c r="D356" s="3" t="s">
        <v>1751</v>
      </c>
      <c r="M356" s="1479" t="s">
        <v>599</v>
      </c>
      <c r="N356" s="1479"/>
      <c r="P356" s="3" t="s">
        <v>1908</v>
      </c>
      <c r="AJ356" s="1504">
        <v>0</v>
      </c>
      <c r="AK356" s="1504"/>
    </row>
    <row r="357" spans="1:46" ht="12.95" customHeight="1">
      <c r="D357" s="3" t="s">
        <v>713</v>
      </c>
      <c r="M357" s="1479" t="s">
        <v>599</v>
      </c>
      <c r="N357" s="1479"/>
      <c r="P357" t="s">
        <v>1761</v>
      </c>
      <c r="AJ357" s="1479" t="s">
        <v>599</v>
      </c>
      <c r="AK357" s="1479"/>
    </row>
    <row r="358" spans="1:46" ht="12.95" customHeight="1">
      <c r="D358" s="3" t="s">
        <v>714</v>
      </c>
      <c r="M358" s="1479" t="s">
        <v>599</v>
      </c>
      <c r="N358" s="1479"/>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79" t="s">
        <v>599</v>
      </c>
      <c r="O363" s="1479"/>
      <c r="P363" s="40"/>
      <c r="Q363" s="40"/>
      <c r="R363" s="40"/>
      <c r="S363" s="40"/>
      <c r="T363" s="40"/>
      <c r="U363" s="40"/>
      <c r="V363" s="40"/>
      <c r="W363" s="40"/>
      <c r="X363" s="40"/>
      <c r="Y363" s="40"/>
      <c r="Z363" s="40"/>
      <c r="AC363" s="40"/>
      <c r="AD363" s="40"/>
      <c r="AE363" s="40"/>
    </row>
    <row r="364" spans="1:46" ht="12.95" customHeight="1">
      <c r="E364" t="s">
        <v>371</v>
      </c>
      <c r="Y364" s="1479" t="s">
        <v>599</v>
      </c>
      <c r="Z364" s="1479"/>
    </row>
    <row r="365" spans="1:46" ht="12.95" customHeight="1">
      <c r="D365" s="4" t="s">
        <v>996</v>
      </c>
      <c r="Q365" s="1486" t="s">
        <v>599</v>
      </c>
      <c r="R365" s="1486"/>
      <c r="S365" s="1486"/>
      <c r="T365" s="1486"/>
      <c r="U365" s="1486"/>
      <c r="V365" s="1486"/>
      <c r="W365" s="1486"/>
      <c r="X365" s="1486"/>
      <c r="Y365" s="1486"/>
      <c r="Z365" s="1486"/>
      <c r="AA365" s="1486"/>
      <c r="AB365" s="1486"/>
      <c r="AC365" s="1486"/>
      <c r="AD365" s="1486"/>
      <c r="AE365" s="1486"/>
      <c r="AF365" s="1486"/>
      <c r="AG365" s="148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79" t="s">
        <v>599</v>
      </c>
      <c r="K367" s="1479"/>
      <c r="L367" s="40"/>
      <c r="M367" s="40"/>
      <c r="N367" s="40"/>
      <c r="O367" s="40"/>
      <c r="P367" s="40"/>
      <c r="Q367" s="40"/>
      <c r="R367" s="40"/>
      <c r="S367" s="40"/>
      <c r="T367" s="40"/>
      <c r="U367" s="40"/>
      <c r="V367" s="40"/>
      <c r="W367" s="40"/>
      <c r="X367" s="40"/>
      <c r="Y367" s="40"/>
      <c r="Z367" s="40"/>
      <c r="AC367" s="40"/>
      <c r="AD367" s="40"/>
      <c r="AE367" s="40"/>
    </row>
    <row r="368" spans="1:46" ht="12.95" customHeight="1">
      <c r="E368" s="1476" t="s">
        <v>715</v>
      </c>
      <c r="F368" s="1476"/>
      <c r="G368" s="1476"/>
      <c r="H368" s="1476"/>
      <c r="I368" s="1476"/>
      <c r="J368" s="1476"/>
      <c r="K368" s="1476"/>
      <c r="L368" s="1476"/>
      <c r="M368" s="1476"/>
      <c r="N368" s="1476"/>
      <c r="O368" s="1476"/>
      <c r="P368" s="1476"/>
      <c r="Q368" s="1476"/>
      <c r="R368" s="1476"/>
      <c r="S368" s="1476"/>
      <c r="T368" s="1476"/>
      <c r="U368" s="1476"/>
      <c r="V368" s="1476"/>
      <c r="W368" s="1476"/>
      <c r="X368" s="1476"/>
      <c r="Y368" s="1476"/>
      <c r="Z368" s="1476"/>
      <c r="AA368" s="1476"/>
      <c r="AB368" s="1476"/>
      <c r="AC368" s="1476"/>
      <c r="AD368" s="1476"/>
      <c r="AE368" s="1476"/>
      <c r="AF368" s="1476"/>
      <c r="AG368" s="1476"/>
      <c r="AH368" s="1476"/>
    </row>
    <row r="369" spans="1:34" ht="12.95" customHeight="1">
      <c r="E369" s="1476"/>
      <c r="F369" s="1476"/>
      <c r="G369" s="1476"/>
      <c r="H369" s="1476"/>
      <c r="I369" s="1476"/>
      <c r="J369" s="1476"/>
      <c r="K369" s="1476"/>
      <c r="L369" s="1476"/>
      <c r="M369" s="1476"/>
      <c r="N369" s="1476"/>
      <c r="O369" s="1476"/>
      <c r="P369" s="1476"/>
      <c r="Q369" s="1476"/>
      <c r="R369" s="1476"/>
      <c r="S369" s="1476"/>
      <c r="T369" s="1476"/>
      <c r="U369" s="1476"/>
      <c r="V369" s="1476"/>
      <c r="W369" s="1476"/>
      <c r="X369" s="1476"/>
      <c r="Y369" s="1476"/>
      <c r="Z369" s="1476"/>
      <c r="AA369" s="1476"/>
      <c r="AB369" s="1476"/>
      <c r="AC369" s="1476"/>
      <c r="AD369" s="1476"/>
      <c r="AE369" s="1476"/>
      <c r="AF369" s="1476"/>
      <c r="AG369" s="1476"/>
      <c r="AH369" s="1476"/>
    </row>
    <row r="370" spans="1:34" ht="12.95" customHeight="1">
      <c r="E370" s="4" t="s">
        <v>456</v>
      </c>
      <c r="F370" s="4"/>
      <c r="G370" s="4"/>
      <c r="H370" s="4"/>
      <c r="I370" s="4"/>
      <c r="J370" s="4"/>
      <c r="K370" s="4"/>
      <c r="L370" s="4"/>
      <c r="N370" s="1662" t="s">
        <v>599</v>
      </c>
      <c r="O370" s="1662"/>
      <c r="P370" s="1662"/>
      <c r="Q370" s="1662"/>
      <c r="R370" s="4"/>
      <c r="U370" s="4" t="s">
        <v>457</v>
      </c>
      <c r="V370" s="4"/>
      <c r="W370" s="4"/>
      <c r="X370" s="4"/>
      <c r="Y370" s="4"/>
      <c r="Z370" s="4"/>
      <c r="AA370" s="4"/>
      <c r="AB370" s="4"/>
      <c r="AC370" s="1662" t="s">
        <v>599</v>
      </c>
      <c r="AD370" s="1662"/>
      <c r="AE370" s="1662"/>
      <c r="AF370" s="1662"/>
    </row>
    <row r="371" spans="1:34" ht="12.95" customHeight="1">
      <c r="E371" s="4" t="s">
        <v>458</v>
      </c>
      <c r="F371" s="4"/>
      <c r="G371" s="4"/>
      <c r="H371" s="4"/>
      <c r="I371" s="4"/>
      <c r="J371" s="4"/>
      <c r="K371" s="4"/>
      <c r="L371" s="4"/>
      <c r="N371" s="1662" t="s">
        <v>599</v>
      </c>
      <c r="O371" s="1662"/>
      <c r="P371" s="1662"/>
      <c r="Q371" s="1662"/>
      <c r="R371" s="4"/>
      <c r="U371" s="4" t="s">
        <v>0</v>
      </c>
      <c r="V371" s="4"/>
      <c r="W371" s="4"/>
      <c r="X371" s="4"/>
      <c r="Y371" s="4"/>
      <c r="Z371" s="4"/>
      <c r="AA371" s="4"/>
      <c r="AB371" s="4"/>
      <c r="AC371" s="1662" t="s">
        <v>599</v>
      </c>
      <c r="AD371" s="1662"/>
      <c r="AE371" s="1662"/>
      <c r="AF371" s="1662"/>
    </row>
    <row r="372" spans="1:34" ht="12.95" customHeight="1">
      <c r="E372" s="4" t="s">
        <v>1</v>
      </c>
      <c r="F372" s="4"/>
      <c r="G372" s="4"/>
      <c r="H372" s="4"/>
      <c r="I372" s="4"/>
      <c r="J372" s="4"/>
      <c r="K372" s="4"/>
      <c r="L372" s="4"/>
      <c r="N372" s="1662" t="s">
        <v>599</v>
      </c>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62" t="s">
        <v>599</v>
      </c>
      <c r="O373" s="1862"/>
      <c r="P373" s="1862"/>
      <c r="Q373" s="1862"/>
      <c r="R373" s="1862"/>
      <c r="S373" s="1862"/>
      <c r="T373" s="1862"/>
      <c r="U373" s="1862"/>
      <c r="V373" s="1862"/>
      <c r="W373" s="1862"/>
      <c r="X373" s="1862"/>
      <c r="Y373" s="1862"/>
      <c r="Z373" s="1862"/>
      <c r="AA373" s="1862"/>
      <c r="AB373" s="1862"/>
      <c r="AC373" s="1862"/>
      <c r="AD373" s="1862"/>
      <c r="AE373" s="1862"/>
      <c r="AF373" s="1862"/>
    </row>
    <row r="374" spans="1:34" ht="12.95" customHeight="1">
      <c r="E374" s="4"/>
      <c r="F374" s="4"/>
      <c r="G374" s="4"/>
      <c r="H374" s="4"/>
      <c r="I374" s="4"/>
      <c r="J374" s="4"/>
      <c r="K374" s="4"/>
      <c r="L374" s="4"/>
      <c r="N374" s="1863"/>
      <c r="O374" s="1863"/>
      <c r="P374" s="1863"/>
      <c r="Q374" s="1863"/>
      <c r="R374" s="1863"/>
      <c r="S374" s="1863"/>
      <c r="T374" s="1863"/>
      <c r="U374" s="1863"/>
      <c r="V374" s="1863"/>
      <c r="W374" s="1863"/>
      <c r="X374" s="1863"/>
      <c r="Y374" s="1863"/>
      <c r="Z374" s="1863"/>
      <c r="AA374" s="1863"/>
      <c r="AB374" s="1863"/>
      <c r="AC374" s="1863"/>
      <c r="AD374" s="1863"/>
      <c r="AE374" s="1863"/>
      <c r="AF374" s="186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6" t="s">
        <v>599</v>
      </c>
      <c r="T377" s="1676"/>
      <c r="U377" s="1" t="s">
        <v>307</v>
      </c>
      <c r="V377" s="1676" t="s">
        <v>599</v>
      </c>
      <c r="W377" s="1676"/>
      <c r="Y377" t="s">
        <v>2395</v>
      </c>
      <c r="AC377" s="27" t="s">
        <v>306</v>
      </c>
      <c r="AD377" s="1676" t="s">
        <v>599</v>
      </c>
      <c r="AE377" s="1676"/>
      <c r="AF377" s="1" t="s">
        <v>307</v>
      </c>
      <c r="AG377" s="1676" t="s">
        <v>599</v>
      </c>
      <c r="AH377" s="1676"/>
    </row>
    <row r="378" spans="1:34" ht="12.95" customHeight="1">
      <c r="E378" s="4" t="s">
        <v>1010</v>
      </c>
      <c r="F378" s="4"/>
      <c r="G378" s="4"/>
      <c r="H378" s="4"/>
      <c r="I378" s="4"/>
      <c r="J378" s="4"/>
      <c r="K378" s="4"/>
      <c r="L378" s="4"/>
      <c r="N378" s="1676" t="s">
        <v>599</v>
      </c>
      <c r="O378" s="1676"/>
      <c r="P378" s="1676"/>
    </row>
    <row r="379" spans="1:34" ht="12.95" customHeight="1">
      <c r="E379" s="218" t="s">
        <v>2401</v>
      </c>
      <c r="F379" s="4"/>
      <c r="G379" s="4"/>
      <c r="H379" s="4"/>
      <c r="I379" s="4"/>
      <c r="J379" s="4"/>
      <c r="K379" s="4"/>
      <c r="L379" s="4"/>
      <c r="AG379" s="1683" t="s">
        <v>599</v>
      </c>
      <c r="AH379" s="1683"/>
    </row>
    <row r="380" spans="1:34" ht="12.95" customHeight="1">
      <c r="E380" s="4"/>
      <c r="F380" s="4"/>
      <c r="G380" s="4" t="s">
        <v>2402</v>
      </c>
      <c r="H380" s="4"/>
      <c r="I380" s="4"/>
      <c r="J380" s="4"/>
      <c r="K380" s="4"/>
      <c r="L380" s="4"/>
      <c r="AG380" s="1683" t="s">
        <v>599</v>
      </c>
      <c r="AH380" s="1683"/>
    </row>
    <row r="381" spans="1:34" ht="12.95" customHeight="1">
      <c r="E381" s="4"/>
      <c r="F381" s="4"/>
      <c r="G381" s="348" t="s">
        <v>1011</v>
      </c>
      <c r="H381" s="4"/>
      <c r="I381" s="4"/>
      <c r="J381" s="4"/>
      <c r="K381" s="4"/>
      <c r="L381" s="4"/>
      <c r="V381" s="1479" t="s">
        <v>599</v>
      </c>
      <c r="W381" s="1479"/>
      <c r="Y381" s="22" t="s">
        <v>998</v>
      </c>
    </row>
    <row r="382" spans="1:34" ht="12.95" customHeight="1">
      <c r="E382" s="4" t="s">
        <v>999</v>
      </c>
      <c r="F382" s="4"/>
      <c r="G382" s="4"/>
      <c r="H382" s="4"/>
      <c r="I382" s="4"/>
      <c r="J382" s="4"/>
      <c r="K382" s="4"/>
      <c r="L382" s="4"/>
      <c r="V382" s="1479" t="s">
        <v>599</v>
      </c>
      <c r="W382" s="1479"/>
      <c r="Y382" s="4" t="s">
        <v>1000</v>
      </c>
    </row>
    <row r="383" spans="1:34" ht="12.95" customHeight="1"/>
    <row r="384" spans="1:34" ht="12.95" customHeight="1">
      <c r="A384" s="2" t="s">
        <v>78</v>
      </c>
      <c r="B384" s="2"/>
    </row>
    <row r="385" spans="4:36" ht="12.95" customHeight="1">
      <c r="D385" t="s">
        <v>429</v>
      </c>
      <c r="J385" s="1477" t="s">
        <v>2714</v>
      </c>
      <c r="K385" s="1486"/>
      <c r="L385" s="1486"/>
      <c r="M385" s="1486"/>
      <c r="N385" s="1486"/>
      <c r="O385" s="1486"/>
      <c r="P385" s="1486"/>
      <c r="Q385" s="1486"/>
      <c r="R385" s="1486"/>
      <c r="S385" s="1486"/>
      <c r="T385" s="1486"/>
      <c r="U385" s="1486"/>
      <c r="V385" s="8" t="s">
        <v>83</v>
      </c>
      <c r="W385" s="8"/>
      <c r="X385" s="8"/>
      <c r="Y385" s="8"/>
      <c r="Z385" s="8"/>
      <c r="AA385" s="8"/>
      <c r="AB385" s="8"/>
      <c r="AC385" s="1477" t="s">
        <v>2758</v>
      </c>
      <c r="AD385" s="1486"/>
      <c r="AE385" s="1486"/>
      <c r="AF385" s="1486"/>
      <c r="AG385" s="1486"/>
      <c r="AH385" s="1486"/>
      <c r="AI385" s="1486"/>
      <c r="AJ385" s="1486"/>
    </row>
    <row r="386" spans="4:36" ht="12.95" customHeight="1">
      <c r="D386" s="3" t="s">
        <v>1287</v>
      </c>
      <c r="J386" s="1485" t="s">
        <v>2715</v>
      </c>
      <c r="K386" s="1485"/>
      <c r="L386" s="1485"/>
      <c r="M386" s="1485"/>
      <c r="N386" s="1485"/>
      <c r="O386" s="1485"/>
      <c r="P386" s="1485"/>
      <c r="Q386" s="1485"/>
      <c r="R386" s="1485"/>
      <c r="S386" s="1485"/>
      <c r="T386" s="1485"/>
      <c r="U386" s="1485"/>
      <c r="V386" s="3" t="s">
        <v>1287</v>
      </c>
      <c r="W386" s="8"/>
      <c r="X386" s="8"/>
      <c r="Y386" s="8"/>
      <c r="Z386" s="8"/>
      <c r="AA386" s="8"/>
      <c r="AB386" s="8"/>
      <c r="AC386" s="1486" t="s">
        <v>2716</v>
      </c>
      <c r="AD386" s="1486"/>
      <c r="AE386" s="1486"/>
      <c r="AF386" s="1486"/>
      <c r="AG386" s="1486"/>
      <c r="AH386" s="1486"/>
      <c r="AI386" s="1486"/>
      <c r="AJ386" s="1486"/>
    </row>
    <row r="387" spans="4:36" ht="12.95" customHeight="1">
      <c r="D387" s="3" t="s">
        <v>443</v>
      </c>
      <c r="J387" s="1485" t="s">
        <v>2717</v>
      </c>
      <c r="K387" s="1485"/>
      <c r="L387" s="1485"/>
      <c r="M387" s="1485"/>
      <c r="N387" s="1485"/>
      <c r="O387" s="1485"/>
      <c r="P387" s="1485"/>
      <c r="Q387" s="1485"/>
      <c r="R387" s="1485"/>
      <c r="S387" s="1485"/>
      <c r="T387" s="1485"/>
      <c r="U387" s="1485"/>
      <c r="V387" s="3" t="s">
        <v>443</v>
      </c>
      <c r="W387" s="8"/>
      <c r="X387" s="8"/>
      <c r="Y387" s="8"/>
      <c r="Z387" s="8"/>
      <c r="AA387" s="8"/>
      <c r="AB387" s="8"/>
      <c r="AC387" s="1486" t="s">
        <v>2717</v>
      </c>
      <c r="AD387" s="1486"/>
      <c r="AE387" s="1486"/>
      <c r="AF387" s="1486"/>
      <c r="AG387" s="1486"/>
      <c r="AH387" s="1486"/>
      <c r="AI387" s="1486"/>
      <c r="AJ387" s="1486"/>
    </row>
    <row r="388" spans="4:36" ht="12.95" customHeight="1">
      <c r="D388" t="s">
        <v>1283</v>
      </c>
      <c r="J388" s="1380"/>
      <c r="K388" s="1380"/>
      <c r="L388" s="1380"/>
      <c r="M388" s="1380"/>
      <c r="N388" s="1380"/>
      <c r="O388" s="1380"/>
      <c r="P388" s="1380"/>
      <c r="Q388" s="1380"/>
      <c r="R388" s="1380"/>
      <c r="S388" s="1380"/>
      <c r="T388" s="1380"/>
      <c r="U388" s="1380"/>
      <c r="V388" s="1486" t="s">
        <v>2718</v>
      </c>
      <c r="W388" s="1486"/>
      <c r="X388" s="1486"/>
      <c r="Y388" s="1486"/>
      <c r="Z388" s="1486"/>
      <c r="AA388" s="1486"/>
      <c r="AB388" s="1486"/>
      <c r="AC388" s="1486"/>
      <c r="AD388" s="1486"/>
      <c r="AE388" s="1486"/>
      <c r="AF388" s="1486"/>
      <c r="AG388" s="1486"/>
      <c r="AH388" s="1486"/>
      <c r="AI388" s="1486"/>
      <c r="AJ388" s="1486"/>
    </row>
    <row r="389" spans="4:36" ht="12.95" customHeight="1">
      <c r="D389" t="s">
        <v>4</v>
      </c>
      <c r="Q389" s="1681">
        <v>44203</v>
      </c>
      <c r="R389" s="1681"/>
      <c r="S389" s="1681"/>
      <c r="T389" s="1681"/>
      <c r="U389" s="1681"/>
      <c r="V389" t="s">
        <v>310</v>
      </c>
      <c r="AI389" s="1479" t="s">
        <v>677</v>
      </c>
      <c r="AJ389" s="1479"/>
    </row>
    <row r="390" spans="4:36" ht="12.95" customHeight="1">
      <c r="D390" t="s">
        <v>5</v>
      </c>
      <c r="Q390" s="1618">
        <v>44476</v>
      </c>
      <c r="R390" s="1677"/>
      <c r="S390" s="1677"/>
      <c r="T390" s="1677"/>
      <c r="U390" s="1677"/>
      <c r="W390" s="21" t="s">
        <v>74</v>
      </c>
      <c r="AG390" s="1712" t="s">
        <v>599</v>
      </c>
      <c r="AH390" s="1713"/>
      <c r="AI390" s="1713"/>
      <c r="AJ390" s="1713"/>
    </row>
    <row r="391" spans="4:36" ht="12.95" customHeight="1">
      <c r="D391" t="s">
        <v>428</v>
      </c>
      <c r="Q391" s="1714">
        <v>9700000</v>
      </c>
      <c r="R391" s="1714"/>
      <c r="S391" s="1714"/>
      <c r="T391" s="1714"/>
      <c r="U391" s="1714"/>
      <c r="V391" s="3" t="s">
        <v>1286</v>
      </c>
      <c r="AG391" s="1844" t="s">
        <v>599</v>
      </c>
      <c r="AH391" s="1845"/>
      <c r="AI391" s="1845"/>
      <c r="AJ391" s="1845"/>
    </row>
    <row r="392" spans="4:36" ht="12.95" customHeight="1">
      <c r="D392" t="s">
        <v>88</v>
      </c>
      <c r="I392" s="1790" t="s">
        <v>599</v>
      </c>
      <c r="J392" s="1791"/>
      <c r="K392" s="1791"/>
      <c r="L392" s="1791"/>
      <c r="M392" s="1791"/>
      <c r="N392" s="1791"/>
      <c r="Q392" s="4" t="s">
        <v>207</v>
      </c>
      <c r="S392" s="1679" t="s">
        <v>599</v>
      </c>
      <c r="T392" s="1680"/>
      <c r="U392" s="1680"/>
      <c r="V392" t="s">
        <v>73</v>
      </c>
      <c r="AI392" s="1479" t="s">
        <v>677</v>
      </c>
      <c r="AJ392" s="1479"/>
    </row>
    <row r="393" spans="4:36" ht="12.95" customHeight="1">
      <c r="D393" t="s">
        <v>311</v>
      </c>
      <c r="Q393" s="1376" t="s">
        <v>599</v>
      </c>
      <c r="R393" s="1376"/>
      <c r="S393" s="1376"/>
      <c r="T393" s="1376"/>
      <c r="U393" s="1376"/>
      <c r="V393" t="s">
        <v>312</v>
      </c>
      <c r="AG393" s="1713" t="s">
        <v>599</v>
      </c>
      <c r="AH393" s="1713"/>
      <c r="AI393" s="1713"/>
      <c r="AJ393" s="1713"/>
    </row>
    <row r="394" spans="4:36" ht="12.95" customHeight="1">
      <c r="D394" t="s">
        <v>313</v>
      </c>
      <c r="Q394" s="1784" t="s">
        <v>599</v>
      </c>
      <c r="R394" s="1784"/>
      <c r="S394" s="1784"/>
      <c r="T394" s="1784"/>
      <c r="U394" s="1784"/>
      <c r="V394" t="s">
        <v>1267</v>
      </c>
      <c r="AG394" s="1713" t="s">
        <v>599</v>
      </c>
      <c r="AH394" s="1713"/>
      <c r="AI394" s="1713"/>
      <c r="AJ394" s="1713"/>
    </row>
    <row r="395" spans="4:36" ht="12.95" customHeight="1">
      <c r="D395" t="s">
        <v>1266</v>
      </c>
      <c r="AG395" s="1713">
        <v>0</v>
      </c>
      <c r="AH395" s="1713"/>
      <c r="AI395" s="1713"/>
      <c r="AJ395" s="1713"/>
    </row>
    <row r="396" spans="4:36" ht="12.95" customHeight="1">
      <c r="AG396" s="490"/>
      <c r="AH396" s="490"/>
      <c r="AI396" s="490"/>
      <c r="AJ396" s="490"/>
    </row>
    <row r="397" spans="4:36" ht="12.95" customHeight="1">
      <c r="D397" s="3" t="s">
        <v>2501</v>
      </c>
      <c r="AG397" s="490"/>
      <c r="AH397" s="490"/>
      <c r="AI397" s="1479" t="s">
        <v>677</v>
      </c>
      <c r="AJ397" s="1479"/>
    </row>
    <row r="398" spans="4:36" ht="12.95" customHeight="1">
      <c r="D398" s="3" t="s">
        <v>1780</v>
      </c>
      <c r="T398" s="1786" t="s">
        <v>599</v>
      </c>
      <c r="U398" s="1786"/>
      <c r="V398" s="1786"/>
      <c r="W398" s="1786"/>
      <c r="X398" s="1786"/>
      <c r="Y398" s="1786"/>
      <c r="Z398" s="1786"/>
      <c r="AA398" s="1786"/>
      <c r="AB398" s="1786"/>
      <c r="AC398" s="1786"/>
      <c r="AD398" s="1786"/>
      <c r="AE398" s="1786"/>
      <c r="AF398" s="1786"/>
      <c r="AG398" s="1786"/>
      <c r="AH398" s="1786"/>
      <c r="AI398" s="1786"/>
      <c r="AJ398" s="1786"/>
    </row>
    <row r="399" spans="4:36" ht="12.95" customHeight="1">
      <c r="D399" s="3" t="s">
        <v>1779</v>
      </c>
      <c r="T399" s="1786" t="s">
        <v>599</v>
      </c>
      <c r="U399" s="1786"/>
      <c r="V399" s="1786"/>
      <c r="W399" s="1786"/>
      <c r="X399" s="1786"/>
      <c r="Y399" s="1786"/>
      <c r="Z399" s="1786"/>
      <c r="AA399" s="1786"/>
      <c r="AB399" s="1786"/>
      <c r="AC399" s="1786"/>
      <c r="AD399" s="1786"/>
      <c r="AE399" s="1786"/>
      <c r="AF399" s="1786"/>
      <c r="AG399" s="1786"/>
      <c r="AH399" s="1786"/>
      <c r="AI399" s="1786"/>
      <c r="AJ399" s="1786"/>
    </row>
    <row r="400" spans="4:36" ht="12.95" customHeight="1">
      <c r="AG400" s="490"/>
      <c r="AH400" s="490"/>
      <c r="AI400" s="490"/>
      <c r="AJ400" s="490"/>
    </row>
    <row r="401" spans="1:36" ht="12.95" customHeight="1">
      <c r="D401" s="3" t="s">
        <v>1773</v>
      </c>
      <c r="S401" s="1786" t="s">
        <v>553</v>
      </c>
      <c r="T401" s="1786"/>
      <c r="U401" s="1786"/>
      <c r="V401" t="s">
        <v>1774</v>
      </c>
      <c r="AG401" s="1859">
        <v>59</v>
      </c>
      <c r="AH401" s="1859"/>
      <c r="AI401" s="1859"/>
      <c r="AJ401" s="1859"/>
    </row>
    <row r="402" spans="1:36" ht="12.95" customHeight="1">
      <c r="D402" s="3" t="s">
        <v>1771</v>
      </c>
      <c r="S402" s="1786" t="s">
        <v>553</v>
      </c>
      <c r="T402" s="1786"/>
      <c r="U402" s="1786"/>
      <c r="V402" t="s">
        <v>1776</v>
      </c>
      <c r="AE402" s="1715">
        <v>1</v>
      </c>
      <c r="AF402" s="1715"/>
      <c r="AG402" s="1715"/>
      <c r="AH402" s="1715"/>
      <c r="AI402" s="1715"/>
      <c r="AJ402" s="1715"/>
    </row>
    <row r="403" spans="1:36" ht="12.95" customHeight="1">
      <c r="D403" s="3" t="s">
        <v>1772</v>
      </c>
      <c r="K403" s="1818" t="s">
        <v>599</v>
      </c>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2.95" customHeight="1">
      <c r="D404" s="3" t="s">
        <v>1775</v>
      </c>
      <c r="K404" s="1818" t="s">
        <v>2668</v>
      </c>
      <c r="L404" s="1818"/>
      <c r="M404" s="1818"/>
      <c r="N404" s="1818"/>
      <c r="O404" s="1818"/>
      <c r="P404" s="1818"/>
      <c r="Q404" s="1818"/>
      <c r="R404" s="1818"/>
      <c r="S404" s="1818"/>
      <c r="T404" s="1818"/>
      <c r="U404" s="1818"/>
      <c r="V404" s="1818"/>
      <c r="W404" s="1818"/>
      <c r="X404" s="1818"/>
      <c r="Y404" s="1818"/>
      <c r="Z404" s="1818"/>
      <c r="AA404" s="1818"/>
      <c r="AB404" s="1818"/>
      <c r="AC404" s="1818"/>
      <c r="AD404" s="1818"/>
      <c r="AE404" s="1818"/>
      <c r="AF404" s="1818"/>
      <c r="AG404" s="1818"/>
      <c r="AH404" s="1818"/>
      <c r="AI404" s="1818"/>
      <c r="AJ404" s="1818"/>
    </row>
    <row r="405" spans="1:36" ht="12.95" customHeight="1">
      <c r="D405" s="3" t="s">
        <v>1778</v>
      </c>
      <c r="E405" s="511"/>
      <c r="F405" s="511"/>
      <c r="G405" s="511"/>
      <c r="H405" s="511"/>
      <c r="I405" s="511"/>
      <c r="J405" s="511"/>
      <c r="K405" s="511"/>
      <c r="L405" s="511"/>
      <c r="M405" s="511"/>
      <c r="N405" s="511"/>
      <c r="O405" s="511"/>
      <c r="P405" s="511"/>
      <c r="Q405" s="511"/>
      <c r="R405" s="511"/>
      <c r="S405" s="1710" t="s">
        <v>2759</v>
      </c>
      <c r="T405" s="1710"/>
      <c r="U405" s="1710"/>
      <c r="V405" s="1710"/>
      <c r="W405" s="1710"/>
      <c r="X405" s="1710"/>
      <c r="Y405" s="1710"/>
      <c r="Z405" s="1710"/>
      <c r="AA405" s="1710"/>
      <c r="AB405" s="1710"/>
      <c r="AC405" s="1710"/>
      <c r="AD405" s="1710"/>
      <c r="AE405" s="1710"/>
      <c r="AF405" s="1710"/>
      <c r="AG405" s="1710"/>
      <c r="AH405" s="1710"/>
      <c r="AI405" s="1710"/>
      <c r="AJ405" s="1710"/>
    </row>
    <row r="406" spans="1:36" ht="12.95" customHeight="1">
      <c r="D406" s="1277" t="s">
        <v>1777</v>
      </c>
      <c r="E406" s="1277"/>
      <c r="F406" s="1277"/>
      <c r="G406" s="1277"/>
      <c r="H406" s="1277"/>
      <c r="I406" s="1277"/>
      <c r="J406" s="1277"/>
      <c r="K406" s="1277"/>
      <c r="L406" s="1277"/>
      <c r="M406" s="1277"/>
      <c r="N406" s="1277"/>
      <c r="O406" s="1277"/>
      <c r="P406" s="1277"/>
      <c r="Q406" s="1277"/>
      <c r="R406" s="1277"/>
      <c r="S406" s="1277"/>
      <c r="T406" s="1277"/>
      <c r="U406" s="1277"/>
      <c r="V406" s="1277"/>
      <c r="W406" s="1277"/>
      <c r="X406" s="1277"/>
      <c r="Y406" s="1277"/>
      <c r="Z406" s="1277"/>
      <c r="AA406" s="1277"/>
      <c r="AB406" s="1277"/>
      <c r="AC406" s="1277"/>
      <c r="AD406" s="1277"/>
      <c r="AE406" s="1277"/>
      <c r="AF406" s="1277"/>
      <c r="AG406" s="1277"/>
      <c r="AH406" s="1277"/>
      <c r="AI406" s="1277"/>
      <c r="AJ406" s="1277"/>
    </row>
    <row r="407" spans="1:36" ht="12.95" customHeight="1">
      <c r="D407" s="1277"/>
      <c r="E407" s="1277"/>
      <c r="F407" s="1277"/>
      <c r="G407" s="1277"/>
      <c r="H407" s="1277"/>
      <c r="I407" s="1277"/>
      <c r="J407" s="1277"/>
      <c r="K407" s="1277"/>
      <c r="L407" s="1277"/>
      <c r="M407" s="1277"/>
      <c r="N407" s="1277"/>
      <c r="O407" s="1277"/>
      <c r="P407" s="1277"/>
      <c r="Q407" s="1277"/>
      <c r="R407" s="1277"/>
      <c r="S407" s="1277"/>
      <c r="T407" s="1277"/>
      <c r="U407" s="1277"/>
      <c r="V407" s="1277"/>
      <c r="W407" s="1277"/>
      <c r="X407" s="1277"/>
      <c r="Y407" s="1277"/>
      <c r="Z407" s="1277"/>
      <c r="AA407" s="1277"/>
      <c r="AB407" s="1277"/>
      <c r="AC407" s="1277"/>
      <c r="AD407" s="1277"/>
      <c r="AE407" s="1277"/>
      <c r="AF407" s="1277"/>
      <c r="AG407" s="1277"/>
      <c r="AH407" s="1277"/>
      <c r="AI407" s="1277"/>
      <c r="AJ407" s="1277"/>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77" t="s">
        <v>2664</v>
      </c>
      <c r="J410" s="1477"/>
      <c r="K410" s="1477"/>
      <c r="L410" s="1477"/>
      <c r="M410" s="1477"/>
      <c r="N410" s="1477"/>
      <c r="O410" s="1477"/>
      <c r="P410" s="1477"/>
      <c r="Q410" s="1477"/>
      <c r="R410" s="1477"/>
      <c r="S410" s="1477"/>
      <c r="T410" s="1477"/>
      <c r="U410" s="1477"/>
      <c r="V410" s="1477"/>
      <c r="W410" s="1477"/>
      <c r="X410" s="1477"/>
      <c r="Y410" s="1477"/>
      <c r="Z410" s="1477"/>
      <c r="AA410" s="1477"/>
      <c r="AB410" s="1477"/>
      <c r="AC410" s="1477"/>
      <c r="AD410" s="1477"/>
      <c r="AE410" s="1477"/>
    </row>
    <row r="411" spans="1:36" ht="12.95" customHeight="1">
      <c r="E411" t="s">
        <v>106</v>
      </c>
      <c r="R411" s="1479" t="s">
        <v>553</v>
      </c>
      <c r="S411" s="1479"/>
      <c r="AC411" s="27" t="s">
        <v>578</v>
      </c>
      <c r="AD411" s="1662">
        <v>7</v>
      </c>
      <c r="AE411" s="1662"/>
    </row>
    <row r="412" spans="1:36" ht="12.95" customHeight="1">
      <c r="E412" t="s">
        <v>107</v>
      </c>
      <c r="R412" s="1479" t="s">
        <v>599</v>
      </c>
      <c r="S412" s="1479"/>
      <c r="AC412" s="27" t="s">
        <v>578</v>
      </c>
      <c r="AD412" s="1662" t="s">
        <v>599</v>
      </c>
      <c r="AE412" s="1662"/>
    </row>
    <row r="413" spans="1:36" ht="12.95" customHeight="1">
      <c r="E413" t="s">
        <v>108</v>
      </c>
      <c r="S413" s="1479" t="s">
        <v>599</v>
      </c>
      <c r="T413" s="1479"/>
    </row>
    <row r="414" spans="1:36" ht="12.95" customHeight="1">
      <c r="E414" t="s">
        <v>170</v>
      </c>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row>
    <row r="415" spans="1:36" ht="12.95" customHeight="1">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row>
    <row r="416" spans="1:36" ht="12.95" customHeight="1"/>
    <row r="417" spans="1:39" ht="12.95" customHeight="1">
      <c r="A417" s="2" t="s">
        <v>598</v>
      </c>
      <c r="B417" s="2"/>
      <c r="C417" s="2"/>
      <c r="D417" s="2" t="s">
        <v>114</v>
      </c>
      <c r="AF417" s="2" t="s">
        <v>976</v>
      </c>
    </row>
    <row r="418" spans="1:39" ht="12.95" customHeight="1">
      <c r="E418" s="1676"/>
      <c r="F418" s="1676"/>
      <c r="G418" s="1676"/>
      <c r="H418" s="13" t="s">
        <v>115</v>
      </c>
      <c r="I418" s="1676"/>
      <c r="J418" s="1676"/>
      <c r="K418" s="1676"/>
      <c r="L418" t="s">
        <v>116</v>
      </c>
      <c r="N418" s="27" t="s">
        <v>583</v>
      </c>
      <c r="P418" s="1678">
        <v>1.631</v>
      </c>
      <c r="Q418" s="1678"/>
      <c r="R418" s="1678"/>
      <c r="S418" t="s">
        <v>117</v>
      </c>
      <c r="W418" s="1881">
        <f>IF(E418&gt;0,(E418*I418),(P418*43560))</f>
        <v>71046.36</v>
      </c>
      <c r="X418" s="1881"/>
      <c r="Y418" s="1881"/>
      <c r="Z418" t="s">
        <v>118</v>
      </c>
      <c r="AF418" s="1692">
        <f>IFERROR(IF(P418&gt;0,(AG437/P418),(AG437/(W418/43560))),0)</f>
        <v>117.10606989576947</v>
      </c>
      <c r="AG418" s="1692"/>
      <c r="AH418" s="1692"/>
      <c r="AM418" s="3"/>
    </row>
    <row r="419" spans="1:39" ht="12.95" customHeight="1">
      <c r="E419" t="s">
        <v>51</v>
      </c>
    </row>
    <row r="420" spans="1:39" ht="12.95" customHeight="1">
      <c r="E420" s="1880"/>
      <c r="F420" s="1880"/>
      <c r="G420" s="1880"/>
      <c r="H420" s="1880"/>
      <c r="I420" s="1880"/>
      <c r="J420" s="1880"/>
      <c r="K420" s="1880"/>
      <c r="L420" s="1880"/>
      <c r="M420" s="1880"/>
      <c r="N420" s="1880"/>
      <c r="O420" s="1880"/>
      <c r="P420" s="1880"/>
      <c r="Q420" s="1880"/>
      <c r="R420" s="1880"/>
      <c r="S420" s="1880"/>
      <c r="T420" s="1880"/>
      <c r="U420" s="1880"/>
      <c r="V420" s="1880"/>
      <c r="W420" s="1880"/>
      <c r="X420" s="1880"/>
      <c r="Y420" s="1880"/>
      <c r="Z420" s="1880"/>
      <c r="AA420" s="1880"/>
      <c r="AB420" s="1880"/>
      <c r="AC420" s="1880"/>
      <c r="AD420" s="1880"/>
      <c r="AE420" s="1880"/>
      <c r="AF420" s="1880"/>
      <c r="AG420" s="1880"/>
      <c r="AH420" s="1880"/>
      <c r="AI420" s="1880"/>
      <c r="AJ420" s="1880"/>
    </row>
    <row r="421" spans="1:39" ht="12.95" customHeight="1">
      <c r="E421" s="118" t="s">
        <v>1925</v>
      </c>
      <c r="F421" s="1048"/>
      <c r="G421" s="1048"/>
      <c r="H421" s="1048"/>
      <c r="I421" s="1788">
        <v>1.63</v>
      </c>
      <c r="J421" s="1788"/>
      <c r="K421" s="1788"/>
      <c r="L421" s="1048"/>
      <c r="M421" s="118"/>
      <c r="N421" s="1048"/>
      <c r="O421" s="1048"/>
      <c r="P421" s="1711">
        <f>(CS634+CS642+CS658)/I421</f>
        <v>207.97546012269939</v>
      </c>
      <c r="Q421" s="1711"/>
      <c r="R421" s="1711"/>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79">
        <v>1</v>
      </c>
      <c r="Q424" s="1479"/>
      <c r="S424" t="s">
        <v>190</v>
      </c>
      <c r="AE424" s="1479">
        <v>1</v>
      </c>
      <c r="AF424" s="1479"/>
    </row>
    <row r="425" spans="1:39" ht="12.95" customHeight="1">
      <c r="E425" t="s">
        <v>191</v>
      </c>
      <c r="P425" s="1837"/>
      <c r="Q425" s="1479"/>
      <c r="S425" t="s">
        <v>131</v>
      </c>
      <c r="AE425" s="1479" t="s">
        <v>599</v>
      </c>
      <c r="AF425" s="1479"/>
    </row>
    <row r="426" spans="1:39" ht="12.95" customHeight="1">
      <c r="F426" s="28" t="s">
        <v>132</v>
      </c>
    </row>
    <row r="427" spans="1:39" ht="12.95" customHeight="1">
      <c r="F427" s="1824" t="s">
        <v>599</v>
      </c>
      <c r="G427" s="1824"/>
      <c r="H427" s="1824"/>
      <c r="I427" s="1824"/>
      <c r="J427" s="1824"/>
      <c r="K427" s="1824"/>
      <c r="L427" s="1824"/>
      <c r="M427" s="1824"/>
      <c r="N427" s="1824"/>
      <c r="O427" s="1824"/>
      <c r="P427" s="1824"/>
      <c r="Q427" s="1824"/>
      <c r="R427" s="1824"/>
      <c r="S427" s="1824"/>
      <c r="T427" s="1824"/>
      <c r="U427" s="1824"/>
      <c r="V427" s="1824"/>
      <c r="W427" s="1824"/>
      <c r="X427" s="1824"/>
      <c r="Y427" s="1824"/>
      <c r="Z427" s="1824"/>
      <c r="AA427" s="1824"/>
      <c r="AB427" s="1824"/>
      <c r="AC427" s="1824"/>
      <c r="AD427" s="1824"/>
      <c r="AE427" s="1824"/>
      <c r="AF427" s="1824"/>
      <c r="AG427" s="1824"/>
      <c r="AH427" s="1824"/>
    </row>
    <row r="428" spans="1:39" ht="12.95" customHeight="1">
      <c r="F428" s="1697"/>
      <c r="G428" s="1697"/>
      <c r="H428" s="1697"/>
      <c r="I428" s="1697"/>
      <c r="J428" s="1697"/>
      <c r="K428" s="1697"/>
      <c r="L428" s="1697"/>
      <c r="M428" s="1697"/>
      <c r="N428" s="1697"/>
      <c r="O428" s="1697"/>
      <c r="P428" s="1697"/>
      <c r="Q428" s="1697"/>
      <c r="R428" s="1697"/>
      <c r="S428" s="1697"/>
      <c r="T428" s="1697"/>
      <c r="U428" s="1697"/>
      <c r="V428" s="1697"/>
      <c r="W428" s="1697"/>
      <c r="X428" s="1697"/>
      <c r="Y428" s="1697"/>
      <c r="Z428" s="1697"/>
      <c r="AA428" s="1697"/>
      <c r="AB428" s="1697"/>
      <c r="AC428" s="1697"/>
      <c r="AD428" s="1697"/>
      <c r="AE428" s="1697"/>
      <c r="AF428" s="1697"/>
      <c r="AG428" s="1697"/>
      <c r="AH428" s="1697"/>
    </row>
    <row r="429" spans="1:39" ht="12.95" customHeight="1">
      <c r="E429" t="s">
        <v>616</v>
      </c>
      <c r="P429" s="1"/>
      <c r="Q429" s="1479" t="s">
        <v>553</v>
      </c>
      <c r="R429" s="1479"/>
    </row>
    <row r="430" spans="1:39" ht="12.95" customHeight="1">
      <c r="F430" t="s">
        <v>617</v>
      </c>
      <c r="P430" s="1"/>
      <c r="Q430" s="1"/>
      <c r="AF430" s="1479" t="s">
        <v>599</v>
      </c>
      <c r="AG430" s="1879"/>
    </row>
    <row r="431" spans="1:39" ht="12.95" customHeight="1"/>
    <row r="432" spans="1:39" ht="12.95" customHeight="1">
      <c r="A432" s="2"/>
      <c r="B432" s="2"/>
      <c r="C432" s="2"/>
      <c r="E432" s="4" t="s">
        <v>309</v>
      </c>
      <c r="Z432" s="1479" t="s">
        <v>677</v>
      </c>
      <c r="AA432" s="14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79" t="s">
        <v>599</v>
      </c>
      <c r="AA434" s="1479"/>
    </row>
    <row r="435" spans="1:110" ht="12.95" customHeight="1"/>
    <row r="436" spans="1:110" ht="12.95" customHeight="1">
      <c r="A436" s="2" t="s">
        <v>475</v>
      </c>
      <c r="B436" s="2"/>
      <c r="C436" s="2"/>
      <c r="D436" s="2" t="s">
        <v>773</v>
      </c>
      <c r="AF436" s="48"/>
    </row>
    <row r="437" spans="1:110" ht="12.95" customHeight="1">
      <c r="D437" s="1447"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834"/>
      <c r="AG437" s="1857">
        <v>191</v>
      </c>
      <c r="AH437" s="1857"/>
      <c r="AI437" s="1857"/>
      <c r="AJ437" s="1857"/>
    </row>
    <row r="438" spans="1:110" ht="12.95" customHeight="1">
      <c r="D438" s="1688" t="s">
        <v>1328</v>
      </c>
      <c r="E438" s="1689"/>
      <c r="F438" s="1689"/>
      <c r="G438" s="1689"/>
      <c r="H438" s="1689"/>
      <c r="I438" s="1689"/>
      <c r="J438" s="1689"/>
      <c r="K438" s="1689"/>
      <c r="L438" s="1689"/>
      <c r="M438" s="1689"/>
      <c r="N438" s="1689"/>
      <c r="O438" s="1689"/>
      <c r="P438" s="1689"/>
      <c r="Q438" s="1689"/>
      <c r="R438" s="1689"/>
      <c r="S438" s="1689"/>
      <c r="T438" s="1689"/>
      <c r="U438" s="1689"/>
      <c r="V438" s="1689"/>
      <c r="W438" s="1689"/>
      <c r="X438" s="1689"/>
      <c r="Y438" s="1689"/>
      <c r="Z438" s="1689"/>
      <c r="AA438" s="1689"/>
      <c r="AB438" s="1689"/>
      <c r="AC438" s="1689"/>
      <c r="AD438" s="1689"/>
      <c r="AE438" s="1689"/>
      <c r="AF438" s="1690"/>
      <c r="AG438" s="1882">
        <v>0</v>
      </c>
      <c r="AH438" s="1408"/>
      <c r="AI438" s="1408"/>
      <c r="AJ438" s="1408"/>
    </row>
    <row r="439" spans="1:110" ht="12.95" customHeight="1">
      <c r="D439" s="1688" t="s">
        <v>1054</v>
      </c>
      <c r="E439" s="1689"/>
      <c r="F439" s="1689"/>
      <c r="G439" s="1689"/>
      <c r="H439" s="1689"/>
      <c r="I439" s="1689"/>
      <c r="J439" s="1689"/>
      <c r="K439" s="1689"/>
      <c r="L439" s="1689"/>
      <c r="M439" s="1689"/>
      <c r="N439" s="1689"/>
      <c r="O439" s="1689"/>
      <c r="P439" s="1689"/>
      <c r="Q439" s="1689"/>
      <c r="R439" s="1689"/>
      <c r="S439" s="1689"/>
      <c r="T439" s="1689"/>
      <c r="U439" s="1689"/>
      <c r="V439" s="1689"/>
      <c r="W439" s="1689"/>
      <c r="X439" s="1689"/>
      <c r="Y439" s="1689"/>
      <c r="Z439" s="1689"/>
      <c r="AA439" s="1689"/>
      <c r="AB439" s="1689"/>
      <c r="AC439" s="1689"/>
      <c r="AD439" s="1689"/>
      <c r="AE439" s="1689"/>
      <c r="AF439" s="1690"/>
      <c r="AG439" s="1857">
        <v>189</v>
      </c>
      <c r="AH439" s="1857"/>
      <c r="AI439" s="1857"/>
      <c r="AJ439" s="1857"/>
    </row>
    <row r="440" spans="1:110" ht="12.95" customHeight="1">
      <c r="D440" s="1688" t="s">
        <v>1055</v>
      </c>
      <c r="E440" s="1689"/>
      <c r="F440" s="1689"/>
      <c r="G440" s="1689"/>
      <c r="H440" s="1689"/>
      <c r="I440" s="1689"/>
      <c r="J440" s="1689"/>
      <c r="K440" s="1689"/>
      <c r="L440" s="1689"/>
      <c r="M440" s="1689"/>
      <c r="N440" s="1689"/>
      <c r="O440" s="1689"/>
      <c r="P440" s="1689"/>
      <c r="Q440" s="1689"/>
      <c r="R440" s="1689"/>
      <c r="S440" s="1689"/>
      <c r="T440" s="1689"/>
      <c r="U440" s="1689"/>
      <c r="V440" s="1689"/>
      <c r="W440" s="1689"/>
      <c r="X440" s="1689"/>
      <c r="Y440" s="1689"/>
      <c r="Z440" s="1689"/>
      <c r="AA440" s="1689"/>
      <c r="AB440" s="1689"/>
      <c r="AC440" s="1689"/>
      <c r="AD440" s="1689"/>
      <c r="AE440" s="1689"/>
      <c r="AF440" s="1690"/>
      <c r="AG440" s="1857">
        <v>189</v>
      </c>
      <c r="AH440" s="1857"/>
      <c r="AI440" s="1857"/>
      <c r="AJ440" s="1857"/>
    </row>
    <row r="441" spans="1:110" ht="12.95" customHeight="1">
      <c r="D441" s="1688" t="s">
        <v>1057</v>
      </c>
      <c r="E441" s="1689"/>
      <c r="F441" s="1689"/>
      <c r="G441" s="1689"/>
      <c r="H441" s="1689"/>
      <c r="I441" s="1689"/>
      <c r="J441" s="1689"/>
      <c r="K441" s="1689"/>
      <c r="L441" s="1689"/>
      <c r="M441" s="1689"/>
      <c r="N441" s="1689"/>
      <c r="O441" s="1689"/>
      <c r="P441" s="1689"/>
      <c r="Q441" s="1689"/>
      <c r="R441" s="1689"/>
      <c r="S441" s="1689"/>
      <c r="T441" s="1689"/>
      <c r="U441" s="1689"/>
      <c r="V441" s="1689"/>
      <c r="W441" s="1689"/>
      <c r="X441" s="1689"/>
      <c r="Y441" s="1689"/>
      <c r="Z441" s="1689"/>
      <c r="AA441" s="1689"/>
      <c r="AB441" s="1689"/>
      <c r="AC441" s="1689"/>
      <c r="AD441" s="1689"/>
      <c r="AE441" s="1689"/>
      <c r="AF441" s="1690"/>
      <c r="AG441" s="1852">
        <f>IF(ISERROR(AG440/AG439),"",AG440/AG439)</f>
        <v>1</v>
      </c>
      <c r="AH441" s="1852"/>
      <c r="AI441" s="1852"/>
      <c r="AJ441" s="1852"/>
    </row>
    <row r="442" spans="1:110" ht="12.95" customHeight="1">
      <c r="D442" s="1688" t="s">
        <v>1056</v>
      </c>
      <c r="E442" s="1689"/>
      <c r="F442" s="1689"/>
      <c r="G442" s="1689"/>
      <c r="H442" s="1689"/>
      <c r="I442" s="1689"/>
      <c r="J442" s="1689"/>
      <c r="K442" s="1689"/>
      <c r="L442" s="1689"/>
      <c r="M442" s="1689"/>
      <c r="N442" s="1689"/>
      <c r="O442" s="1689"/>
      <c r="P442" s="1689"/>
      <c r="Q442" s="1689"/>
      <c r="R442" s="1689"/>
      <c r="S442" s="1689"/>
      <c r="T442" s="1689"/>
      <c r="U442" s="1689"/>
      <c r="V442" s="1689"/>
      <c r="W442" s="1689"/>
      <c r="X442" s="1689"/>
      <c r="Y442" s="1689"/>
      <c r="Z442" s="1689"/>
      <c r="AA442" s="1689"/>
      <c r="AB442" s="1689"/>
      <c r="AC442" s="1689"/>
      <c r="AD442" s="1689"/>
      <c r="AE442" s="1689"/>
      <c r="AF442" s="1690"/>
      <c r="AG442" s="1858">
        <v>128414</v>
      </c>
      <c r="AH442" s="1858"/>
      <c r="AI442" s="1858"/>
      <c r="AJ442" s="1858"/>
    </row>
    <row r="443" spans="1:110" ht="12.95" customHeight="1">
      <c r="D443" s="1688" t="s">
        <v>1058</v>
      </c>
      <c r="E443" s="1689"/>
      <c r="F443" s="1689"/>
      <c r="G443" s="1689"/>
      <c r="H443" s="1689"/>
      <c r="I443" s="1689"/>
      <c r="J443" s="1689"/>
      <c r="K443" s="1689"/>
      <c r="L443" s="1689"/>
      <c r="M443" s="1689"/>
      <c r="N443" s="1689"/>
      <c r="O443" s="1689"/>
      <c r="P443" s="1689"/>
      <c r="Q443" s="1689"/>
      <c r="R443" s="1689"/>
      <c r="S443" s="1689"/>
      <c r="T443" s="1689"/>
      <c r="U443" s="1689"/>
      <c r="V443" s="1689"/>
      <c r="W443" s="1689"/>
      <c r="X443" s="1689"/>
      <c r="Y443" s="1689"/>
      <c r="Z443" s="1689"/>
      <c r="AA443" s="1689"/>
      <c r="AB443" s="1689"/>
      <c r="AC443" s="1689"/>
      <c r="AD443" s="1689"/>
      <c r="AE443" s="1689"/>
      <c r="AF443" s="1690"/>
      <c r="AG443" s="1858">
        <v>128414</v>
      </c>
      <c r="AH443" s="1858"/>
      <c r="AI443" s="1858"/>
      <c r="AJ443" s="1858"/>
    </row>
    <row r="444" spans="1:110" ht="12.95" customHeight="1">
      <c r="D444" s="1688" t="s">
        <v>1059</v>
      </c>
      <c r="E444" s="1689"/>
      <c r="F444" s="1689"/>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1690"/>
      <c r="AG444" s="1852">
        <f>IF(ISERROR(AG443/AG442),"",AG443/AG442)</f>
        <v>1</v>
      </c>
      <c r="AH444" s="1852"/>
      <c r="AI444" s="1852"/>
      <c r="AJ444" s="1852"/>
    </row>
    <row r="445" spans="1:110" ht="12.95" customHeight="1">
      <c r="D445" s="1688" t="s">
        <v>1060</v>
      </c>
      <c r="E445" s="1689"/>
      <c r="F445" s="1689"/>
      <c r="G445" s="1689"/>
      <c r="H445" s="1689"/>
      <c r="I445" s="1689"/>
      <c r="J445" s="1689"/>
      <c r="K445" s="1689"/>
      <c r="L445" s="1689"/>
      <c r="M445" s="1689"/>
      <c r="N445" s="1689"/>
      <c r="O445" s="1689"/>
      <c r="P445" s="1689"/>
      <c r="Q445" s="1689"/>
      <c r="R445" s="1689"/>
      <c r="S445" s="1689"/>
      <c r="T445" s="1689"/>
      <c r="U445" s="1689"/>
      <c r="V445" s="1689"/>
      <c r="W445" s="1689"/>
      <c r="X445" s="1689"/>
      <c r="Y445" s="1689"/>
      <c r="Z445" s="1689"/>
      <c r="AA445" s="1689"/>
      <c r="AB445" s="1689"/>
      <c r="AC445" s="1689"/>
      <c r="AD445" s="1689"/>
      <c r="AE445" s="1689"/>
      <c r="AF445" s="1690"/>
      <c r="AG445" s="1852">
        <f>MIN(IF(AG441&gt;AG444,AG444,AG441),1)</f>
        <v>1</v>
      </c>
      <c r="AH445" s="1852"/>
      <c r="AI445" s="1852"/>
      <c r="AJ445" s="1852"/>
    </row>
    <row r="446" spans="1:110" ht="12.95" customHeight="1">
      <c r="D446" s="1688" t="s">
        <v>2403</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834"/>
      <c r="AG446" s="1858">
        <f>13589</f>
        <v>13589</v>
      </c>
      <c r="AH446" s="1858"/>
      <c r="AI446" s="1858"/>
      <c r="AJ446" s="18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7" t="s">
        <v>577</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834"/>
      <c r="AG447" s="1858">
        <v>0</v>
      </c>
      <c r="AH447" s="1858"/>
      <c r="AI447" s="1858"/>
      <c r="AJ447" s="18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8" t="s">
        <v>1310</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834"/>
      <c r="AG448" s="1858">
        <v>9089</v>
      </c>
      <c r="AH448" s="1858"/>
      <c r="AI448" s="1858"/>
      <c r="AJ448" s="18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8" t="s">
        <v>1061</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834"/>
      <c r="AG449" s="1858">
        <v>47624</v>
      </c>
      <c r="AH449" s="1858"/>
      <c r="AI449" s="1858"/>
      <c r="AJ449" s="185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9" t="s">
        <v>1062</v>
      </c>
      <c r="E450" s="1840"/>
      <c r="F450" s="1840"/>
      <c r="G450" s="1840"/>
      <c r="H450" s="1840"/>
      <c r="I450" s="1840"/>
      <c r="J450" s="1840"/>
      <c r="K450" s="1840"/>
      <c r="L450" s="1840"/>
      <c r="M450" s="1840"/>
      <c r="N450" s="1840"/>
      <c r="O450" s="1840"/>
      <c r="P450" s="1840"/>
      <c r="Q450" s="1840"/>
      <c r="R450" s="1840"/>
      <c r="S450" s="1840"/>
      <c r="T450" s="1840"/>
      <c r="U450" s="1840"/>
      <c r="V450" s="1840"/>
      <c r="W450" s="1840"/>
      <c r="X450" s="1840"/>
      <c r="Y450" s="1840"/>
      <c r="Z450" s="1840"/>
      <c r="AA450" s="1840"/>
      <c r="AB450" s="1840"/>
      <c r="AC450" s="1840"/>
      <c r="AD450" s="1840"/>
      <c r="AE450" s="1840"/>
      <c r="AF450" s="1841"/>
      <c r="AG450" s="1846">
        <f>AG442+AG446+AG448+AG449</f>
        <v>198716</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42" t="s">
        <v>1311</v>
      </c>
      <c r="E451" s="1842"/>
      <c r="F451" s="1842"/>
      <c r="G451" s="1842"/>
      <c r="H451" s="1842"/>
      <c r="I451" s="1842"/>
      <c r="J451" s="1842"/>
      <c r="K451" s="1842"/>
      <c r="L451" s="1842"/>
      <c r="M451" s="1842"/>
      <c r="N451" s="1842"/>
      <c r="O451" s="1842"/>
      <c r="P451" s="1842"/>
      <c r="Q451" s="1842"/>
      <c r="R451" s="1842"/>
      <c r="S451" s="1842"/>
      <c r="T451" s="1842"/>
      <c r="U451" s="1842"/>
      <c r="V451" s="1842"/>
      <c r="W451" s="1842"/>
      <c r="X451" s="1842"/>
      <c r="Y451" s="1842"/>
      <c r="Z451" s="1842"/>
      <c r="AA451" s="1842"/>
      <c r="AB451" s="1842"/>
      <c r="AC451" s="1842"/>
      <c r="AD451" s="1842"/>
      <c r="AE451" s="1842"/>
      <c r="AF451" s="1842"/>
      <c r="AG451" s="1842"/>
      <c r="AH451" s="1842"/>
      <c r="AI451" s="1842"/>
      <c r="AJ451" s="184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43"/>
      <c r="E452" s="1843"/>
      <c r="F452" s="1843"/>
      <c r="G452" s="1843"/>
      <c r="H452" s="1843"/>
      <c r="I452" s="1843"/>
      <c r="J452" s="1843"/>
      <c r="K452" s="1843"/>
      <c r="L452" s="1843"/>
      <c r="M452" s="1843"/>
      <c r="N452" s="1843"/>
      <c r="O452" s="1843"/>
      <c r="P452" s="1843"/>
      <c r="Q452" s="1843"/>
      <c r="R452" s="1843"/>
      <c r="S452" s="1843"/>
      <c r="T452" s="1843"/>
      <c r="U452" s="1843"/>
      <c r="V452" s="1843"/>
      <c r="W452" s="1843"/>
      <c r="X452" s="1843"/>
      <c r="Y452" s="1843"/>
      <c r="Z452" s="1843"/>
      <c r="AA452" s="1843"/>
      <c r="AB452" s="1843"/>
      <c r="AC452" s="1843"/>
      <c r="AD452" s="1843"/>
      <c r="AE452" s="1843"/>
      <c r="AF452" s="1843"/>
      <c r="AG452" s="1843"/>
      <c r="AH452" s="1843"/>
      <c r="AI452" s="1843"/>
      <c r="AJ452" s="184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9">
        <f>IF(AG437=0,"",'Sources and Uses Budget'!B105/Application!AG437)</f>
        <v>830969.19371727749</v>
      </c>
      <c r="AD454" s="1789"/>
      <c r="AE454" s="1789"/>
      <c r="AF454" s="178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9">
        <f>IF(AG437=0,"",'Sources and Uses Budget'!C105/Application!AG437)</f>
        <v>830969.19371727749</v>
      </c>
      <c r="AD455" s="1789"/>
      <c r="AE455" s="1789"/>
      <c r="AF455" s="178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9">
        <f>IF(AG437=0,"",('Sources and Uses Budget'!$S$107+'Sources and Uses Budget'!$T$107)/Application!AG437)</f>
        <v>776597.96858638746</v>
      </c>
      <c r="AD456" s="1789"/>
      <c r="AE456" s="1789"/>
      <c r="AF456" s="178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9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8"/>
      <c r="H457" s="1398"/>
      <c r="I457" s="1398"/>
      <c r="J457" s="1398"/>
      <c r="K457" s="1398"/>
      <c r="L457" s="1398"/>
      <c r="M457" s="1398"/>
      <c r="N457" s="1398"/>
      <c r="O457" s="1398"/>
      <c r="P457" s="1398"/>
      <c r="Q457" s="1398"/>
      <c r="R457" s="1398"/>
      <c r="S457" s="1398"/>
      <c r="T457" s="1398"/>
      <c r="U457" s="1398"/>
      <c r="V457" s="1398"/>
      <c r="W457" s="1398"/>
      <c r="X457" s="1398"/>
      <c r="Y457" s="1398"/>
      <c r="Z457" s="1398"/>
      <c r="AA457" s="1398"/>
      <c r="AB457" s="139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98"/>
      <c r="G458" s="1398"/>
      <c r="H458" s="1398"/>
      <c r="I458" s="1398"/>
      <c r="J458" s="1398"/>
      <c r="K458" s="1398"/>
      <c r="L458" s="1398"/>
      <c r="M458" s="1398"/>
      <c r="N458" s="1398"/>
      <c r="O458" s="1398"/>
      <c r="P458" s="1398"/>
      <c r="Q458" s="1398"/>
      <c r="R458" s="1398"/>
      <c r="S458" s="1398"/>
      <c r="T458" s="1398"/>
      <c r="U458" s="1398"/>
      <c r="V458" s="1398"/>
      <c r="W458" s="1398"/>
      <c r="X458" s="1398"/>
      <c r="Y458" s="1398"/>
      <c r="Z458" s="1398"/>
      <c r="AA458" s="1398"/>
      <c r="AB458" s="139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56" t="s">
        <v>2417</v>
      </c>
      <c r="E465" s="1717"/>
      <c r="F465" s="1717"/>
      <c r="G465" s="1717"/>
      <c r="H465" s="1717"/>
      <c r="I465" s="1717"/>
      <c r="J465" s="1717"/>
      <c r="K465" s="1717"/>
      <c r="L465" s="1717"/>
      <c r="M465" s="1717"/>
      <c r="N465" s="1717"/>
      <c r="O465" s="1717"/>
      <c r="P465" s="1717"/>
      <c r="Q465" s="1717"/>
      <c r="R465" s="1717"/>
      <c r="S465" s="1717"/>
      <c r="T465" s="1717"/>
      <c r="U465" s="1717"/>
      <c r="V465" s="1718"/>
      <c r="W465" s="1496">
        <v>50</v>
      </c>
      <c r="X465" s="1497"/>
      <c r="Y465" s="149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16" t="s">
        <v>702</v>
      </c>
      <c r="E466" s="1717"/>
      <c r="F466" s="1717"/>
      <c r="G466" s="1717"/>
      <c r="H466" s="1717"/>
      <c r="I466" s="1717"/>
      <c r="J466" s="1717"/>
      <c r="K466" s="1717"/>
      <c r="L466" s="1717"/>
      <c r="M466" s="1717"/>
      <c r="N466" s="1717"/>
      <c r="O466" s="1717"/>
      <c r="P466" s="1717"/>
      <c r="Q466" s="1717"/>
      <c r="R466" s="1717"/>
      <c r="S466" s="1717"/>
      <c r="T466" s="1717"/>
      <c r="U466" s="1717"/>
      <c r="V466" s="1718"/>
      <c r="W466" s="1496">
        <v>0</v>
      </c>
      <c r="X466" s="1497"/>
      <c r="Y466" s="149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16" t="s">
        <v>703</v>
      </c>
      <c r="E467" s="1717"/>
      <c r="F467" s="1717"/>
      <c r="G467" s="1717"/>
      <c r="H467" s="1717"/>
      <c r="I467" s="1717"/>
      <c r="J467" s="1717"/>
      <c r="K467" s="1717"/>
      <c r="L467" s="1717"/>
      <c r="M467" s="1717"/>
      <c r="N467" s="1717"/>
      <c r="O467" s="1717"/>
      <c r="P467" s="1717"/>
      <c r="Q467" s="1717"/>
      <c r="R467" s="1717"/>
      <c r="S467" s="1717"/>
      <c r="T467" s="1717"/>
      <c r="U467" s="1717"/>
      <c r="V467" s="1718"/>
      <c r="W467" s="1496">
        <v>0</v>
      </c>
      <c r="X467" s="1497"/>
      <c r="Y467" s="149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16" t="s">
        <v>704</v>
      </c>
      <c r="E468" s="1717"/>
      <c r="F468" s="1717"/>
      <c r="G468" s="1717"/>
      <c r="H468" s="1717"/>
      <c r="I468" s="1717"/>
      <c r="J468" s="1717"/>
      <c r="K468" s="1717"/>
      <c r="L468" s="1717"/>
      <c r="M468" s="1717"/>
      <c r="N468" s="1717"/>
      <c r="O468" s="1717"/>
      <c r="P468" s="1717"/>
      <c r="Q468" s="1717"/>
      <c r="R468" s="1717"/>
      <c r="S468" s="1717"/>
      <c r="T468" s="1717"/>
      <c r="U468" s="1717"/>
      <c r="V468" s="1718"/>
      <c r="W468" s="1496">
        <v>0</v>
      </c>
      <c r="X468" s="1497"/>
      <c r="Y468" s="149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16" t="s">
        <v>893</v>
      </c>
      <c r="E469" s="1717"/>
      <c r="F469" s="1717"/>
      <c r="G469" s="1717"/>
      <c r="H469" s="1717"/>
      <c r="I469" s="1717"/>
      <c r="J469" s="1717"/>
      <c r="K469" s="1717"/>
      <c r="L469" s="1717"/>
      <c r="M469" s="1717"/>
      <c r="N469" s="1717"/>
      <c r="O469" s="1717"/>
      <c r="P469" s="1717"/>
      <c r="Q469" s="1717"/>
      <c r="R469" s="1717"/>
      <c r="S469" s="1717"/>
      <c r="T469" s="1717"/>
      <c r="U469" s="1717"/>
      <c r="V469" s="1718"/>
      <c r="W469" s="1496">
        <v>0</v>
      </c>
      <c r="X469" s="1497"/>
      <c r="Y469" s="149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16" t="s">
        <v>705</v>
      </c>
      <c r="E470" s="1717"/>
      <c r="F470" s="1717"/>
      <c r="G470" s="1717"/>
      <c r="H470" s="1717"/>
      <c r="I470" s="1717"/>
      <c r="J470" s="1717"/>
      <c r="K470" s="1717"/>
      <c r="L470" s="1717"/>
      <c r="M470" s="1717"/>
      <c r="N470" s="1717"/>
      <c r="O470" s="1717"/>
      <c r="P470" s="1717"/>
      <c r="Q470" s="1717"/>
      <c r="R470" s="1717"/>
      <c r="S470" s="1717"/>
      <c r="T470" s="1717"/>
      <c r="U470" s="1717"/>
      <c r="V470" s="1718"/>
      <c r="W470" s="1496">
        <v>0</v>
      </c>
      <c r="X470" s="1497"/>
      <c r="Y470" s="149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16" t="s">
        <v>1035</v>
      </c>
      <c r="E471" s="1717"/>
      <c r="F471" s="1717"/>
      <c r="G471" s="1717"/>
      <c r="H471" s="1717"/>
      <c r="I471" s="1717"/>
      <c r="J471" s="1717"/>
      <c r="K471" s="1717"/>
      <c r="L471" s="1717"/>
      <c r="M471" s="1717"/>
      <c r="N471" s="1717"/>
      <c r="O471" s="1717"/>
      <c r="P471" s="1717"/>
      <c r="Q471" s="1717"/>
      <c r="R471" s="1717"/>
      <c r="S471" s="1717"/>
      <c r="T471" s="1717"/>
      <c r="U471" s="1717"/>
      <c r="V471" s="1718"/>
      <c r="W471" s="1496">
        <v>0</v>
      </c>
      <c r="X471" s="1497"/>
      <c r="Y471" s="149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56" t="s">
        <v>2554</v>
      </c>
      <c r="E472" s="1887"/>
      <c r="F472" s="1887"/>
      <c r="G472" s="1887"/>
      <c r="H472" s="1887"/>
      <c r="I472" s="1887"/>
      <c r="J472" s="1887"/>
      <c r="K472" s="1887"/>
      <c r="L472" s="1887"/>
      <c r="M472" s="1887"/>
      <c r="N472" s="1887"/>
      <c r="O472" s="1887"/>
      <c r="P472" s="1887"/>
      <c r="Q472" s="1887"/>
      <c r="R472" s="1887"/>
      <c r="S472" s="1887"/>
      <c r="T472" s="1887"/>
      <c r="U472" s="1887"/>
      <c r="V472" s="1888"/>
      <c r="W472" s="1496">
        <v>0</v>
      </c>
      <c r="X472" s="1497"/>
      <c r="Y472" s="149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56" t="s">
        <v>1766</v>
      </c>
      <c r="E473" s="1717"/>
      <c r="F473" s="1717"/>
      <c r="G473" s="1717"/>
      <c r="H473" s="1717"/>
      <c r="I473" s="1717"/>
      <c r="J473" s="1717"/>
      <c r="K473" s="1717"/>
      <c r="L473" s="1717"/>
      <c r="M473" s="1717"/>
      <c r="N473" s="1717"/>
      <c r="O473" s="1717"/>
      <c r="P473" s="1717"/>
      <c r="Q473" s="1717"/>
      <c r="R473" s="1717"/>
      <c r="S473" s="1717"/>
      <c r="T473" s="1717"/>
      <c r="U473" s="1717"/>
      <c r="V473" s="1718"/>
      <c r="W473" s="1496">
        <v>29</v>
      </c>
      <c r="X473" s="1497"/>
      <c r="Y473" s="149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53"/>
      <c r="H474" s="1854"/>
      <c r="I474" s="1854"/>
      <c r="J474" s="1854"/>
      <c r="K474" s="1854"/>
      <c r="L474" s="1854"/>
      <c r="M474" s="1854"/>
      <c r="N474" s="1854"/>
      <c r="O474" s="1854"/>
      <c r="P474" s="1854"/>
      <c r="Q474" s="1854"/>
      <c r="R474" s="1854"/>
      <c r="S474" s="1854"/>
      <c r="T474" s="1854"/>
      <c r="U474" s="1854"/>
      <c r="V474" s="1855"/>
      <c r="W474" s="1496">
        <v>0</v>
      </c>
      <c r="X474" s="1497"/>
      <c r="Y474" s="149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9" t="s">
        <v>2760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1" t="s">
        <v>819</v>
      </c>
      <c r="B480" s="1651"/>
      <c r="C480" s="1651"/>
      <c r="D480" s="1651"/>
      <c r="E480" s="1651"/>
      <c r="F480" s="1651"/>
      <c r="G480" s="1651"/>
      <c r="H480" s="1651"/>
      <c r="I480" s="1651"/>
      <c r="J480" s="1651"/>
      <c r="K480" s="1651"/>
      <c r="L480" s="1651"/>
      <c r="M480" s="1651"/>
      <c r="N480" s="1651"/>
      <c r="O480" s="1651"/>
      <c r="P480" s="1651"/>
      <c r="Q480" s="1651"/>
      <c r="R480" s="1651"/>
      <c r="S480" s="1651"/>
      <c r="T480" s="1651"/>
      <c r="U480" s="1651"/>
      <c r="V480" s="1651"/>
      <c r="W480" s="1651"/>
      <c r="X480" s="1651"/>
      <c r="Y480" s="1651"/>
      <c r="Z480" s="1651"/>
      <c r="AA480" s="1651"/>
      <c r="AB480" s="1651"/>
      <c r="AC480" s="1651"/>
      <c r="AD480" s="1651"/>
      <c r="AE480" s="1651"/>
      <c r="AF480" s="1651"/>
      <c r="AG480" s="1651"/>
      <c r="AH480" s="1651"/>
      <c r="AI480" s="1651"/>
      <c r="AJ480" s="1651"/>
      <c r="AK480" s="1651"/>
      <c r="AL480" s="1651"/>
      <c r="AM480" s="1651"/>
      <c r="AN480" s="1651"/>
      <c r="AO480" s="1651"/>
      <c r="AP480" s="1651"/>
      <c r="AQ480" s="1651"/>
      <c r="AR480" s="1651"/>
      <c r="AS480" s="1651"/>
      <c r="AT480" s="165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1"/>
      <c r="B481" s="1651"/>
      <c r="C481" s="1651"/>
      <c r="D481" s="1651"/>
      <c r="E481" s="1651"/>
      <c r="F481" s="1651"/>
      <c r="G481" s="1651"/>
      <c r="H481" s="1651"/>
      <c r="I481" s="1651"/>
      <c r="J481" s="1651"/>
      <c r="K481" s="1651"/>
      <c r="L481" s="1651"/>
      <c r="M481" s="1651"/>
      <c r="N481" s="1651"/>
      <c r="O481" s="1651"/>
      <c r="P481" s="1651"/>
      <c r="Q481" s="1651"/>
      <c r="R481" s="1651"/>
      <c r="S481" s="1651"/>
      <c r="T481" s="1651"/>
      <c r="U481" s="1651"/>
      <c r="V481" s="1651"/>
      <c r="W481" s="1651"/>
      <c r="X481" s="1651"/>
      <c r="Y481" s="1651"/>
      <c r="Z481" s="1651"/>
      <c r="AA481" s="1651"/>
      <c r="AB481" s="1651"/>
      <c r="AC481" s="1651"/>
      <c r="AD481" s="1651"/>
      <c r="AE481" s="1651"/>
      <c r="AF481" s="1651"/>
      <c r="AG481" s="1651"/>
      <c r="AH481" s="1651"/>
      <c r="AI481" s="1651"/>
      <c r="AJ481" s="1651"/>
      <c r="AK481" s="1651"/>
      <c r="AL481" s="1651"/>
      <c r="AM481" s="1651"/>
      <c r="AN481" s="1651"/>
      <c r="AO481" s="1651"/>
      <c r="AP481" s="1651"/>
      <c r="AQ481" s="1651"/>
      <c r="AR481" s="1651"/>
      <c r="AS481" s="1651"/>
      <c r="AT481" s="165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9" t="s">
        <v>394</v>
      </c>
      <c r="R485" s="1850"/>
      <c r="S485" s="1850"/>
      <c r="T485" s="1850"/>
      <c r="U485" s="1850"/>
      <c r="V485" s="1850"/>
      <c r="W485" s="1850"/>
      <c r="X485" s="1850"/>
      <c r="Y485" s="1850"/>
      <c r="Z485" s="1850"/>
      <c r="AA485" s="1850"/>
      <c r="AB485" s="1850"/>
      <c r="AC485" s="1850"/>
      <c r="AD485" s="1850"/>
      <c r="AE485" s="1850"/>
      <c r="AF485" s="1850"/>
      <c r="AG485" s="1850"/>
      <c r="AH485" s="1850"/>
      <c r="AI485" s="1850"/>
      <c r="AJ485" s="1850"/>
      <c r="AK485" s="185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05" t="s">
        <v>2665</v>
      </c>
      <c r="R486" s="1485"/>
      <c r="S486" s="1485"/>
      <c r="T486" s="1485"/>
      <c r="U486" s="1485"/>
      <c r="V486" s="1485"/>
      <c r="W486" s="1485"/>
      <c r="X486" s="1485"/>
      <c r="Y486" s="1485"/>
      <c r="Z486" s="1485"/>
      <c r="AA486" s="1485"/>
      <c r="AB486" s="1485"/>
      <c r="AC486" s="1485"/>
      <c r="AD486" s="1485"/>
      <c r="AE486" s="1485"/>
      <c r="AF486" s="1485"/>
      <c r="AG486" s="1485"/>
      <c r="AH486" s="1485"/>
      <c r="AI486" s="1485"/>
      <c r="AJ486" s="1485"/>
      <c r="AK486" s="1691"/>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05" t="s">
        <v>2761</v>
      </c>
      <c r="R487" s="1485"/>
      <c r="S487" s="1485"/>
      <c r="T487" s="1485"/>
      <c r="U487" s="1485"/>
      <c r="V487" s="1485"/>
      <c r="W487" s="1485"/>
      <c r="X487" s="1485"/>
      <c r="Y487" s="1485"/>
      <c r="Z487" s="1485"/>
      <c r="AA487" s="1485"/>
      <c r="AB487" s="1485"/>
      <c r="AC487" s="1485"/>
      <c r="AD487" s="1485"/>
      <c r="AE487" s="1485"/>
      <c r="AF487" s="1485"/>
      <c r="AG487" s="1485"/>
      <c r="AH487" s="1485"/>
      <c r="AI487" s="1485"/>
      <c r="AJ487" s="1485"/>
      <c r="AK487" s="169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05" t="s">
        <v>2666</v>
      </c>
      <c r="R488" s="1485"/>
      <c r="S488" s="1485"/>
      <c r="T488" s="1485"/>
      <c r="U488" s="1485"/>
      <c r="V488" s="1485"/>
      <c r="W488" s="1485"/>
      <c r="X488" s="1485"/>
      <c r="Y488" s="1485"/>
      <c r="Z488" s="1485"/>
      <c r="AA488" s="1485"/>
      <c r="AB488" s="1485"/>
      <c r="AC488" s="1485"/>
      <c r="AD488" s="1485"/>
      <c r="AE488" s="1485"/>
      <c r="AF488" s="1485"/>
      <c r="AG488" s="1485"/>
      <c r="AH488" s="1485"/>
      <c r="AI488" s="1485"/>
      <c r="AJ488" s="1485"/>
      <c r="AK488" s="169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64" t="s">
        <v>398</v>
      </c>
      <c r="C489" s="1865"/>
      <c r="D489" s="1865"/>
      <c r="E489" s="1865"/>
      <c r="F489" s="1865"/>
      <c r="G489" s="1865"/>
      <c r="H489" s="1865"/>
      <c r="I489" s="1865"/>
      <c r="J489" s="1865"/>
      <c r="K489" s="1865"/>
      <c r="L489" s="1865"/>
      <c r="M489" s="1865"/>
      <c r="N489" s="1865"/>
      <c r="O489" s="1865"/>
      <c r="P489" s="1866"/>
      <c r="Q489" s="1870" t="s">
        <v>677</v>
      </c>
      <c r="R489" s="1871"/>
      <c r="S489" s="1693" t="s">
        <v>166</v>
      </c>
      <c r="T489" s="1694"/>
      <c r="U489" s="1694"/>
      <c r="V489" s="1694"/>
      <c r="W489" s="1694"/>
      <c r="X489" s="1694"/>
      <c r="Y489" s="1694"/>
      <c r="Z489" s="1694"/>
      <c r="AA489" s="1694"/>
      <c r="AB489" s="1694"/>
      <c r="AC489" s="1694"/>
      <c r="AD489" s="1694"/>
      <c r="AE489" s="1694"/>
      <c r="AF489" s="1694"/>
      <c r="AG489" s="1694"/>
      <c r="AH489" s="1694"/>
      <c r="AI489" s="1694"/>
      <c r="AJ489" s="1694"/>
      <c r="AK489" s="169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67"/>
      <c r="C490" s="1868"/>
      <c r="D490" s="1868"/>
      <c r="E490" s="1868"/>
      <c r="F490" s="1868"/>
      <c r="G490" s="1868"/>
      <c r="H490" s="1868"/>
      <c r="I490" s="1868"/>
      <c r="J490" s="1868"/>
      <c r="K490" s="1868"/>
      <c r="L490" s="1868"/>
      <c r="M490" s="1868"/>
      <c r="N490" s="1868"/>
      <c r="O490" s="1868"/>
      <c r="P490" s="1869"/>
      <c r="Q490" s="1872"/>
      <c r="R490" s="1873"/>
      <c r="S490" s="1696"/>
      <c r="T490" s="1697"/>
      <c r="U490" s="1697"/>
      <c r="V490" s="1697"/>
      <c r="W490" s="1697"/>
      <c r="X490" s="1697"/>
      <c r="Y490" s="1697"/>
      <c r="Z490" s="1697"/>
      <c r="AA490" s="1697"/>
      <c r="AB490" s="1697"/>
      <c r="AC490" s="1697"/>
      <c r="AD490" s="1697"/>
      <c r="AE490" s="1697"/>
      <c r="AF490" s="1697"/>
      <c r="AG490" s="1697"/>
      <c r="AH490" s="1697"/>
      <c r="AI490" s="1697"/>
      <c r="AJ490" s="1697"/>
      <c r="AK490" s="169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74" t="s">
        <v>677</v>
      </c>
      <c r="R491" s="1875"/>
      <c r="S491" s="1875"/>
      <c r="T491" s="1875"/>
      <c r="U491" s="1875"/>
      <c r="V491" s="1875"/>
      <c r="W491" s="1875"/>
      <c r="X491" s="1875"/>
      <c r="Y491" s="1875"/>
      <c r="Z491" s="1875"/>
      <c r="AA491" s="1875"/>
      <c r="AB491" s="1875"/>
      <c r="AC491" s="1875"/>
      <c r="AD491" s="1875"/>
      <c r="AE491" s="1875"/>
      <c r="AF491" s="1875"/>
      <c r="AG491" s="1875"/>
      <c r="AH491" s="1875"/>
      <c r="AI491" s="1875"/>
      <c r="AJ491" s="1875"/>
      <c r="AK491" s="187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05" t="s">
        <v>2667</v>
      </c>
      <c r="R492" s="1485"/>
      <c r="S492" s="1485"/>
      <c r="T492" s="1485"/>
      <c r="U492" s="1485"/>
      <c r="V492" s="1485"/>
      <c r="W492" s="1485"/>
      <c r="X492" s="1485"/>
      <c r="Y492" s="1485"/>
      <c r="Z492" s="1485"/>
      <c r="AA492" s="1485"/>
      <c r="AB492" s="1485"/>
      <c r="AC492" s="1485"/>
      <c r="AD492" s="1485"/>
      <c r="AE492" s="1485"/>
      <c r="AF492" s="1485"/>
      <c r="AG492" s="1485"/>
      <c r="AH492" s="1485"/>
      <c r="AI492" s="1485"/>
      <c r="AJ492" s="1485"/>
      <c r="AK492" s="169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05" t="s">
        <v>2762</v>
      </c>
      <c r="R493" s="1485"/>
      <c r="S493" s="1485"/>
      <c r="T493" s="1485"/>
      <c r="U493" s="1485"/>
      <c r="V493" s="1485"/>
      <c r="W493" s="1485"/>
      <c r="X493" s="1485"/>
      <c r="Y493" s="1485"/>
      <c r="Z493" s="1485"/>
      <c r="AA493" s="1485"/>
      <c r="AB493" s="1485"/>
      <c r="AC493" s="1485"/>
      <c r="AD493" s="1485"/>
      <c r="AE493" s="1485"/>
      <c r="AF493" s="1485"/>
      <c r="AG493" s="1485"/>
      <c r="AH493" s="1485"/>
      <c r="AI493" s="1485"/>
      <c r="AJ493" s="1485"/>
      <c r="AK493" s="169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58">
        <v>136</v>
      </c>
      <c r="R494" s="1485"/>
      <c r="S494" s="1485"/>
      <c r="T494" s="1485"/>
      <c r="U494" s="1485"/>
      <c r="V494" s="1485"/>
      <c r="W494" s="1485"/>
      <c r="X494" s="1485"/>
      <c r="Y494" s="1485"/>
      <c r="Z494" s="1485"/>
      <c r="AA494" s="1485"/>
      <c r="AB494" s="1485"/>
      <c r="AC494" s="1485"/>
      <c r="AD494" s="1485"/>
      <c r="AE494" s="1485"/>
      <c r="AF494" s="1485"/>
      <c r="AG494" s="1485"/>
      <c r="AH494" s="1485"/>
      <c r="AI494" s="1485"/>
      <c r="AJ494" s="1485"/>
      <c r="AK494" s="169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503">
        <v>136</v>
      </c>
      <c r="N495" s="1504"/>
      <c r="O495" s="1504"/>
      <c r="P495" s="1505"/>
      <c r="Q495" s="121" t="s">
        <v>1783</v>
      </c>
      <c r="R495" s="5"/>
      <c r="S495" s="5"/>
      <c r="T495" s="5"/>
      <c r="U495" s="5"/>
      <c r="V495" s="5"/>
      <c r="W495" s="5"/>
      <c r="X495" s="5"/>
      <c r="Y495" s="5"/>
      <c r="Z495" s="5"/>
      <c r="AA495" s="5"/>
      <c r="AB495" s="5"/>
      <c r="AC495" s="5"/>
      <c r="AD495" s="5"/>
      <c r="AE495" s="5"/>
      <c r="AF495" s="5"/>
      <c r="AG495" s="5"/>
      <c r="AH495" s="1503">
        <v>0</v>
      </c>
      <c r="AI495" s="1504"/>
      <c r="AJ495" s="1504"/>
      <c r="AK495" s="150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9" t="s">
        <v>402</v>
      </c>
      <c r="AD499" s="1850"/>
      <c r="AE499" s="1850"/>
      <c r="AF499" s="1850"/>
      <c r="AG499" s="1850"/>
      <c r="AH499" s="1850"/>
      <c r="AI499" s="1850"/>
      <c r="AJ499" s="1850"/>
      <c r="AK499" s="185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9" t="s">
        <v>403</v>
      </c>
      <c r="AD500" s="1850"/>
      <c r="AE500" s="1850"/>
      <c r="AF500" s="1850"/>
      <c r="AG500" s="50" t="s">
        <v>404</v>
      </c>
      <c r="AH500" s="1850" t="s">
        <v>405</v>
      </c>
      <c r="AI500" s="1850"/>
      <c r="AJ500" s="1850"/>
      <c r="AK500" s="185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1" t="s">
        <v>406</v>
      </c>
      <c r="C501" s="1702"/>
      <c r="D501" s="1702"/>
      <c r="E501" s="1702"/>
      <c r="F501" s="1702"/>
      <c r="G501" s="1702"/>
      <c r="H501" s="1703"/>
      <c r="I501" s="42" t="s">
        <v>407</v>
      </c>
      <c r="J501" s="42"/>
      <c r="K501" s="42"/>
      <c r="L501" s="42"/>
      <c r="M501" s="42"/>
      <c r="N501" s="42"/>
      <c r="O501" s="42"/>
      <c r="P501" s="42"/>
      <c r="Q501" s="42"/>
      <c r="R501" s="42"/>
      <c r="S501" s="42"/>
      <c r="T501" s="42"/>
      <c r="U501" s="42"/>
      <c r="V501" s="42"/>
      <c r="W501" s="42"/>
      <c r="AC501" s="1684">
        <v>7</v>
      </c>
      <c r="AD501" s="1662"/>
      <c r="AE501" s="1662"/>
      <c r="AF501" s="1662"/>
      <c r="AG501" s="13" t="s">
        <v>404</v>
      </c>
      <c r="AH501" s="1380">
        <v>2024</v>
      </c>
      <c r="AI501" s="1380"/>
      <c r="AJ501" s="1380"/>
      <c r="AK501" s="138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4"/>
      <c r="C502" s="1705"/>
      <c r="D502" s="1705"/>
      <c r="E502" s="1705"/>
      <c r="F502" s="1705"/>
      <c r="G502" s="1705"/>
      <c r="H502" s="1706"/>
      <c r="I502" s="48" t="s">
        <v>408</v>
      </c>
      <c r="J502" s="48"/>
      <c r="K502" s="48"/>
      <c r="L502" s="48"/>
      <c r="M502" s="48"/>
      <c r="N502" s="48"/>
      <c r="O502" s="48"/>
      <c r="P502" s="48"/>
      <c r="Q502" s="48"/>
      <c r="R502" s="48"/>
      <c r="S502" s="48"/>
      <c r="T502" s="48"/>
      <c r="U502" s="48"/>
      <c r="V502" s="48"/>
      <c r="W502" s="48"/>
      <c r="X502" s="48"/>
      <c r="Y502" s="48"/>
      <c r="Z502" s="48"/>
      <c r="AA502" s="48"/>
      <c r="AB502" s="48"/>
      <c r="AC502" s="1684">
        <v>12</v>
      </c>
      <c r="AD502" s="1662"/>
      <c r="AE502" s="1662"/>
      <c r="AF502" s="1662"/>
      <c r="AG502" s="38" t="s">
        <v>404</v>
      </c>
      <c r="AH502" s="1380">
        <v>2021</v>
      </c>
      <c r="AI502" s="1380"/>
      <c r="AJ502" s="1380"/>
      <c r="AK502" s="138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1" t="s">
        <v>409</v>
      </c>
      <c r="C503" s="1702"/>
      <c r="D503" s="1702"/>
      <c r="E503" s="1702"/>
      <c r="F503" s="1702"/>
      <c r="G503" s="1702"/>
      <c r="H503" s="1703"/>
      <c r="I503" s="42" t="s">
        <v>410</v>
      </c>
      <c r="J503" s="42"/>
      <c r="K503" s="42"/>
      <c r="L503" s="42"/>
      <c r="M503" s="42"/>
      <c r="N503" s="42"/>
      <c r="O503" s="42"/>
      <c r="P503" s="42"/>
      <c r="Q503" s="42"/>
      <c r="R503" s="42"/>
      <c r="S503" s="42"/>
      <c r="T503" s="42"/>
      <c r="U503" s="42"/>
      <c r="V503" s="42"/>
      <c r="W503" s="42"/>
      <c r="AC503" s="1684" t="s">
        <v>599</v>
      </c>
      <c r="AD503" s="1662"/>
      <c r="AE503" s="1662"/>
      <c r="AF503" s="1662"/>
      <c r="AG503" s="13" t="s">
        <v>404</v>
      </c>
      <c r="AH503" s="1380" t="s">
        <v>599</v>
      </c>
      <c r="AI503" s="1380"/>
      <c r="AJ503" s="1380"/>
      <c r="AK503" s="138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4"/>
      <c r="C504" s="1705"/>
      <c r="D504" s="1705"/>
      <c r="E504" s="1705"/>
      <c r="F504" s="1705"/>
      <c r="G504" s="1705"/>
      <c r="H504" s="1706"/>
      <c r="I504" t="s">
        <v>411</v>
      </c>
      <c r="AC504" s="1684" t="s">
        <v>599</v>
      </c>
      <c r="AD504" s="1662"/>
      <c r="AE504" s="1662"/>
      <c r="AF504" s="1662"/>
      <c r="AG504" s="13" t="s">
        <v>404</v>
      </c>
      <c r="AH504" s="1380" t="s">
        <v>599</v>
      </c>
      <c r="AI504" s="1380"/>
      <c r="AJ504" s="1380"/>
      <c r="AK504" s="138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4"/>
      <c r="C505" s="1705"/>
      <c r="D505" s="1705"/>
      <c r="E505" s="1705"/>
      <c r="F505" s="1705"/>
      <c r="G505" s="1705"/>
      <c r="H505" s="1706"/>
      <c r="I505" t="s">
        <v>412</v>
      </c>
      <c r="AC505" s="1684" t="s">
        <v>599</v>
      </c>
      <c r="AD505" s="1662"/>
      <c r="AE505" s="1662"/>
      <c r="AF505" s="1662"/>
      <c r="AG505" s="13" t="s">
        <v>404</v>
      </c>
      <c r="AH505" s="1380" t="s">
        <v>599</v>
      </c>
      <c r="AI505" s="1380"/>
      <c r="AJ505" s="1380"/>
      <c r="AK505" s="138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4"/>
      <c r="C506" s="1705"/>
      <c r="D506" s="1705"/>
      <c r="E506" s="1705"/>
      <c r="F506" s="1705"/>
      <c r="G506" s="1705"/>
      <c r="H506" s="1706"/>
      <c r="I506" t="s">
        <v>413</v>
      </c>
      <c r="AC506" s="1684">
        <v>1</v>
      </c>
      <c r="AD506" s="1662"/>
      <c r="AE506" s="1662"/>
      <c r="AF506" s="1662"/>
      <c r="AG506" s="13" t="s">
        <v>404</v>
      </c>
      <c r="AH506" s="1380">
        <v>2025</v>
      </c>
      <c r="AI506" s="1380"/>
      <c r="AJ506" s="1380"/>
      <c r="AK506" s="138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4"/>
      <c r="C507" s="1705"/>
      <c r="D507" s="1705"/>
      <c r="E507" s="1705"/>
      <c r="F507" s="1705"/>
      <c r="G507" s="1705"/>
      <c r="H507" s="1706"/>
      <c r="I507" s="3" t="s">
        <v>414</v>
      </c>
      <c r="AC507" s="1366">
        <v>1</v>
      </c>
      <c r="AD507" s="1367"/>
      <c r="AE507" s="1367"/>
      <c r="AF507" s="1367"/>
      <c r="AG507" s="13" t="s">
        <v>404</v>
      </c>
      <c r="AH507" s="1380">
        <v>2025</v>
      </c>
      <c r="AI507" s="1380"/>
      <c r="AJ507" s="1380"/>
      <c r="AK507" s="138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04"/>
      <c r="C508" s="1705"/>
      <c r="D508" s="1705"/>
      <c r="E508" s="1705"/>
      <c r="F508" s="1705"/>
      <c r="G508" s="1705"/>
      <c r="H508" s="1706"/>
      <c r="I508" s="931" t="s">
        <v>170</v>
      </c>
      <c r="J508" s="48"/>
      <c r="K508" s="48"/>
      <c r="L508" s="1785" t="s">
        <v>599</v>
      </c>
      <c r="M508" s="1786"/>
      <c r="N508" s="1786"/>
      <c r="O508" s="1786"/>
      <c r="P508" s="1786"/>
      <c r="Q508" s="1786"/>
      <c r="R508" s="1786"/>
      <c r="S508" s="1786"/>
      <c r="T508" s="1786"/>
      <c r="U508" s="1786"/>
      <c r="V508" s="1786"/>
      <c r="W508" s="1786"/>
      <c r="X508" s="1786"/>
      <c r="Y508" s="1786"/>
      <c r="Z508" s="1786"/>
      <c r="AA508" s="1786"/>
      <c r="AB508" s="1860"/>
      <c r="AC508" s="1684" t="s">
        <v>599</v>
      </c>
      <c r="AD508" s="1662"/>
      <c r="AE508" s="1662"/>
      <c r="AF508" s="1662"/>
      <c r="AG508" s="38" t="s">
        <v>404</v>
      </c>
      <c r="AH508" s="1380" t="s">
        <v>599</v>
      </c>
      <c r="AI508" s="1380"/>
      <c r="AJ508" s="1380"/>
      <c r="AK508" s="138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57" t="s">
        <v>553</v>
      </c>
      <c r="AD509" s="1857"/>
      <c r="AE509" s="1857"/>
      <c r="AF509" s="1857"/>
      <c r="AG509" s="13"/>
      <c r="AH509" s="1308"/>
      <c r="AI509" s="1308"/>
      <c r="AJ509" s="1308"/>
      <c r="AK509" s="186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6">
        <v>1</v>
      </c>
      <c r="AD510" s="1367"/>
      <c r="AE510" s="1367"/>
      <c r="AF510" s="1368"/>
      <c r="AG510" s="13"/>
      <c r="AH510" s="1308"/>
      <c r="AI510" s="1308"/>
      <c r="AJ510" s="1308"/>
      <c r="AK510" s="186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89">
        <v>0.4</v>
      </c>
      <c r="AD512" s="1890"/>
      <c r="AE512" s="1890"/>
      <c r="AF512" s="1891"/>
      <c r="AG512" s="38"/>
      <c r="AH512" s="1892"/>
      <c r="AI512" s="1892"/>
      <c r="AJ512" s="1892"/>
      <c r="AK512" s="1893"/>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77" t="s">
        <v>403</v>
      </c>
      <c r="AD513" s="1378"/>
      <c r="AE513" s="1378"/>
      <c r="AF513" s="1378"/>
      <c r="AG513" s="38" t="s">
        <v>404</v>
      </c>
      <c r="AH513" s="1378" t="s">
        <v>405</v>
      </c>
      <c r="AI513" s="1378"/>
      <c r="AJ513" s="1378"/>
      <c r="AK513" s="187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01" t="s">
        <v>415</v>
      </c>
      <c r="C514" s="1702"/>
      <c r="D514" s="1702"/>
      <c r="E514" s="1702"/>
      <c r="F514" s="1702"/>
      <c r="G514" s="1702"/>
      <c r="H514" s="1703"/>
      <c r="I514" s="42" t="s">
        <v>416</v>
      </c>
      <c r="J514" s="42"/>
      <c r="K514" s="42"/>
      <c r="L514" s="42"/>
      <c r="M514" s="42"/>
      <c r="N514" s="42"/>
      <c r="O514" s="42"/>
      <c r="P514" s="42"/>
      <c r="Q514" s="42"/>
      <c r="R514" s="42"/>
      <c r="S514" s="42"/>
      <c r="T514" s="42"/>
      <c r="U514" s="42"/>
      <c r="V514" s="42"/>
      <c r="W514" s="42"/>
      <c r="AC514" s="1684">
        <v>3</v>
      </c>
      <c r="AD514" s="1662"/>
      <c r="AE514" s="1662"/>
      <c r="AF514" s="1662"/>
      <c r="AG514" s="13" t="s">
        <v>404</v>
      </c>
      <c r="AH514" s="1380">
        <v>2024</v>
      </c>
      <c r="AI514" s="1380"/>
      <c r="AJ514" s="1380"/>
      <c r="AK514" s="1381"/>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04"/>
      <c r="C515" s="1705"/>
      <c r="D515" s="1705"/>
      <c r="E515" s="1705"/>
      <c r="F515" s="1705"/>
      <c r="G515" s="1705"/>
      <c r="H515" s="1706"/>
      <c r="I515" t="s">
        <v>417</v>
      </c>
      <c r="AC515" s="1684">
        <v>4</v>
      </c>
      <c r="AD515" s="1662"/>
      <c r="AE515" s="1662"/>
      <c r="AF515" s="1662"/>
      <c r="AG515" s="13" t="s">
        <v>404</v>
      </c>
      <c r="AH515" s="1380">
        <v>2024</v>
      </c>
      <c r="AI515" s="1380"/>
      <c r="AJ515" s="1380"/>
      <c r="AK515" s="1381"/>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04"/>
      <c r="C516" s="1705"/>
      <c r="D516" s="1705"/>
      <c r="E516" s="1705"/>
      <c r="F516" s="1705"/>
      <c r="G516" s="1705"/>
      <c r="H516" s="1706"/>
      <c r="I516" s="48" t="s">
        <v>418</v>
      </c>
      <c r="J516" s="48"/>
      <c r="K516" s="48"/>
      <c r="L516" s="48"/>
      <c r="M516" s="48"/>
      <c r="N516" s="48"/>
      <c r="O516" s="48"/>
      <c r="P516" s="48"/>
      <c r="Q516" s="48"/>
      <c r="R516" s="48"/>
      <c r="S516" s="48"/>
      <c r="T516" s="48"/>
      <c r="U516" s="48"/>
      <c r="V516" s="48"/>
      <c r="W516" s="48"/>
      <c r="X516" s="48"/>
      <c r="Y516" s="48"/>
      <c r="Z516" s="48"/>
      <c r="AA516" s="48"/>
      <c r="AB516" s="48"/>
      <c r="AC516" s="1684">
        <v>1</v>
      </c>
      <c r="AD516" s="1662"/>
      <c r="AE516" s="1662"/>
      <c r="AF516" s="1662"/>
      <c r="AG516" s="38" t="s">
        <v>404</v>
      </c>
      <c r="AH516" s="1380">
        <v>2025</v>
      </c>
      <c r="AI516" s="1380"/>
      <c r="AJ516" s="1380"/>
      <c r="AK516" s="1381"/>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01" t="s">
        <v>419</v>
      </c>
      <c r="C517" s="1702"/>
      <c r="D517" s="1702"/>
      <c r="E517" s="1702"/>
      <c r="F517" s="1702"/>
      <c r="G517" s="1702"/>
      <c r="H517" s="1703"/>
      <c r="I517" s="42" t="s">
        <v>416</v>
      </c>
      <c r="J517" s="42"/>
      <c r="K517" s="42"/>
      <c r="L517" s="42"/>
      <c r="M517" s="42"/>
      <c r="N517" s="42"/>
      <c r="O517" s="42"/>
      <c r="P517" s="42"/>
      <c r="Q517" s="42"/>
      <c r="R517" s="42"/>
      <c r="S517" s="42"/>
      <c r="T517" s="42"/>
      <c r="U517" s="42"/>
      <c r="V517" s="42"/>
      <c r="W517" s="42"/>
      <c r="X517" s="42"/>
      <c r="Y517" s="42"/>
      <c r="Z517" s="42"/>
      <c r="AA517" s="42"/>
      <c r="AB517" s="42"/>
      <c r="AC517" s="1366">
        <v>3</v>
      </c>
      <c r="AD517" s="1367"/>
      <c r="AE517" s="1367"/>
      <c r="AF517" s="1367"/>
      <c r="AG517" s="129" t="s">
        <v>404</v>
      </c>
      <c r="AH517" s="1380">
        <v>2024</v>
      </c>
      <c r="AI517" s="1380"/>
      <c r="AJ517" s="1380"/>
      <c r="AK517" s="1381"/>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04"/>
      <c r="C518" s="1705"/>
      <c r="D518" s="1705"/>
      <c r="E518" s="1705"/>
      <c r="F518" s="1705"/>
      <c r="G518" s="1705"/>
      <c r="H518" s="1706"/>
      <c r="I518" t="s">
        <v>417</v>
      </c>
      <c r="AC518" s="1684">
        <v>4</v>
      </c>
      <c r="AD518" s="1662"/>
      <c r="AE518" s="1662"/>
      <c r="AF518" s="1662"/>
      <c r="AG518" s="13" t="s">
        <v>404</v>
      </c>
      <c r="AH518" s="1380">
        <v>2024</v>
      </c>
      <c r="AI518" s="1380"/>
      <c r="AJ518" s="1380"/>
      <c r="AK518" s="1381"/>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07"/>
      <c r="C519" s="1708"/>
      <c r="D519" s="1708"/>
      <c r="E519" s="1708"/>
      <c r="F519" s="1708"/>
      <c r="G519" s="1708"/>
      <c r="H519" s="1709"/>
      <c r="I519" s="48" t="s">
        <v>418</v>
      </c>
      <c r="J519" s="48"/>
      <c r="K519" s="48"/>
      <c r="L519" s="48"/>
      <c r="M519" s="48"/>
      <c r="N519" s="48"/>
      <c r="O519" s="48"/>
      <c r="P519" s="48"/>
      <c r="Q519" s="48"/>
      <c r="R519" s="48"/>
      <c r="S519" s="48"/>
      <c r="T519" s="48"/>
      <c r="U519" s="48"/>
      <c r="V519" s="48"/>
      <c r="W519" s="48"/>
      <c r="X519" s="48"/>
      <c r="Y519" s="48"/>
      <c r="Z519" s="48"/>
      <c r="AA519" s="48"/>
      <c r="AB519" s="48"/>
      <c r="AC519" s="1684">
        <v>1</v>
      </c>
      <c r="AD519" s="1662"/>
      <c r="AE519" s="1662"/>
      <c r="AF519" s="1662"/>
      <c r="AG519" s="38" t="s">
        <v>404</v>
      </c>
      <c r="AH519" s="1380">
        <v>2025</v>
      </c>
      <c r="AI519" s="1380"/>
      <c r="AJ519" s="1380"/>
      <c r="AK519" s="1381"/>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01" t="s">
        <v>420</v>
      </c>
      <c r="C520" s="1702"/>
      <c r="D520" s="1702"/>
      <c r="E520" s="1702"/>
      <c r="F520" s="1702"/>
      <c r="G520" s="1702"/>
      <c r="H520" s="1703"/>
      <c r="I520" s="41" t="s">
        <v>421</v>
      </c>
      <c r="J520" s="42"/>
      <c r="K520" s="42"/>
      <c r="L520" s="42"/>
      <c r="M520" s="42"/>
      <c r="N520" s="42"/>
      <c r="O520" s="1785" t="s">
        <v>2668</v>
      </c>
      <c r="P520" s="1786"/>
      <c r="Q520" s="1786"/>
      <c r="R520" s="1786"/>
      <c r="S520" s="1786"/>
      <c r="T520" s="1786"/>
      <c r="U520" s="1786"/>
      <c r="V520" s="1786"/>
      <c r="W520" s="1786"/>
      <c r="X520" s="1786"/>
      <c r="Y520" s="1786"/>
      <c r="Z520" s="1786"/>
      <c r="AA520" s="1786"/>
      <c r="AB520" s="58"/>
      <c r="AC520" s="1366" t="s">
        <v>599</v>
      </c>
      <c r="AD520" s="1367"/>
      <c r="AE520" s="1367"/>
      <c r="AF520" s="1367"/>
      <c r="AG520" s="129" t="s">
        <v>404</v>
      </c>
      <c r="AH520" s="1380"/>
      <c r="AI520" s="1380"/>
      <c r="AJ520" s="1380"/>
      <c r="AK520" s="1381"/>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04"/>
      <c r="C521" s="1705"/>
      <c r="D521" s="1705"/>
      <c r="E521" s="1705"/>
      <c r="F521" s="1705"/>
      <c r="G521" s="1705"/>
      <c r="H521" s="1706"/>
      <c r="I521" s="114" t="s">
        <v>422</v>
      </c>
      <c r="AB521" s="65"/>
      <c r="AC521" s="1684">
        <v>10</v>
      </c>
      <c r="AD521" s="1662"/>
      <c r="AE521" s="1662"/>
      <c r="AF521" s="1662"/>
      <c r="AG521" s="13" t="s">
        <v>404</v>
      </c>
      <c r="AH521" s="1380">
        <v>2022</v>
      </c>
      <c r="AI521" s="1380"/>
      <c r="AJ521" s="1380"/>
      <c r="AK521" s="1381"/>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04"/>
      <c r="C522" s="1705"/>
      <c r="D522" s="1705"/>
      <c r="E522" s="1705"/>
      <c r="F522" s="1705"/>
      <c r="G522" s="1705"/>
      <c r="H522" s="1706"/>
      <c r="I522" s="47" t="s">
        <v>423</v>
      </c>
      <c r="J522" s="48"/>
      <c r="K522" s="48"/>
      <c r="L522" s="48"/>
      <c r="M522" s="48"/>
      <c r="N522" s="48"/>
      <c r="O522" s="48"/>
      <c r="P522" s="48"/>
      <c r="Q522" s="48"/>
      <c r="R522" s="48"/>
      <c r="S522" s="48"/>
      <c r="T522" s="48"/>
      <c r="U522" s="48"/>
      <c r="V522" s="48"/>
      <c r="W522" s="48"/>
      <c r="X522" s="48"/>
      <c r="Y522" s="48"/>
      <c r="Z522" s="48"/>
      <c r="AA522" s="48"/>
      <c r="AB522" s="49"/>
      <c r="AC522" s="1684">
        <v>3</v>
      </c>
      <c r="AD522" s="1662"/>
      <c r="AE522" s="1662"/>
      <c r="AF522" s="1662"/>
      <c r="AG522" s="38" t="s">
        <v>404</v>
      </c>
      <c r="AH522" s="1380">
        <v>2024</v>
      </c>
      <c r="AI522" s="1380"/>
      <c r="AJ522" s="1380"/>
      <c r="AK522" s="1381"/>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04"/>
      <c r="C523" s="1705"/>
      <c r="D523" s="1705"/>
      <c r="E523" s="1705"/>
      <c r="F523" s="1705"/>
      <c r="G523" s="1705"/>
      <c r="H523" s="1706"/>
      <c r="I523" s="42" t="s">
        <v>424</v>
      </c>
      <c r="J523" s="42"/>
      <c r="K523" s="42"/>
      <c r="L523" s="42"/>
      <c r="M523" s="42"/>
      <c r="N523" s="42"/>
      <c r="O523" s="1785" t="s">
        <v>2669</v>
      </c>
      <c r="P523" s="1786"/>
      <c r="Q523" s="1786"/>
      <c r="R523" s="1786"/>
      <c r="S523" s="1786"/>
      <c r="T523" s="1786"/>
      <c r="U523" s="1786"/>
      <c r="V523" s="1786"/>
      <c r="W523" s="1786"/>
      <c r="X523" s="1786"/>
      <c r="Y523" s="1786"/>
      <c r="Z523" s="1786"/>
      <c r="AA523" s="1786"/>
      <c r="AC523" s="1684" t="s">
        <v>599</v>
      </c>
      <c r="AD523" s="1662"/>
      <c r="AE523" s="1662"/>
      <c r="AF523" s="1662"/>
      <c r="AG523" s="13" t="s">
        <v>404</v>
      </c>
      <c r="AH523" s="1380"/>
      <c r="AI523" s="1380"/>
      <c r="AJ523" s="1380"/>
      <c r="AK523" s="1381"/>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04"/>
      <c r="C524" s="1705"/>
      <c r="D524" s="1705"/>
      <c r="E524" s="1705"/>
      <c r="F524" s="1705"/>
      <c r="G524" s="1705"/>
      <c r="H524" s="1706"/>
      <c r="I524" t="s">
        <v>422</v>
      </c>
      <c r="AC524" s="1684">
        <v>10</v>
      </c>
      <c r="AD524" s="1662"/>
      <c r="AE524" s="1662"/>
      <c r="AF524" s="1662"/>
      <c r="AG524" s="13" t="s">
        <v>404</v>
      </c>
      <c r="AH524" s="1380">
        <v>2023</v>
      </c>
      <c r="AI524" s="1380"/>
      <c r="AJ524" s="1380"/>
      <c r="AK524" s="1381"/>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04"/>
      <c r="C525" s="1705"/>
      <c r="D525" s="1705"/>
      <c r="E525" s="1705"/>
      <c r="F525" s="1705"/>
      <c r="G525" s="1705"/>
      <c r="H525" s="1706"/>
      <c r="I525" s="48" t="s">
        <v>423</v>
      </c>
      <c r="J525" s="48"/>
      <c r="K525" s="48"/>
      <c r="L525" s="48"/>
      <c r="M525" s="48"/>
      <c r="N525" s="48"/>
      <c r="O525" s="48"/>
      <c r="P525" s="48"/>
      <c r="Q525" s="48"/>
      <c r="R525" s="48"/>
      <c r="S525" s="48"/>
      <c r="T525" s="48"/>
      <c r="U525" s="48"/>
      <c r="V525" s="48"/>
      <c r="W525" s="48"/>
      <c r="X525" s="48"/>
      <c r="Y525" s="48"/>
      <c r="Z525" s="48"/>
      <c r="AA525" s="48"/>
      <c r="AB525" s="48"/>
      <c r="AC525" s="1684">
        <v>4</v>
      </c>
      <c r="AD525" s="1662"/>
      <c r="AE525" s="1662"/>
      <c r="AF525" s="1662"/>
      <c r="AG525" s="38" t="s">
        <v>404</v>
      </c>
      <c r="AH525" s="1380">
        <v>2024</v>
      </c>
      <c r="AI525" s="1380"/>
      <c r="AJ525" s="1380"/>
      <c r="AK525" s="1381"/>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4"/>
      <c r="C526" s="1705"/>
      <c r="D526" s="1705"/>
      <c r="E526" s="1705"/>
      <c r="F526" s="1705"/>
      <c r="G526" s="1705"/>
      <c r="H526" s="1706"/>
      <c r="I526" s="42" t="s">
        <v>424</v>
      </c>
      <c r="J526" s="42"/>
      <c r="K526" s="42"/>
      <c r="L526" s="42"/>
      <c r="M526" s="42"/>
      <c r="N526" s="42"/>
      <c r="O526" s="1785" t="s">
        <v>335</v>
      </c>
      <c r="P526" s="1786"/>
      <c r="Q526" s="1786"/>
      <c r="R526" s="1786"/>
      <c r="S526" s="1786"/>
      <c r="T526" s="1786"/>
      <c r="U526" s="1786"/>
      <c r="V526" s="1786"/>
      <c r="W526" s="1786"/>
      <c r="X526" s="1786"/>
      <c r="Y526" s="1786"/>
      <c r="Z526" s="1786"/>
      <c r="AA526" s="1786"/>
      <c r="AC526" s="1684" t="s">
        <v>599</v>
      </c>
      <c r="AD526" s="1662"/>
      <c r="AE526" s="1662"/>
      <c r="AF526" s="1662"/>
      <c r="AG526" s="13" t="s">
        <v>404</v>
      </c>
      <c r="AH526" s="1380"/>
      <c r="AI526" s="1380"/>
      <c r="AJ526" s="1380"/>
      <c r="AK526" s="1381"/>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4"/>
      <c r="C527" s="1705"/>
      <c r="D527" s="1705"/>
      <c r="E527" s="1705"/>
      <c r="F527" s="1705"/>
      <c r="G527" s="1705"/>
      <c r="H527" s="1706"/>
      <c r="I527" t="s">
        <v>422</v>
      </c>
      <c r="AC527" s="1684" t="s">
        <v>599</v>
      </c>
      <c r="AD527" s="1662"/>
      <c r="AE527" s="1662"/>
      <c r="AF527" s="1662"/>
      <c r="AG527" s="13" t="s">
        <v>404</v>
      </c>
      <c r="AH527" s="1380"/>
      <c r="AI527" s="1380"/>
      <c r="AJ527" s="1380"/>
      <c r="AK527" s="1381"/>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4"/>
      <c r="C528" s="1705"/>
      <c r="D528" s="1705"/>
      <c r="E528" s="1705"/>
      <c r="F528" s="1705"/>
      <c r="G528" s="1705"/>
      <c r="H528" s="1706"/>
      <c r="I528" s="48" t="s">
        <v>423</v>
      </c>
      <c r="J528" s="48"/>
      <c r="K528" s="48"/>
      <c r="L528" s="48"/>
      <c r="M528" s="48"/>
      <c r="N528" s="48"/>
      <c r="O528" s="48"/>
      <c r="P528" s="48"/>
      <c r="Q528" s="48"/>
      <c r="R528" s="48"/>
      <c r="S528" s="48"/>
      <c r="T528" s="48"/>
      <c r="U528" s="48"/>
      <c r="V528" s="48"/>
      <c r="W528" s="48"/>
      <c r="X528" s="48"/>
      <c r="Y528" s="48"/>
      <c r="Z528" s="48"/>
      <c r="AA528" s="48"/>
      <c r="AB528" s="48"/>
      <c r="AC528" s="1684" t="s">
        <v>599</v>
      </c>
      <c r="AD528" s="1662"/>
      <c r="AE528" s="1662"/>
      <c r="AF528" s="1662"/>
      <c r="AG528" s="38" t="s">
        <v>404</v>
      </c>
      <c r="AH528" s="1380"/>
      <c r="AI528" s="1380"/>
      <c r="AJ528" s="1380"/>
      <c r="AK528" s="1381"/>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4"/>
      <c r="C529" s="1705"/>
      <c r="D529" s="1705"/>
      <c r="E529" s="1705"/>
      <c r="F529" s="1705"/>
      <c r="G529" s="1705"/>
      <c r="H529" s="1706"/>
      <c r="I529" s="42" t="s">
        <v>424</v>
      </c>
      <c r="J529" s="42"/>
      <c r="K529" s="42"/>
      <c r="L529" s="42"/>
      <c r="M529" s="42"/>
      <c r="N529" s="42"/>
      <c r="O529" s="1785" t="s">
        <v>335</v>
      </c>
      <c r="P529" s="1786"/>
      <c r="Q529" s="1786"/>
      <c r="R529" s="1786"/>
      <c r="S529" s="1786"/>
      <c r="T529" s="1786"/>
      <c r="U529" s="1786"/>
      <c r="V529" s="1786"/>
      <c r="W529" s="1786"/>
      <c r="X529" s="1786"/>
      <c r="Y529" s="1786"/>
      <c r="Z529" s="1786"/>
      <c r="AA529" s="1786"/>
      <c r="AC529" s="1684" t="s">
        <v>599</v>
      </c>
      <c r="AD529" s="1662"/>
      <c r="AE529" s="1662"/>
      <c r="AF529" s="1662"/>
      <c r="AG529" s="13" t="s">
        <v>404</v>
      </c>
      <c r="AH529" s="1380"/>
      <c r="AI529" s="1380"/>
      <c r="AJ529" s="1380"/>
      <c r="AK529" s="1381"/>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4"/>
      <c r="C530" s="1705"/>
      <c r="D530" s="1705"/>
      <c r="E530" s="1705"/>
      <c r="F530" s="1705"/>
      <c r="G530" s="1705"/>
      <c r="H530" s="1706"/>
      <c r="I530" t="s">
        <v>422</v>
      </c>
      <c r="AC530" s="1684" t="s">
        <v>599</v>
      </c>
      <c r="AD530" s="1662"/>
      <c r="AE530" s="1662"/>
      <c r="AF530" s="1662"/>
      <c r="AG530" s="13" t="s">
        <v>404</v>
      </c>
      <c r="AH530" s="1380"/>
      <c r="AI530" s="1380"/>
      <c r="AJ530" s="1380"/>
      <c r="AK530" s="1381"/>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4"/>
      <c r="C531" s="1705"/>
      <c r="D531" s="1705"/>
      <c r="E531" s="1705"/>
      <c r="F531" s="1705"/>
      <c r="G531" s="1705"/>
      <c r="H531" s="1706"/>
      <c r="I531" s="48" t="s">
        <v>423</v>
      </c>
      <c r="J531" s="48"/>
      <c r="K531" s="48"/>
      <c r="L531" s="48"/>
      <c r="M531" s="48"/>
      <c r="N531" s="48"/>
      <c r="O531" s="48"/>
      <c r="P531" s="48"/>
      <c r="Q531" s="48"/>
      <c r="R531" s="48"/>
      <c r="S531" s="48"/>
      <c r="T531" s="48"/>
      <c r="U531" s="48"/>
      <c r="V531" s="48"/>
      <c r="W531" s="48"/>
      <c r="X531" s="48"/>
      <c r="Y531" s="48"/>
      <c r="Z531" s="48"/>
      <c r="AA531" s="48"/>
      <c r="AB531" s="48"/>
      <c r="AC531" s="1684" t="s">
        <v>599</v>
      </c>
      <c r="AD531" s="1662"/>
      <c r="AE531" s="1662"/>
      <c r="AF531" s="1662"/>
      <c r="AG531" s="38" t="s">
        <v>404</v>
      </c>
      <c r="AH531" s="1380"/>
      <c r="AI531" s="1380"/>
      <c r="AJ531" s="1380"/>
      <c r="AK531" s="1381"/>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4"/>
      <c r="C532" s="1705"/>
      <c r="D532" s="1705"/>
      <c r="E532" s="1705"/>
      <c r="F532" s="1705"/>
      <c r="G532" s="1705"/>
      <c r="H532" s="1706"/>
      <c r="I532" s="42" t="s">
        <v>424</v>
      </c>
      <c r="J532" s="42"/>
      <c r="K532" s="42"/>
      <c r="L532" s="42"/>
      <c r="M532" s="42"/>
      <c r="N532" s="42"/>
      <c r="O532" s="1785" t="s">
        <v>335</v>
      </c>
      <c r="P532" s="1786"/>
      <c r="Q532" s="1786"/>
      <c r="R532" s="1786"/>
      <c r="S532" s="1786"/>
      <c r="T532" s="1786"/>
      <c r="U532" s="1786"/>
      <c r="V532" s="1786"/>
      <c r="W532" s="1786"/>
      <c r="X532" s="1786"/>
      <c r="Y532" s="1786"/>
      <c r="Z532" s="1786"/>
      <c r="AA532" s="1786"/>
      <c r="AC532" s="1684" t="s">
        <v>599</v>
      </c>
      <c r="AD532" s="1662"/>
      <c r="AE532" s="1662"/>
      <c r="AF532" s="1662"/>
      <c r="AG532" s="13" t="s">
        <v>404</v>
      </c>
      <c r="AH532" s="1380"/>
      <c r="AI532" s="1380"/>
      <c r="AJ532" s="1380"/>
      <c r="AK532" s="1381"/>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4"/>
      <c r="C533" s="1705"/>
      <c r="D533" s="1705"/>
      <c r="E533" s="1705"/>
      <c r="F533" s="1705"/>
      <c r="G533" s="1705"/>
      <c r="H533" s="1706"/>
      <c r="I533" t="s">
        <v>422</v>
      </c>
      <c r="AC533" s="1684" t="s">
        <v>599</v>
      </c>
      <c r="AD533" s="1662"/>
      <c r="AE533" s="1662"/>
      <c r="AF533" s="1662"/>
      <c r="AG533" s="38" t="s">
        <v>404</v>
      </c>
      <c r="AH533" s="1380"/>
      <c r="AI533" s="1380"/>
      <c r="AJ533" s="1380"/>
      <c r="AK533" s="1381"/>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4"/>
      <c r="C534" s="1705"/>
      <c r="D534" s="1705"/>
      <c r="E534" s="1705"/>
      <c r="F534" s="1705"/>
      <c r="G534" s="1705"/>
      <c r="H534" s="1706"/>
      <c r="I534" s="48" t="s">
        <v>423</v>
      </c>
      <c r="J534" s="48"/>
      <c r="K534" s="48"/>
      <c r="L534" s="48"/>
      <c r="M534" s="48"/>
      <c r="N534" s="48"/>
      <c r="O534" s="48"/>
      <c r="P534" s="48"/>
      <c r="Q534" s="48"/>
      <c r="R534" s="48"/>
      <c r="S534" s="48"/>
      <c r="T534" s="48"/>
      <c r="U534" s="48"/>
      <c r="V534" s="48"/>
      <c r="W534" s="48"/>
      <c r="X534" s="48"/>
      <c r="Y534" s="48"/>
      <c r="Z534" s="48"/>
      <c r="AA534" s="48"/>
      <c r="AB534" s="48"/>
      <c r="AC534" s="1684" t="s">
        <v>599</v>
      </c>
      <c r="AD534" s="1662"/>
      <c r="AE534" s="1662"/>
      <c r="AF534" s="1662"/>
      <c r="AG534" s="13" t="s">
        <v>404</v>
      </c>
      <c r="AH534" s="1380"/>
      <c r="AI534" s="1380"/>
      <c r="AJ534" s="1380"/>
      <c r="AK534" s="1381"/>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4"/>
      <c r="C535" s="1705"/>
      <c r="D535" s="1705"/>
      <c r="E535" s="1705"/>
      <c r="F535" s="1705"/>
      <c r="G535" s="1705"/>
      <c r="H535" s="1706"/>
      <c r="I535" s="42" t="s">
        <v>424</v>
      </c>
      <c r="J535" s="42"/>
      <c r="K535" s="42"/>
      <c r="L535" s="42"/>
      <c r="M535" s="42"/>
      <c r="N535" s="42"/>
      <c r="O535" s="1785" t="s">
        <v>335</v>
      </c>
      <c r="P535" s="1786"/>
      <c r="Q535" s="1786"/>
      <c r="R535" s="1786"/>
      <c r="S535" s="1786"/>
      <c r="T535" s="1786"/>
      <c r="U535" s="1786"/>
      <c r="V535" s="1786"/>
      <c r="W535" s="1786"/>
      <c r="X535" s="1786"/>
      <c r="Y535" s="1786"/>
      <c r="Z535" s="1786"/>
      <c r="AA535" s="1786"/>
      <c r="AC535" s="1684" t="s">
        <v>599</v>
      </c>
      <c r="AD535" s="1662"/>
      <c r="AE535" s="1662"/>
      <c r="AF535" s="1662"/>
      <c r="AG535" s="38" t="s">
        <v>404</v>
      </c>
      <c r="AH535" s="1380"/>
      <c r="AI535" s="1380"/>
      <c r="AJ535" s="1380"/>
      <c r="AK535" s="1381"/>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4"/>
      <c r="C536" s="1705"/>
      <c r="D536" s="1705"/>
      <c r="E536" s="1705"/>
      <c r="F536" s="1705"/>
      <c r="G536" s="1705"/>
      <c r="H536" s="1706"/>
      <c r="I536" t="s">
        <v>422</v>
      </c>
      <c r="AC536" s="1684" t="s">
        <v>599</v>
      </c>
      <c r="AD536" s="1662"/>
      <c r="AE536" s="1662"/>
      <c r="AF536" s="1662"/>
      <c r="AG536" s="13" t="s">
        <v>404</v>
      </c>
      <c r="AH536" s="1380"/>
      <c r="AI536" s="1380"/>
      <c r="AJ536" s="1380"/>
      <c r="AK536" s="1381"/>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4"/>
      <c r="C537" s="1705"/>
      <c r="D537" s="1705"/>
      <c r="E537" s="1705"/>
      <c r="F537" s="1705"/>
      <c r="G537" s="1705"/>
      <c r="H537" s="1706"/>
      <c r="I537" s="48" t="s">
        <v>423</v>
      </c>
      <c r="J537" s="48"/>
      <c r="K537" s="48"/>
      <c r="L537" s="48"/>
      <c r="M537" s="48"/>
      <c r="N537" s="48"/>
      <c r="O537" s="48"/>
      <c r="P537" s="48"/>
      <c r="Q537" s="48"/>
      <c r="R537" s="48"/>
      <c r="S537" s="48"/>
      <c r="T537" s="48"/>
      <c r="U537" s="48"/>
      <c r="V537" s="48"/>
      <c r="W537" s="48"/>
      <c r="X537" s="48"/>
      <c r="Y537" s="48"/>
      <c r="Z537" s="48"/>
      <c r="AA537" s="48"/>
      <c r="AB537" s="48"/>
      <c r="AC537" s="1684" t="s">
        <v>599</v>
      </c>
      <c r="AD537" s="1662"/>
      <c r="AE537" s="1662"/>
      <c r="AF537" s="1662"/>
      <c r="AG537" s="38" t="s">
        <v>404</v>
      </c>
      <c r="AH537" s="1380"/>
      <c r="AI537" s="1380"/>
      <c r="AJ537" s="1380"/>
      <c r="AK537" s="1381"/>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4"/>
      <c r="C538" s="1705"/>
      <c r="D538" s="1705"/>
      <c r="E538" s="1705"/>
      <c r="F538" s="1705"/>
      <c r="G538" s="1705"/>
      <c r="H538" s="1706"/>
      <c r="I538" s="42" t="s">
        <v>570</v>
      </c>
      <c r="J538" s="42"/>
      <c r="K538" s="42"/>
      <c r="L538" s="42"/>
      <c r="M538" s="42"/>
      <c r="N538" s="42"/>
      <c r="O538" s="42"/>
      <c r="P538" s="42"/>
      <c r="Q538" s="42"/>
      <c r="R538" s="42"/>
      <c r="S538" s="42"/>
      <c r="T538" s="42"/>
      <c r="U538" s="42"/>
      <c r="V538" s="42"/>
      <c r="W538" s="42"/>
      <c r="AC538" s="1684">
        <v>4</v>
      </c>
      <c r="AD538" s="1662"/>
      <c r="AE538" s="1662"/>
      <c r="AF538" s="1662"/>
      <c r="AG538" s="38" t="s">
        <v>404</v>
      </c>
      <c r="AH538" s="1380">
        <v>2025</v>
      </c>
      <c r="AI538" s="1380"/>
      <c r="AJ538" s="1380"/>
      <c r="AK538" s="138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4"/>
      <c r="C539" s="1705"/>
      <c r="D539" s="1705"/>
      <c r="E539" s="1705"/>
      <c r="F539" s="1705"/>
      <c r="G539" s="1705"/>
      <c r="H539" s="1706"/>
      <c r="I539" t="s">
        <v>571</v>
      </c>
      <c r="AC539" s="1684">
        <v>1</v>
      </c>
      <c r="AD539" s="1662"/>
      <c r="AE539" s="1662"/>
      <c r="AF539" s="1662"/>
      <c r="AG539" s="13" t="s">
        <v>404</v>
      </c>
      <c r="AH539" s="1380">
        <v>2025</v>
      </c>
      <c r="AI539" s="1380"/>
      <c r="AJ539" s="1380"/>
      <c r="AK539" s="138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4"/>
      <c r="C540" s="1705"/>
      <c r="D540" s="1705"/>
      <c r="E540" s="1705"/>
      <c r="F540" s="1705"/>
      <c r="G540" s="1705"/>
      <c r="H540" s="1706"/>
      <c r="I540" t="s">
        <v>572</v>
      </c>
      <c r="AC540" s="1684">
        <v>3</v>
      </c>
      <c r="AD540" s="1662"/>
      <c r="AE540" s="1662"/>
      <c r="AF540" s="1662"/>
      <c r="AG540" s="38" t="s">
        <v>404</v>
      </c>
      <c r="AH540" s="1380">
        <v>2027</v>
      </c>
      <c r="AI540" s="1380"/>
      <c r="AJ540" s="1380"/>
      <c r="AK540" s="138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4"/>
      <c r="C541" s="1705"/>
      <c r="D541" s="1705"/>
      <c r="E541" s="1705"/>
      <c r="F541" s="1705"/>
      <c r="G541" s="1705"/>
      <c r="H541" s="1706"/>
      <c r="I541" t="s">
        <v>573</v>
      </c>
      <c r="AC541" s="1684">
        <v>3</v>
      </c>
      <c r="AD541" s="1662"/>
      <c r="AE541" s="1662"/>
      <c r="AF541" s="1662"/>
      <c r="AG541" s="38" t="s">
        <v>404</v>
      </c>
      <c r="AH541" s="1380">
        <v>2027</v>
      </c>
      <c r="AI541" s="1380"/>
      <c r="AJ541" s="1380"/>
      <c r="AK541" s="138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7"/>
      <c r="C542" s="1708"/>
      <c r="D542" s="1708"/>
      <c r="E542" s="1708"/>
      <c r="F542" s="1708"/>
      <c r="G542" s="1708"/>
      <c r="H542" s="1709"/>
      <c r="I542" s="48" t="s">
        <v>459</v>
      </c>
      <c r="J542" s="48"/>
      <c r="K542" s="48"/>
      <c r="L542" s="48"/>
      <c r="M542" s="48"/>
      <c r="N542" s="48"/>
      <c r="O542" s="48"/>
      <c r="P542" s="48"/>
      <c r="Q542" s="48"/>
      <c r="R542" s="48"/>
      <c r="S542" s="48"/>
      <c r="T542" s="48"/>
      <c r="U542" s="48"/>
      <c r="V542" s="48"/>
      <c r="W542" s="48"/>
      <c r="X542" s="48"/>
      <c r="Y542" s="48"/>
      <c r="Z542" s="48"/>
      <c r="AA542" s="48"/>
      <c r="AB542" s="48"/>
      <c r="AC542" s="1684">
        <v>7</v>
      </c>
      <c r="AD542" s="1662"/>
      <c r="AE542" s="1662"/>
      <c r="AF542" s="1662"/>
      <c r="AG542" s="38" t="s">
        <v>404</v>
      </c>
      <c r="AH542" s="1380">
        <v>2027</v>
      </c>
      <c r="AI542" s="1380"/>
      <c r="AJ542" s="1380"/>
      <c r="AK542" s="138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1" t="s">
        <v>551</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1" t="s">
        <v>2421</v>
      </c>
      <c r="C551" s="1702"/>
      <c r="D551" s="1702"/>
      <c r="E551" s="1702"/>
      <c r="F551" s="1702"/>
      <c r="G551" s="1702"/>
      <c r="H551" s="1702"/>
      <c r="I551" s="1702"/>
      <c r="J551" s="1702"/>
      <c r="K551" s="1702"/>
      <c r="L551" s="1703"/>
      <c r="M551" s="1701" t="s">
        <v>2422</v>
      </c>
      <c r="N551" s="1702"/>
      <c r="O551" s="1702"/>
      <c r="P551" s="1703"/>
      <c r="Q551" s="1701" t="s">
        <v>2448</v>
      </c>
      <c r="R551" s="1702"/>
      <c r="S551" s="1703"/>
      <c r="T551" s="1701" t="s">
        <v>2449</v>
      </c>
      <c r="U551" s="1702"/>
      <c r="V551" s="1703"/>
      <c r="W551" s="1701" t="s">
        <v>461</v>
      </c>
      <c r="X551" s="1702"/>
      <c r="Y551" s="1703"/>
      <c r="Z551" s="1701" t="s">
        <v>2042</v>
      </c>
      <c r="AA551" s="1702"/>
      <c r="AB551" s="1702"/>
      <c r="AC551" s="1702"/>
      <c r="AD551" s="1703"/>
      <c r="AE551" s="1701" t="s">
        <v>1864</v>
      </c>
      <c r="AF551" s="1702"/>
      <c r="AG551" s="1702"/>
      <c r="AH551" s="1703"/>
      <c r="AI551" s="1701" t="s">
        <v>1865</v>
      </c>
      <c r="AJ551" s="1702"/>
      <c r="AK551" s="1702"/>
      <c r="AL551" s="1703"/>
      <c r="AM551" s="1701" t="s">
        <v>462</v>
      </c>
      <c r="AN551" s="1702"/>
      <c r="AO551" s="1702"/>
      <c r="AP551" s="1702"/>
      <c r="AQ551" s="1702"/>
      <c r="AR551" s="1702"/>
      <c r="AS551" s="17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4"/>
      <c r="C552" s="1705"/>
      <c r="D552" s="1705"/>
      <c r="E552" s="1705"/>
      <c r="F552" s="1705"/>
      <c r="G552" s="1705"/>
      <c r="H552" s="1705"/>
      <c r="I552" s="1705"/>
      <c r="J552" s="1705"/>
      <c r="K552" s="1705"/>
      <c r="L552" s="1706"/>
      <c r="M552" s="1704"/>
      <c r="N552" s="1705"/>
      <c r="O552" s="1705"/>
      <c r="P552" s="1706"/>
      <c r="Q552" s="1704"/>
      <c r="R552" s="1705"/>
      <c r="S552" s="1706"/>
      <c r="T552" s="1704"/>
      <c r="U552" s="1705"/>
      <c r="V552" s="1706"/>
      <c r="W552" s="1704"/>
      <c r="X552" s="1705"/>
      <c r="Y552" s="1706"/>
      <c r="Z552" s="1704"/>
      <c r="AA552" s="1705"/>
      <c r="AB552" s="1705"/>
      <c r="AC552" s="1705"/>
      <c r="AD552" s="1706"/>
      <c r="AE552" s="1704"/>
      <c r="AF552" s="1705"/>
      <c r="AG552" s="1705"/>
      <c r="AH552" s="1706"/>
      <c r="AI552" s="1704"/>
      <c r="AJ552" s="1705"/>
      <c r="AK552" s="1705"/>
      <c r="AL552" s="1706"/>
      <c r="AM552" s="1704"/>
      <c r="AN552" s="1705"/>
      <c r="AO552" s="1705"/>
      <c r="AP552" s="1705"/>
      <c r="AQ552" s="1705"/>
      <c r="AR552" s="1705"/>
      <c r="AS552" s="17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7"/>
      <c r="C553" s="1708"/>
      <c r="D553" s="1708"/>
      <c r="E553" s="1708"/>
      <c r="F553" s="1708"/>
      <c r="G553" s="1708"/>
      <c r="H553" s="1708"/>
      <c r="I553" s="1708"/>
      <c r="J553" s="1708"/>
      <c r="K553" s="1708"/>
      <c r="L553" s="1709"/>
      <c r="M553" s="1707"/>
      <c r="N553" s="1708"/>
      <c r="O553" s="1708"/>
      <c r="P553" s="1709"/>
      <c r="Q553" s="1707"/>
      <c r="R553" s="1708"/>
      <c r="S553" s="1709"/>
      <c r="T553" s="1707"/>
      <c r="U553" s="1708"/>
      <c r="V553" s="1709"/>
      <c r="W553" s="1707"/>
      <c r="X553" s="1708"/>
      <c r="Y553" s="1709"/>
      <c r="Z553" s="1707"/>
      <c r="AA553" s="1708"/>
      <c r="AB553" s="1708"/>
      <c r="AC553" s="1708"/>
      <c r="AD553" s="1709"/>
      <c r="AE553" s="1707"/>
      <c r="AF553" s="1708"/>
      <c r="AG553" s="1708"/>
      <c r="AH553" s="1709"/>
      <c r="AI553" s="1707"/>
      <c r="AJ553" s="1708"/>
      <c r="AK553" s="1708"/>
      <c r="AL553" s="1709"/>
      <c r="AM553" s="1707"/>
      <c r="AN553" s="1708"/>
      <c r="AO553" s="1708"/>
      <c r="AP553" s="1708"/>
      <c r="AQ553" s="1708"/>
      <c r="AR553" s="1708"/>
      <c r="AS553" s="17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3" t="s">
        <v>2794</v>
      </c>
      <c r="D554" s="1493"/>
      <c r="E554" s="1493"/>
      <c r="F554" s="1493"/>
      <c r="G554" s="1493"/>
      <c r="H554" s="1493"/>
      <c r="I554" s="1493"/>
      <c r="J554" s="1493"/>
      <c r="K554" s="1493"/>
      <c r="L554" s="1493"/>
      <c r="M554" s="1493" t="s">
        <v>2437</v>
      </c>
      <c r="N554" s="1493"/>
      <c r="O554" s="1493"/>
      <c r="P554" s="1493"/>
      <c r="Q554" s="1488">
        <v>33</v>
      </c>
      <c r="R554" s="1488"/>
      <c r="S554" s="1489"/>
      <c r="T554" s="1487"/>
      <c r="U554" s="1488"/>
      <c r="V554" s="1489"/>
      <c r="W554" s="1490">
        <v>8.3500000000000005E-2</v>
      </c>
      <c r="X554" s="1491"/>
      <c r="Y554" s="1492"/>
      <c r="Z554" s="1495" t="s">
        <v>2764</v>
      </c>
      <c r="AA554" s="1495"/>
      <c r="AB554" s="1495"/>
      <c r="AC554" s="1495"/>
      <c r="AD554" s="1495"/>
      <c r="AE554" s="1482">
        <v>1</v>
      </c>
      <c r="AF554" s="1483"/>
      <c r="AG554" s="1483"/>
      <c r="AH554" s="1484"/>
      <c r="AI554" s="1685"/>
      <c r="AJ554" s="1686"/>
      <c r="AK554" s="1686"/>
      <c r="AL554" s="1687"/>
      <c r="AM554" s="1500">
        <v>73085743</v>
      </c>
      <c r="AN554" s="1501"/>
      <c r="AO554" s="1501"/>
      <c r="AP554" s="1501"/>
      <c r="AQ554" s="1501"/>
      <c r="AR554" s="1501"/>
      <c r="AS554" s="150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2" t="s">
        <v>2794</v>
      </c>
      <c r="D555" s="1682"/>
      <c r="E555" s="1682"/>
      <c r="F555" s="1682"/>
      <c r="G555" s="1682"/>
      <c r="H555" s="1682"/>
      <c r="I555" s="1682"/>
      <c r="J555" s="1682"/>
      <c r="K555" s="1682"/>
      <c r="L555" s="1682"/>
      <c r="M555" s="1493" t="s">
        <v>2437</v>
      </c>
      <c r="N555" s="1493"/>
      <c r="O555" s="1493"/>
      <c r="P555" s="1493"/>
      <c r="Q555" s="1487">
        <v>33</v>
      </c>
      <c r="R555" s="1488"/>
      <c r="S555" s="1489"/>
      <c r="T555" s="1487"/>
      <c r="U555" s="1488"/>
      <c r="V555" s="1489"/>
      <c r="W555" s="1490">
        <v>8.3500000000000005E-2</v>
      </c>
      <c r="X555" s="1491"/>
      <c r="Y555" s="1492"/>
      <c r="Z555" s="1495" t="s">
        <v>2764</v>
      </c>
      <c r="AA555" s="1495"/>
      <c r="AB555" s="1495"/>
      <c r="AC555" s="1495"/>
      <c r="AD555" s="1495"/>
      <c r="AE555" s="1482">
        <v>2</v>
      </c>
      <c r="AF555" s="1483"/>
      <c r="AG555" s="1483"/>
      <c r="AH555" s="1484"/>
      <c r="AI555" s="1685"/>
      <c r="AJ555" s="1686"/>
      <c r="AK555" s="1686"/>
      <c r="AL555" s="1687"/>
      <c r="AM555" s="1500">
        <v>22783594</v>
      </c>
      <c r="AN555" s="1501"/>
      <c r="AO555" s="1501"/>
      <c r="AP555" s="1501"/>
      <c r="AQ555" s="1501"/>
      <c r="AR555" s="1501"/>
      <c r="AS555" s="150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2" t="s">
        <v>2776</v>
      </c>
      <c r="D556" s="1682"/>
      <c r="E556" s="1682"/>
      <c r="F556" s="1682"/>
      <c r="G556" s="1682"/>
      <c r="H556" s="1682"/>
      <c r="I556" s="1682"/>
      <c r="J556" s="1682"/>
      <c r="K556" s="1682"/>
      <c r="L556" s="1682"/>
      <c r="M556" s="1493" t="s">
        <v>2429</v>
      </c>
      <c r="N556" s="1493"/>
      <c r="O556" s="1493"/>
      <c r="P556" s="1493"/>
      <c r="Q556" s="1487"/>
      <c r="R556" s="1488"/>
      <c r="S556" s="1489"/>
      <c r="T556" s="1487"/>
      <c r="U556" s="1488"/>
      <c r="V556" s="1489"/>
      <c r="W556" s="1490"/>
      <c r="X556" s="1491"/>
      <c r="Y556" s="1492"/>
      <c r="Z556" s="1495" t="s">
        <v>599</v>
      </c>
      <c r="AA556" s="1495"/>
      <c r="AB556" s="1495"/>
      <c r="AC556" s="1495"/>
      <c r="AD556" s="1495"/>
      <c r="AE556" s="1482"/>
      <c r="AF556" s="1483"/>
      <c r="AG556" s="1483"/>
      <c r="AH556" s="1484"/>
      <c r="AI556" s="1685"/>
      <c r="AJ556" s="1686"/>
      <c r="AK556" s="1686"/>
      <c r="AL556" s="1687"/>
      <c r="AM556" s="1500">
        <v>24628040</v>
      </c>
      <c r="AN556" s="1501"/>
      <c r="AO556" s="1501"/>
      <c r="AP556" s="1501"/>
      <c r="AQ556" s="1501"/>
      <c r="AR556" s="1501"/>
      <c r="AS556" s="150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82" t="s">
        <v>2743</v>
      </c>
      <c r="D557" s="1682"/>
      <c r="E557" s="1682"/>
      <c r="F557" s="1682"/>
      <c r="G557" s="1682"/>
      <c r="H557" s="1682"/>
      <c r="I557" s="1682"/>
      <c r="J557" s="1682"/>
      <c r="K557" s="1682"/>
      <c r="L557" s="1682"/>
      <c r="M557" s="1493" t="s">
        <v>2434</v>
      </c>
      <c r="N557" s="1493"/>
      <c r="O557" s="1493"/>
      <c r="P557" s="1493"/>
      <c r="Q557" s="1487">
        <v>660</v>
      </c>
      <c r="R557" s="1488"/>
      <c r="S557" s="1489"/>
      <c r="T557" s="1487"/>
      <c r="U557" s="1488"/>
      <c r="V557" s="1489"/>
      <c r="W557" s="1490">
        <v>0.04</v>
      </c>
      <c r="X557" s="1491"/>
      <c r="Y557" s="1492"/>
      <c r="Z557" s="1495" t="s">
        <v>2737</v>
      </c>
      <c r="AA557" s="1495"/>
      <c r="AB557" s="1495"/>
      <c r="AC557" s="1495"/>
      <c r="AD557" s="1495"/>
      <c r="AE557" s="1482">
        <v>3</v>
      </c>
      <c r="AF557" s="1483"/>
      <c r="AG557" s="1483"/>
      <c r="AH557" s="1484"/>
      <c r="AI557" s="1685"/>
      <c r="AJ557" s="1686"/>
      <c r="AK557" s="1686"/>
      <c r="AL557" s="1687"/>
      <c r="AM557" s="1500">
        <v>19062289</v>
      </c>
      <c r="AN557" s="1501"/>
      <c r="AO557" s="1501"/>
      <c r="AP557" s="1501"/>
      <c r="AQ557" s="1501"/>
      <c r="AR557" s="1501"/>
      <c r="AS557" s="150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2" t="s">
        <v>2669</v>
      </c>
      <c r="D558" s="1682"/>
      <c r="E558" s="1682"/>
      <c r="F558" s="1682"/>
      <c r="G558" s="1682"/>
      <c r="H558" s="1682"/>
      <c r="I558" s="1682"/>
      <c r="J558" s="1682"/>
      <c r="K558" s="1682"/>
      <c r="L558" s="1682"/>
      <c r="M558" s="1493" t="s">
        <v>2434</v>
      </c>
      <c r="N558" s="1493"/>
      <c r="O558" s="1493"/>
      <c r="P558" s="1493"/>
      <c r="Q558" s="1487">
        <v>660</v>
      </c>
      <c r="R558" s="1488"/>
      <c r="S558" s="1489"/>
      <c r="T558" s="1487"/>
      <c r="U558" s="1488"/>
      <c r="V558" s="1489"/>
      <c r="W558" s="1490">
        <v>0.03</v>
      </c>
      <c r="X558" s="1491"/>
      <c r="Y558" s="1492"/>
      <c r="Z558" s="1495" t="s">
        <v>2737</v>
      </c>
      <c r="AA558" s="1495"/>
      <c r="AB558" s="1495"/>
      <c r="AC558" s="1495"/>
      <c r="AD558" s="1495"/>
      <c r="AE558" s="1482">
        <v>4</v>
      </c>
      <c r="AF558" s="1483"/>
      <c r="AG558" s="1483"/>
      <c r="AH558" s="1484"/>
      <c r="AI558" s="1685"/>
      <c r="AJ558" s="1686"/>
      <c r="AK558" s="1686"/>
      <c r="AL558" s="1687"/>
      <c r="AM558" s="1500">
        <v>2000000</v>
      </c>
      <c r="AN558" s="1501"/>
      <c r="AO558" s="1501"/>
      <c r="AP558" s="1501"/>
      <c r="AQ558" s="1501"/>
      <c r="AR558" s="1501"/>
      <c r="AS558" s="150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82" t="s">
        <v>2719</v>
      </c>
      <c r="D559" s="1682"/>
      <c r="E559" s="1682"/>
      <c r="F559" s="1682"/>
      <c r="G559" s="1682"/>
      <c r="H559" s="1682"/>
      <c r="I559" s="1682"/>
      <c r="J559" s="1682"/>
      <c r="K559" s="1682"/>
      <c r="L559" s="1682"/>
      <c r="M559" s="1493" t="s">
        <v>2424</v>
      </c>
      <c r="N559" s="1493"/>
      <c r="O559" s="1493"/>
      <c r="P559" s="1493"/>
      <c r="Q559" s="1487"/>
      <c r="R559" s="1488"/>
      <c r="S559" s="1489"/>
      <c r="T559" s="1487"/>
      <c r="U559" s="1488"/>
      <c r="V559" s="1489"/>
      <c r="W559" s="1490"/>
      <c r="X559" s="1491"/>
      <c r="Y559" s="1492"/>
      <c r="Z559" s="1495" t="s">
        <v>599</v>
      </c>
      <c r="AA559" s="1495"/>
      <c r="AB559" s="1495"/>
      <c r="AC559" s="1495"/>
      <c r="AD559" s="1495"/>
      <c r="AE559" s="1482"/>
      <c r="AF559" s="1483"/>
      <c r="AG559" s="1483"/>
      <c r="AH559" s="1484"/>
      <c r="AI559" s="1685"/>
      <c r="AJ559" s="1686"/>
      <c r="AK559" s="1686"/>
      <c r="AL559" s="1687"/>
      <c r="AM559" s="1500">
        <v>9008001</v>
      </c>
      <c r="AN559" s="1501"/>
      <c r="AO559" s="1501"/>
      <c r="AP559" s="1501"/>
      <c r="AQ559" s="1501"/>
      <c r="AR559" s="1501"/>
      <c r="AS559" s="1502"/>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82" t="s">
        <v>2774</v>
      </c>
      <c r="D560" s="1682"/>
      <c r="E560" s="1682"/>
      <c r="F560" s="1682"/>
      <c r="G560" s="1682"/>
      <c r="H560" s="1682"/>
      <c r="I560" s="1682"/>
      <c r="J560" s="1682"/>
      <c r="K560" s="1682"/>
      <c r="L560" s="1682"/>
      <c r="M560" s="1493" t="s">
        <v>2441</v>
      </c>
      <c r="N560" s="1493"/>
      <c r="O560" s="1493"/>
      <c r="P560" s="1493"/>
      <c r="Q560" s="1487">
        <v>33</v>
      </c>
      <c r="R560" s="1488"/>
      <c r="S560" s="1489"/>
      <c r="T560" s="1487"/>
      <c r="U560" s="1488"/>
      <c r="V560" s="1489"/>
      <c r="W560" s="1490">
        <v>4.5999999999999999E-2</v>
      </c>
      <c r="X560" s="1491"/>
      <c r="Y560" s="1492"/>
      <c r="Z560" s="1495" t="s">
        <v>2737</v>
      </c>
      <c r="AA560" s="1495"/>
      <c r="AB560" s="1495"/>
      <c r="AC560" s="1495"/>
      <c r="AD560" s="1495"/>
      <c r="AE560" s="1482"/>
      <c r="AF560" s="1483"/>
      <c r="AG560" s="1483"/>
      <c r="AH560" s="1484"/>
      <c r="AI560" s="1685"/>
      <c r="AJ560" s="1686"/>
      <c r="AK560" s="1686"/>
      <c r="AL560" s="1687"/>
      <c r="AM560" s="1500">
        <v>8147449</v>
      </c>
      <c r="AN560" s="1501"/>
      <c r="AO560" s="1501"/>
      <c r="AP560" s="1501"/>
      <c r="AQ560" s="1501"/>
      <c r="AR560" s="1501"/>
      <c r="AS560" s="150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82"/>
      <c r="D561" s="1682"/>
      <c r="E561" s="1682"/>
      <c r="F561" s="1682"/>
      <c r="G561" s="1682"/>
      <c r="H561" s="1682"/>
      <c r="I561" s="1682"/>
      <c r="J561" s="1682"/>
      <c r="K561" s="1682"/>
      <c r="L561" s="1682"/>
      <c r="M561" s="1493" t="s">
        <v>1289</v>
      </c>
      <c r="N561" s="1493"/>
      <c r="O561" s="1493"/>
      <c r="P561" s="1493"/>
      <c r="Q561" s="1487"/>
      <c r="R561" s="1488"/>
      <c r="S561" s="1489"/>
      <c r="T561" s="1487"/>
      <c r="U561" s="1488"/>
      <c r="V561" s="1489"/>
      <c r="W561" s="1490"/>
      <c r="X561" s="1491"/>
      <c r="Y561" s="1492"/>
      <c r="Z561" s="1495" t="s">
        <v>1289</v>
      </c>
      <c r="AA561" s="1495"/>
      <c r="AB561" s="1495"/>
      <c r="AC561" s="1495"/>
      <c r="AD561" s="1495"/>
      <c r="AE561" s="1482"/>
      <c r="AF561" s="1483"/>
      <c r="AG561" s="1483"/>
      <c r="AH561" s="1484"/>
      <c r="AI561" s="1685"/>
      <c r="AJ561" s="1686"/>
      <c r="AK561" s="1686"/>
      <c r="AL561" s="1687"/>
      <c r="AM561" s="1500"/>
      <c r="AN561" s="1501"/>
      <c r="AO561" s="1501"/>
      <c r="AP561" s="1501"/>
      <c r="AQ561" s="1501"/>
      <c r="AR561" s="1501"/>
      <c r="AS561" s="150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82"/>
      <c r="D562" s="1682"/>
      <c r="E562" s="1682"/>
      <c r="F562" s="1682"/>
      <c r="G562" s="1682"/>
      <c r="H562" s="1682"/>
      <c r="I562" s="1682"/>
      <c r="J562" s="1682"/>
      <c r="K562" s="1682"/>
      <c r="L562" s="1682"/>
      <c r="M562" s="1493" t="s">
        <v>1289</v>
      </c>
      <c r="N562" s="1493"/>
      <c r="O562" s="1493"/>
      <c r="P562" s="1493"/>
      <c r="Q562" s="1487"/>
      <c r="R562" s="1488"/>
      <c r="S562" s="1489"/>
      <c r="T562" s="1487"/>
      <c r="U562" s="1488"/>
      <c r="V562" s="1489"/>
      <c r="W562" s="1490"/>
      <c r="X562" s="1491"/>
      <c r="Y562" s="1492"/>
      <c r="Z562" s="1495" t="s">
        <v>1289</v>
      </c>
      <c r="AA562" s="1495"/>
      <c r="AB562" s="1495"/>
      <c r="AC562" s="1495"/>
      <c r="AD562" s="1495"/>
      <c r="AE562" s="1482"/>
      <c r="AF562" s="1483"/>
      <c r="AG562" s="1483"/>
      <c r="AH562" s="1484"/>
      <c r="AI562" s="1685"/>
      <c r="AJ562" s="1686"/>
      <c r="AK562" s="1686"/>
      <c r="AL562" s="1687"/>
      <c r="AM562" s="1500"/>
      <c r="AN562" s="1501"/>
      <c r="AO562" s="1501"/>
      <c r="AP562" s="1501"/>
      <c r="AQ562" s="1501"/>
      <c r="AR562" s="1501"/>
      <c r="AS562" s="150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82"/>
      <c r="D563" s="1682"/>
      <c r="E563" s="1682"/>
      <c r="F563" s="1682"/>
      <c r="G563" s="1682"/>
      <c r="H563" s="1682"/>
      <c r="I563" s="1682"/>
      <c r="J563" s="1682"/>
      <c r="K563" s="1682"/>
      <c r="L563" s="1682"/>
      <c r="M563" s="1493" t="s">
        <v>1289</v>
      </c>
      <c r="N563" s="1493"/>
      <c r="O563" s="1493"/>
      <c r="P563" s="1493"/>
      <c r="Q563" s="1487"/>
      <c r="R563" s="1488"/>
      <c r="S563" s="1489"/>
      <c r="T563" s="1487"/>
      <c r="U563" s="1488"/>
      <c r="V563" s="1489"/>
      <c r="W563" s="1490"/>
      <c r="X563" s="1491"/>
      <c r="Y563" s="1492"/>
      <c r="Z563" s="1495" t="s">
        <v>1289</v>
      </c>
      <c r="AA563" s="1495"/>
      <c r="AB563" s="1495"/>
      <c r="AC563" s="1495"/>
      <c r="AD563" s="1495"/>
      <c r="AE563" s="1482"/>
      <c r="AF563" s="1483"/>
      <c r="AG563" s="1483"/>
      <c r="AH563" s="1484"/>
      <c r="AI563" s="1685"/>
      <c r="AJ563" s="1686"/>
      <c r="AK563" s="1686"/>
      <c r="AL563" s="1687"/>
      <c r="AM563" s="1500"/>
      <c r="AN563" s="1501"/>
      <c r="AO563" s="1501"/>
      <c r="AP563" s="1501"/>
      <c r="AQ563" s="1501"/>
      <c r="AR563" s="1501"/>
      <c r="AS563" s="150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2"/>
      <c r="D564" s="1682"/>
      <c r="E564" s="1682"/>
      <c r="F564" s="1682"/>
      <c r="G564" s="1682"/>
      <c r="H564" s="1682"/>
      <c r="I564" s="1682"/>
      <c r="J564" s="1682"/>
      <c r="K564" s="1682"/>
      <c r="L564" s="1682"/>
      <c r="M564" s="1493" t="s">
        <v>1289</v>
      </c>
      <c r="N564" s="1493"/>
      <c r="O564" s="1493"/>
      <c r="P564" s="1493"/>
      <c r="Q564" s="1487"/>
      <c r="R564" s="1488"/>
      <c r="S564" s="1489"/>
      <c r="T564" s="1487"/>
      <c r="U564" s="1488"/>
      <c r="V564" s="1489"/>
      <c r="W564" s="1490"/>
      <c r="X564" s="1491"/>
      <c r="Y564" s="1492"/>
      <c r="Z564" s="1495" t="s">
        <v>1289</v>
      </c>
      <c r="AA564" s="1495"/>
      <c r="AB564" s="1495"/>
      <c r="AC564" s="1495"/>
      <c r="AD564" s="1495"/>
      <c r="AE564" s="1482"/>
      <c r="AF564" s="1483"/>
      <c r="AG564" s="1483"/>
      <c r="AH564" s="1484"/>
      <c r="AI564" s="1685"/>
      <c r="AJ564" s="1686"/>
      <c r="AK564" s="1686"/>
      <c r="AL564" s="1687"/>
      <c r="AM564" s="1500"/>
      <c r="AN564" s="1501"/>
      <c r="AO564" s="1501"/>
      <c r="AP564" s="1501"/>
      <c r="AQ564" s="1501"/>
      <c r="AR564" s="1501"/>
      <c r="AS564" s="150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2"/>
      <c r="D565" s="1682"/>
      <c r="E565" s="1682"/>
      <c r="F565" s="1682"/>
      <c r="G565" s="1682"/>
      <c r="H565" s="1682"/>
      <c r="I565" s="1682"/>
      <c r="J565" s="1682"/>
      <c r="K565" s="1682"/>
      <c r="L565" s="1682"/>
      <c r="M565" s="1493" t="s">
        <v>1289</v>
      </c>
      <c r="N565" s="1493"/>
      <c r="O565" s="1493"/>
      <c r="P565" s="1493"/>
      <c r="Q565" s="1487"/>
      <c r="R565" s="1488"/>
      <c r="S565" s="1489"/>
      <c r="T565" s="1487"/>
      <c r="U565" s="1488"/>
      <c r="V565" s="1489"/>
      <c r="W565" s="1490"/>
      <c r="X565" s="1491"/>
      <c r="Y565" s="1492"/>
      <c r="Z565" s="1495" t="s">
        <v>1289</v>
      </c>
      <c r="AA565" s="1495"/>
      <c r="AB565" s="1495"/>
      <c r="AC565" s="1495"/>
      <c r="AD565" s="1495"/>
      <c r="AE565" s="1482"/>
      <c r="AF565" s="1483"/>
      <c r="AG565" s="1483"/>
      <c r="AH565" s="1484"/>
      <c r="AI565" s="1685"/>
      <c r="AJ565" s="1686"/>
      <c r="AK565" s="1686"/>
      <c r="AL565" s="1687"/>
      <c r="AM565" s="1500"/>
      <c r="AN565" s="1501"/>
      <c r="AO565" s="1501"/>
      <c r="AP565" s="1501"/>
      <c r="AQ565" s="1501"/>
      <c r="AR565" s="1501"/>
      <c r="AS565" s="150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99"/>
      <c r="V566" s="1450"/>
      <c r="W566" s="1450"/>
      <c r="X566" s="1450"/>
      <c r="Y566" s="1450"/>
      <c r="Z566" s="1450"/>
      <c r="AA566" s="1450"/>
      <c r="AB566" s="1450"/>
      <c r="AC566" s="1450"/>
      <c r="AD566" s="1450"/>
      <c r="AE566" s="1450"/>
      <c r="AF566" s="1450"/>
      <c r="AG566" s="1450"/>
      <c r="AH566" s="1450"/>
      <c r="AI566" s="1450"/>
      <c r="AJ566" s="1450"/>
      <c r="AK566" s="1450"/>
      <c r="AL566" s="1451"/>
      <c r="AM566" s="1552">
        <f>SUM(AM554:AS565)</f>
        <v>158715116</v>
      </c>
      <c r="AN566" s="1553"/>
      <c r="AO566" s="1553"/>
      <c r="AP566" s="1553"/>
      <c r="AQ566" s="1553"/>
      <c r="AR566" s="1553"/>
      <c r="AS566" s="1554"/>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81" t="str">
        <f>C554</f>
        <v>Banner Bank</v>
      </c>
      <c r="H568" s="1481"/>
      <c r="I568" s="1481"/>
      <c r="J568" s="1481"/>
      <c r="K568" s="1481"/>
      <c r="L568" s="1481"/>
      <c r="M568" s="1481"/>
      <c r="N568" s="1481"/>
      <c r="O568" s="1481"/>
      <c r="P568" s="1481"/>
      <c r="Q568" s="1481"/>
      <c r="R568" s="1481"/>
      <c r="S568" s="8"/>
      <c r="T568" s="55" t="s">
        <v>113</v>
      </c>
      <c r="U568" t="s">
        <v>471</v>
      </c>
      <c r="Z568" s="1481" t="str">
        <f>C555</f>
        <v>Banner Bank</v>
      </c>
      <c r="AA568" s="1481"/>
      <c r="AB568" s="1481"/>
      <c r="AC568" s="1481"/>
      <c r="AD568" s="1481"/>
      <c r="AE568" s="1481"/>
      <c r="AF568" s="1481"/>
      <c r="AG568" s="1481"/>
      <c r="AH568" s="1481"/>
      <c r="AI568" s="1481"/>
      <c r="AJ568" s="1481"/>
      <c r="AK568" s="148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77" t="s">
        <v>2796</v>
      </c>
      <c r="H569" s="1486"/>
      <c r="I569" s="1486"/>
      <c r="J569" s="1486"/>
      <c r="K569" s="1486"/>
      <c r="L569" s="1486"/>
      <c r="M569" s="1486"/>
      <c r="N569" s="1486"/>
      <c r="O569" s="1486"/>
      <c r="P569" s="1486"/>
      <c r="Q569" s="1486"/>
      <c r="R569" s="1486"/>
      <c r="S569" s="8"/>
      <c r="T569" s="22"/>
      <c r="U569" t="s">
        <v>85</v>
      </c>
      <c r="Z569" s="1477" t="s">
        <v>2796</v>
      </c>
      <c r="AA569" s="1486"/>
      <c r="AB569" s="1486"/>
      <c r="AC569" s="1486"/>
      <c r="AD569" s="1486"/>
      <c r="AE569" s="1486"/>
      <c r="AF569" s="1486"/>
      <c r="AG569" s="1486"/>
      <c r="AH569" s="1486"/>
      <c r="AI569" s="1486"/>
      <c r="AJ569" s="1486"/>
      <c r="AK569" s="14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77" t="s">
        <v>738</v>
      </c>
      <c r="H570" s="1486"/>
      <c r="I570" s="1486"/>
      <c r="J570" s="1486"/>
      <c r="K570" s="1486"/>
      <c r="L570" s="1486"/>
      <c r="M570" s="1486"/>
      <c r="N570" s="1486"/>
      <c r="O570" s="1486"/>
      <c r="P570" s="1486"/>
      <c r="Q570" s="1486"/>
      <c r="R570" s="1486"/>
      <c r="T570" s="22"/>
      <c r="U570" t="s">
        <v>588</v>
      </c>
      <c r="Z570" s="1406" t="str">
        <f>G570</f>
        <v>San Diego</v>
      </c>
      <c r="AA570" s="1485"/>
      <c r="AB570" s="1485"/>
      <c r="AC570" s="1485"/>
      <c r="AD570" s="1485"/>
      <c r="AE570" s="1485"/>
      <c r="AF570" s="1485"/>
      <c r="AG570" s="1485"/>
      <c r="AH570" s="1485"/>
      <c r="AI570" s="1485"/>
      <c r="AJ570" s="1485"/>
      <c r="AK570" s="148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7" t="s">
        <v>2797</v>
      </c>
      <c r="H571" s="1486"/>
      <c r="I571" s="1486"/>
      <c r="J571" s="1486"/>
      <c r="K571" s="1486"/>
      <c r="L571" s="1486"/>
      <c r="M571" s="1486"/>
      <c r="N571" s="1486"/>
      <c r="O571" s="1486"/>
      <c r="P571" s="1486"/>
      <c r="Q571" s="1486"/>
      <c r="R571" s="1486"/>
      <c r="S571" s="8"/>
      <c r="T571" s="22"/>
      <c r="U571" t="s">
        <v>17</v>
      </c>
      <c r="Z571" s="1406" t="s">
        <v>2797</v>
      </c>
      <c r="AA571" s="1485"/>
      <c r="AB571" s="1485"/>
      <c r="AC571" s="1485"/>
      <c r="AD571" s="1485"/>
      <c r="AE571" s="1485"/>
      <c r="AF571" s="1485"/>
      <c r="AG571" s="1485"/>
      <c r="AH571" s="1485"/>
      <c r="AI571" s="1485"/>
      <c r="AJ571" s="1485"/>
      <c r="AK571" s="148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47" t="s">
        <v>2798</v>
      </c>
      <c r="H572" s="1480"/>
      <c r="I572" s="1480"/>
      <c r="J572" s="1480"/>
      <c r="K572" s="1480"/>
      <c r="L572" s="1480"/>
      <c r="O572" s="33" t="s">
        <v>207</v>
      </c>
      <c r="P572" s="1406"/>
      <c r="Q572" s="1515"/>
      <c r="R572" s="1515"/>
      <c r="S572" s="10"/>
      <c r="T572" s="22"/>
      <c r="U572" t="s">
        <v>317</v>
      </c>
      <c r="Z572" s="1547" t="s">
        <v>2798</v>
      </c>
      <c r="AA572" s="1480"/>
      <c r="AB572" s="1480"/>
      <c r="AC572" s="1480"/>
      <c r="AD572" s="1480"/>
      <c r="AE572" s="1480"/>
      <c r="AH572" s="33" t="s">
        <v>207</v>
      </c>
      <c r="AI572" s="1406"/>
      <c r="AJ572" s="1515"/>
      <c r="AK572" s="151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7" t="s">
        <v>2804</v>
      </c>
      <c r="I573" s="1486"/>
      <c r="J573" s="1486"/>
      <c r="K573" s="1486"/>
      <c r="L573" s="1486"/>
      <c r="M573" s="1486"/>
      <c r="N573" s="1486"/>
      <c r="O573" s="1486"/>
      <c r="P573" s="1486"/>
      <c r="Q573" s="1486"/>
      <c r="R573" s="1486"/>
      <c r="S573" s="8"/>
      <c r="T573" s="22"/>
      <c r="U573" t="s">
        <v>18</v>
      </c>
      <c r="AA573" s="1477" t="s">
        <v>2795</v>
      </c>
      <c r="AB573" s="1486"/>
      <c r="AC573" s="1486"/>
      <c r="AD573" s="1486"/>
      <c r="AE573" s="1486"/>
      <c r="AF573" s="1486"/>
      <c r="AG573" s="1486"/>
      <c r="AH573" s="1486"/>
      <c r="AI573" s="1486"/>
      <c r="AJ573" s="1486"/>
      <c r="AK573" s="14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87">
        <v>8.3500000000000005E-2</v>
      </c>
      <c r="N574" s="1746"/>
      <c r="O574" s="1746"/>
      <c r="P574" s="1746"/>
      <c r="Q574" s="1746"/>
      <c r="R574" s="1746"/>
      <c r="S574" s="8"/>
      <c r="T574" s="22"/>
      <c r="U574" s="348" t="s">
        <v>1290</v>
      </c>
      <c r="AA574" s="8"/>
      <c r="AB574" s="8"/>
      <c r="AC574" s="8"/>
      <c r="AD574" s="8"/>
      <c r="AE574" s="8"/>
      <c r="AF574" s="1787">
        <v>8.3500000000000005E-2</v>
      </c>
      <c r="AG574" s="1746"/>
      <c r="AH574" s="1746"/>
      <c r="AI574" s="1746"/>
      <c r="AJ574" s="1746"/>
      <c r="AK574" s="174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837" t="s">
        <v>553</v>
      </c>
      <c r="O575" s="1479"/>
      <c r="T575" s="22"/>
      <c r="U575" t="s">
        <v>20</v>
      </c>
      <c r="AG575" s="1479" t="s">
        <v>553</v>
      </c>
      <c r="AH575" s="14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81" t="str">
        <f>C556</f>
        <v>Boston Financial</v>
      </c>
      <c r="H577" s="1481"/>
      <c r="I577" s="1481"/>
      <c r="J577" s="1481"/>
      <c r="K577" s="1481"/>
      <c r="L577" s="1481"/>
      <c r="M577" s="1481"/>
      <c r="N577" s="1481"/>
      <c r="O577" s="1481"/>
      <c r="P577" s="1481"/>
      <c r="Q577" s="1481"/>
      <c r="R577" s="1481"/>
      <c r="T577" s="55" t="s">
        <v>589</v>
      </c>
      <c r="U577" t="s">
        <v>471</v>
      </c>
      <c r="Z577" s="1481" t="str">
        <f>C557</f>
        <v>City of San José</v>
      </c>
      <c r="AA577" s="1481"/>
      <c r="AB577" s="1481"/>
      <c r="AC577" s="1481"/>
      <c r="AD577" s="1481"/>
      <c r="AE577" s="1481"/>
      <c r="AF577" s="1481"/>
      <c r="AG577" s="1481"/>
      <c r="AH577" s="1481"/>
      <c r="AI577" s="1481"/>
      <c r="AJ577" s="1481"/>
      <c r="AK577" s="148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7" t="s">
        <v>2765</v>
      </c>
      <c r="H578" s="1486"/>
      <c r="I578" s="1486"/>
      <c r="J578" s="1486"/>
      <c r="K578" s="1486"/>
      <c r="L578" s="1486"/>
      <c r="M578" s="1486"/>
      <c r="N578" s="1486"/>
      <c r="O578" s="1486"/>
      <c r="P578" s="1486"/>
      <c r="Q578" s="1486"/>
      <c r="R578" s="1486"/>
      <c r="T578" s="22"/>
      <c r="U578" t="s">
        <v>85</v>
      </c>
      <c r="Z578" s="1477" t="s">
        <v>2663</v>
      </c>
      <c r="AA578" s="1486"/>
      <c r="AB578" s="1486"/>
      <c r="AC578" s="1486"/>
      <c r="AD578" s="1486"/>
      <c r="AE578" s="1486"/>
      <c r="AF578" s="1486"/>
      <c r="AG578" s="1486"/>
      <c r="AH578" s="1486"/>
      <c r="AI578" s="1486"/>
      <c r="AJ578" s="1486"/>
      <c r="AK578" s="14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6" t="s">
        <v>2766</v>
      </c>
      <c r="H579" s="1485"/>
      <c r="I579" s="1485"/>
      <c r="J579" s="1485"/>
      <c r="K579" s="1485"/>
      <c r="L579" s="1485"/>
      <c r="M579" s="1485"/>
      <c r="N579" s="1485"/>
      <c r="O579" s="1485"/>
      <c r="P579" s="1485"/>
      <c r="Q579" s="1485"/>
      <c r="R579" s="1485"/>
      <c r="T579" s="22"/>
      <c r="U579" t="s">
        <v>588</v>
      </c>
      <c r="Z579" s="1406" t="s">
        <v>2640</v>
      </c>
      <c r="AA579" s="1485"/>
      <c r="AB579" s="1485"/>
      <c r="AC579" s="1485"/>
      <c r="AD579" s="1485"/>
      <c r="AE579" s="1485"/>
      <c r="AF579" s="1485"/>
      <c r="AG579" s="1485"/>
      <c r="AH579" s="1485"/>
      <c r="AI579" s="1485"/>
      <c r="AJ579" s="1485"/>
      <c r="AK579" s="148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6" t="s">
        <v>2747</v>
      </c>
      <c r="H580" s="1485"/>
      <c r="I580" s="1485"/>
      <c r="J580" s="1485"/>
      <c r="K580" s="1485"/>
      <c r="L580" s="1485"/>
      <c r="M580" s="1485"/>
      <c r="N580" s="1485"/>
      <c r="O580" s="1485"/>
      <c r="P580" s="1485"/>
      <c r="Q580" s="1485"/>
      <c r="R580" s="1485"/>
      <c r="T580" s="22"/>
      <c r="U580" t="s">
        <v>17</v>
      </c>
      <c r="Z580" s="1406" t="s">
        <v>2741</v>
      </c>
      <c r="AA580" s="1485"/>
      <c r="AB580" s="1485"/>
      <c r="AC580" s="1485"/>
      <c r="AD580" s="1485"/>
      <c r="AE580" s="1485"/>
      <c r="AF580" s="1485"/>
      <c r="AG580" s="1485"/>
      <c r="AH580" s="1485"/>
      <c r="AI580" s="1485"/>
      <c r="AJ580" s="1485"/>
      <c r="AK580" s="148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47" t="s">
        <v>2763</v>
      </c>
      <c r="H581" s="1480"/>
      <c r="I581" s="1480"/>
      <c r="J581" s="1480"/>
      <c r="K581" s="1480"/>
      <c r="L581" s="1480"/>
      <c r="O581" s="33" t="s">
        <v>207</v>
      </c>
      <c r="P581" s="1515" t="s">
        <v>599</v>
      </c>
      <c r="Q581" s="1515"/>
      <c r="R581" s="1515"/>
      <c r="T581" s="22"/>
      <c r="U581" t="s">
        <v>317</v>
      </c>
      <c r="Z581" s="1547" t="s">
        <v>2742</v>
      </c>
      <c r="AA581" s="1480"/>
      <c r="AB581" s="1480"/>
      <c r="AC581" s="1480"/>
      <c r="AD581" s="1480"/>
      <c r="AE581" s="1480"/>
      <c r="AH581" s="33" t="s">
        <v>207</v>
      </c>
      <c r="AI581" s="1515" t="s">
        <v>599</v>
      </c>
      <c r="AJ581" s="1515"/>
      <c r="AK581" s="15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7" t="s">
        <v>2767</v>
      </c>
      <c r="I582" s="1486"/>
      <c r="J582" s="1486"/>
      <c r="K582" s="1486"/>
      <c r="L582" s="1486"/>
      <c r="M582" s="1486"/>
      <c r="N582" s="1486"/>
      <c r="O582" s="1486"/>
      <c r="P582" s="1486"/>
      <c r="Q582" s="1486"/>
      <c r="R582" s="1486"/>
      <c r="T582" s="22"/>
      <c r="U582" t="s">
        <v>18</v>
      </c>
      <c r="AA582" s="1477" t="s">
        <v>2799</v>
      </c>
      <c r="AB582" s="1486"/>
      <c r="AC582" s="1486"/>
      <c r="AD582" s="1486"/>
      <c r="AE582" s="1486"/>
      <c r="AF582" s="1486"/>
      <c r="AG582" s="1486"/>
      <c r="AH582" s="1486"/>
      <c r="AI582" s="1486"/>
      <c r="AJ582" s="1486"/>
      <c r="AK582" s="14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79" t="s">
        <v>553</v>
      </c>
      <c r="O583" s="1479"/>
      <c r="T583" s="22"/>
      <c r="U583" t="s">
        <v>20</v>
      </c>
      <c r="AG583" s="1479" t="s">
        <v>553</v>
      </c>
      <c r="AH583" s="14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81" t="str">
        <f>C558</f>
        <v>County of Santa Clara</v>
      </c>
      <c r="H585" s="1481"/>
      <c r="I585" s="1481"/>
      <c r="J585" s="1481"/>
      <c r="K585" s="1481"/>
      <c r="L585" s="1481"/>
      <c r="M585" s="1481"/>
      <c r="N585" s="1481"/>
      <c r="O585" s="1481"/>
      <c r="P585" s="1481"/>
      <c r="Q585" s="1481"/>
      <c r="R585" s="1481"/>
      <c r="T585" s="55" t="s">
        <v>592</v>
      </c>
      <c r="U585" t="s">
        <v>471</v>
      </c>
      <c r="Z585" s="1481" t="str">
        <f>C559</f>
        <v>Costs Deferred to Conversion</v>
      </c>
      <c r="AA585" s="1481"/>
      <c r="AB585" s="1481"/>
      <c r="AC585" s="1481"/>
      <c r="AD585" s="1481"/>
      <c r="AE585" s="1481"/>
      <c r="AF585" s="1481"/>
      <c r="AG585" s="1481"/>
      <c r="AH585" s="1481"/>
      <c r="AI585" s="1481"/>
      <c r="AJ585" s="1481"/>
      <c r="AK585" s="148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7" t="s">
        <v>2739</v>
      </c>
      <c r="H586" s="1486"/>
      <c r="I586" s="1486"/>
      <c r="J586" s="1486"/>
      <c r="K586" s="1486"/>
      <c r="L586" s="1486"/>
      <c r="M586" s="1486"/>
      <c r="N586" s="1486"/>
      <c r="O586" s="1486"/>
      <c r="P586" s="1486"/>
      <c r="Q586" s="1486"/>
      <c r="R586" s="1486"/>
      <c r="T586" s="22"/>
      <c r="U586" t="s">
        <v>85</v>
      </c>
      <c r="Z586" s="1477" t="s">
        <v>2645</v>
      </c>
      <c r="AA586" s="1486"/>
      <c r="AB586" s="1486"/>
      <c r="AC586" s="1486"/>
      <c r="AD586" s="1486"/>
      <c r="AE586" s="1486"/>
      <c r="AF586" s="1486"/>
      <c r="AG586" s="1486"/>
      <c r="AH586" s="1486"/>
      <c r="AI586" s="1486"/>
      <c r="AJ586" s="1486"/>
      <c r="AK586" s="14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77" t="s">
        <v>2640</v>
      </c>
      <c r="H587" s="1486"/>
      <c r="I587" s="1486"/>
      <c r="J587" s="1486"/>
      <c r="K587" s="1486"/>
      <c r="L587" s="1486"/>
      <c r="M587" s="1486"/>
      <c r="N587" s="1486"/>
      <c r="O587" s="1486"/>
      <c r="P587" s="1486"/>
      <c r="Q587" s="1486"/>
      <c r="R587" s="1486"/>
      <c r="T587" s="22"/>
      <c r="U587" t="s">
        <v>588</v>
      </c>
      <c r="Z587" s="1406" t="s">
        <v>738</v>
      </c>
      <c r="AA587" s="1485"/>
      <c r="AB587" s="1485"/>
      <c r="AC587" s="1485"/>
      <c r="AD587" s="1485"/>
      <c r="AE587" s="1485"/>
      <c r="AF587" s="1485"/>
      <c r="AG587" s="1485"/>
      <c r="AH587" s="1485"/>
      <c r="AI587" s="1485"/>
      <c r="AJ587" s="1485"/>
      <c r="AK587" s="148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7" t="s">
        <v>2738</v>
      </c>
      <c r="H588" s="1486"/>
      <c r="I588" s="1486"/>
      <c r="J588" s="1486"/>
      <c r="K588" s="1486"/>
      <c r="L588" s="1486"/>
      <c r="M588" s="1486"/>
      <c r="N588" s="1486"/>
      <c r="O588" s="1486"/>
      <c r="P588" s="1486"/>
      <c r="Q588" s="1486"/>
      <c r="R588" s="1486"/>
      <c r="T588" s="22"/>
      <c r="U588" t="s">
        <v>17</v>
      </c>
      <c r="Z588" s="1406" t="s">
        <v>2745</v>
      </c>
      <c r="AA588" s="1485"/>
      <c r="AB588" s="1485"/>
      <c r="AC588" s="1485"/>
      <c r="AD588" s="1485"/>
      <c r="AE588" s="1485"/>
      <c r="AF588" s="1485"/>
      <c r="AG588" s="1485"/>
      <c r="AH588" s="1485"/>
      <c r="AI588" s="1485"/>
      <c r="AJ588" s="1485"/>
      <c r="AK588" s="1485"/>
    </row>
    <row r="589" spans="1:110" ht="12.95" customHeight="1">
      <c r="A589" s="22"/>
      <c r="B589" t="s">
        <v>317</v>
      </c>
      <c r="G589" s="1547" t="s">
        <v>2740</v>
      </c>
      <c r="H589" s="1480"/>
      <c r="I589" s="1480"/>
      <c r="J589" s="1480"/>
      <c r="K589" s="1480"/>
      <c r="L589" s="1480"/>
      <c r="O589" s="33" t="s">
        <v>207</v>
      </c>
      <c r="P589" s="1515" t="s">
        <v>599</v>
      </c>
      <c r="Q589" s="1515"/>
      <c r="R589" s="1515"/>
      <c r="T589" s="22"/>
      <c r="U589" t="s">
        <v>317</v>
      </c>
      <c r="Z589" s="1547" t="s">
        <v>2657</v>
      </c>
      <c r="AA589" s="1480"/>
      <c r="AB589" s="1480"/>
      <c r="AC589" s="1480"/>
      <c r="AD589" s="1480"/>
      <c r="AE589" s="1480"/>
      <c r="AH589" s="33" t="s">
        <v>207</v>
      </c>
      <c r="AI589" s="1515" t="s">
        <v>599</v>
      </c>
      <c r="AJ589" s="1515"/>
      <c r="AK589" s="15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7" t="s">
        <v>2799</v>
      </c>
      <c r="I590" s="1486"/>
      <c r="J590" s="1486"/>
      <c r="K590" s="1486"/>
      <c r="L590" s="1486"/>
      <c r="M590" s="1486"/>
      <c r="N590" s="1486"/>
      <c r="O590" s="1486"/>
      <c r="P590" s="1486"/>
      <c r="Q590" s="1486"/>
      <c r="R590" s="1486"/>
      <c r="T590" s="22"/>
      <c r="U590" t="s">
        <v>18</v>
      </c>
      <c r="AA590" s="1477" t="s">
        <v>466</v>
      </c>
      <c r="AB590" s="1486"/>
      <c r="AC590" s="1486"/>
      <c r="AD590" s="1486"/>
      <c r="AE590" s="1486"/>
      <c r="AF590" s="1486"/>
      <c r="AG590" s="1486"/>
      <c r="AH590" s="1486"/>
      <c r="AI590" s="1486"/>
      <c r="AJ590" s="1486"/>
      <c r="AK590" s="14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79" t="s">
        <v>553</v>
      </c>
      <c r="O591" s="1479"/>
      <c r="T591" s="22"/>
      <c r="U591" t="s">
        <v>20</v>
      </c>
      <c r="AG591" s="1479" t="s">
        <v>553</v>
      </c>
      <c r="AH591" s="14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81" t="str">
        <f>C560</f>
        <v>Lument Securities, LLC</v>
      </c>
      <c r="H593" s="1481"/>
      <c r="I593" s="1481"/>
      <c r="J593" s="1481"/>
      <c r="K593" s="1481"/>
      <c r="L593" s="1481"/>
      <c r="M593" s="1481"/>
      <c r="N593" s="1481"/>
      <c r="O593" s="1481"/>
      <c r="P593" s="1481"/>
      <c r="Q593" s="1481"/>
      <c r="R593" s="1481"/>
      <c r="T593" s="55" t="s">
        <v>464</v>
      </c>
      <c r="U593" t="s">
        <v>471</v>
      </c>
      <c r="Z593" s="1481">
        <f>C561</f>
        <v>0</v>
      </c>
      <c r="AA593" s="1481"/>
      <c r="AB593" s="1481"/>
      <c r="AC593" s="1481"/>
      <c r="AD593" s="1481"/>
      <c r="AE593" s="1481"/>
      <c r="AF593" s="1481"/>
      <c r="AG593" s="1481"/>
      <c r="AH593" s="1481"/>
      <c r="AI593" s="1481"/>
      <c r="AJ593" s="1481"/>
      <c r="AK593" s="148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6" t="s">
        <v>2784</v>
      </c>
      <c r="H594" s="1486"/>
      <c r="I594" s="1486"/>
      <c r="J594" s="1486"/>
      <c r="K594" s="1486"/>
      <c r="L594" s="1486"/>
      <c r="M594" s="1486"/>
      <c r="N594" s="1486"/>
      <c r="O594" s="1486"/>
      <c r="P594" s="1486"/>
      <c r="Q594" s="1486"/>
      <c r="R594" s="1486"/>
      <c r="S594"/>
      <c r="T594" s="22"/>
      <c r="U594" t="s">
        <v>85</v>
      </c>
      <c r="V594"/>
      <c r="W594"/>
      <c r="X594"/>
      <c r="Y594"/>
      <c r="Z594" s="1486"/>
      <c r="AA594" s="1486"/>
      <c r="AB594" s="1486"/>
      <c r="AC594" s="1486"/>
      <c r="AD594" s="1486"/>
      <c r="AE594" s="1486"/>
      <c r="AF594" s="1486"/>
      <c r="AG594" s="1486"/>
      <c r="AH594" s="1486"/>
      <c r="AI594" s="1486"/>
      <c r="AJ594" s="1486"/>
      <c r="AK594" s="14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86" t="s">
        <v>2785</v>
      </c>
      <c r="H595" s="1486"/>
      <c r="I595" s="1486"/>
      <c r="J595" s="1486"/>
      <c r="K595" s="1486"/>
      <c r="L595" s="1486"/>
      <c r="M595" s="1486"/>
      <c r="N595" s="1486"/>
      <c r="O595" s="1486"/>
      <c r="P595" s="1486"/>
      <c r="Q595" s="1486"/>
      <c r="R595" s="1486"/>
      <c r="S595"/>
      <c r="T595" s="22"/>
      <c r="U595" t="s">
        <v>588</v>
      </c>
      <c r="V595"/>
      <c r="W595"/>
      <c r="X595"/>
      <c r="Y595"/>
      <c r="Z595" s="1485"/>
      <c r="AA595" s="1485"/>
      <c r="AB595" s="1485"/>
      <c r="AC595" s="1485"/>
      <c r="AD595" s="1485"/>
      <c r="AE595" s="1485"/>
      <c r="AF595" s="1485"/>
      <c r="AG595" s="1485"/>
      <c r="AH595" s="1485"/>
      <c r="AI595" s="1485"/>
      <c r="AJ595" s="1485"/>
      <c r="AK595" s="148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6" t="s">
        <v>2780</v>
      </c>
      <c r="H596" s="1486"/>
      <c r="I596" s="1486"/>
      <c r="J596" s="1486"/>
      <c r="K596" s="1486"/>
      <c r="L596" s="1486"/>
      <c r="M596" s="1486"/>
      <c r="N596" s="1486"/>
      <c r="O596" s="1486"/>
      <c r="P596" s="1486"/>
      <c r="Q596" s="1486"/>
      <c r="R596" s="1486"/>
      <c r="S596"/>
      <c r="T596" s="22"/>
      <c r="U596" t="s">
        <v>17</v>
      </c>
      <c r="V596"/>
      <c r="W596"/>
      <c r="X596"/>
      <c r="Y596"/>
      <c r="Z596" s="1485"/>
      <c r="AA596" s="1485"/>
      <c r="AB596" s="1485"/>
      <c r="AC596" s="1485"/>
      <c r="AD596" s="1485"/>
      <c r="AE596" s="1485"/>
      <c r="AF596" s="1485"/>
      <c r="AG596" s="1485"/>
      <c r="AH596" s="1485"/>
      <c r="AI596" s="1485"/>
      <c r="AJ596" s="1485"/>
      <c r="AK596" s="1485"/>
      <c r="AL596"/>
      <c r="AM596"/>
      <c r="AN596"/>
      <c r="AO596"/>
      <c r="AP596"/>
      <c r="AQ596"/>
      <c r="AR596"/>
      <c r="AS596"/>
      <c r="AT596"/>
      <c r="AU596"/>
      <c r="AV596"/>
      <c r="AW596"/>
      <c r="AX596"/>
      <c r="AY596"/>
      <c r="BA596" s="4" t="s">
        <v>325</v>
      </c>
      <c r="BB596" s="3"/>
      <c r="BC596" s="3"/>
      <c r="BD596" s="3"/>
      <c r="BE596" s="121" t="s">
        <v>482</v>
      </c>
      <c r="BF596" s="122"/>
      <c r="BG596" s="1558"/>
      <c r="BH596" s="1560"/>
      <c r="BI596" s="121" t="s">
        <v>483</v>
      </c>
      <c r="BJ596" s="122"/>
      <c r="BK596" s="1558"/>
      <c r="BL596" s="1560"/>
      <c r="BM596" s="3"/>
      <c r="BN596" s="1431" t="s">
        <v>641</v>
      </c>
      <c r="BO596" s="1432"/>
      <c r="BP596" s="1432"/>
      <c r="BQ596" s="1432"/>
      <c r="BR596" s="1433"/>
      <c r="BS596" s="1561" t="s">
        <v>326</v>
      </c>
      <c r="BT596" s="1561"/>
      <c r="BU596" s="1561"/>
      <c r="BV596" s="1561"/>
      <c r="BW596" s="1561"/>
      <c r="BX596" s="1561" t="s">
        <v>163</v>
      </c>
      <c r="BY596" s="1561"/>
      <c r="BZ596" s="1561"/>
      <c r="CA596" s="1561"/>
      <c r="CB596" s="1561"/>
      <c r="CC596" s="1561" t="s">
        <v>164</v>
      </c>
      <c r="CD596" s="1561"/>
      <c r="CE596" s="1561"/>
      <c r="CF596" s="1561"/>
      <c r="CG596" s="1561"/>
      <c r="CH596" s="1561" t="s">
        <v>468</v>
      </c>
      <c r="CI596" s="1561"/>
      <c r="CJ596" s="1561"/>
      <c r="CK596" s="1561"/>
      <c r="CL596" s="1561"/>
      <c r="CM596" s="1561" t="s">
        <v>30</v>
      </c>
      <c r="CN596" s="1561"/>
      <c r="CO596" s="1561"/>
      <c r="CP596" s="1561"/>
      <c r="CQ596" s="1561"/>
      <c r="CR596" s="89"/>
      <c r="CS596" s="1561" t="s">
        <v>641</v>
      </c>
      <c r="CT596" s="1561"/>
      <c r="CU596" s="1561"/>
      <c r="CV596" s="1561"/>
      <c r="CW596" s="1561"/>
      <c r="CX596" s="1561" t="s">
        <v>326</v>
      </c>
      <c r="CY596" s="1561"/>
      <c r="CZ596" s="1561"/>
      <c r="DA596" s="1561"/>
      <c r="DB596" s="1561"/>
      <c r="DC596" s="1561" t="s">
        <v>163</v>
      </c>
      <c r="DD596" s="1561"/>
      <c r="DE596" s="1561"/>
      <c r="DF596" s="1561"/>
      <c r="DG596" s="1561"/>
      <c r="DH596" s="1561" t="s">
        <v>164</v>
      </c>
      <c r="DI596" s="1561"/>
      <c r="DJ596" s="1561"/>
      <c r="DK596" s="1561"/>
      <c r="DL596" s="1561"/>
      <c r="DM596" s="1561" t="s">
        <v>468</v>
      </c>
      <c r="DN596" s="1561"/>
      <c r="DO596" s="1561"/>
      <c r="DP596" s="1561"/>
      <c r="DQ596" s="1561"/>
      <c r="DR596" s="1561" t="s">
        <v>30</v>
      </c>
      <c r="DS596" s="1561"/>
      <c r="DT596" s="1561"/>
      <c r="DU596" s="1561"/>
      <c r="DV596" s="1561"/>
      <c r="DX596" s="1561" t="s">
        <v>641</v>
      </c>
      <c r="DY596" s="1561"/>
      <c r="DZ596" s="1561"/>
      <c r="EA596" s="1561"/>
      <c r="EB596" s="1561"/>
      <c r="EC596" s="1561" t="s">
        <v>326</v>
      </c>
      <c r="ED596" s="1561"/>
      <c r="EE596" s="1561"/>
      <c r="EF596" s="1561"/>
      <c r="EG596" s="1561"/>
      <c r="EH596" s="1561" t="s">
        <v>163</v>
      </c>
      <c r="EI596" s="1561"/>
      <c r="EJ596" s="1561"/>
      <c r="EK596" s="1561"/>
      <c r="EL596" s="1561"/>
      <c r="EM596" s="1561" t="s">
        <v>164</v>
      </c>
      <c r="EN596" s="1561"/>
      <c r="EO596" s="1561"/>
      <c r="EP596" s="1561"/>
      <c r="EQ596" s="1561"/>
      <c r="ER596" s="1561" t="s">
        <v>468</v>
      </c>
      <c r="ES596" s="1561"/>
      <c r="ET596" s="1561"/>
      <c r="EU596" s="1561"/>
      <c r="EV596" s="1561"/>
      <c r="EW596" s="1561" t="s">
        <v>30</v>
      </c>
      <c r="EX596" s="1561"/>
      <c r="EY596" s="1561"/>
      <c r="EZ596" s="1561"/>
      <c r="FA596" s="1561"/>
    </row>
    <row r="597" spans="1:157" s="4" customFormat="1" ht="12.95" customHeight="1">
      <c r="A597" s="22"/>
      <c r="B597" t="s">
        <v>317</v>
      </c>
      <c r="C597"/>
      <c r="D597"/>
      <c r="E597"/>
      <c r="F597"/>
      <c r="G597" s="1547" t="s">
        <v>2781</v>
      </c>
      <c r="H597" s="1480"/>
      <c r="I597" s="1480"/>
      <c r="J597" s="1480"/>
      <c r="K597" s="1480"/>
      <c r="L597" s="1480"/>
      <c r="M597"/>
      <c r="N597"/>
      <c r="O597" s="33" t="s">
        <v>207</v>
      </c>
      <c r="P597" s="1515"/>
      <c r="Q597" s="1515"/>
      <c r="R597" s="1515"/>
      <c r="S597"/>
      <c r="T597" s="22"/>
      <c r="U597" t="s">
        <v>317</v>
      </c>
      <c r="V597"/>
      <c r="W597"/>
      <c r="X597"/>
      <c r="Y597"/>
      <c r="Z597" s="1480"/>
      <c r="AA597" s="1480"/>
      <c r="AB597" s="1480"/>
      <c r="AC597" s="1480"/>
      <c r="AD597" s="1480"/>
      <c r="AE597" s="1480"/>
      <c r="AF597"/>
      <c r="AG597"/>
      <c r="AH597" s="33" t="s">
        <v>207</v>
      </c>
      <c r="AI597" s="1515"/>
      <c r="AJ597" s="1515"/>
      <c r="AK597" s="1515"/>
      <c r="AL597"/>
      <c r="AM597"/>
      <c r="AN597"/>
      <c r="AO597"/>
      <c r="AP597"/>
      <c r="AQ597"/>
      <c r="AR597"/>
      <c r="AS597"/>
      <c r="AT597"/>
      <c r="AU597"/>
      <c r="AV597"/>
      <c r="AW597"/>
      <c r="AX597"/>
      <c r="AY597"/>
      <c r="BA597" s="4" t="s">
        <v>326</v>
      </c>
      <c r="BB597" s="3"/>
      <c r="BC597" s="3"/>
      <c r="BD597" s="3"/>
      <c r="BE597" s="1548">
        <f t="shared" ref="BE597:BE631" si="1">IF(AND(AC718&lt;=0.5,AC718&gt;=0.36),1,0)</f>
        <v>0</v>
      </c>
      <c r="BF597" s="1550"/>
      <c r="BG597" s="1558">
        <f t="shared" ref="BG597:BG631" si="2">IF(BE597=1,G718,0)</f>
        <v>0</v>
      </c>
      <c r="BH597" s="1560"/>
      <c r="BI597" s="1548">
        <f t="shared" ref="BI597:BI631" si="3">IF(AND(AC718&lt;=0.35,AC718&gt;0),1,0)</f>
        <v>1</v>
      </c>
      <c r="BJ597" s="1550"/>
      <c r="BK597" s="1558">
        <f t="shared" ref="BK597:BK631" si="4">IF(BI597=1,G718,0)</f>
        <v>11</v>
      </c>
      <c r="BL597" s="1560"/>
      <c r="BM597" s="3"/>
      <c r="BN597" s="1537">
        <f t="shared" ref="BN597:BN631" si="5">IF(B718="SRO/Studio",G718,0)</f>
        <v>11</v>
      </c>
      <c r="BO597" s="1538"/>
      <c r="BP597" s="1538"/>
      <c r="BQ597" s="1538"/>
      <c r="BR597" s="1539"/>
      <c r="BS597" s="1544">
        <f t="shared" ref="BS597:BS631" si="6">IF(B718="1 Bedroom",G718,0)</f>
        <v>0</v>
      </c>
      <c r="BT597" s="1544"/>
      <c r="BU597" s="1544"/>
      <c r="BV597" s="1544"/>
      <c r="BW597" s="1544"/>
      <c r="BX597" s="1544">
        <f t="shared" ref="BX597:BX631" si="7">IF(B718="2 Bedrooms",G718,0)</f>
        <v>0</v>
      </c>
      <c r="BY597" s="1544"/>
      <c r="BZ597" s="1544"/>
      <c r="CA597" s="1544"/>
      <c r="CB597" s="1544"/>
      <c r="CC597" s="1544">
        <f t="shared" ref="CC597:CC631" si="8">IF(B718="3 Bedrooms",G718,0)</f>
        <v>0</v>
      </c>
      <c r="CD597" s="1544"/>
      <c r="CE597" s="1544"/>
      <c r="CF597" s="1544"/>
      <c r="CG597" s="1544"/>
      <c r="CH597" s="1544">
        <f t="shared" ref="CH597:CH631" si="9">IF(B718="4 Bedrooms",G718,0)</f>
        <v>0</v>
      </c>
      <c r="CI597" s="1544"/>
      <c r="CJ597" s="1544"/>
      <c r="CK597" s="1544"/>
      <c r="CL597" s="1544"/>
      <c r="CM597" s="1544">
        <f t="shared" ref="CM597:CM631" si="10">IF(B718="5 Bedrooms",G718,0)</f>
        <v>0</v>
      </c>
      <c r="CN597" s="1544"/>
      <c r="CO597" s="1544"/>
      <c r="CP597" s="1544"/>
      <c r="CQ597" s="1544"/>
      <c r="CR597" s="6"/>
      <c r="CS597" s="1551">
        <f t="shared" ref="CS597:CS631" si="11">IF(AND(B718="SRO/Studio",AC718&lt;=0.3),G718,0)</f>
        <v>11</v>
      </c>
      <c r="CT597" s="1551"/>
      <c r="CU597" s="1551"/>
      <c r="CV597" s="1551"/>
      <c r="CW597" s="1551"/>
      <c r="CX597" s="1551">
        <f t="shared" ref="CX597:CX631" si="12">IF(AND(B718="1 Bedroom",AC718&lt;=0.3),G718,0)</f>
        <v>0</v>
      </c>
      <c r="CY597" s="1551"/>
      <c r="CZ597" s="1551"/>
      <c r="DA597" s="1551"/>
      <c r="DB597" s="1551"/>
      <c r="DC597" s="1551">
        <f t="shared" ref="DC597:DC631" si="13">IF(AND(B718="2 Bedrooms",AC718&lt;=0.3),G718,0)</f>
        <v>0</v>
      </c>
      <c r="DD597" s="1551"/>
      <c r="DE597" s="1551"/>
      <c r="DF597" s="1551"/>
      <c r="DG597" s="1551"/>
      <c r="DH597" s="1551">
        <f t="shared" ref="DH597:DH631" si="14">IF(AND(B718="3 Bedrooms",AC718&lt;=0.3),G718,0)</f>
        <v>0</v>
      </c>
      <c r="DI597" s="1551"/>
      <c r="DJ597" s="1551"/>
      <c r="DK597" s="1551"/>
      <c r="DL597" s="1551"/>
      <c r="DM597" s="1551">
        <f t="shared" ref="DM597:DM631" si="15">IF(AND(B718="4 Bedrooms",AC718&lt;=0.3),G718,0)</f>
        <v>0</v>
      </c>
      <c r="DN597" s="1551"/>
      <c r="DO597" s="1551"/>
      <c r="DP597" s="1551"/>
      <c r="DQ597" s="1551"/>
      <c r="DR597" s="1551">
        <f t="shared" ref="DR597:DR631" si="16">IF(AND(B718="5 Bedrooms",AC718&lt;=0.3),G718,0)</f>
        <v>0</v>
      </c>
      <c r="DS597" s="1551"/>
      <c r="DT597" s="1551"/>
      <c r="DU597" s="1551"/>
      <c r="DV597" s="1551"/>
      <c r="DX597" s="1548">
        <f t="shared" ref="DX597:DX631" si="17">IF(BN597&gt;0,O718,"")</f>
        <v>936</v>
      </c>
      <c r="DY597" s="1549"/>
      <c r="DZ597" s="1549"/>
      <c r="EA597" s="1549"/>
      <c r="EB597" s="1550"/>
      <c r="EC597" s="1548" t="str">
        <f t="shared" ref="EC597:EC631" si="18">IF(BS597&gt;0,O718,"")</f>
        <v/>
      </c>
      <c r="ED597" s="1549"/>
      <c r="EE597" s="1549"/>
      <c r="EF597" s="1549"/>
      <c r="EG597" s="1550"/>
      <c r="EH597" s="1548" t="str">
        <f t="shared" ref="EH597:EH631" si="19">IF(BX597&gt;0,O718,"")</f>
        <v/>
      </c>
      <c r="EI597" s="1549"/>
      <c r="EJ597" s="1549"/>
      <c r="EK597" s="1549"/>
      <c r="EL597" s="1550"/>
      <c r="EM597" s="1548" t="str">
        <f t="shared" ref="EM597:EM631" si="20">IF(CC597&gt;0,O718,"")</f>
        <v/>
      </c>
      <c r="EN597" s="1549"/>
      <c r="EO597" s="1549"/>
      <c r="EP597" s="1549"/>
      <c r="EQ597" s="1550"/>
      <c r="ER597" s="1548" t="str">
        <f t="shared" ref="ER597:ER631" si="21">IF(CH597&gt;0,O718,"")</f>
        <v/>
      </c>
      <c r="ES597" s="1549"/>
      <c r="ET597" s="1549"/>
      <c r="EU597" s="1549"/>
      <c r="EV597" s="1550"/>
      <c r="EW597" s="1548" t="str">
        <f t="shared" ref="EW597:EW631" si="22">IF(CM597&gt;0,O718,"")</f>
        <v/>
      </c>
      <c r="EX597" s="1549"/>
      <c r="EY597" s="1549"/>
      <c r="EZ597" s="1549"/>
      <c r="FA597" s="1550"/>
    </row>
    <row r="598" spans="1:157" s="4" customFormat="1" ht="12.95" customHeight="1">
      <c r="A598" s="22"/>
      <c r="B598" t="s">
        <v>18</v>
      </c>
      <c r="C598"/>
      <c r="D598"/>
      <c r="E598"/>
      <c r="F598"/>
      <c r="G598"/>
      <c r="H598" s="1477" t="s">
        <v>2768</v>
      </c>
      <c r="I598" s="1486"/>
      <c r="J598" s="1486"/>
      <c r="K598" s="1486"/>
      <c r="L598" s="1486"/>
      <c r="M598" s="1486"/>
      <c r="N598" s="1486"/>
      <c r="O598" s="1486"/>
      <c r="P598" s="1486"/>
      <c r="Q598" s="1486"/>
      <c r="R598" s="1486"/>
      <c r="S598"/>
      <c r="T598" s="22"/>
      <c r="U598" t="s">
        <v>18</v>
      </c>
      <c r="V598"/>
      <c r="W598"/>
      <c r="X598"/>
      <c r="Y598"/>
      <c r="Z598"/>
      <c r="AA598" s="1486"/>
      <c r="AB598" s="1486"/>
      <c r="AC598" s="1486"/>
      <c r="AD598" s="1486"/>
      <c r="AE598" s="1486"/>
      <c r="AF598" s="1486"/>
      <c r="AG598" s="1486"/>
      <c r="AH598" s="1486"/>
      <c r="AI598" s="1486"/>
      <c r="AJ598" s="1486"/>
      <c r="AK598" s="1486"/>
      <c r="AL598"/>
      <c r="AM598"/>
      <c r="AN598"/>
      <c r="AO598"/>
      <c r="AP598"/>
      <c r="AQ598"/>
      <c r="AR598"/>
      <c r="AS598"/>
      <c r="AT598"/>
      <c r="AU598"/>
      <c r="AV598"/>
      <c r="AW598"/>
      <c r="AX598"/>
      <c r="AY598"/>
      <c r="BA598" s="4" t="s">
        <v>163</v>
      </c>
      <c r="BB598" s="3"/>
      <c r="BC598" s="3"/>
      <c r="BD598" s="3"/>
      <c r="BE598" s="1548">
        <f t="shared" si="1"/>
        <v>1</v>
      </c>
      <c r="BF598" s="1550"/>
      <c r="BG598" s="1558">
        <f t="shared" si="2"/>
        <v>39</v>
      </c>
      <c r="BH598" s="1560"/>
      <c r="BI598" s="1548">
        <f t="shared" si="3"/>
        <v>0</v>
      </c>
      <c r="BJ598" s="1550"/>
      <c r="BK598" s="1558">
        <f t="shared" si="4"/>
        <v>0</v>
      </c>
      <c r="BL598" s="1560"/>
      <c r="BM598" s="3"/>
      <c r="BN598" s="1537">
        <f t="shared" si="5"/>
        <v>39</v>
      </c>
      <c r="BO598" s="1538"/>
      <c r="BP598" s="1538"/>
      <c r="BQ598" s="1538"/>
      <c r="BR598" s="1539"/>
      <c r="BS598" s="1544">
        <f t="shared" si="6"/>
        <v>0</v>
      </c>
      <c r="BT598" s="1544"/>
      <c r="BU598" s="1544"/>
      <c r="BV598" s="1544"/>
      <c r="BW598" s="1544"/>
      <c r="BX598" s="1544">
        <f t="shared" si="7"/>
        <v>0</v>
      </c>
      <c r="BY598" s="1544"/>
      <c r="BZ598" s="1544"/>
      <c r="CA598" s="1544"/>
      <c r="CB598" s="1544"/>
      <c r="CC598" s="1544">
        <f t="shared" si="8"/>
        <v>0</v>
      </c>
      <c r="CD598" s="1544"/>
      <c r="CE598" s="1544"/>
      <c r="CF598" s="1544"/>
      <c r="CG598" s="1544"/>
      <c r="CH598" s="1544">
        <f t="shared" si="9"/>
        <v>0</v>
      </c>
      <c r="CI598" s="1544"/>
      <c r="CJ598" s="1544"/>
      <c r="CK598" s="1544"/>
      <c r="CL598" s="1544"/>
      <c r="CM598" s="1544">
        <f t="shared" si="10"/>
        <v>0</v>
      </c>
      <c r="CN598" s="1544"/>
      <c r="CO598" s="1544"/>
      <c r="CP598" s="1544"/>
      <c r="CQ598" s="1544"/>
      <c r="CR598" s="6"/>
      <c r="CS598" s="1551">
        <f t="shared" si="11"/>
        <v>0</v>
      </c>
      <c r="CT598" s="1551"/>
      <c r="CU598" s="1551"/>
      <c r="CV598" s="1551"/>
      <c r="CW598" s="1551"/>
      <c r="CX598" s="1551">
        <f t="shared" si="12"/>
        <v>0</v>
      </c>
      <c r="CY598" s="1551"/>
      <c r="CZ598" s="1551"/>
      <c r="DA598" s="1551"/>
      <c r="DB598" s="1551"/>
      <c r="DC598" s="1551">
        <f t="shared" si="13"/>
        <v>0</v>
      </c>
      <c r="DD598" s="1551"/>
      <c r="DE598" s="1551"/>
      <c r="DF598" s="1551"/>
      <c r="DG598" s="1551"/>
      <c r="DH598" s="1551">
        <f t="shared" si="14"/>
        <v>0</v>
      </c>
      <c r="DI598" s="1551"/>
      <c r="DJ598" s="1551"/>
      <c r="DK598" s="1551"/>
      <c r="DL598" s="1551"/>
      <c r="DM598" s="1551">
        <f t="shared" si="15"/>
        <v>0</v>
      </c>
      <c r="DN598" s="1551"/>
      <c r="DO598" s="1551"/>
      <c r="DP598" s="1551"/>
      <c r="DQ598" s="1551"/>
      <c r="DR598" s="1551">
        <f t="shared" si="16"/>
        <v>0</v>
      </c>
      <c r="DS598" s="1551"/>
      <c r="DT598" s="1551"/>
      <c r="DU598" s="1551"/>
      <c r="DV598" s="1551"/>
      <c r="DX598" s="1548">
        <f t="shared" si="17"/>
        <v>1515</v>
      </c>
      <c r="DY598" s="1549"/>
      <c r="DZ598" s="1549"/>
      <c r="EA598" s="1549"/>
      <c r="EB598" s="1550"/>
      <c r="EC598" s="1548" t="str">
        <f t="shared" si="18"/>
        <v/>
      </c>
      <c r="ED598" s="1549"/>
      <c r="EE598" s="1549"/>
      <c r="EF598" s="1549"/>
      <c r="EG598" s="1550"/>
      <c r="EH598" s="1548" t="str">
        <f t="shared" si="19"/>
        <v/>
      </c>
      <c r="EI598" s="1549"/>
      <c r="EJ598" s="1549"/>
      <c r="EK598" s="1549"/>
      <c r="EL598" s="1550"/>
      <c r="EM598" s="1548" t="str">
        <f t="shared" si="20"/>
        <v/>
      </c>
      <c r="EN598" s="1549"/>
      <c r="EO598" s="1549"/>
      <c r="EP598" s="1549"/>
      <c r="EQ598" s="1550"/>
      <c r="ER598" s="1548" t="str">
        <f t="shared" si="21"/>
        <v/>
      </c>
      <c r="ES598" s="1549"/>
      <c r="ET598" s="1549"/>
      <c r="EU598" s="1549"/>
      <c r="EV598" s="1550"/>
      <c r="EW598" s="1548" t="str">
        <f t="shared" si="22"/>
        <v/>
      </c>
      <c r="EX598" s="1549"/>
      <c r="EY598" s="1549"/>
      <c r="EZ598" s="1549"/>
      <c r="FA598" s="1550"/>
    </row>
    <row r="599" spans="1:157" ht="12.95" customHeight="1">
      <c r="A599" s="22"/>
      <c r="B599" t="s">
        <v>20</v>
      </c>
      <c r="N599" s="1479" t="s">
        <v>553</v>
      </c>
      <c r="O599" s="1479"/>
      <c r="T599" s="22"/>
      <c r="U599" t="s">
        <v>20</v>
      </c>
      <c r="AG599" s="1479" t="s">
        <v>677</v>
      </c>
      <c r="AH599" s="1479"/>
      <c r="BA599" s="4" t="s">
        <v>164</v>
      </c>
      <c r="BB599" s="3"/>
      <c r="BC599" s="3"/>
      <c r="BD599" s="3"/>
      <c r="BE599" s="1548">
        <f t="shared" si="1"/>
        <v>0</v>
      </c>
      <c r="BF599" s="1550"/>
      <c r="BG599" s="1558">
        <f t="shared" si="2"/>
        <v>0</v>
      </c>
      <c r="BH599" s="1560"/>
      <c r="BI599" s="1548">
        <f t="shared" si="3"/>
        <v>0</v>
      </c>
      <c r="BJ599" s="1550"/>
      <c r="BK599" s="1558">
        <f t="shared" si="4"/>
        <v>0</v>
      </c>
      <c r="BL599" s="1560"/>
      <c r="BM599" s="3"/>
      <c r="BN599" s="1537">
        <f t="shared" si="5"/>
        <v>25</v>
      </c>
      <c r="BO599" s="1538"/>
      <c r="BP599" s="1538"/>
      <c r="BQ599" s="1538"/>
      <c r="BR599" s="1539"/>
      <c r="BS599" s="1544">
        <f t="shared" si="6"/>
        <v>0</v>
      </c>
      <c r="BT599" s="1544"/>
      <c r="BU599" s="1544"/>
      <c r="BV599" s="1544"/>
      <c r="BW599" s="1544"/>
      <c r="BX599" s="1544">
        <f t="shared" si="7"/>
        <v>0</v>
      </c>
      <c r="BY599" s="1544"/>
      <c r="BZ599" s="1544"/>
      <c r="CA599" s="1544"/>
      <c r="CB599" s="1544"/>
      <c r="CC599" s="1544">
        <f t="shared" si="8"/>
        <v>0</v>
      </c>
      <c r="CD599" s="1544"/>
      <c r="CE599" s="1544"/>
      <c r="CF599" s="1544"/>
      <c r="CG599" s="1544"/>
      <c r="CH599" s="1544">
        <f t="shared" si="9"/>
        <v>0</v>
      </c>
      <c r="CI599" s="1544"/>
      <c r="CJ599" s="1544"/>
      <c r="CK599" s="1544"/>
      <c r="CL599" s="1544"/>
      <c r="CM599" s="1544">
        <f t="shared" si="10"/>
        <v>0</v>
      </c>
      <c r="CN599" s="1544"/>
      <c r="CO599" s="1544"/>
      <c r="CP599" s="1544"/>
      <c r="CQ599" s="1544"/>
      <c r="CR599" s="6"/>
      <c r="CS599" s="1551">
        <f t="shared" si="11"/>
        <v>0</v>
      </c>
      <c r="CT599" s="1551"/>
      <c r="CU599" s="1551"/>
      <c r="CV599" s="1551"/>
      <c r="CW599" s="1551"/>
      <c r="CX599" s="1551">
        <f t="shared" si="12"/>
        <v>0</v>
      </c>
      <c r="CY599" s="1551"/>
      <c r="CZ599" s="1551"/>
      <c r="DA599" s="1551"/>
      <c r="DB599" s="1551"/>
      <c r="DC599" s="1551">
        <f t="shared" si="13"/>
        <v>0</v>
      </c>
      <c r="DD599" s="1551"/>
      <c r="DE599" s="1551"/>
      <c r="DF599" s="1551"/>
      <c r="DG599" s="1551"/>
      <c r="DH599" s="1551">
        <f t="shared" si="14"/>
        <v>0</v>
      </c>
      <c r="DI599" s="1551"/>
      <c r="DJ599" s="1551"/>
      <c r="DK599" s="1551"/>
      <c r="DL599" s="1551"/>
      <c r="DM599" s="1551">
        <f t="shared" si="15"/>
        <v>0</v>
      </c>
      <c r="DN599" s="1551"/>
      <c r="DO599" s="1551"/>
      <c r="DP599" s="1551"/>
      <c r="DQ599" s="1551"/>
      <c r="DR599" s="1551">
        <f t="shared" si="16"/>
        <v>0</v>
      </c>
      <c r="DS599" s="1551"/>
      <c r="DT599" s="1551"/>
      <c r="DU599" s="1551"/>
      <c r="DV599" s="1551"/>
      <c r="DX599" s="1548">
        <f t="shared" si="17"/>
        <v>1827</v>
      </c>
      <c r="DY599" s="1549"/>
      <c r="DZ599" s="1549"/>
      <c r="EA599" s="1549"/>
      <c r="EB599" s="1550"/>
      <c r="EC599" s="1548" t="str">
        <f t="shared" si="18"/>
        <v/>
      </c>
      <c r="ED599" s="1549"/>
      <c r="EE599" s="1549"/>
      <c r="EF599" s="1549"/>
      <c r="EG599" s="1550"/>
      <c r="EH599" s="1548" t="str">
        <f t="shared" si="19"/>
        <v/>
      </c>
      <c r="EI599" s="1549"/>
      <c r="EJ599" s="1549"/>
      <c r="EK599" s="1549"/>
      <c r="EL599" s="1550"/>
      <c r="EM599" s="1548" t="str">
        <f t="shared" si="20"/>
        <v/>
      </c>
      <c r="EN599" s="1549"/>
      <c r="EO599" s="1549"/>
      <c r="EP599" s="1549"/>
      <c r="EQ599" s="1550"/>
      <c r="ER599" s="1548" t="str">
        <f t="shared" si="21"/>
        <v/>
      </c>
      <c r="ES599" s="1549"/>
      <c r="ET599" s="1549"/>
      <c r="EU599" s="1549"/>
      <c r="EV599" s="1550"/>
      <c r="EW599" s="1548" t="str">
        <f t="shared" si="22"/>
        <v/>
      </c>
      <c r="EX599" s="1549"/>
      <c r="EY599" s="1549"/>
      <c r="EZ599" s="1549"/>
      <c r="FA599" s="1550"/>
    </row>
    <row r="600" spans="1:157" ht="12.95" customHeight="1">
      <c r="A600" s="22"/>
      <c r="T600" s="22"/>
      <c r="BA600" s="4" t="s">
        <v>165</v>
      </c>
      <c r="BB600" s="3"/>
      <c r="BC600" s="3"/>
      <c r="BD600" s="3"/>
      <c r="BE600" s="1548">
        <f t="shared" si="1"/>
        <v>0</v>
      </c>
      <c r="BF600" s="1550"/>
      <c r="BG600" s="1558">
        <f t="shared" si="2"/>
        <v>0</v>
      </c>
      <c r="BH600" s="1560"/>
      <c r="BI600" s="1548">
        <f t="shared" si="3"/>
        <v>1</v>
      </c>
      <c r="BJ600" s="1550"/>
      <c r="BK600" s="1558">
        <f t="shared" si="4"/>
        <v>2</v>
      </c>
      <c r="BL600" s="1560"/>
      <c r="BM600" s="3"/>
      <c r="BN600" s="1537">
        <f t="shared" si="5"/>
        <v>0</v>
      </c>
      <c r="BO600" s="1538"/>
      <c r="BP600" s="1538"/>
      <c r="BQ600" s="1538"/>
      <c r="BR600" s="1539"/>
      <c r="BS600" s="1544">
        <f t="shared" si="6"/>
        <v>2</v>
      </c>
      <c r="BT600" s="1544"/>
      <c r="BU600" s="1544"/>
      <c r="BV600" s="1544"/>
      <c r="BW600" s="1544"/>
      <c r="BX600" s="1544">
        <f t="shared" si="7"/>
        <v>0</v>
      </c>
      <c r="BY600" s="1544"/>
      <c r="BZ600" s="1544"/>
      <c r="CA600" s="1544"/>
      <c r="CB600" s="1544"/>
      <c r="CC600" s="1544">
        <f t="shared" si="8"/>
        <v>0</v>
      </c>
      <c r="CD600" s="1544"/>
      <c r="CE600" s="1544"/>
      <c r="CF600" s="1544"/>
      <c r="CG600" s="1544"/>
      <c r="CH600" s="1544">
        <f t="shared" si="9"/>
        <v>0</v>
      </c>
      <c r="CI600" s="1544"/>
      <c r="CJ600" s="1544"/>
      <c r="CK600" s="1544"/>
      <c r="CL600" s="1544"/>
      <c r="CM600" s="1544">
        <f t="shared" si="10"/>
        <v>0</v>
      </c>
      <c r="CN600" s="1544"/>
      <c r="CO600" s="1544"/>
      <c r="CP600" s="1544"/>
      <c r="CQ600" s="1544"/>
      <c r="CR600" s="6"/>
      <c r="CS600" s="1551">
        <f t="shared" si="11"/>
        <v>0</v>
      </c>
      <c r="CT600" s="1551"/>
      <c r="CU600" s="1551"/>
      <c r="CV600" s="1551"/>
      <c r="CW600" s="1551"/>
      <c r="CX600" s="1551">
        <f t="shared" si="12"/>
        <v>2</v>
      </c>
      <c r="CY600" s="1551"/>
      <c r="CZ600" s="1551"/>
      <c r="DA600" s="1551"/>
      <c r="DB600" s="1551"/>
      <c r="DC600" s="1551">
        <f t="shared" si="13"/>
        <v>0</v>
      </c>
      <c r="DD600" s="1551"/>
      <c r="DE600" s="1551"/>
      <c r="DF600" s="1551"/>
      <c r="DG600" s="1551"/>
      <c r="DH600" s="1551">
        <f t="shared" si="14"/>
        <v>0</v>
      </c>
      <c r="DI600" s="1551"/>
      <c r="DJ600" s="1551"/>
      <c r="DK600" s="1551"/>
      <c r="DL600" s="1551"/>
      <c r="DM600" s="1551">
        <f t="shared" si="15"/>
        <v>0</v>
      </c>
      <c r="DN600" s="1551"/>
      <c r="DO600" s="1551"/>
      <c r="DP600" s="1551"/>
      <c r="DQ600" s="1551"/>
      <c r="DR600" s="1551">
        <f t="shared" si="16"/>
        <v>0</v>
      </c>
      <c r="DS600" s="1551"/>
      <c r="DT600" s="1551"/>
      <c r="DU600" s="1551"/>
      <c r="DV600" s="1551"/>
      <c r="DX600" s="1548" t="str">
        <f t="shared" si="17"/>
        <v/>
      </c>
      <c r="DY600" s="1549"/>
      <c r="DZ600" s="1549"/>
      <c r="EA600" s="1549"/>
      <c r="EB600" s="1550"/>
      <c r="EC600" s="1548">
        <f t="shared" si="18"/>
        <v>1003</v>
      </c>
      <c r="ED600" s="1549"/>
      <c r="EE600" s="1549"/>
      <c r="EF600" s="1549"/>
      <c r="EG600" s="1550"/>
      <c r="EH600" s="1548" t="str">
        <f t="shared" si="19"/>
        <v/>
      </c>
      <c r="EI600" s="1549"/>
      <c r="EJ600" s="1549"/>
      <c r="EK600" s="1549"/>
      <c r="EL600" s="1550"/>
      <c r="EM600" s="1548" t="str">
        <f t="shared" si="20"/>
        <v/>
      </c>
      <c r="EN600" s="1549"/>
      <c r="EO600" s="1549"/>
      <c r="EP600" s="1549"/>
      <c r="EQ600" s="1550"/>
      <c r="ER600" s="1548" t="str">
        <f t="shared" si="21"/>
        <v/>
      </c>
      <c r="ES600" s="1549"/>
      <c r="ET600" s="1549"/>
      <c r="EU600" s="1549"/>
      <c r="EV600" s="1550"/>
      <c r="EW600" s="1548" t="str">
        <f t="shared" si="22"/>
        <v/>
      </c>
      <c r="EX600" s="1549"/>
      <c r="EY600" s="1549"/>
      <c r="EZ600" s="1549"/>
      <c r="FA600" s="1550"/>
    </row>
    <row r="601" spans="1:157" ht="12.95" customHeight="1">
      <c r="A601" s="55" t="s">
        <v>469</v>
      </c>
      <c r="B601" t="s">
        <v>471</v>
      </c>
      <c r="G601" s="1481">
        <f>C562</f>
        <v>0</v>
      </c>
      <c r="H601" s="1481"/>
      <c r="I601" s="1481"/>
      <c r="J601" s="1481"/>
      <c r="K601" s="1481"/>
      <c r="L601" s="1481"/>
      <c r="M601" s="1481"/>
      <c r="N601" s="1481"/>
      <c r="O601" s="1481"/>
      <c r="P601" s="1481"/>
      <c r="Q601" s="1481"/>
      <c r="R601" s="1481"/>
      <c r="T601" s="55" t="s">
        <v>654</v>
      </c>
      <c r="U601" t="s">
        <v>471</v>
      </c>
      <c r="Z601" s="1481">
        <f>C563</f>
        <v>0</v>
      </c>
      <c r="AA601" s="1481"/>
      <c r="AB601" s="1481"/>
      <c r="AC601" s="1481"/>
      <c r="AD601" s="1481"/>
      <c r="AE601" s="1481"/>
      <c r="AF601" s="1481"/>
      <c r="AG601" s="1481"/>
      <c r="AH601" s="1481"/>
      <c r="AI601" s="1481"/>
      <c r="AJ601" s="1481"/>
      <c r="AK601" s="1481"/>
      <c r="BA601" s="4" t="s">
        <v>30</v>
      </c>
      <c r="BB601" s="3"/>
      <c r="BC601" s="3"/>
      <c r="BD601" s="3"/>
      <c r="BE601" s="1548">
        <f t="shared" si="1"/>
        <v>0</v>
      </c>
      <c r="BF601" s="1550"/>
      <c r="BG601" s="1558">
        <f t="shared" si="2"/>
        <v>0</v>
      </c>
      <c r="BH601" s="1560"/>
      <c r="BI601" s="1548">
        <f t="shared" si="3"/>
        <v>1</v>
      </c>
      <c r="BJ601" s="1550"/>
      <c r="BK601" s="1558">
        <f t="shared" si="4"/>
        <v>10</v>
      </c>
      <c r="BL601" s="1560"/>
      <c r="BM601" s="3"/>
      <c r="BN601" s="1537">
        <f t="shared" si="5"/>
        <v>0</v>
      </c>
      <c r="BO601" s="1538"/>
      <c r="BP601" s="1538"/>
      <c r="BQ601" s="1538"/>
      <c r="BR601" s="1539"/>
      <c r="BS601" s="1544">
        <f t="shared" si="6"/>
        <v>10</v>
      </c>
      <c r="BT601" s="1544"/>
      <c r="BU601" s="1544"/>
      <c r="BV601" s="1544"/>
      <c r="BW601" s="1544"/>
      <c r="BX601" s="1544">
        <f t="shared" si="7"/>
        <v>0</v>
      </c>
      <c r="BY601" s="1544"/>
      <c r="BZ601" s="1544"/>
      <c r="CA601" s="1544"/>
      <c r="CB601" s="1544"/>
      <c r="CC601" s="1544">
        <f t="shared" si="8"/>
        <v>0</v>
      </c>
      <c r="CD601" s="1544"/>
      <c r="CE601" s="1544"/>
      <c r="CF601" s="1544"/>
      <c r="CG601" s="1544"/>
      <c r="CH601" s="1544">
        <f t="shared" si="9"/>
        <v>0</v>
      </c>
      <c r="CI601" s="1544"/>
      <c r="CJ601" s="1544"/>
      <c r="CK601" s="1544"/>
      <c r="CL601" s="1544"/>
      <c r="CM601" s="1544">
        <f t="shared" si="10"/>
        <v>0</v>
      </c>
      <c r="CN601" s="1544"/>
      <c r="CO601" s="1544"/>
      <c r="CP601" s="1544"/>
      <c r="CQ601" s="1544"/>
      <c r="CR601" s="6"/>
      <c r="CS601" s="1551">
        <f t="shared" si="11"/>
        <v>0</v>
      </c>
      <c r="CT601" s="1551"/>
      <c r="CU601" s="1551"/>
      <c r="CV601" s="1551"/>
      <c r="CW601" s="1551"/>
      <c r="CX601" s="1551">
        <f t="shared" si="12"/>
        <v>10</v>
      </c>
      <c r="CY601" s="1551"/>
      <c r="CZ601" s="1551"/>
      <c r="DA601" s="1551"/>
      <c r="DB601" s="1551"/>
      <c r="DC601" s="1551">
        <f t="shared" si="13"/>
        <v>0</v>
      </c>
      <c r="DD601" s="1551"/>
      <c r="DE601" s="1551"/>
      <c r="DF601" s="1551"/>
      <c r="DG601" s="1551"/>
      <c r="DH601" s="1551">
        <f t="shared" si="14"/>
        <v>0</v>
      </c>
      <c r="DI601" s="1551"/>
      <c r="DJ601" s="1551"/>
      <c r="DK601" s="1551"/>
      <c r="DL601" s="1551"/>
      <c r="DM601" s="1551">
        <f t="shared" si="15"/>
        <v>0</v>
      </c>
      <c r="DN601" s="1551"/>
      <c r="DO601" s="1551"/>
      <c r="DP601" s="1551"/>
      <c r="DQ601" s="1551"/>
      <c r="DR601" s="1551">
        <f t="shared" si="16"/>
        <v>0</v>
      </c>
      <c r="DS601" s="1551"/>
      <c r="DT601" s="1551"/>
      <c r="DU601" s="1551"/>
      <c r="DV601" s="1551"/>
      <c r="DX601" s="1548" t="str">
        <f t="shared" si="17"/>
        <v/>
      </c>
      <c r="DY601" s="1549"/>
      <c r="DZ601" s="1549"/>
      <c r="EA601" s="1549"/>
      <c r="EB601" s="1550"/>
      <c r="EC601" s="1548">
        <f t="shared" si="18"/>
        <v>1003</v>
      </c>
      <c r="ED601" s="1549"/>
      <c r="EE601" s="1549"/>
      <c r="EF601" s="1549"/>
      <c r="EG601" s="1550"/>
      <c r="EH601" s="1548" t="str">
        <f t="shared" si="19"/>
        <v/>
      </c>
      <c r="EI601" s="1549"/>
      <c r="EJ601" s="1549"/>
      <c r="EK601" s="1549"/>
      <c r="EL601" s="1550"/>
      <c r="EM601" s="1548" t="str">
        <f t="shared" si="20"/>
        <v/>
      </c>
      <c r="EN601" s="1549"/>
      <c r="EO601" s="1549"/>
      <c r="EP601" s="1549"/>
      <c r="EQ601" s="1550"/>
      <c r="ER601" s="1548" t="str">
        <f t="shared" si="21"/>
        <v/>
      </c>
      <c r="ES601" s="1549"/>
      <c r="ET601" s="1549"/>
      <c r="EU601" s="1549"/>
      <c r="EV601" s="1550"/>
      <c r="EW601" s="1548" t="str">
        <f t="shared" si="22"/>
        <v/>
      </c>
      <c r="EX601" s="1549"/>
      <c r="EY601" s="1549"/>
      <c r="EZ601" s="1549"/>
      <c r="FA601" s="1550"/>
    </row>
    <row r="602" spans="1:157" ht="12.95" customHeight="1">
      <c r="A602" s="22"/>
      <c r="B602" t="s">
        <v>85</v>
      </c>
      <c r="G602" s="1486"/>
      <c r="H602" s="1486"/>
      <c r="I602" s="1486"/>
      <c r="J602" s="1486"/>
      <c r="K602" s="1486"/>
      <c r="L602" s="1486"/>
      <c r="M602" s="1486"/>
      <c r="N602" s="1486"/>
      <c r="O602" s="1486"/>
      <c r="P602" s="1486"/>
      <c r="Q602" s="1486"/>
      <c r="R602" s="1486"/>
      <c r="T602" s="22"/>
      <c r="U602" t="s">
        <v>85</v>
      </c>
      <c r="Z602" s="1486"/>
      <c r="AA602" s="1486"/>
      <c r="AB602" s="1486"/>
      <c r="AC602" s="1486"/>
      <c r="AD602" s="1486"/>
      <c r="AE602" s="1486"/>
      <c r="AF602" s="1486"/>
      <c r="AG602" s="1486"/>
      <c r="AH602" s="1486"/>
      <c r="AI602" s="1486"/>
      <c r="AJ602" s="1486"/>
      <c r="AK602" s="1486"/>
      <c r="AZ602" s="3"/>
      <c r="BA602" s="3"/>
      <c r="BB602" s="3"/>
      <c r="BC602" s="3"/>
      <c r="BD602" s="3"/>
      <c r="BE602" s="1548">
        <f t="shared" si="1"/>
        <v>1</v>
      </c>
      <c r="BF602" s="1550"/>
      <c r="BG602" s="1558">
        <f t="shared" si="2"/>
        <v>3</v>
      </c>
      <c r="BH602" s="1560"/>
      <c r="BI602" s="1548">
        <f t="shared" si="3"/>
        <v>0</v>
      </c>
      <c r="BJ602" s="1550"/>
      <c r="BK602" s="1558">
        <f t="shared" si="4"/>
        <v>0</v>
      </c>
      <c r="BL602" s="1560"/>
      <c r="BM602" s="3"/>
      <c r="BN602" s="1537">
        <f t="shared" si="5"/>
        <v>0</v>
      </c>
      <c r="BO602" s="1538"/>
      <c r="BP602" s="1538"/>
      <c r="BQ602" s="1538"/>
      <c r="BR602" s="1539"/>
      <c r="BS602" s="1544">
        <f t="shared" si="6"/>
        <v>3</v>
      </c>
      <c r="BT602" s="1544"/>
      <c r="BU602" s="1544"/>
      <c r="BV602" s="1544"/>
      <c r="BW602" s="1544"/>
      <c r="BX602" s="1544">
        <f t="shared" si="7"/>
        <v>0</v>
      </c>
      <c r="BY602" s="1544"/>
      <c r="BZ602" s="1544"/>
      <c r="CA602" s="1544"/>
      <c r="CB602" s="1544"/>
      <c r="CC602" s="1544">
        <f t="shared" si="8"/>
        <v>0</v>
      </c>
      <c r="CD602" s="1544"/>
      <c r="CE602" s="1544"/>
      <c r="CF602" s="1544"/>
      <c r="CG602" s="1544"/>
      <c r="CH602" s="1544">
        <f t="shared" si="9"/>
        <v>0</v>
      </c>
      <c r="CI602" s="1544"/>
      <c r="CJ602" s="1544"/>
      <c r="CK602" s="1544"/>
      <c r="CL602" s="1544"/>
      <c r="CM602" s="1544">
        <f t="shared" si="10"/>
        <v>0</v>
      </c>
      <c r="CN602" s="1544"/>
      <c r="CO602" s="1544"/>
      <c r="CP602" s="1544"/>
      <c r="CQ602" s="1544"/>
      <c r="CR602" s="6"/>
      <c r="CS602" s="1551">
        <f t="shared" si="11"/>
        <v>0</v>
      </c>
      <c r="CT602" s="1551"/>
      <c r="CU602" s="1551"/>
      <c r="CV602" s="1551"/>
      <c r="CW602" s="1551"/>
      <c r="CX602" s="1551">
        <f t="shared" si="12"/>
        <v>0</v>
      </c>
      <c r="CY602" s="1551"/>
      <c r="CZ602" s="1551"/>
      <c r="DA602" s="1551"/>
      <c r="DB602" s="1551"/>
      <c r="DC602" s="1551">
        <f t="shared" si="13"/>
        <v>0</v>
      </c>
      <c r="DD602" s="1551"/>
      <c r="DE602" s="1551"/>
      <c r="DF602" s="1551"/>
      <c r="DG602" s="1551"/>
      <c r="DH602" s="1551">
        <f t="shared" si="14"/>
        <v>0</v>
      </c>
      <c r="DI602" s="1551"/>
      <c r="DJ602" s="1551"/>
      <c r="DK602" s="1551"/>
      <c r="DL602" s="1551"/>
      <c r="DM602" s="1551">
        <f t="shared" si="15"/>
        <v>0</v>
      </c>
      <c r="DN602" s="1551"/>
      <c r="DO602" s="1551"/>
      <c r="DP602" s="1551"/>
      <c r="DQ602" s="1551"/>
      <c r="DR602" s="1551">
        <f t="shared" si="16"/>
        <v>0</v>
      </c>
      <c r="DS602" s="1551"/>
      <c r="DT602" s="1551"/>
      <c r="DU602" s="1551"/>
      <c r="DV602" s="1551"/>
      <c r="DX602" s="1548" t="str">
        <f t="shared" si="17"/>
        <v/>
      </c>
      <c r="DY602" s="1549"/>
      <c r="DZ602" s="1549"/>
      <c r="EA602" s="1549"/>
      <c r="EB602" s="1550"/>
      <c r="EC602" s="1548">
        <f t="shared" si="18"/>
        <v>1620</v>
      </c>
      <c r="ED602" s="1549"/>
      <c r="EE602" s="1549"/>
      <c r="EF602" s="1549"/>
      <c r="EG602" s="1550"/>
      <c r="EH602" s="1548" t="str">
        <f t="shared" si="19"/>
        <v/>
      </c>
      <c r="EI602" s="1549"/>
      <c r="EJ602" s="1549"/>
      <c r="EK602" s="1549"/>
      <c r="EL602" s="1550"/>
      <c r="EM602" s="1548" t="str">
        <f t="shared" si="20"/>
        <v/>
      </c>
      <c r="EN602" s="1549"/>
      <c r="EO602" s="1549"/>
      <c r="EP602" s="1549"/>
      <c r="EQ602" s="1550"/>
      <c r="ER602" s="1548" t="str">
        <f t="shared" si="21"/>
        <v/>
      </c>
      <c r="ES602" s="1549"/>
      <c r="ET602" s="1549"/>
      <c r="EU602" s="1549"/>
      <c r="EV602" s="1550"/>
      <c r="EW602" s="1548" t="str">
        <f t="shared" si="22"/>
        <v/>
      </c>
      <c r="EX602" s="1549"/>
      <c r="EY602" s="1549"/>
      <c r="EZ602" s="1549"/>
      <c r="FA602" s="1550"/>
    </row>
    <row r="603" spans="1:157" ht="12.95" customHeight="1">
      <c r="A603" s="22"/>
      <c r="B603" t="s">
        <v>588</v>
      </c>
      <c r="G603" s="1486"/>
      <c r="H603" s="1486"/>
      <c r="I603" s="1486"/>
      <c r="J603" s="1486"/>
      <c r="K603" s="1486"/>
      <c r="L603" s="1486"/>
      <c r="M603" s="1486"/>
      <c r="N603" s="1486"/>
      <c r="O603" s="1486"/>
      <c r="P603" s="1486"/>
      <c r="Q603" s="1486"/>
      <c r="R603" s="1486"/>
      <c r="T603" s="22"/>
      <c r="U603" t="s">
        <v>588</v>
      </c>
      <c r="Z603" s="1485"/>
      <c r="AA603" s="1485"/>
      <c r="AB603" s="1485"/>
      <c r="AC603" s="1485"/>
      <c r="AD603" s="1485"/>
      <c r="AE603" s="1485"/>
      <c r="AF603" s="1485"/>
      <c r="AG603" s="1485"/>
      <c r="AH603" s="1485"/>
      <c r="AI603" s="1485"/>
      <c r="AJ603" s="1485"/>
      <c r="AK603" s="1485"/>
      <c r="AZ603" s="3"/>
      <c r="BA603" s="3"/>
      <c r="BB603" s="3"/>
      <c r="BC603" s="3"/>
      <c r="BD603" s="3"/>
      <c r="BE603" s="1548">
        <f t="shared" si="1"/>
        <v>0</v>
      </c>
      <c r="BF603" s="1550"/>
      <c r="BG603" s="1558">
        <f t="shared" si="2"/>
        <v>0</v>
      </c>
      <c r="BH603" s="1560"/>
      <c r="BI603" s="1548">
        <f t="shared" si="3"/>
        <v>0</v>
      </c>
      <c r="BJ603" s="1550"/>
      <c r="BK603" s="1558">
        <f t="shared" si="4"/>
        <v>0</v>
      </c>
      <c r="BL603" s="1560"/>
      <c r="BM603" s="3"/>
      <c r="BN603" s="1537">
        <f t="shared" si="5"/>
        <v>0</v>
      </c>
      <c r="BO603" s="1538"/>
      <c r="BP603" s="1538"/>
      <c r="BQ603" s="1538"/>
      <c r="BR603" s="1539"/>
      <c r="BS603" s="1544">
        <f t="shared" si="6"/>
        <v>3</v>
      </c>
      <c r="BT603" s="1544"/>
      <c r="BU603" s="1544"/>
      <c r="BV603" s="1544"/>
      <c r="BW603" s="1544"/>
      <c r="BX603" s="1544">
        <f t="shared" si="7"/>
        <v>0</v>
      </c>
      <c r="BY603" s="1544"/>
      <c r="BZ603" s="1544"/>
      <c r="CA603" s="1544"/>
      <c r="CB603" s="1544"/>
      <c r="CC603" s="1544">
        <f t="shared" si="8"/>
        <v>0</v>
      </c>
      <c r="CD603" s="1544"/>
      <c r="CE603" s="1544"/>
      <c r="CF603" s="1544"/>
      <c r="CG603" s="1544"/>
      <c r="CH603" s="1544">
        <f t="shared" si="9"/>
        <v>0</v>
      </c>
      <c r="CI603" s="1544"/>
      <c r="CJ603" s="1544"/>
      <c r="CK603" s="1544"/>
      <c r="CL603" s="1544"/>
      <c r="CM603" s="1544">
        <f t="shared" si="10"/>
        <v>0</v>
      </c>
      <c r="CN603" s="1544"/>
      <c r="CO603" s="1544"/>
      <c r="CP603" s="1544"/>
      <c r="CQ603" s="1544"/>
      <c r="CR603" s="6"/>
      <c r="CS603" s="1551">
        <f t="shared" si="11"/>
        <v>0</v>
      </c>
      <c r="CT603" s="1551"/>
      <c r="CU603" s="1551"/>
      <c r="CV603" s="1551"/>
      <c r="CW603" s="1551"/>
      <c r="CX603" s="1551">
        <f t="shared" si="12"/>
        <v>0</v>
      </c>
      <c r="CY603" s="1551"/>
      <c r="CZ603" s="1551"/>
      <c r="DA603" s="1551"/>
      <c r="DB603" s="1551"/>
      <c r="DC603" s="1551">
        <f t="shared" si="13"/>
        <v>0</v>
      </c>
      <c r="DD603" s="1551"/>
      <c r="DE603" s="1551"/>
      <c r="DF603" s="1551"/>
      <c r="DG603" s="1551"/>
      <c r="DH603" s="1551">
        <f t="shared" si="14"/>
        <v>0</v>
      </c>
      <c r="DI603" s="1551"/>
      <c r="DJ603" s="1551"/>
      <c r="DK603" s="1551"/>
      <c r="DL603" s="1551"/>
      <c r="DM603" s="1551">
        <f t="shared" si="15"/>
        <v>0</v>
      </c>
      <c r="DN603" s="1551"/>
      <c r="DO603" s="1551"/>
      <c r="DP603" s="1551"/>
      <c r="DQ603" s="1551"/>
      <c r="DR603" s="1551">
        <f t="shared" si="16"/>
        <v>0</v>
      </c>
      <c r="DS603" s="1551"/>
      <c r="DT603" s="1551"/>
      <c r="DU603" s="1551"/>
      <c r="DV603" s="1551"/>
      <c r="DX603" s="1548" t="str">
        <f t="shared" si="17"/>
        <v/>
      </c>
      <c r="DY603" s="1549"/>
      <c r="DZ603" s="1549"/>
      <c r="EA603" s="1549"/>
      <c r="EB603" s="1550"/>
      <c r="EC603" s="1548">
        <f t="shared" si="18"/>
        <v>1954</v>
      </c>
      <c r="ED603" s="1549"/>
      <c r="EE603" s="1549"/>
      <c r="EF603" s="1549"/>
      <c r="EG603" s="1550"/>
      <c r="EH603" s="1548" t="str">
        <f t="shared" si="19"/>
        <v/>
      </c>
      <c r="EI603" s="1549"/>
      <c r="EJ603" s="1549"/>
      <c r="EK603" s="1549"/>
      <c r="EL603" s="1550"/>
      <c r="EM603" s="1548" t="str">
        <f t="shared" si="20"/>
        <v/>
      </c>
      <c r="EN603" s="1549"/>
      <c r="EO603" s="1549"/>
      <c r="EP603" s="1549"/>
      <c r="EQ603" s="1550"/>
      <c r="ER603" s="1548" t="str">
        <f t="shared" si="21"/>
        <v/>
      </c>
      <c r="ES603" s="1549"/>
      <c r="ET603" s="1549"/>
      <c r="EU603" s="1549"/>
      <c r="EV603" s="1550"/>
      <c r="EW603" s="1548" t="str">
        <f t="shared" si="22"/>
        <v/>
      </c>
      <c r="EX603" s="1549"/>
      <c r="EY603" s="1549"/>
      <c r="EZ603" s="1549"/>
      <c r="FA603" s="1550"/>
    </row>
    <row r="604" spans="1:157" ht="12.95" customHeight="1">
      <c r="A604" s="22"/>
      <c r="B604" t="s">
        <v>17</v>
      </c>
      <c r="G604" s="1486"/>
      <c r="H604" s="1486"/>
      <c r="I604" s="1486"/>
      <c r="J604" s="1486"/>
      <c r="K604" s="1486"/>
      <c r="L604" s="1486"/>
      <c r="M604" s="1486"/>
      <c r="N604" s="1486"/>
      <c r="O604" s="1486"/>
      <c r="P604" s="1486"/>
      <c r="Q604" s="1486"/>
      <c r="R604" s="1486"/>
      <c r="T604" s="22"/>
      <c r="U604" t="s">
        <v>17</v>
      </c>
      <c r="Z604" s="1485"/>
      <c r="AA604" s="1485"/>
      <c r="AB604" s="1485"/>
      <c r="AC604" s="1485"/>
      <c r="AD604" s="1485"/>
      <c r="AE604" s="1485"/>
      <c r="AF604" s="1485"/>
      <c r="AG604" s="1485"/>
      <c r="AH604" s="1485"/>
      <c r="AI604" s="1485"/>
      <c r="AJ604" s="1485"/>
      <c r="AK604" s="1485"/>
      <c r="AZ604" s="3"/>
      <c r="BA604" s="3"/>
      <c r="BB604" s="3"/>
      <c r="BC604" s="3"/>
      <c r="BD604" s="3"/>
      <c r="BE604" s="1548">
        <f t="shared" si="1"/>
        <v>0</v>
      </c>
      <c r="BF604" s="1550"/>
      <c r="BG604" s="1558">
        <f t="shared" si="2"/>
        <v>0</v>
      </c>
      <c r="BH604" s="1560"/>
      <c r="BI604" s="1548">
        <f t="shared" si="3"/>
        <v>1</v>
      </c>
      <c r="BJ604" s="1550"/>
      <c r="BK604" s="1558">
        <f t="shared" si="4"/>
        <v>3</v>
      </c>
      <c r="BL604" s="1560"/>
      <c r="BM604" s="3"/>
      <c r="BN604" s="1537">
        <f t="shared" si="5"/>
        <v>0</v>
      </c>
      <c r="BO604" s="1538"/>
      <c r="BP604" s="1538"/>
      <c r="BQ604" s="1538"/>
      <c r="BR604" s="1539"/>
      <c r="BS604" s="1544">
        <f t="shared" si="6"/>
        <v>0</v>
      </c>
      <c r="BT604" s="1544"/>
      <c r="BU604" s="1544"/>
      <c r="BV604" s="1544"/>
      <c r="BW604" s="1544"/>
      <c r="BX604" s="1544">
        <f t="shared" si="7"/>
        <v>3</v>
      </c>
      <c r="BY604" s="1544"/>
      <c r="BZ604" s="1544"/>
      <c r="CA604" s="1544"/>
      <c r="CB604" s="1544"/>
      <c r="CC604" s="1544">
        <f t="shared" si="8"/>
        <v>0</v>
      </c>
      <c r="CD604" s="1544"/>
      <c r="CE604" s="1544"/>
      <c r="CF604" s="1544"/>
      <c r="CG604" s="1544"/>
      <c r="CH604" s="1544">
        <f t="shared" si="9"/>
        <v>0</v>
      </c>
      <c r="CI604" s="1544"/>
      <c r="CJ604" s="1544"/>
      <c r="CK604" s="1544"/>
      <c r="CL604" s="1544"/>
      <c r="CM604" s="1544">
        <f t="shared" si="10"/>
        <v>0</v>
      </c>
      <c r="CN604" s="1544"/>
      <c r="CO604" s="1544"/>
      <c r="CP604" s="1544"/>
      <c r="CQ604" s="1544"/>
      <c r="CR604" s="6"/>
      <c r="CS604" s="1551">
        <f t="shared" si="11"/>
        <v>0</v>
      </c>
      <c r="CT604" s="1551"/>
      <c r="CU604" s="1551"/>
      <c r="CV604" s="1551"/>
      <c r="CW604" s="1551"/>
      <c r="CX604" s="1551">
        <f t="shared" si="12"/>
        <v>0</v>
      </c>
      <c r="CY604" s="1551"/>
      <c r="CZ604" s="1551"/>
      <c r="DA604" s="1551"/>
      <c r="DB604" s="1551"/>
      <c r="DC604" s="1551">
        <f t="shared" si="13"/>
        <v>3</v>
      </c>
      <c r="DD604" s="1551"/>
      <c r="DE604" s="1551"/>
      <c r="DF604" s="1551"/>
      <c r="DG604" s="1551"/>
      <c r="DH604" s="1551">
        <f t="shared" si="14"/>
        <v>0</v>
      </c>
      <c r="DI604" s="1551"/>
      <c r="DJ604" s="1551"/>
      <c r="DK604" s="1551"/>
      <c r="DL604" s="1551"/>
      <c r="DM604" s="1551">
        <f t="shared" si="15"/>
        <v>0</v>
      </c>
      <c r="DN604" s="1551"/>
      <c r="DO604" s="1551"/>
      <c r="DP604" s="1551"/>
      <c r="DQ604" s="1551"/>
      <c r="DR604" s="1551">
        <f t="shared" si="16"/>
        <v>0</v>
      </c>
      <c r="DS604" s="1551"/>
      <c r="DT604" s="1551"/>
      <c r="DU604" s="1551"/>
      <c r="DV604" s="1551"/>
      <c r="DX604" s="1548" t="str">
        <f t="shared" si="17"/>
        <v/>
      </c>
      <c r="DY604" s="1549"/>
      <c r="DZ604" s="1549"/>
      <c r="EA604" s="1549"/>
      <c r="EB604" s="1550"/>
      <c r="EC604" s="1548" t="str">
        <f t="shared" si="18"/>
        <v/>
      </c>
      <c r="ED604" s="1549"/>
      <c r="EE604" s="1549"/>
      <c r="EF604" s="1549"/>
      <c r="EG604" s="1550"/>
      <c r="EH604" s="1548">
        <f t="shared" si="19"/>
        <v>1204</v>
      </c>
      <c r="EI604" s="1549"/>
      <c r="EJ604" s="1549"/>
      <c r="EK604" s="1549"/>
      <c r="EL604" s="1550"/>
      <c r="EM604" s="1548" t="str">
        <f t="shared" si="20"/>
        <v/>
      </c>
      <c r="EN604" s="1549"/>
      <c r="EO604" s="1549"/>
      <c r="EP604" s="1549"/>
      <c r="EQ604" s="1550"/>
      <c r="ER604" s="1548" t="str">
        <f t="shared" si="21"/>
        <v/>
      </c>
      <c r="ES604" s="1549"/>
      <c r="ET604" s="1549"/>
      <c r="EU604" s="1549"/>
      <c r="EV604" s="1550"/>
      <c r="EW604" s="1548" t="str">
        <f t="shared" si="22"/>
        <v/>
      </c>
      <c r="EX604" s="1549"/>
      <c r="EY604" s="1549"/>
      <c r="EZ604" s="1549"/>
      <c r="FA604" s="1550"/>
    </row>
    <row r="605" spans="1:157" s="4" customFormat="1" ht="12.95" customHeight="1">
      <c r="A605" s="22"/>
      <c r="B605" t="s">
        <v>317</v>
      </c>
      <c r="C605"/>
      <c r="D605"/>
      <c r="E605"/>
      <c r="F605"/>
      <c r="G605" s="1480"/>
      <c r="H605" s="1480"/>
      <c r="I605" s="1480"/>
      <c r="J605" s="1480"/>
      <c r="K605" s="1480"/>
      <c r="L605" s="1480"/>
      <c r="M605"/>
      <c r="N605"/>
      <c r="O605" s="33" t="s">
        <v>207</v>
      </c>
      <c r="P605" s="1515"/>
      <c r="Q605" s="1515"/>
      <c r="R605" s="1515"/>
      <c r="S605"/>
      <c r="T605" s="22"/>
      <c r="U605" t="s">
        <v>317</v>
      </c>
      <c r="V605"/>
      <c r="W605"/>
      <c r="X605"/>
      <c r="Y605"/>
      <c r="Z605" s="1480"/>
      <c r="AA605" s="1480"/>
      <c r="AB605" s="1480"/>
      <c r="AC605" s="1480"/>
      <c r="AD605" s="1480"/>
      <c r="AE605" s="1480"/>
      <c r="AF605"/>
      <c r="AG605"/>
      <c r="AH605" s="33" t="s">
        <v>207</v>
      </c>
      <c r="AI605" s="1515"/>
      <c r="AJ605" s="1515"/>
      <c r="AK605" s="1515"/>
      <c r="AL605"/>
      <c r="AM605"/>
      <c r="AN605"/>
      <c r="AO605"/>
      <c r="AP605"/>
      <c r="AQ605"/>
      <c r="AR605"/>
      <c r="AS605"/>
      <c r="AT605"/>
      <c r="AU605"/>
      <c r="AV605"/>
      <c r="AW605"/>
      <c r="AX605"/>
      <c r="AY605"/>
      <c r="AZ605" s="3"/>
      <c r="BA605" s="3"/>
      <c r="BB605" s="3"/>
      <c r="BC605" s="3"/>
      <c r="BD605" s="3"/>
      <c r="BE605" s="1548">
        <f t="shared" si="1"/>
        <v>0</v>
      </c>
      <c r="BF605" s="1550"/>
      <c r="BG605" s="1558">
        <f t="shared" si="2"/>
        <v>0</v>
      </c>
      <c r="BH605" s="1560"/>
      <c r="BI605" s="1548">
        <f t="shared" si="3"/>
        <v>1</v>
      </c>
      <c r="BJ605" s="1550"/>
      <c r="BK605" s="1558">
        <f t="shared" si="4"/>
        <v>10</v>
      </c>
      <c r="BL605" s="1560"/>
      <c r="BM605" s="3"/>
      <c r="BN605" s="1537">
        <f t="shared" si="5"/>
        <v>0</v>
      </c>
      <c r="BO605" s="1538"/>
      <c r="BP605" s="1538"/>
      <c r="BQ605" s="1538"/>
      <c r="BR605" s="1539"/>
      <c r="BS605" s="1544">
        <f t="shared" si="6"/>
        <v>0</v>
      </c>
      <c r="BT605" s="1544"/>
      <c r="BU605" s="1544"/>
      <c r="BV605" s="1544"/>
      <c r="BW605" s="1544"/>
      <c r="BX605" s="1544">
        <f t="shared" si="7"/>
        <v>10</v>
      </c>
      <c r="BY605" s="1544"/>
      <c r="BZ605" s="1544"/>
      <c r="CA605" s="1544"/>
      <c r="CB605" s="1544"/>
      <c r="CC605" s="1544">
        <f t="shared" si="8"/>
        <v>0</v>
      </c>
      <c r="CD605" s="1544"/>
      <c r="CE605" s="1544"/>
      <c r="CF605" s="1544"/>
      <c r="CG605" s="1544"/>
      <c r="CH605" s="1544">
        <f t="shared" si="9"/>
        <v>0</v>
      </c>
      <c r="CI605" s="1544"/>
      <c r="CJ605" s="1544"/>
      <c r="CK605" s="1544"/>
      <c r="CL605" s="1544"/>
      <c r="CM605" s="1544">
        <f t="shared" si="10"/>
        <v>0</v>
      </c>
      <c r="CN605" s="1544"/>
      <c r="CO605" s="1544"/>
      <c r="CP605" s="1544"/>
      <c r="CQ605" s="1544"/>
      <c r="CR605" s="6"/>
      <c r="CS605" s="1551">
        <f t="shared" si="11"/>
        <v>0</v>
      </c>
      <c r="CT605" s="1551"/>
      <c r="CU605" s="1551"/>
      <c r="CV605" s="1551"/>
      <c r="CW605" s="1551"/>
      <c r="CX605" s="1551">
        <f t="shared" si="12"/>
        <v>0</v>
      </c>
      <c r="CY605" s="1551"/>
      <c r="CZ605" s="1551"/>
      <c r="DA605" s="1551"/>
      <c r="DB605" s="1551"/>
      <c r="DC605" s="1551">
        <f t="shared" si="13"/>
        <v>10</v>
      </c>
      <c r="DD605" s="1551"/>
      <c r="DE605" s="1551"/>
      <c r="DF605" s="1551"/>
      <c r="DG605" s="1551"/>
      <c r="DH605" s="1551">
        <f t="shared" si="14"/>
        <v>0</v>
      </c>
      <c r="DI605" s="1551"/>
      <c r="DJ605" s="1551"/>
      <c r="DK605" s="1551"/>
      <c r="DL605" s="1551"/>
      <c r="DM605" s="1551">
        <f t="shared" si="15"/>
        <v>0</v>
      </c>
      <c r="DN605" s="1551"/>
      <c r="DO605" s="1551"/>
      <c r="DP605" s="1551"/>
      <c r="DQ605" s="1551"/>
      <c r="DR605" s="1551">
        <f t="shared" si="16"/>
        <v>0</v>
      </c>
      <c r="DS605" s="1551"/>
      <c r="DT605" s="1551"/>
      <c r="DU605" s="1551"/>
      <c r="DV605" s="1551"/>
      <c r="DX605" s="1548" t="str">
        <f t="shared" si="17"/>
        <v/>
      </c>
      <c r="DY605" s="1549"/>
      <c r="DZ605" s="1549"/>
      <c r="EA605" s="1549"/>
      <c r="EB605" s="1550"/>
      <c r="EC605" s="1548" t="str">
        <f t="shared" si="18"/>
        <v/>
      </c>
      <c r="ED605" s="1549"/>
      <c r="EE605" s="1549"/>
      <c r="EF605" s="1549"/>
      <c r="EG605" s="1550"/>
      <c r="EH605" s="1548">
        <f t="shared" si="19"/>
        <v>1204</v>
      </c>
      <c r="EI605" s="1549"/>
      <c r="EJ605" s="1549"/>
      <c r="EK605" s="1549"/>
      <c r="EL605" s="1550"/>
      <c r="EM605" s="1548" t="str">
        <f t="shared" si="20"/>
        <v/>
      </c>
      <c r="EN605" s="1549"/>
      <c r="EO605" s="1549"/>
      <c r="EP605" s="1549"/>
      <c r="EQ605" s="1550"/>
      <c r="ER605" s="1548" t="str">
        <f t="shared" si="21"/>
        <v/>
      </c>
      <c r="ES605" s="1549"/>
      <c r="ET605" s="1549"/>
      <c r="EU605" s="1549"/>
      <c r="EV605" s="1550"/>
      <c r="EW605" s="1548" t="str">
        <f t="shared" si="22"/>
        <v/>
      </c>
      <c r="EX605" s="1549"/>
      <c r="EY605" s="1549"/>
      <c r="EZ605" s="1549"/>
      <c r="FA605" s="1550"/>
    </row>
    <row r="606" spans="1:157" s="4" customFormat="1" ht="12.95" customHeight="1">
      <c r="A606" s="22"/>
      <c r="B606" t="s">
        <v>18</v>
      </c>
      <c r="C606"/>
      <c r="D606"/>
      <c r="E606"/>
      <c r="F606"/>
      <c r="G606"/>
      <c r="H606" s="1486"/>
      <c r="I606" s="1486"/>
      <c r="J606" s="1486"/>
      <c r="K606" s="1486"/>
      <c r="L606" s="1486"/>
      <c r="M606" s="1486"/>
      <c r="N606" s="1486"/>
      <c r="O606" s="1486"/>
      <c r="P606" s="1486"/>
      <c r="Q606" s="1486"/>
      <c r="R606" s="1486"/>
      <c r="S606"/>
      <c r="T606" s="22"/>
      <c r="U606" t="s">
        <v>18</v>
      </c>
      <c r="V606"/>
      <c r="W606"/>
      <c r="X606"/>
      <c r="Y606"/>
      <c r="Z606"/>
      <c r="AA606" s="1486"/>
      <c r="AB606" s="1486"/>
      <c r="AC606" s="1486"/>
      <c r="AD606" s="1486"/>
      <c r="AE606" s="1486"/>
      <c r="AF606" s="1486"/>
      <c r="AG606" s="1486"/>
      <c r="AH606" s="1486"/>
      <c r="AI606" s="1486"/>
      <c r="AJ606" s="1486"/>
      <c r="AK606" s="1486"/>
      <c r="AL606"/>
      <c r="AM606"/>
      <c r="AN606"/>
      <c r="AO606"/>
      <c r="AP606"/>
      <c r="AQ606"/>
      <c r="AR606"/>
      <c r="AS606"/>
      <c r="AT606"/>
      <c r="AU606"/>
      <c r="AV606"/>
      <c r="AW606"/>
      <c r="AX606"/>
      <c r="AY606"/>
      <c r="AZ606" s="3"/>
      <c r="BA606" s="3"/>
      <c r="BB606" s="3"/>
      <c r="BC606" s="3"/>
      <c r="BD606" s="3"/>
      <c r="BE606" s="1548">
        <f t="shared" si="1"/>
        <v>1</v>
      </c>
      <c r="BF606" s="1550"/>
      <c r="BG606" s="1558">
        <f t="shared" si="2"/>
        <v>11</v>
      </c>
      <c r="BH606" s="1560"/>
      <c r="BI606" s="1548">
        <f t="shared" si="3"/>
        <v>0</v>
      </c>
      <c r="BJ606" s="1550"/>
      <c r="BK606" s="1558">
        <f t="shared" si="4"/>
        <v>0</v>
      </c>
      <c r="BL606" s="1560"/>
      <c r="BM606" s="3"/>
      <c r="BN606" s="1537">
        <f t="shared" si="5"/>
        <v>0</v>
      </c>
      <c r="BO606" s="1538"/>
      <c r="BP606" s="1538"/>
      <c r="BQ606" s="1538"/>
      <c r="BR606" s="1539"/>
      <c r="BS606" s="1544">
        <f t="shared" si="6"/>
        <v>0</v>
      </c>
      <c r="BT606" s="1544"/>
      <c r="BU606" s="1544"/>
      <c r="BV606" s="1544"/>
      <c r="BW606" s="1544"/>
      <c r="BX606" s="1544">
        <f t="shared" si="7"/>
        <v>11</v>
      </c>
      <c r="BY606" s="1544"/>
      <c r="BZ606" s="1544"/>
      <c r="CA606" s="1544"/>
      <c r="CB606" s="1544"/>
      <c r="CC606" s="1544">
        <f t="shared" si="8"/>
        <v>0</v>
      </c>
      <c r="CD606" s="1544"/>
      <c r="CE606" s="1544"/>
      <c r="CF606" s="1544"/>
      <c r="CG606" s="1544"/>
      <c r="CH606" s="1544">
        <f t="shared" si="9"/>
        <v>0</v>
      </c>
      <c r="CI606" s="1544"/>
      <c r="CJ606" s="1544"/>
      <c r="CK606" s="1544"/>
      <c r="CL606" s="1544"/>
      <c r="CM606" s="1544">
        <f t="shared" si="10"/>
        <v>0</v>
      </c>
      <c r="CN606" s="1544"/>
      <c r="CO606" s="1544"/>
      <c r="CP606" s="1544"/>
      <c r="CQ606" s="1544"/>
      <c r="CR606" s="6"/>
      <c r="CS606" s="1551">
        <f t="shared" si="11"/>
        <v>0</v>
      </c>
      <c r="CT606" s="1551"/>
      <c r="CU606" s="1551"/>
      <c r="CV606" s="1551"/>
      <c r="CW606" s="1551"/>
      <c r="CX606" s="1551">
        <f t="shared" si="12"/>
        <v>0</v>
      </c>
      <c r="CY606" s="1551"/>
      <c r="CZ606" s="1551"/>
      <c r="DA606" s="1551"/>
      <c r="DB606" s="1551"/>
      <c r="DC606" s="1551">
        <f t="shared" si="13"/>
        <v>0</v>
      </c>
      <c r="DD606" s="1551"/>
      <c r="DE606" s="1551"/>
      <c r="DF606" s="1551"/>
      <c r="DG606" s="1551"/>
      <c r="DH606" s="1551">
        <f t="shared" si="14"/>
        <v>0</v>
      </c>
      <c r="DI606" s="1551"/>
      <c r="DJ606" s="1551"/>
      <c r="DK606" s="1551"/>
      <c r="DL606" s="1551"/>
      <c r="DM606" s="1551">
        <f t="shared" si="15"/>
        <v>0</v>
      </c>
      <c r="DN606" s="1551"/>
      <c r="DO606" s="1551"/>
      <c r="DP606" s="1551"/>
      <c r="DQ606" s="1551"/>
      <c r="DR606" s="1551">
        <f t="shared" si="16"/>
        <v>0</v>
      </c>
      <c r="DS606" s="1551"/>
      <c r="DT606" s="1551"/>
      <c r="DU606" s="1551"/>
      <c r="DV606" s="1551"/>
      <c r="DX606" s="1548" t="str">
        <f t="shared" si="17"/>
        <v/>
      </c>
      <c r="DY606" s="1549"/>
      <c r="DZ606" s="1549"/>
      <c r="EA606" s="1549"/>
      <c r="EB606" s="1550"/>
      <c r="EC606" s="1548" t="str">
        <f t="shared" si="18"/>
        <v/>
      </c>
      <c r="ED606" s="1549"/>
      <c r="EE606" s="1549"/>
      <c r="EF606" s="1549"/>
      <c r="EG606" s="1550"/>
      <c r="EH606" s="1548">
        <f t="shared" si="19"/>
        <v>1934</v>
      </c>
      <c r="EI606" s="1549"/>
      <c r="EJ606" s="1549"/>
      <c r="EK606" s="1549"/>
      <c r="EL606" s="1550"/>
      <c r="EM606" s="1548" t="str">
        <f t="shared" si="20"/>
        <v/>
      </c>
      <c r="EN606" s="1549"/>
      <c r="EO606" s="1549"/>
      <c r="EP606" s="1549"/>
      <c r="EQ606" s="1550"/>
      <c r="ER606" s="1548" t="str">
        <f t="shared" si="21"/>
        <v/>
      </c>
      <c r="ES606" s="1549"/>
      <c r="ET606" s="1549"/>
      <c r="EU606" s="1549"/>
      <c r="EV606" s="1550"/>
      <c r="EW606" s="1548" t="str">
        <f t="shared" si="22"/>
        <v/>
      </c>
      <c r="EX606" s="1549"/>
      <c r="EY606" s="1549"/>
      <c r="EZ606" s="1549"/>
      <c r="FA606" s="1550"/>
    </row>
    <row r="607" spans="1:157" s="4" customFormat="1" ht="12.95" customHeight="1">
      <c r="A607" s="22"/>
      <c r="B607" t="s">
        <v>20</v>
      </c>
      <c r="C607"/>
      <c r="D607"/>
      <c r="E607"/>
      <c r="F607"/>
      <c r="G607"/>
      <c r="H607"/>
      <c r="I607"/>
      <c r="J607"/>
      <c r="K607"/>
      <c r="L607"/>
      <c r="M607"/>
      <c r="N607" s="1479" t="s">
        <v>677</v>
      </c>
      <c r="O607" s="1479"/>
      <c r="P607"/>
      <c r="Q607"/>
      <c r="R607"/>
      <c r="S607"/>
      <c r="T607" s="22"/>
      <c r="U607" t="s">
        <v>20</v>
      </c>
      <c r="V607"/>
      <c r="W607"/>
      <c r="X607"/>
      <c r="Y607"/>
      <c r="Z607"/>
      <c r="AA607"/>
      <c r="AB607"/>
      <c r="AC607"/>
      <c r="AD607"/>
      <c r="AE607"/>
      <c r="AF607"/>
      <c r="AG607" s="1479" t="s">
        <v>677</v>
      </c>
      <c r="AH607" s="1479"/>
      <c r="AI607"/>
      <c r="AJ607"/>
      <c r="AK607"/>
      <c r="AL607"/>
      <c r="AM607"/>
      <c r="AN607"/>
      <c r="AO607"/>
      <c r="AP607"/>
      <c r="AQ607"/>
      <c r="AR607"/>
      <c r="AS607"/>
      <c r="AT607"/>
      <c r="AU607"/>
      <c r="AV607"/>
      <c r="AW607"/>
      <c r="AX607"/>
      <c r="AY607"/>
      <c r="AZ607" s="3"/>
      <c r="BA607" s="3"/>
      <c r="BB607" s="3"/>
      <c r="BC607" s="3"/>
      <c r="BD607" s="3"/>
      <c r="BE607" s="1548">
        <f t="shared" si="1"/>
        <v>0</v>
      </c>
      <c r="BF607" s="1550"/>
      <c r="BG607" s="1558">
        <f t="shared" si="2"/>
        <v>0</v>
      </c>
      <c r="BH607" s="1560"/>
      <c r="BI607" s="1548">
        <f t="shared" si="3"/>
        <v>0</v>
      </c>
      <c r="BJ607" s="1550"/>
      <c r="BK607" s="1558">
        <f t="shared" si="4"/>
        <v>0</v>
      </c>
      <c r="BL607" s="1560"/>
      <c r="BM607" s="3"/>
      <c r="BN607" s="1537">
        <f t="shared" si="5"/>
        <v>0</v>
      </c>
      <c r="BO607" s="1538"/>
      <c r="BP607" s="1538"/>
      <c r="BQ607" s="1538"/>
      <c r="BR607" s="1539"/>
      <c r="BS607" s="1544">
        <f t="shared" si="6"/>
        <v>0</v>
      </c>
      <c r="BT607" s="1544"/>
      <c r="BU607" s="1544"/>
      <c r="BV607" s="1544"/>
      <c r="BW607" s="1544"/>
      <c r="BX607" s="1544">
        <f t="shared" si="7"/>
        <v>24</v>
      </c>
      <c r="BY607" s="1544"/>
      <c r="BZ607" s="1544"/>
      <c r="CA607" s="1544"/>
      <c r="CB607" s="1544"/>
      <c r="CC607" s="1544">
        <f t="shared" si="8"/>
        <v>0</v>
      </c>
      <c r="CD607" s="1544"/>
      <c r="CE607" s="1544"/>
      <c r="CF607" s="1544"/>
      <c r="CG607" s="1544"/>
      <c r="CH607" s="1544">
        <f t="shared" si="9"/>
        <v>0</v>
      </c>
      <c r="CI607" s="1544"/>
      <c r="CJ607" s="1544"/>
      <c r="CK607" s="1544"/>
      <c r="CL607" s="1544"/>
      <c r="CM607" s="1544">
        <f t="shared" si="10"/>
        <v>0</v>
      </c>
      <c r="CN607" s="1544"/>
      <c r="CO607" s="1544"/>
      <c r="CP607" s="1544"/>
      <c r="CQ607" s="1544"/>
      <c r="CR607" s="6"/>
      <c r="CS607" s="1551">
        <f t="shared" si="11"/>
        <v>0</v>
      </c>
      <c r="CT607" s="1551"/>
      <c r="CU607" s="1551"/>
      <c r="CV607" s="1551"/>
      <c r="CW607" s="1551"/>
      <c r="CX607" s="1551">
        <f t="shared" si="12"/>
        <v>0</v>
      </c>
      <c r="CY607" s="1551"/>
      <c r="CZ607" s="1551"/>
      <c r="DA607" s="1551"/>
      <c r="DB607" s="1551"/>
      <c r="DC607" s="1551">
        <f t="shared" si="13"/>
        <v>0</v>
      </c>
      <c r="DD607" s="1551"/>
      <c r="DE607" s="1551"/>
      <c r="DF607" s="1551"/>
      <c r="DG607" s="1551"/>
      <c r="DH607" s="1551">
        <f t="shared" si="14"/>
        <v>0</v>
      </c>
      <c r="DI607" s="1551"/>
      <c r="DJ607" s="1551"/>
      <c r="DK607" s="1551"/>
      <c r="DL607" s="1551"/>
      <c r="DM607" s="1551">
        <f t="shared" si="15"/>
        <v>0</v>
      </c>
      <c r="DN607" s="1551"/>
      <c r="DO607" s="1551"/>
      <c r="DP607" s="1551"/>
      <c r="DQ607" s="1551"/>
      <c r="DR607" s="1551">
        <f t="shared" si="16"/>
        <v>0</v>
      </c>
      <c r="DS607" s="1551"/>
      <c r="DT607" s="1551"/>
      <c r="DU607" s="1551"/>
      <c r="DV607" s="1551"/>
      <c r="DX607" s="1548" t="str">
        <f t="shared" si="17"/>
        <v/>
      </c>
      <c r="DY607" s="1549"/>
      <c r="DZ607" s="1549"/>
      <c r="EA607" s="1549"/>
      <c r="EB607" s="1550"/>
      <c r="EC607" s="1548" t="str">
        <f t="shared" si="18"/>
        <v/>
      </c>
      <c r="ED607" s="1549"/>
      <c r="EE607" s="1549"/>
      <c r="EF607" s="1549"/>
      <c r="EG607" s="1550"/>
      <c r="EH607" s="1548">
        <f t="shared" si="19"/>
        <v>2336</v>
      </c>
      <c r="EI607" s="1549"/>
      <c r="EJ607" s="1549"/>
      <c r="EK607" s="1549"/>
      <c r="EL607" s="1550"/>
      <c r="EM607" s="1548" t="str">
        <f t="shared" si="20"/>
        <v/>
      </c>
      <c r="EN607" s="1549"/>
      <c r="EO607" s="1549"/>
      <c r="EP607" s="1549"/>
      <c r="EQ607" s="1550"/>
      <c r="ER607" s="1548" t="str">
        <f t="shared" si="21"/>
        <v/>
      </c>
      <c r="ES607" s="1549"/>
      <c r="ET607" s="1549"/>
      <c r="EU607" s="1549"/>
      <c r="EV607" s="1550"/>
      <c r="EW607" s="1548" t="str">
        <f t="shared" si="22"/>
        <v/>
      </c>
      <c r="EX607" s="1549"/>
      <c r="EY607" s="1549"/>
      <c r="EZ607" s="1549"/>
      <c r="FA607" s="1550"/>
    </row>
    <row r="608" spans="1:157" ht="12.95" customHeight="1">
      <c r="A608" s="22"/>
      <c r="T608" s="22"/>
      <c r="AZ608" s="3"/>
      <c r="BA608" s="3"/>
      <c r="BB608" s="3"/>
      <c r="BC608" s="3"/>
      <c r="BD608" s="3"/>
      <c r="BE608" s="1548">
        <f t="shared" si="1"/>
        <v>0</v>
      </c>
      <c r="BF608" s="1550"/>
      <c r="BG608" s="1558">
        <f t="shared" si="2"/>
        <v>0</v>
      </c>
      <c r="BH608" s="1560"/>
      <c r="BI608" s="1548">
        <f t="shared" si="3"/>
        <v>1</v>
      </c>
      <c r="BJ608" s="1550"/>
      <c r="BK608" s="1558">
        <f t="shared" si="4"/>
        <v>4</v>
      </c>
      <c r="BL608" s="1560"/>
      <c r="BM608" s="3"/>
      <c r="BN608" s="1537">
        <f t="shared" si="5"/>
        <v>0</v>
      </c>
      <c r="BO608" s="1538"/>
      <c r="BP608" s="1538"/>
      <c r="BQ608" s="1538"/>
      <c r="BR608" s="1539"/>
      <c r="BS608" s="1544">
        <f t="shared" si="6"/>
        <v>0</v>
      </c>
      <c r="BT608" s="1544"/>
      <c r="BU608" s="1544"/>
      <c r="BV608" s="1544"/>
      <c r="BW608" s="1544"/>
      <c r="BX608" s="1544">
        <f t="shared" si="7"/>
        <v>0</v>
      </c>
      <c r="BY608" s="1544"/>
      <c r="BZ608" s="1544"/>
      <c r="CA608" s="1544"/>
      <c r="CB608" s="1544"/>
      <c r="CC608" s="1544">
        <f t="shared" si="8"/>
        <v>4</v>
      </c>
      <c r="CD608" s="1544"/>
      <c r="CE608" s="1544"/>
      <c r="CF608" s="1544"/>
      <c r="CG608" s="1544"/>
      <c r="CH608" s="1544">
        <f t="shared" si="9"/>
        <v>0</v>
      </c>
      <c r="CI608" s="1544"/>
      <c r="CJ608" s="1544"/>
      <c r="CK608" s="1544"/>
      <c r="CL608" s="1544"/>
      <c r="CM608" s="1544">
        <f t="shared" si="10"/>
        <v>0</v>
      </c>
      <c r="CN608" s="1544"/>
      <c r="CO608" s="1544"/>
      <c r="CP608" s="1544"/>
      <c r="CQ608" s="1544"/>
      <c r="CR608" s="6"/>
      <c r="CS608" s="1551">
        <f t="shared" si="11"/>
        <v>0</v>
      </c>
      <c r="CT608" s="1551"/>
      <c r="CU608" s="1551"/>
      <c r="CV608" s="1551"/>
      <c r="CW608" s="1551"/>
      <c r="CX608" s="1551">
        <f t="shared" si="12"/>
        <v>0</v>
      </c>
      <c r="CY608" s="1551"/>
      <c r="CZ608" s="1551"/>
      <c r="DA608" s="1551"/>
      <c r="DB608" s="1551"/>
      <c r="DC608" s="1551">
        <f t="shared" si="13"/>
        <v>0</v>
      </c>
      <c r="DD608" s="1551"/>
      <c r="DE608" s="1551"/>
      <c r="DF608" s="1551"/>
      <c r="DG608" s="1551"/>
      <c r="DH608" s="1551">
        <f t="shared" si="14"/>
        <v>4</v>
      </c>
      <c r="DI608" s="1551"/>
      <c r="DJ608" s="1551"/>
      <c r="DK608" s="1551"/>
      <c r="DL608" s="1551"/>
      <c r="DM608" s="1551">
        <f t="shared" si="15"/>
        <v>0</v>
      </c>
      <c r="DN608" s="1551"/>
      <c r="DO608" s="1551"/>
      <c r="DP608" s="1551"/>
      <c r="DQ608" s="1551"/>
      <c r="DR608" s="1551">
        <f t="shared" si="16"/>
        <v>0</v>
      </c>
      <c r="DS608" s="1551"/>
      <c r="DT608" s="1551"/>
      <c r="DU608" s="1551"/>
      <c r="DV608" s="1551"/>
      <c r="DX608" s="1548" t="str">
        <f t="shared" si="17"/>
        <v/>
      </c>
      <c r="DY608" s="1549"/>
      <c r="DZ608" s="1549"/>
      <c r="EA608" s="1549"/>
      <c r="EB608" s="1550"/>
      <c r="EC608" s="1548" t="str">
        <f t="shared" si="18"/>
        <v/>
      </c>
      <c r="ED608" s="1549"/>
      <c r="EE608" s="1549"/>
      <c r="EF608" s="1549"/>
      <c r="EG608" s="1550"/>
      <c r="EH608" s="1548" t="str">
        <f t="shared" si="19"/>
        <v/>
      </c>
      <c r="EI608" s="1549"/>
      <c r="EJ608" s="1549"/>
      <c r="EK608" s="1549"/>
      <c r="EL608" s="1550"/>
      <c r="EM608" s="1548">
        <f t="shared" si="20"/>
        <v>1391</v>
      </c>
      <c r="EN608" s="1549"/>
      <c r="EO608" s="1549"/>
      <c r="EP608" s="1549"/>
      <c r="EQ608" s="1550"/>
      <c r="ER608" s="1548" t="str">
        <f t="shared" si="21"/>
        <v/>
      </c>
      <c r="ES608" s="1549"/>
      <c r="ET608" s="1549"/>
      <c r="EU608" s="1549"/>
      <c r="EV608" s="1550"/>
      <c r="EW608" s="1548" t="str">
        <f t="shared" si="22"/>
        <v/>
      </c>
      <c r="EX608" s="1549"/>
      <c r="EY608" s="1549"/>
      <c r="EZ608" s="1549"/>
      <c r="FA608" s="1550"/>
    </row>
    <row r="609" spans="1:157" ht="12.95" customHeight="1">
      <c r="A609" s="55" t="s">
        <v>363</v>
      </c>
      <c r="B609" t="s">
        <v>471</v>
      </c>
      <c r="G609" s="1481">
        <f>C564</f>
        <v>0</v>
      </c>
      <c r="H609" s="1481"/>
      <c r="I609" s="1481"/>
      <c r="J609" s="1481"/>
      <c r="K609" s="1481"/>
      <c r="L609" s="1481"/>
      <c r="M609" s="1481"/>
      <c r="N609" s="1481"/>
      <c r="O609" s="1481"/>
      <c r="P609" s="1481"/>
      <c r="Q609" s="1481"/>
      <c r="R609" s="1481"/>
      <c r="T609" s="55" t="s">
        <v>364</v>
      </c>
      <c r="U609" t="s">
        <v>471</v>
      </c>
      <c r="Z609" s="1481">
        <f>C565</f>
        <v>0</v>
      </c>
      <c r="AA609" s="1481"/>
      <c r="AB609" s="1481"/>
      <c r="AC609" s="1481"/>
      <c r="AD609" s="1481"/>
      <c r="AE609" s="1481"/>
      <c r="AF609" s="1481"/>
      <c r="AG609" s="1481"/>
      <c r="AH609" s="1481"/>
      <c r="AI609" s="1481"/>
      <c r="AJ609" s="1481"/>
      <c r="AK609" s="1481"/>
      <c r="AZ609" s="3"/>
      <c r="BA609" s="3"/>
      <c r="BB609" s="3"/>
      <c r="BC609" s="3"/>
      <c r="BD609" s="3"/>
      <c r="BE609" s="1548">
        <f t="shared" si="1"/>
        <v>0</v>
      </c>
      <c r="BF609" s="1550"/>
      <c r="BG609" s="1558">
        <f t="shared" si="2"/>
        <v>0</v>
      </c>
      <c r="BH609" s="1560"/>
      <c r="BI609" s="1548">
        <f t="shared" si="3"/>
        <v>1</v>
      </c>
      <c r="BJ609" s="1550"/>
      <c r="BK609" s="1558">
        <f t="shared" si="4"/>
        <v>10</v>
      </c>
      <c r="BL609" s="1560"/>
      <c r="BM609" s="3"/>
      <c r="BN609" s="1537">
        <f t="shared" si="5"/>
        <v>0</v>
      </c>
      <c r="BO609" s="1538"/>
      <c r="BP609" s="1538"/>
      <c r="BQ609" s="1538"/>
      <c r="BR609" s="1539"/>
      <c r="BS609" s="1544">
        <f t="shared" si="6"/>
        <v>0</v>
      </c>
      <c r="BT609" s="1544"/>
      <c r="BU609" s="1544"/>
      <c r="BV609" s="1544"/>
      <c r="BW609" s="1544"/>
      <c r="BX609" s="1544">
        <f t="shared" si="7"/>
        <v>0</v>
      </c>
      <c r="BY609" s="1544"/>
      <c r="BZ609" s="1544"/>
      <c r="CA609" s="1544"/>
      <c r="CB609" s="1544"/>
      <c r="CC609" s="1544">
        <f t="shared" si="8"/>
        <v>10</v>
      </c>
      <c r="CD609" s="1544"/>
      <c r="CE609" s="1544"/>
      <c r="CF609" s="1544"/>
      <c r="CG609" s="1544"/>
      <c r="CH609" s="1544">
        <f t="shared" si="9"/>
        <v>0</v>
      </c>
      <c r="CI609" s="1544"/>
      <c r="CJ609" s="1544"/>
      <c r="CK609" s="1544"/>
      <c r="CL609" s="1544"/>
      <c r="CM609" s="1544">
        <f t="shared" si="10"/>
        <v>0</v>
      </c>
      <c r="CN609" s="1544"/>
      <c r="CO609" s="1544"/>
      <c r="CP609" s="1544"/>
      <c r="CQ609" s="1544"/>
      <c r="CR609" s="6"/>
      <c r="CS609" s="1551">
        <f t="shared" si="11"/>
        <v>0</v>
      </c>
      <c r="CT609" s="1551"/>
      <c r="CU609" s="1551"/>
      <c r="CV609" s="1551"/>
      <c r="CW609" s="1551"/>
      <c r="CX609" s="1551">
        <f t="shared" si="12"/>
        <v>0</v>
      </c>
      <c r="CY609" s="1551"/>
      <c r="CZ609" s="1551"/>
      <c r="DA609" s="1551"/>
      <c r="DB609" s="1551"/>
      <c r="DC609" s="1551">
        <f t="shared" si="13"/>
        <v>0</v>
      </c>
      <c r="DD609" s="1551"/>
      <c r="DE609" s="1551"/>
      <c r="DF609" s="1551"/>
      <c r="DG609" s="1551"/>
      <c r="DH609" s="1551">
        <f t="shared" si="14"/>
        <v>10</v>
      </c>
      <c r="DI609" s="1551"/>
      <c r="DJ609" s="1551"/>
      <c r="DK609" s="1551"/>
      <c r="DL609" s="1551"/>
      <c r="DM609" s="1551">
        <f t="shared" si="15"/>
        <v>0</v>
      </c>
      <c r="DN609" s="1551"/>
      <c r="DO609" s="1551"/>
      <c r="DP609" s="1551"/>
      <c r="DQ609" s="1551"/>
      <c r="DR609" s="1551">
        <f t="shared" si="16"/>
        <v>0</v>
      </c>
      <c r="DS609" s="1551"/>
      <c r="DT609" s="1551"/>
      <c r="DU609" s="1551"/>
      <c r="DV609" s="1551"/>
      <c r="DX609" s="1548" t="str">
        <f t="shared" si="17"/>
        <v/>
      </c>
      <c r="DY609" s="1549"/>
      <c r="DZ609" s="1549"/>
      <c r="EA609" s="1549"/>
      <c r="EB609" s="1550"/>
      <c r="EC609" s="1548" t="str">
        <f t="shared" si="18"/>
        <v/>
      </c>
      <c r="ED609" s="1549"/>
      <c r="EE609" s="1549"/>
      <c r="EF609" s="1549"/>
      <c r="EG609" s="1550"/>
      <c r="EH609" s="1548" t="str">
        <f t="shared" si="19"/>
        <v/>
      </c>
      <c r="EI609" s="1549"/>
      <c r="EJ609" s="1549"/>
      <c r="EK609" s="1549"/>
      <c r="EL609" s="1550"/>
      <c r="EM609" s="1548">
        <f t="shared" si="20"/>
        <v>1391</v>
      </c>
      <c r="EN609" s="1549"/>
      <c r="EO609" s="1549"/>
      <c r="EP609" s="1549"/>
      <c r="EQ609" s="1550"/>
      <c r="ER609" s="1548" t="str">
        <f t="shared" si="21"/>
        <v/>
      </c>
      <c r="ES609" s="1549"/>
      <c r="ET609" s="1549"/>
      <c r="EU609" s="1549"/>
      <c r="EV609" s="1550"/>
      <c r="EW609" s="1548" t="str">
        <f t="shared" si="22"/>
        <v/>
      </c>
      <c r="EX609" s="1549"/>
      <c r="EY609" s="1549"/>
      <c r="EZ609" s="1549"/>
      <c r="FA609" s="1550"/>
    </row>
    <row r="610" spans="1:157" ht="12.95" customHeight="1">
      <c r="B610" t="s">
        <v>85</v>
      </c>
      <c r="G610" s="1486"/>
      <c r="H610" s="1486"/>
      <c r="I610" s="1486"/>
      <c r="J610" s="1486"/>
      <c r="K610" s="1486"/>
      <c r="L610" s="1486"/>
      <c r="M610" s="1486"/>
      <c r="N610" s="1486"/>
      <c r="O610" s="1486"/>
      <c r="P610" s="1486"/>
      <c r="Q610" s="1486"/>
      <c r="R610" s="1486"/>
      <c r="U610" t="s">
        <v>85</v>
      </c>
      <c r="Z610" s="1486"/>
      <c r="AA610" s="1486"/>
      <c r="AB610" s="1486"/>
      <c r="AC610" s="1486"/>
      <c r="AD610" s="1486"/>
      <c r="AE610" s="1486"/>
      <c r="AF610" s="1486"/>
      <c r="AG610" s="1486"/>
      <c r="AH610" s="1486"/>
      <c r="AI610" s="1486"/>
      <c r="AJ610" s="1486"/>
      <c r="AK610" s="1486"/>
      <c r="AZ610" s="3"/>
      <c r="BA610" s="3"/>
      <c r="BB610" s="3"/>
      <c r="BC610" s="3"/>
      <c r="BD610" s="3"/>
      <c r="BE610" s="1548">
        <f t="shared" si="1"/>
        <v>1</v>
      </c>
      <c r="BF610" s="1550"/>
      <c r="BG610" s="1558">
        <f t="shared" si="2"/>
        <v>12</v>
      </c>
      <c r="BH610" s="1560"/>
      <c r="BI610" s="1548">
        <f t="shared" si="3"/>
        <v>0</v>
      </c>
      <c r="BJ610" s="1550"/>
      <c r="BK610" s="1558">
        <f t="shared" si="4"/>
        <v>0</v>
      </c>
      <c r="BL610" s="1560"/>
      <c r="BM610" s="3"/>
      <c r="BN610" s="1537">
        <f t="shared" si="5"/>
        <v>0</v>
      </c>
      <c r="BO610" s="1538"/>
      <c r="BP610" s="1538"/>
      <c r="BQ610" s="1538"/>
      <c r="BR610" s="1539"/>
      <c r="BS610" s="1544">
        <f t="shared" si="6"/>
        <v>0</v>
      </c>
      <c r="BT610" s="1544"/>
      <c r="BU610" s="1544"/>
      <c r="BV610" s="1544"/>
      <c r="BW610" s="1544"/>
      <c r="BX610" s="1544">
        <f t="shared" si="7"/>
        <v>0</v>
      </c>
      <c r="BY610" s="1544"/>
      <c r="BZ610" s="1544"/>
      <c r="CA610" s="1544"/>
      <c r="CB610" s="1544"/>
      <c r="CC610" s="1544">
        <f t="shared" si="8"/>
        <v>12</v>
      </c>
      <c r="CD610" s="1544"/>
      <c r="CE610" s="1544"/>
      <c r="CF610" s="1544"/>
      <c r="CG610" s="1544"/>
      <c r="CH610" s="1544">
        <f t="shared" si="9"/>
        <v>0</v>
      </c>
      <c r="CI610" s="1544"/>
      <c r="CJ610" s="1544"/>
      <c r="CK610" s="1544"/>
      <c r="CL610" s="1544"/>
      <c r="CM610" s="1544">
        <f t="shared" si="10"/>
        <v>0</v>
      </c>
      <c r="CN610" s="1544"/>
      <c r="CO610" s="1544"/>
      <c r="CP610" s="1544"/>
      <c r="CQ610" s="1544"/>
      <c r="CR610" s="6"/>
      <c r="CS610" s="1551">
        <f t="shared" si="11"/>
        <v>0</v>
      </c>
      <c r="CT610" s="1551"/>
      <c r="CU610" s="1551"/>
      <c r="CV610" s="1551"/>
      <c r="CW610" s="1551"/>
      <c r="CX610" s="1551">
        <f t="shared" si="12"/>
        <v>0</v>
      </c>
      <c r="CY610" s="1551"/>
      <c r="CZ610" s="1551"/>
      <c r="DA610" s="1551"/>
      <c r="DB610" s="1551"/>
      <c r="DC610" s="1551">
        <f t="shared" si="13"/>
        <v>0</v>
      </c>
      <c r="DD610" s="1551"/>
      <c r="DE610" s="1551"/>
      <c r="DF610" s="1551"/>
      <c r="DG610" s="1551"/>
      <c r="DH610" s="1551">
        <f t="shared" si="14"/>
        <v>0</v>
      </c>
      <c r="DI610" s="1551"/>
      <c r="DJ610" s="1551"/>
      <c r="DK610" s="1551"/>
      <c r="DL610" s="1551"/>
      <c r="DM610" s="1551">
        <f t="shared" si="15"/>
        <v>0</v>
      </c>
      <c r="DN610" s="1551"/>
      <c r="DO610" s="1551"/>
      <c r="DP610" s="1551"/>
      <c r="DQ610" s="1551"/>
      <c r="DR610" s="1551">
        <f t="shared" si="16"/>
        <v>0</v>
      </c>
      <c r="DS610" s="1551"/>
      <c r="DT610" s="1551"/>
      <c r="DU610" s="1551"/>
      <c r="DV610" s="1551"/>
      <c r="DX610" s="1548" t="str">
        <f t="shared" si="17"/>
        <v/>
      </c>
      <c r="DY610" s="1549"/>
      <c r="DZ610" s="1549"/>
      <c r="EA610" s="1549"/>
      <c r="EB610" s="1550"/>
      <c r="EC610" s="1548" t="str">
        <f t="shared" si="18"/>
        <v/>
      </c>
      <c r="ED610" s="1549"/>
      <c r="EE610" s="1549"/>
      <c r="EF610" s="1549"/>
      <c r="EG610" s="1550"/>
      <c r="EH610" s="1548" t="str">
        <f t="shared" si="19"/>
        <v/>
      </c>
      <c r="EI610" s="1549"/>
      <c r="EJ610" s="1549"/>
      <c r="EK610" s="1549"/>
      <c r="EL610" s="1550"/>
      <c r="EM610" s="1548">
        <f t="shared" si="20"/>
        <v>2227</v>
      </c>
      <c r="EN610" s="1549"/>
      <c r="EO610" s="1549"/>
      <c r="EP610" s="1549"/>
      <c r="EQ610" s="1550"/>
      <c r="ER610" s="1548" t="str">
        <f t="shared" si="21"/>
        <v/>
      </c>
      <c r="ES610" s="1549"/>
      <c r="ET610" s="1549"/>
      <c r="EU610" s="1549"/>
      <c r="EV610" s="1550"/>
      <c r="EW610" s="1548" t="str">
        <f t="shared" si="22"/>
        <v/>
      </c>
      <c r="EX610" s="1549"/>
      <c r="EY610" s="1549"/>
      <c r="EZ610" s="1549"/>
      <c r="FA610" s="1550"/>
    </row>
    <row r="611" spans="1:157" ht="12.95" customHeight="1">
      <c r="B611" t="s">
        <v>588</v>
      </c>
      <c r="G611" s="1486"/>
      <c r="H611" s="1486"/>
      <c r="I611" s="1486"/>
      <c r="J611" s="1486"/>
      <c r="K611" s="1486"/>
      <c r="L611" s="1486"/>
      <c r="M611" s="1486"/>
      <c r="N611" s="1486"/>
      <c r="O611" s="1486"/>
      <c r="P611" s="1486"/>
      <c r="Q611" s="1486"/>
      <c r="R611" s="1486"/>
      <c r="U611" t="s">
        <v>588</v>
      </c>
      <c r="Z611" s="1485"/>
      <c r="AA611" s="1485"/>
      <c r="AB611" s="1485"/>
      <c r="AC611" s="1485"/>
      <c r="AD611" s="1485"/>
      <c r="AE611" s="1485"/>
      <c r="AF611" s="1485"/>
      <c r="AG611" s="1485"/>
      <c r="AH611" s="1485"/>
      <c r="AI611" s="1485"/>
      <c r="AJ611" s="1485"/>
      <c r="AK611" s="1485"/>
      <c r="AZ611" s="3"/>
      <c r="BA611" s="3"/>
      <c r="BB611" s="3"/>
      <c r="BC611" s="3"/>
      <c r="BD611" s="3"/>
      <c r="BE611" s="1548">
        <f t="shared" si="1"/>
        <v>0</v>
      </c>
      <c r="BF611" s="1550"/>
      <c r="BG611" s="1558">
        <f t="shared" si="2"/>
        <v>0</v>
      </c>
      <c r="BH611" s="1560"/>
      <c r="BI611" s="1548">
        <f t="shared" si="3"/>
        <v>0</v>
      </c>
      <c r="BJ611" s="1550"/>
      <c r="BK611" s="1558">
        <f t="shared" si="4"/>
        <v>0</v>
      </c>
      <c r="BL611" s="1560"/>
      <c r="BM611" s="3"/>
      <c r="BN611" s="1537">
        <f t="shared" si="5"/>
        <v>0</v>
      </c>
      <c r="BO611" s="1538"/>
      <c r="BP611" s="1538"/>
      <c r="BQ611" s="1538"/>
      <c r="BR611" s="1539"/>
      <c r="BS611" s="1544">
        <f t="shared" si="6"/>
        <v>0</v>
      </c>
      <c r="BT611" s="1544"/>
      <c r="BU611" s="1544"/>
      <c r="BV611" s="1544"/>
      <c r="BW611" s="1544"/>
      <c r="BX611" s="1544">
        <f t="shared" si="7"/>
        <v>0</v>
      </c>
      <c r="BY611" s="1544"/>
      <c r="BZ611" s="1544"/>
      <c r="CA611" s="1544"/>
      <c r="CB611" s="1544"/>
      <c r="CC611" s="1544">
        <f t="shared" si="8"/>
        <v>22</v>
      </c>
      <c r="CD611" s="1544"/>
      <c r="CE611" s="1544"/>
      <c r="CF611" s="1544"/>
      <c r="CG611" s="1544"/>
      <c r="CH611" s="1544">
        <f t="shared" si="9"/>
        <v>0</v>
      </c>
      <c r="CI611" s="1544"/>
      <c r="CJ611" s="1544"/>
      <c r="CK611" s="1544"/>
      <c r="CL611" s="1544"/>
      <c r="CM611" s="1544">
        <f t="shared" si="10"/>
        <v>0</v>
      </c>
      <c r="CN611" s="1544"/>
      <c r="CO611" s="1544"/>
      <c r="CP611" s="1544"/>
      <c r="CQ611" s="1544"/>
      <c r="CR611" s="6"/>
      <c r="CS611" s="1551">
        <f t="shared" si="11"/>
        <v>0</v>
      </c>
      <c r="CT611" s="1551"/>
      <c r="CU611" s="1551"/>
      <c r="CV611" s="1551"/>
      <c r="CW611" s="1551"/>
      <c r="CX611" s="1551">
        <f t="shared" si="12"/>
        <v>0</v>
      </c>
      <c r="CY611" s="1551"/>
      <c r="CZ611" s="1551"/>
      <c r="DA611" s="1551"/>
      <c r="DB611" s="1551"/>
      <c r="DC611" s="1551">
        <f t="shared" si="13"/>
        <v>0</v>
      </c>
      <c r="DD611" s="1551"/>
      <c r="DE611" s="1551"/>
      <c r="DF611" s="1551"/>
      <c r="DG611" s="1551"/>
      <c r="DH611" s="1551">
        <f t="shared" si="14"/>
        <v>0</v>
      </c>
      <c r="DI611" s="1551"/>
      <c r="DJ611" s="1551"/>
      <c r="DK611" s="1551"/>
      <c r="DL611" s="1551"/>
      <c r="DM611" s="1551">
        <f t="shared" si="15"/>
        <v>0</v>
      </c>
      <c r="DN611" s="1551"/>
      <c r="DO611" s="1551"/>
      <c r="DP611" s="1551"/>
      <c r="DQ611" s="1551"/>
      <c r="DR611" s="1551">
        <f t="shared" si="16"/>
        <v>0</v>
      </c>
      <c r="DS611" s="1551"/>
      <c r="DT611" s="1551"/>
      <c r="DU611" s="1551"/>
      <c r="DV611" s="1551"/>
      <c r="DX611" s="1548" t="str">
        <f t="shared" si="17"/>
        <v/>
      </c>
      <c r="DY611" s="1549"/>
      <c r="DZ611" s="1549"/>
      <c r="EA611" s="1549"/>
      <c r="EB611" s="1550"/>
      <c r="EC611" s="1548" t="str">
        <f t="shared" si="18"/>
        <v/>
      </c>
      <c r="ED611" s="1549"/>
      <c r="EE611" s="1549"/>
      <c r="EF611" s="1549"/>
      <c r="EG611" s="1550"/>
      <c r="EH611" s="1548" t="str">
        <f t="shared" si="19"/>
        <v/>
      </c>
      <c r="EI611" s="1549"/>
      <c r="EJ611" s="1549"/>
      <c r="EK611" s="1549"/>
      <c r="EL611" s="1550"/>
      <c r="EM611" s="1548">
        <f t="shared" si="20"/>
        <v>2691</v>
      </c>
      <c r="EN611" s="1549"/>
      <c r="EO611" s="1549"/>
      <c r="EP611" s="1549"/>
      <c r="EQ611" s="1550"/>
      <c r="ER611" s="1548" t="str">
        <f t="shared" si="21"/>
        <v/>
      </c>
      <c r="ES611" s="1549"/>
      <c r="ET611" s="1549"/>
      <c r="EU611" s="1549"/>
      <c r="EV611" s="1550"/>
      <c r="EW611" s="1548" t="str">
        <f t="shared" si="22"/>
        <v/>
      </c>
      <c r="EX611" s="1549"/>
      <c r="EY611" s="1549"/>
      <c r="EZ611" s="1549"/>
      <c r="FA611" s="1550"/>
    </row>
    <row r="612" spans="1:157" ht="12.95" customHeight="1">
      <c r="B612" t="s">
        <v>17</v>
      </c>
      <c r="G612" s="1486"/>
      <c r="H612" s="1486"/>
      <c r="I612" s="1486"/>
      <c r="J612" s="1486"/>
      <c r="K612" s="1486"/>
      <c r="L612" s="1486"/>
      <c r="M612" s="1486"/>
      <c r="N612" s="1486"/>
      <c r="O612" s="1486"/>
      <c r="P612" s="1486"/>
      <c r="Q612" s="1486"/>
      <c r="R612" s="1486"/>
      <c r="U612" t="s">
        <v>17</v>
      </c>
      <c r="Z612" s="1485"/>
      <c r="AA612" s="1485"/>
      <c r="AB612" s="1485"/>
      <c r="AC612" s="1485"/>
      <c r="AD612" s="1485"/>
      <c r="AE612" s="1485"/>
      <c r="AF612" s="1485"/>
      <c r="AG612" s="1485"/>
      <c r="AH612" s="1485"/>
      <c r="AI612" s="1485"/>
      <c r="AJ612" s="1485"/>
      <c r="AK612" s="1485"/>
      <c r="AZ612" s="3"/>
      <c r="BA612" s="3"/>
      <c r="BB612" s="3"/>
      <c r="BC612" s="3"/>
      <c r="BD612" s="3"/>
      <c r="BE612" s="1548">
        <f t="shared" si="1"/>
        <v>0</v>
      </c>
      <c r="BF612" s="1550"/>
      <c r="BG612" s="1558">
        <f t="shared" si="2"/>
        <v>0</v>
      </c>
      <c r="BH612" s="1560"/>
      <c r="BI612" s="1548">
        <f t="shared" si="3"/>
        <v>0</v>
      </c>
      <c r="BJ612" s="1550"/>
      <c r="BK612" s="1558">
        <f t="shared" si="4"/>
        <v>0</v>
      </c>
      <c r="BL612" s="1560"/>
      <c r="BM612" s="3"/>
      <c r="BN612" s="1537">
        <f t="shared" si="5"/>
        <v>0</v>
      </c>
      <c r="BO612" s="1538"/>
      <c r="BP612" s="1538"/>
      <c r="BQ612" s="1538"/>
      <c r="BR612" s="1539"/>
      <c r="BS612" s="1544">
        <f t="shared" si="6"/>
        <v>0</v>
      </c>
      <c r="BT612" s="1544"/>
      <c r="BU612" s="1544"/>
      <c r="BV612" s="1544"/>
      <c r="BW612" s="1544"/>
      <c r="BX612" s="1544">
        <f t="shared" si="7"/>
        <v>0</v>
      </c>
      <c r="BY612" s="1544"/>
      <c r="BZ612" s="1544"/>
      <c r="CA612" s="1544"/>
      <c r="CB612" s="1544"/>
      <c r="CC612" s="1544">
        <f t="shared" si="8"/>
        <v>0</v>
      </c>
      <c r="CD612" s="1544"/>
      <c r="CE612" s="1544"/>
      <c r="CF612" s="1544"/>
      <c r="CG612" s="1544"/>
      <c r="CH612" s="1544">
        <f t="shared" si="9"/>
        <v>0</v>
      </c>
      <c r="CI612" s="1544"/>
      <c r="CJ612" s="1544"/>
      <c r="CK612" s="1544"/>
      <c r="CL612" s="1544"/>
      <c r="CM612" s="1544">
        <f t="shared" si="10"/>
        <v>0</v>
      </c>
      <c r="CN612" s="1544"/>
      <c r="CO612" s="1544"/>
      <c r="CP612" s="1544"/>
      <c r="CQ612" s="1544"/>
      <c r="CR612" s="6"/>
      <c r="CS612" s="1551">
        <f t="shared" si="11"/>
        <v>0</v>
      </c>
      <c r="CT612" s="1551"/>
      <c r="CU612" s="1551"/>
      <c r="CV612" s="1551"/>
      <c r="CW612" s="1551"/>
      <c r="CX612" s="1551">
        <f t="shared" si="12"/>
        <v>0</v>
      </c>
      <c r="CY612" s="1551"/>
      <c r="CZ612" s="1551"/>
      <c r="DA612" s="1551"/>
      <c r="DB612" s="1551"/>
      <c r="DC612" s="1551">
        <f t="shared" si="13"/>
        <v>0</v>
      </c>
      <c r="DD612" s="1551"/>
      <c r="DE612" s="1551"/>
      <c r="DF612" s="1551"/>
      <c r="DG612" s="1551"/>
      <c r="DH612" s="1551">
        <f t="shared" si="14"/>
        <v>0</v>
      </c>
      <c r="DI612" s="1551"/>
      <c r="DJ612" s="1551"/>
      <c r="DK612" s="1551"/>
      <c r="DL612" s="1551"/>
      <c r="DM612" s="1551">
        <f t="shared" si="15"/>
        <v>0</v>
      </c>
      <c r="DN612" s="1551"/>
      <c r="DO612" s="1551"/>
      <c r="DP612" s="1551"/>
      <c r="DQ612" s="1551"/>
      <c r="DR612" s="1551">
        <f t="shared" si="16"/>
        <v>0</v>
      </c>
      <c r="DS612" s="1551"/>
      <c r="DT612" s="1551"/>
      <c r="DU612" s="1551"/>
      <c r="DV612" s="1551"/>
      <c r="DX612" s="1548" t="str">
        <f t="shared" si="17"/>
        <v/>
      </c>
      <c r="DY612" s="1549"/>
      <c r="DZ612" s="1549"/>
      <c r="EA612" s="1549"/>
      <c r="EB612" s="1550"/>
      <c r="EC612" s="1548" t="str">
        <f t="shared" si="18"/>
        <v/>
      </c>
      <c r="ED612" s="1549"/>
      <c r="EE612" s="1549"/>
      <c r="EF612" s="1549"/>
      <c r="EG612" s="1550"/>
      <c r="EH612" s="1548" t="str">
        <f t="shared" si="19"/>
        <v/>
      </c>
      <c r="EI612" s="1549"/>
      <c r="EJ612" s="1549"/>
      <c r="EK612" s="1549"/>
      <c r="EL612" s="1550"/>
      <c r="EM612" s="1548" t="str">
        <f t="shared" si="20"/>
        <v/>
      </c>
      <c r="EN612" s="1549"/>
      <c r="EO612" s="1549"/>
      <c r="EP612" s="1549"/>
      <c r="EQ612" s="1550"/>
      <c r="ER612" s="1548" t="str">
        <f t="shared" si="21"/>
        <v/>
      </c>
      <c r="ES612" s="1549"/>
      <c r="ET612" s="1549"/>
      <c r="EU612" s="1549"/>
      <c r="EV612" s="1550"/>
      <c r="EW612" s="1548" t="str">
        <f t="shared" si="22"/>
        <v/>
      </c>
      <c r="EX612" s="1549"/>
      <c r="EY612" s="1549"/>
      <c r="EZ612" s="1549"/>
      <c r="FA612" s="1550"/>
    </row>
    <row r="613" spans="1:157" ht="12.95" customHeight="1">
      <c r="B613" t="s">
        <v>317</v>
      </c>
      <c r="G613" s="1480"/>
      <c r="H613" s="1480"/>
      <c r="I613" s="1480"/>
      <c r="J613" s="1480"/>
      <c r="K613" s="1480"/>
      <c r="L613" s="1480"/>
      <c r="O613" s="33" t="s">
        <v>207</v>
      </c>
      <c r="P613" s="1515"/>
      <c r="Q613" s="1515"/>
      <c r="R613" s="1515"/>
      <c r="U613" t="s">
        <v>317</v>
      </c>
      <c r="Z613" s="1480"/>
      <c r="AA613" s="1480"/>
      <c r="AB613" s="1480"/>
      <c r="AC613" s="1480"/>
      <c r="AD613" s="1480"/>
      <c r="AE613" s="1480"/>
      <c r="AH613" s="33" t="s">
        <v>207</v>
      </c>
      <c r="AI613" s="1515"/>
      <c r="AJ613" s="1515"/>
      <c r="AK613" s="1515"/>
      <c r="AZ613" s="3"/>
      <c r="BA613" s="3"/>
      <c r="BB613" s="3"/>
      <c r="BC613" s="3"/>
      <c r="BD613" s="3"/>
      <c r="BE613" s="1548">
        <f t="shared" si="1"/>
        <v>0</v>
      </c>
      <c r="BF613" s="1550"/>
      <c r="BG613" s="1558">
        <f t="shared" si="2"/>
        <v>0</v>
      </c>
      <c r="BH613" s="1560"/>
      <c r="BI613" s="1548">
        <f t="shared" si="3"/>
        <v>0</v>
      </c>
      <c r="BJ613" s="1550"/>
      <c r="BK613" s="1558">
        <f t="shared" si="4"/>
        <v>0</v>
      </c>
      <c r="BL613" s="1560"/>
      <c r="BM613" s="3"/>
      <c r="BN613" s="1537">
        <f t="shared" si="5"/>
        <v>0</v>
      </c>
      <c r="BO613" s="1538"/>
      <c r="BP613" s="1538"/>
      <c r="BQ613" s="1538"/>
      <c r="BR613" s="1539"/>
      <c r="BS613" s="1544">
        <f t="shared" si="6"/>
        <v>0</v>
      </c>
      <c r="BT613" s="1544"/>
      <c r="BU613" s="1544"/>
      <c r="BV613" s="1544"/>
      <c r="BW613" s="1544"/>
      <c r="BX613" s="1544">
        <f t="shared" si="7"/>
        <v>0</v>
      </c>
      <c r="BY613" s="1544"/>
      <c r="BZ613" s="1544"/>
      <c r="CA613" s="1544"/>
      <c r="CB613" s="1544"/>
      <c r="CC613" s="1544">
        <f t="shared" si="8"/>
        <v>0</v>
      </c>
      <c r="CD613" s="1544"/>
      <c r="CE613" s="1544"/>
      <c r="CF613" s="1544"/>
      <c r="CG613" s="1544"/>
      <c r="CH613" s="1544">
        <f t="shared" si="9"/>
        <v>0</v>
      </c>
      <c r="CI613" s="1544"/>
      <c r="CJ613" s="1544"/>
      <c r="CK613" s="1544"/>
      <c r="CL613" s="1544"/>
      <c r="CM613" s="1544">
        <f t="shared" si="10"/>
        <v>0</v>
      </c>
      <c r="CN613" s="1544"/>
      <c r="CO613" s="1544"/>
      <c r="CP613" s="1544"/>
      <c r="CQ613" s="1544"/>
      <c r="CR613" s="6"/>
      <c r="CS613" s="1551">
        <f t="shared" si="11"/>
        <v>0</v>
      </c>
      <c r="CT613" s="1551"/>
      <c r="CU613" s="1551"/>
      <c r="CV613" s="1551"/>
      <c r="CW613" s="1551"/>
      <c r="CX613" s="1551">
        <f t="shared" si="12"/>
        <v>0</v>
      </c>
      <c r="CY613" s="1551"/>
      <c r="CZ613" s="1551"/>
      <c r="DA613" s="1551"/>
      <c r="DB613" s="1551"/>
      <c r="DC613" s="1551">
        <f t="shared" si="13"/>
        <v>0</v>
      </c>
      <c r="DD613" s="1551"/>
      <c r="DE613" s="1551"/>
      <c r="DF613" s="1551"/>
      <c r="DG613" s="1551"/>
      <c r="DH613" s="1551">
        <f t="shared" si="14"/>
        <v>0</v>
      </c>
      <c r="DI613" s="1551"/>
      <c r="DJ613" s="1551"/>
      <c r="DK613" s="1551"/>
      <c r="DL613" s="1551"/>
      <c r="DM613" s="1551">
        <f t="shared" si="15"/>
        <v>0</v>
      </c>
      <c r="DN613" s="1551"/>
      <c r="DO613" s="1551"/>
      <c r="DP613" s="1551"/>
      <c r="DQ613" s="1551"/>
      <c r="DR613" s="1551">
        <f t="shared" si="16"/>
        <v>0</v>
      </c>
      <c r="DS613" s="1551"/>
      <c r="DT613" s="1551"/>
      <c r="DU613" s="1551"/>
      <c r="DV613" s="1551"/>
      <c r="DX613" s="1548" t="str">
        <f t="shared" si="17"/>
        <v/>
      </c>
      <c r="DY613" s="1549"/>
      <c r="DZ613" s="1549"/>
      <c r="EA613" s="1549"/>
      <c r="EB613" s="1550"/>
      <c r="EC613" s="1548" t="str">
        <f t="shared" si="18"/>
        <v/>
      </c>
      <c r="ED613" s="1549"/>
      <c r="EE613" s="1549"/>
      <c r="EF613" s="1549"/>
      <c r="EG613" s="1550"/>
      <c r="EH613" s="1548" t="str">
        <f t="shared" si="19"/>
        <v/>
      </c>
      <c r="EI613" s="1549"/>
      <c r="EJ613" s="1549"/>
      <c r="EK613" s="1549"/>
      <c r="EL613" s="1550"/>
      <c r="EM613" s="1548" t="str">
        <f t="shared" si="20"/>
        <v/>
      </c>
      <c r="EN613" s="1549"/>
      <c r="EO613" s="1549"/>
      <c r="EP613" s="1549"/>
      <c r="EQ613" s="1550"/>
      <c r="ER613" s="1548" t="str">
        <f t="shared" si="21"/>
        <v/>
      </c>
      <c r="ES613" s="1549"/>
      <c r="ET613" s="1549"/>
      <c r="EU613" s="1549"/>
      <c r="EV613" s="1550"/>
      <c r="EW613" s="1548" t="str">
        <f t="shared" si="22"/>
        <v/>
      </c>
      <c r="EX613" s="1549"/>
      <c r="EY613" s="1549"/>
      <c r="EZ613" s="1549"/>
      <c r="FA613" s="1550"/>
    </row>
    <row r="614" spans="1:157" ht="12.95" customHeight="1">
      <c r="B614" t="s">
        <v>18</v>
      </c>
      <c r="H614" s="1486"/>
      <c r="I614" s="1486"/>
      <c r="J614" s="1486"/>
      <c r="K614" s="1486"/>
      <c r="L614" s="1486"/>
      <c r="M614" s="1486"/>
      <c r="N614" s="1486"/>
      <c r="O614" s="1486"/>
      <c r="P614" s="1486"/>
      <c r="Q614" s="1486"/>
      <c r="R614" s="1486"/>
      <c r="U614" t="s">
        <v>18</v>
      </c>
      <c r="AA614" s="1486"/>
      <c r="AB614" s="1486"/>
      <c r="AC614" s="1486"/>
      <c r="AD614" s="1486"/>
      <c r="AE614" s="1486"/>
      <c r="AF614" s="1486"/>
      <c r="AG614" s="1486"/>
      <c r="AH614" s="1486"/>
      <c r="AI614" s="1486"/>
      <c r="AJ614" s="1486"/>
      <c r="AK614" s="1486"/>
      <c r="AU614" s="934"/>
      <c r="AV614" s="934"/>
      <c r="AW614" s="934"/>
      <c r="AX614" s="934"/>
      <c r="AY614" s="934"/>
      <c r="AZ614" s="3"/>
      <c r="BA614" s="3"/>
      <c r="BB614" s="3"/>
      <c r="BC614" s="3"/>
      <c r="BD614" s="3"/>
      <c r="BE614" s="1548">
        <f t="shared" si="1"/>
        <v>0</v>
      </c>
      <c r="BF614" s="1550"/>
      <c r="BG614" s="1558">
        <f t="shared" si="2"/>
        <v>0</v>
      </c>
      <c r="BH614" s="1560"/>
      <c r="BI614" s="1548">
        <f t="shared" si="3"/>
        <v>0</v>
      </c>
      <c r="BJ614" s="1550"/>
      <c r="BK614" s="1558">
        <f t="shared" si="4"/>
        <v>0</v>
      </c>
      <c r="BL614" s="1560"/>
      <c r="BM614" s="3"/>
      <c r="BN614" s="1537">
        <f t="shared" si="5"/>
        <v>0</v>
      </c>
      <c r="BO614" s="1538"/>
      <c r="BP614" s="1538"/>
      <c r="BQ614" s="1538"/>
      <c r="BR614" s="1539"/>
      <c r="BS614" s="1544">
        <f t="shared" si="6"/>
        <v>0</v>
      </c>
      <c r="BT614" s="1544"/>
      <c r="BU614" s="1544"/>
      <c r="BV614" s="1544"/>
      <c r="BW614" s="1544"/>
      <c r="BX614" s="1544">
        <f t="shared" si="7"/>
        <v>0</v>
      </c>
      <c r="BY614" s="1544"/>
      <c r="BZ614" s="1544"/>
      <c r="CA614" s="1544"/>
      <c r="CB614" s="1544"/>
      <c r="CC614" s="1544">
        <f t="shared" si="8"/>
        <v>0</v>
      </c>
      <c r="CD614" s="1544"/>
      <c r="CE614" s="1544"/>
      <c r="CF614" s="1544"/>
      <c r="CG614" s="1544"/>
      <c r="CH614" s="1544">
        <f t="shared" si="9"/>
        <v>0</v>
      </c>
      <c r="CI614" s="1544"/>
      <c r="CJ614" s="1544"/>
      <c r="CK614" s="1544"/>
      <c r="CL614" s="1544"/>
      <c r="CM614" s="1544">
        <f t="shared" si="10"/>
        <v>0</v>
      </c>
      <c r="CN614" s="1544"/>
      <c r="CO614" s="1544"/>
      <c r="CP614" s="1544"/>
      <c r="CQ614" s="1544"/>
      <c r="CR614" s="6"/>
      <c r="CS614" s="1551">
        <f t="shared" si="11"/>
        <v>0</v>
      </c>
      <c r="CT614" s="1551"/>
      <c r="CU614" s="1551"/>
      <c r="CV614" s="1551"/>
      <c r="CW614" s="1551"/>
      <c r="CX614" s="1551">
        <f t="shared" si="12"/>
        <v>0</v>
      </c>
      <c r="CY614" s="1551"/>
      <c r="CZ614" s="1551"/>
      <c r="DA614" s="1551"/>
      <c r="DB614" s="1551"/>
      <c r="DC614" s="1551">
        <f t="shared" si="13"/>
        <v>0</v>
      </c>
      <c r="DD614" s="1551"/>
      <c r="DE614" s="1551"/>
      <c r="DF614" s="1551"/>
      <c r="DG614" s="1551"/>
      <c r="DH614" s="1551">
        <f t="shared" si="14"/>
        <v>0</v>
      </c>
      <c r="DI614" s="1551"/>
      <c r="DJ614" s="1551"/>
      <c r="DK614" s="1551"/>
      <c r="DL614" s="1551"/>
      <c r="DM614" s="1551">
        <f t="shared" si="15"/>
        <v>0</v>
      </c>
      <c r="DN614" s="1551"/>
      <c r="DO614" s="1551"/>
      <c r="DP614" s="1551"/>
      <c r="DQ614" s="1551"/>
      <c r="DR614" s="1551">
        <f t="shared" si="16"/>
        <v>0</v>
      </c>
      <c r="DS614" s="1551"/>
      <c r="DT614" s="1551"/>
      <c r="DU614" s="1551"/>
      <c r="DV614" s="1551"/>
      <c r="DX614" s="1548" t="str">
        <f t="shared" si="17"/>
        <v/>
      </c>
      <c r="DY614" s="1549"/>
      <c r="DZ614" s="1549"/>
      <c r="EA614" s="1549"/>
      <c r="EB614" s="1550"/>
      <c r="EC614" s="1548" t="str">
        <f t="shared" si="18"/>
        <v/>
      </c>
      <c r="ED614" s="1549"/>
      <c r="EE614" s="1549"/>
      <c r="EF614" s="1549"/>
      <c r="EG614" s="1550"/>
      <c r="EH614" s="1548" t="str">
        <f t="shared" si="19"/>
        <v/>
      </c>
      <c r="EI614" s="1549"/>
      <c r="EJ614" s="1549"/>
      <c r="EK614" s="1549"/>
      <c r="EL614" s="1550"/>
      <c r="EM614" s="1548" t="str">
        <f t="shared" si="20"/>
        <v/>
      </c>
      <c r="EN614" s="1549"/>
      <c r="EO614" s="1549"/>
      <c r="EP614" s="1549"/>
      <c r="EQ614" s="1550"/>
      <c r="ER614" s="1548" t="str">
        <f t="shared" si="21"/>
        <v/>
      </c>
      <c r="ES614" s="1549"/>
      <c r="ET614" s="1549"/>
      <c r="EU614" s="1549"/>
      <c r="EV614" s="1550"/>
      <c r="EW614" s="1548" t="str">
        <f t="shared" si="22"/>
        <v/>
      </c>
      <c r="EX614" s="1549"/>
      <c r="EY614" s="1549"/>
      <c r="EZ614" s="1549"/>
      <c r="FA614" s="1550"/>
    </row>
    <row r="615" spans="1:157" ht="12.95" customHeight="1">
      <c r="B615" t="s">
        <v>20</v>
      </c>
      <c r="N615" s="1479" t="s">
        <v>677</v>
      </c>
      <c r="O615" s="1479"/>
      <c r="U615" t="s">
        <v>20</v>
      </c>
      <c r="AG615" s="1479" t="s">
        <v>677</v>
      </c>
      <c r="AH615" s="1479"/>
      <c r="AU615" s="934"/>
      <c r="AV615" s="934"/>
      <c r="AW615" s="934"/>
      <c r="AX615" s="934"/>
      <c r="AY615" s="934"/>
      <c r="AZ615" s="3"/>
      <c r="BA615" s="3"/>
      <c r="BB615" s="3"/>
      <c r="BC615" s="3"/>
      <c r="BD615" s="3"/>
      <c r="BE615" s="1548">
        <f t="shared" si="1"/>
        <v>0</v>
      </c>
      <c r="BF615" s="1550"/>
      <c r="BG615" s="1558">
        <f t="shared" si="2"/>
        <v>0</v>
      </c>
      <c r="BH615" s="1560"/>
      <c r="BI615" s="1548">
        <f t="shared" si="3"/>
        <v>0</v>
      </c>
      <c r="BJ615" s="1550"/>
      <c r="BK615" s="1558">
        <f t="shared" si="4"/>
        <v>0</v>
      </c>
      <c r="BL615" s="1560"/>
      <c r="BM615" s="3"/>
      <c r="BN615" s="1537">
        <f t="shared" si="5"/>
        <v>0</v>
      </c>
      <c r="BO615" s="1538"/>
      <c r="BP615" s="1538"/>
      <c r="BQ615" s="1538"/>
      <c r="BR615" s="1539"/>
      <c r="BS615" s="1544">
        <f t="shared" si="6"/>
        <v>0</v>
      </c>
      <c r="BT615" s="1544"/>
      <c r="BU615" s="1544"/>
      <c r="BV615" s="1544"/>
      <c r="BW615" s="1544"/>
      <c r="BX615" s="1544">
        <f t="shared" si="7"/>
        <v>0</v>
      </c>
      <c r="BY615" s="1544"/>
      <c r="BZ615" s="1544"/>
      <c r="CA615" s="1544"/>
      <c r="CB615" s="1544"/>
      <c r="CC615" s="1544">
        <f t="shared" si="8"/>
        <v>0</v>
      </c>
      <c r="CD615" s="1544"/>
      <c r="CE615" s="1544"/>
      <c r="CF615" s="1544"/>
      <c r="CG615" s="1544"/>
      <c r="CH615" s="1544">
        <f t="shared" si="9"/>
        <v>0</v>
      </c>
      <c r="CI615" s="1544"/>
      <c r="CJ615" s="1544"/>
      <c r="CK615" s="1544"/>
      <c r="CL615" s="1544"/>
      <c r="CM615" s="1544">
        <f t="shared" si="10"/>
        <v>0</v>
      </c>
      <c r="CN615" s="1544"/>
      <c r="CO615" s="1544"/>
      <c r="CP615" s="1544"/>
      <c r="CQ615" s="1544"/>
      <c r="CR615" s="6"/>
      <c r="CS615" s="1551">
        <f t="shared" si="11"/>
        <v>0</v>
      </c>
      <c r="CT615" s="1551"/>
      <c r="CU615" s="1551"/>
      <c r="CV615" s="1551"/>
      <c r="CW615" s="1551"/>
      <c r="CX615" s="1551">
        <f t="shared" si="12"/>
        <v>0</v>
      </c>
      <c r="CY615" s="1551"/>
      <c r="CZ615" s="1551"/>
      <c r="DA615" s="1551"/>
      <c r="DB615" s="1551"/>
      <c r="DC615" s="1551">
        <f t="shared" si="13"/>
        <v>0</v>
      </c>
      <c r="DD615" s="1551"/>
      <c r="DE615" s="1551"/>
      <c r="DF615" s="1551"/>
      <c r="DG615" s="1551"/>
      <c r="DH615" s="1551">
        <f t="shared" si="14"/>
        <v>0</v>
      </c>
      <c r="DI615" s="1551"/>
      <c r="DJ615" s="1551"/>
      <c r="DK615" s="1551"/>
      <c r="DL615" s="1551"/>
      <c r="DM615" s="1551">
        <f t="shared" si="15"/>
        <v>0</v>
      </c>
      <c r="DN615" s="1551"/>
      <c r="DO615" s="1551"/>
      <c r="DP615" s="1551"/>
      <c r="DQ615" s="1551"/>
      <c r="DR615" s="1551">
        <f t="shared" si="16"/>
        <v>0</v>
      </c>
      <c r="DS615" s="1551"/>
      <c r="DT615" s="1551"/>
      <c r="DU615" s="1551"/>
      <c r="DV615" s="1551"/>
      <c r="DX615" s="1548" t="str">
        <f t="shared" si="17"/>
        <v/>
      </c>
      <c r="DY615" s="1549"/>
      <c r="DZ615" s="1549"/>
      <c r="EA615" s="1549"/>
      <c r="EB615" s="1550"/>
      <c r="EC615" s="1548" t="str">
        <f t="shared" si="18"/>
        <v/>
      </c>
      <c r="ED615" s="1549"/>
      <c r="EE615" s="1549"/>
      <c r="EF615" s="1549"/>
      <c r="EG615" s="1550"/>
      <c r="EH615" s="1548" t="str">
        <f t="shared" si="19"/>
        <v/>
      </c>
      <c r="EI615" s="1549"/>
      <c r="EJ615" s="1549"/>
      <c r="EK615" s="1549"/>
      <c r="EL615" s="1550"/>
      <c r="EM615" s="1548" t="str">
        <f t="shared" si="20"/>
        <v/>
      </c>
      <c r="EN615" s="1549"/>
      <c r="EO615" s="1549"/>
      <c r="EP615" s="1549"/>
      <c r="EQ615" s="1550"/>
      <c r="ER615" s="1548" t="str">
        <f t="shared" si="21"/>
        <v/>
      </c>
      <c r="ES615" s="1549"/>
      <c r="ET615" s="1549"/>
      <c r="EU615" s="1549"/>
      <c r="EV615" s="1550"/>
      <c r="EW615" s="1548" t="str">
        <f t="shared" si="22"/>
        <v/>
      </c>
      <c r="EX615" s="1549"/>
      <c r="EY615" s="1549"/>
      <c r="EZ615" s="1549"/>
      <c r="FA615" s="1550"/>
    </row>
    <row r="616" spans="1:157" ht="12.95" customHeight="1">
      <c r="AZ616" s="3"/>
      <c r="BA616" s="3"/>
      <c r="BB616" s="3"/>
      <c r="BC616" s="3"/>
      <c r="BD616" s="3"/>
      <c r="BE616" s="1548">
        <f t="shared" si="1"/>
        <v>0</v>
      </c>
      <c r="BF616" s="1550"/>
      <c r="BG616" s="1558">
        <f t="shared" si="2"/>
        <v>0</v>
      </c>
      <c r="BH616" s="1560"/>
      <c r="BI616" s="1548">
        <f t="shared" si="3"/>
        <v>0</v>
      </c>
      <c r="BJ616" s="1550"/>
      <c r="BK616" s="1558">
        <f t="shared" si="4"/>
        <v>0</v>
      </c>
      <c r="BL616" s="1560"/>
      <c r="BM616" s="3"/>
      <c r="BN616" s="1537">
        <f t="shared" si="5"/>
        <v>0</v>
      </c>
      <c r="BO616" s="1538"/>
      <c r="BP616" s="1538"/>
      <c r="BQ616" s="1538"/>
      <c r="BR616" s="1539"/>
      <c r="BS616" s="1544">
        <f t="shared" si="6"/>
        <v>0</v>
      </c>
      <c r="BT616" s="1544"/>
      <c r="BU616" s="1544"/>
      <c r="BV616" s="1544"/>
      <c r="BW616" s="1544"/>
      <c r="BX616" s="1544">
        <f t="shared" si="7"/>
        <v>0</v>
      </c>
      <c r="BY616" s="1544"/>
      <c r="BZ616" s="1544"/>
      <c r="CA616" s="1544"/>
      <c r="CB616" s="1544"/>
      <c r="CC616" s="1544">
        <f t="shared" si="8"/>
        <v>0</v>
      </c>
      <c r="CD616" s="1544"/>
      <c r="CE616" s="1544"/>
      <c r="CF616" s="1544"/>
      <c r="CG616" s="1544"/>
      <c r="CH616" s="1544">
        <f t="shared" si="9"/>
        <v>0</v>
      </c>
      <c r="CI616" s="1544"/>
      <c r="CJ616" s="1544"/>
      <c r="CK616" s="1544"/>
      <c r="CL616" s="1544"/>
      <c r="CM616" s="1544">
        <f t="shared" si="10"/>
        <v>0</v>
      </c>
      <c r="CN616" s="1544"/>
      <c r="CO616" s="1544"/>
      <c r="CP616" s="1544"/>
      <c r="CQ616" s="1544"/>
      <c r="CR616" s="6"/>
      <c r="CS616" s="1551">
        <f t="shared" si="11"/>
        <v>0</v>
      </c>
      <c r="CT616" s="1551"/>
      <c r="CU616" s="1551"/>
      <c r="CV616" s="1551"/>
      <c r="CW616" s="1551"/>
      <c r="CX616" s="1551">
        <f t="shared" si="12"/>
        <v>0</v>
      </c>
      <c r="CY616" s="1551"/>
      <c r="CZ616" s="1551"/>
      <c r="DA616" s="1551"/>
      <c r="DB616" s="1551"/>
      <c r="DC616" s="1551">
        <f t="shared" si="13"/>
        <v>0</v>
      </c>
      <c r="DD616" s="1551"/>
      <c r="DE616" s="1551"/>
      <c r="DF616" s="1551"/>
      <c r="DG616" s="1551"/>
      <c r="DH616" s="1551">
        <f t="shared" si="14"/>
        <v>0</v>
      </c>
      <c r="DI616" s="1551"/>
      <c r="DJ616" s="1551"/>
      <c r="DK616" s="1551"/>
      <c r="DL616" s="1551"/>
      <c r="DM616" s="1551">
        <f t="shared" si="15"/>
        <v>0</v>
      </c>
      <c r="DN616" s="1551"/>
      <c r="DO616" s="1551"/>
      <c r="DP616" s="1551"/>
      <c r="DQ616" s="1551"/>
      <c r="DR616" s="1551">
        <f t="shared" si="16"/>
        <v>0</v>
      </c>
      <c r="DS616" s="1551"/>
      <c r="DT616" s="1551"/>
      <c r="DU616" s="1551"/>
      <c r="DV616" s="1551"/>
      <c r="DX616" s="1548" t="str">
        <f t="shared" si="17"/>
        <v/>
      </c>
      <c r="DY616" s="1549"/>
      <c r="DZ616" s="1549"/>
      <c r="EA616" s="1549"/>
      <c r="EB616" s="1550"/>
      <c r="EC616" s="1548" t="str">
        <f t="shared" si="18"/>
        <v/>
      </c>
      <c r="ED616" s="1549"/>
      <c r="EE616" s="1549"/>
      <c r="EF616" s="1549"/>
      <c r="EG616" s="1550"/>
      <c r="EH616" s="1548" t="str">
        <f t="shared" si="19"/>
        <v/>
      </c>
      <c r="EI616" s="1549"/>
      <c r="EJ616" s="1549"/>
      <c r="EK616" s="1549"/>
      <c r="EL616" s="1550"/>
      <c r="EM616" s="1548" t="str">
        <f t="shared" si="20"/>
        <v/>
      </c>
      <c r="EN616" s="1549"/>
      <c r="EO616" s="1549"/>
      <c r="EP616" s="1549"/>
      <c r="EQ616" s="1550"/>
      <c r="ER616" s="1548" t="str">
        <f t="shared" si="21"/>
        <v/>
      </c>
      <c r="ES616" s="1549"/>
      <c r="ET616" s="1549"/>
      <c r="EU616" s="1549"/>
      <c r="EV616" s="1550"/>
      <c r="EW616" s="1548" t="str">
        <f t="shared" si="22"/>
        <v/>
      </c>
      <c r="EX616" s="1549"/>
      <c r="EY616" s="1549"/>
      <c r="EZ616" s="1549"/>
      <c r="FA616" s="1550"/>
    </row>
    <row r="617" spans="1:157" ht="12.95" customHeight="1">
      <c r="A617" s="1271" t="s">
        <v>552</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c r="BD617" s="3"/>
      <c r="BE617" s="1548">
        <f t="shared" si="1"/>
        <v>0</v>
      </c>
      <c r="BF617" s="1550"/>
      <c r="BG617" s="1558">
        <f t="shared" si="2"/>
        <v>0</v>
      </c>
      <c r="BH617" s="1560"/>
      <c r="BI617" s="1548">
        <f t="shared" si="3"/>
        <v>0</v>
      </c>
      <c r="BJ617" s="1550"/>
      <c r="BK617" s="1558">
        <f t="shared" si="4"/>
        <v>0</v>
      </c>
      <c r="BL617" s="1560"/>
      <c r="BM617" s="3"/>
      <c r="BN617" s="1537">
        <f t="shared" si="5"/>
        <v>0</v>
      </c>
      <c r="BO617" s="1538"/>
      <c r="BP617" s="1538"/>
      <c r="BQ617" s="1538"/>
      <c r="BR617" s="1539"/>
      <c r="BS617" s="1544">
        <f t="shared" si="6"/>
        <v>0</v>
      </c>
      <c r="BT617" s="1544"/>
      <c r="BU617" s="1544"/>
      <c r="BV617" s="1544"/>
      <c r="BW617" s="1544"/>
      <c r="BX617" s="1544">
        <f t="shared" si="7"/>
        <v>0</v>
      </c>
      <c r="BY617" s="1544"/>
      <c r="BZ617" s="1544"/>
      <c r="CA617" s="1544"/>
      <c r="CB617" s="1544"/>
      <c r="CC617" s="1544">
        <f t="shared" si="8"/>
        <v>0</v>
      </c>
      <c r="CD617" s="1544"/>
      <c r="CE617" s="1544"/>
      <c r="CF617" s="1544"/>
      <c r="CG617" s="1544"/>
      <c r="CH617" s="1544">
        <f t="shared" si="9"/>
        <v>0</v>
      </c>
      <c r="CI617" s="1544"/>
      <c r="CJ617" s="1544"/>
      <c r="CK617" s="1544"/>
      <c r="CL617" s="1544"/>
      <c r="CM617" s="1544">
        <f t="shared" si="10"/>
        <v>0</v>
      </c>
      <c r="CN617" s="1544"/>
      <c r="CO617" s="1544"/>
      <c r="CP617" s="1544"/>
      <c r="CQ617" s="1544"/>
      <c r="CR617" s="6"/>
      <c r="CS617" s="1551">
        <f t="shared" si="11"/>
        <v>0</v>
      </c>
      <c r="CT617" s="1551"/>
      <c r="CU617" s="1551"/>
      <c r="CV617" s="1551"/>
      <c r="CW617" s="1551"/>
      <c r="CX617" s="1551">
        <f t="shared" si="12"/>
        <v>0</v>
      </c>
      <c r="CY617" s="1551"/>
      <c r="CZ617" s="1551"/>
      <c r="DA617" s="1551"/>
      <c r="DB617" s="1551"/>
      <c r="DC617" s="1551">
        <f t="shared" si="13"/>
        <v>0</v>
      </c>
      <c r="DD617" s="1551"/>
      <c r="DE617" s="1551"/>
      <c r="DF617" s="1551"/>
      <c r="DG617" s="1551"/>
      <c r="DH617" s="1551">
        <f t="shared" si="14"/>
        <v>0</v>
      </c>
      <c r="DI617" s="1551"/>
      <c r="DJ617" s="1551"/>
      <c r="DK617" s="1551"/>
      <c r="DL617" s="1551"/>
      <c r="DM617" s="1551">
        <f t="shared" si="15"/>
        <v>0</v>
      </c>
      <c r="DN617" s="1551"/>
      <c r="DO617" s="1551"/>
      <c r="DP617" s="1551"/>
      <c r="DQ617" s="1551"/>
      <c r="DR617" s="1551">
        <f t="shared" si="16"/>
        <v>0</v>
      </c>
      <c r="DS617" s="1551"/>
      <c r="DT617" s="1551"/>
      <c r="DU617" s="1551"/>
      <c r="DV617" s="1551"/>
      <c r="DX617" s="1548" t="str">
        <f t="shared" si="17"/>
        <v/>
      </c>
      <c r="DY617" s="1549"/>
      <c r="DZ617" s="1549"/>
      <c r="EA617" s="1549"/>
      <c r="EB617" s="1550"/>
      <c r="EC617" s="1548" t="str">
        <f t="shared" si="18"/>
        <v/>
      </c>
      <c r="ED617" s="1549"/>
      <c r="EE617" s="1549"/>
      <c r="EF617" s="1549"/>
      <c r="EG617" s="1550"/>
      <c r="EH617" s="1548" t="str">
        <f t="shared" si="19"/>
        <v/>
      </c>
      <c r="EI617" s="1549"/>
      <c r="EJ617" s="1549"/>
      <c r="EK617" s="1549"/>
      <c r="EL617" s="1550"/>
      <c r="EM617" s="1548" t="str">
        <f t="shared" si="20"/>
        <v/>
      </c>
      <c r="EN617" s="1549"/>
      <c r="EO617" s="1549"/>
      <c r="EP617" s="1549"/>
      <c r="EQ617" s="1550"/>
      <c r="ER617" s="1548" t="str">
        <f t="shared" si="21"/>
        <v/>
      </c>
      <c r="ES617" s="1549"/>
      <c r="ET617" s="1549"/>
      <c r="EU617" s="1549"/>
      <c r="EV617" s="1550"/>
      <c r="EW617" s="1548" t="str">
        <f t="shared" si="22"/>
        <v/>
      </c>
      <c r="EX617" s="1549"/>
      <c r="EY617" s="1549"/>
      <c r="EZ617" s="1549"/>
      <c r="FA617" s="1550"/>
    </row>
    <row r="618" spans="1:157"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c r="BD618" s="3"/>
      <c r="BE618" s="1548">
        <f t="shared" si="1"/>
        <v>0</v>
      </c>
      <c r="BF618" s="1550"/>
      <c r="BG618" s="1558">
        <f t="shared" si="2"/>
        <v>0</v>
      </c>
      <c r="BH618" s="1560"/>
      <c r="BI618" s="1548">
        <f t="shared" si="3"/>
        <v>0</v>
      </c>
      <c r="BJ618" s="1550"/>
      <c r="BK618" s="1558">
        <f t="shared" si="4"/>
        <v>0</v>
      </c>
      <c r="BL618" s="1560"/>
      <c r="BM618" s="3"/>
      <c r="BN618" s="1537">
        <f t="shared" si="5"/>
        <v>0</v>
      </c>
      <c r="BO618" s="1538"/>
      <c r="BP618" s="1538"/>
      <c r="BQ618" s="1538"/>
      <c r="BR618" s="1539"/>
      <c r="BS618" s="1544">
        <f t="shared" si="6"/>
        <v>0</v>
      </c>
      <c r="BT618" s="1544"/>
      <c r="BU618" s="1544"/>
      <c r="BV618" s="1544"/>
      <c r="BW618" s="1544"/>
      <c r="BX618" s="1544">
        <f t="shared" si="7"/>
        <v>0</v>
      </c>
      <c r="BY618" s="1544"/>
      <c r="BZ618" s="1544"/>
      <c r="CA618" s="1544"/>
      <c r="CB618" s="1544"/>
      <c r="CC618" s="1544">
        <f t="shared" si="8"/>
        <v>0</v>
      </c>
      <c r="CD618" s="1544"/>
      <c r="CE618" s="1544"/>
      <c r="CF618" s="1544"/>
      <c r="CG618" s="1544"/>
      <c r="CH618" s="1544">
        <f t="shared" si="9"/>
        <v>0</v>
      </c>
      <c r="CI618" s="1544"/>
      <c r="CJ618" s="1544"/>
      <c r="CK618" s="1544"/>
      <c r="CL618" s="1544"/>
      <c r="CM618" s="1544">
        <f t="shared" si="10"/>
        <v>0</v>
      </c>
      <c r="CN618" s="1544"/>
      <c r="CO618" s="1544"/>
      <c r="CP618" s="1544"/>
      <c r="CQ618" s="1544"/>
      <c r="CR618" s="6"/>
      <c r="CS618" s="1551">
        <f t="shared" si="11"/>
        <v>0</v>
      </c>
      <c r="CT618" s="1551"/>
      <c r="CU618" s="1551"/>
      <c r="CV618" s="1551"/>
      <c r="CW618" s="1551"/>
      <c r="CX618" s="1551">
        <f t="shared" si="12"/>
        <v>0</v>
      </c>
      <c r="CY618" s="1551"/>
      <c r="CZ618" s="1551"/>
      <c r="DA618" s="1551"/>
      <c r="DB618" s="1551"/>
      <c r="DC618" s="1551">
        <f t="shared" si="13"/>
        <v>0</v>
      </c>
      <c r="DD618" s="1551"/>
      <c r="DE618" s="1551"/>
      <c r="DF618" s="1551"/>
      <c r="DG618" s="1551"/>
      <c r="DH618" s="1551">
        <f t="shared" si="14"/>
        <v>0</v>
      </c>
      <c r="DI618" s="1551"/>
      <c r="DJ618" s="1551"/>
      <c r="DK618" s="1551"/>
      <c r="DL618" s="1551"/>
      <c r="DM618" s="1551">
        <f t="shared" si="15"/>
        <v>0</v>
      </c>
      <c r="DN618" s="1551"/>
      <c r="DO618" s="1551"/>
      <c r="DP618" s="1551"/>
      <c r="DQ618" s="1551"/>
      <c r="DR618" s="1551">
        <f t="shared" si="16"/>
        <v>0</v>
      </c>
      <c r="DS618" s="1551"/>
      <c r="DT618" s="1551"/>
      <c r="DU618" s="1551"/>
      <c r="DV618" s="1551"/>
      <c r="DX618" s="1548" t="str">
        <f t="shared" si="17"/>
        <v/>
      </c>
      <c r="DY618" s="1549"/>
      <c r="DZ618" s="1549"/>
      <c r="EA618" s="1549"/>
      <c r="EB618" s="1550"/>
      <c r="EC618" s="1548" t="str">
        <f t="shared" si="18"/>
        <v/>
      </c>
      <c r="ED618" s="1549"/>
      <c r="EE618" s="1549"/>
      <c r="EF618" s="1549"/>
      <c r="EG618" s="1550"/>
      <c r="EH618" s="1548" t="str">
        <f t="shared" si="19"/>
        <v/>
      </c>
      <c r="EI618" s="1549"/>
      <c r="EJ618" s="1549"/>
      <c r="EK618" s="1549"/>
      <c r="EL618" s="1550"/>
      <c r="EM618" s="1548" t="str">
        <f t="shared" si="20"/>
        <v/>
      </c>
      <c r="EN618" s="1549"/>
      <c r="EO618" s="1549"/>
      <c r="EP618" s="1549"/>
      <c r="EQ618" s="1550"/>
      <c r="ER618" s="1548" t="str">
        <f t="shared" si="21"/>
        <v/>
      </c>
      <c r="ES618" s="1549"/>
      <c r="ET618" s="1549"/>
      <c r="EU618" s="1549"/>
      <c r="EV618" s="1550"/>
      <c r="EW618" s="1548" t="str">
        <f t="shared" si="22"/>
        <v/>
      </c>
      <c r="EX618" s="1549"/>
      <c r="EY618" s="1549"/>
      <c r="EZ618" s="1549"/>
      <c r="FA618" s="1550"/>
    </row>
    <row r="619" spans="1:157" ht="12.95" customHeight="1">
      <c r="AZ619" s="3"/>
      <c r="BA619" s="3"/>
      <c r="BB619" s="3"/>
      <c r="BC619" s="3"/>
      <c r="BD619" s="3"/>
      <c r="BE619" s="1548">
        <f t="shared" si="1"/>
        <v>0</v>
      </c>
      <c r="BF619" s="1550"/>
      <c r="BG619" s="1558">
        <f t="shared" si="2"/>
        <v>0</v>
      </c>
      <c r="BH619" s="1560"/>
      <c r="BI619" s="1548">
        <f t="shared" si="3"/>
        <v>0</v>
      </c>
      <c r="BJ619" s="1550"/>
      <c r="BK619" s="1558">
        <f t="shared" si="4"/>
        <v>0</v>
      </c>
      <c r="BL619" s="1560"/>
      <c r="BM619" s="3"/>
      <c r="BN619" s="1537">
        <f t="shared" si="5"/>
        <v>0</v>
      </c>
      <c r="BO619" s="1538"/>
      <c r="BP619" s="1538"/>
      <c r="BQ619" s="1538"/>
      <c r="BR619" s="1539"/>
      <c r="BS619" s="1544">
        <f t="shared" si="6"/>
        <v>0</v>
      </c>
      <c r="BT619" s="1544"/>
      <c r="BU619" s="1544"/>
      <c r="BV619" s="1544"/>
      <c r="BW619" s="1544"/>
      <c r="BX619" s="1544">
        <f t="shared" si="7"/>
        <v>0</v>
      </c>
      <c r="BY619" s="1544"/>
      <c r="BZ619" s="1544"/>
      <c r="CA619" s="1544"/>
      <c r="CB619" s="1544"/>
      <c r="CC619" s="1544">
        <f t="shared" si="8"/>
        <v>0</v>
      </c>
      <c r="CD619" s="1544"/>
      <c r="CE619" s="1544"/>
      <c r="CF619" s="1544"/>
      <c r="CG619" s="1544"/>
      <c r="CH619" s="1544">
        <f t="shared" si="9"/>
        <v>0</v>
      </c>
      <c r="CI619" s="1544"/>
      <c r="CJ619" s="1544"/>
      <c r="CK619" s="1544"/>
      <c r="CL619" s="1544"/>
      <c r="CM619" s="1544">
        <f t="shared" si="10"/>
        <v>0</v>
      </c>
      <c r="CN619" s="1544"/>
      <c r="CO619" s="1544"/>
      <c r="CP619" s="1544"/>
      <c r="CQ619" s="1544"/>
      <c r="CR619" s="6"/>
      <c r="CS619" s="1551">
        <f t="shared" si="11"/>
        <v>0</v>
      </c>
      <c r="CT619" s="1551"/>
      <c r="CU619" s="1551"/>
      <c r="CV619" s="1551"/>
      <c r="CW619" s="1551"/>
      <c r="CX619" s="1551">
        <f t="shared" si="12"/>
        <v>0</v>
      </c>
      <c r="CY619" s="1551"/>
      <c r="CZ619" s="1551"/>
      <c r="DA619" s="1551"/>
      <c r="DB619" s="1551"/>
      <c r="DC619" s="1551">
        <f t="shared" si="13"/>
        <v>0</v>
      </c>
      <c r="DD619" s="1551"/>
      <c r="DE619" s="1551"/>
      <c r="DF619" s="1551"/>
      <c r="DG619" s="1551"/>
      <c r="DH619" s="1551">
        <f t="shared" si="14"/>
        <v>0</v>
      </c>
      <c r="DI619" s="1551"/>
      <c r="DJ619" s="1551"/>
      <c r="DK619" s="1551"/>
      <c r="DL619" s="1551"/>
      <c r="DM619" s="1551">
        <f t="shared" si="15"/>
        <v>0</v>
      </c>
      <c r="DN619" s="1551"/>
      <c r="DO619" s="1551"/>
      <c r="DP619" s="1551"/>
      <c r="DQ619" s="1551"/>
      <c r="DR619" s="1551">
        <f t="shared" si="16"/>
        <v>0</v>
      </c>
      <c r="DS619" s="1551"/>
      <c r="DT619" s="1551"/>
      <c r="DU619" s="1551"/>
      <c r="DV619" s="1551"/>
      <c r="DX619" s="1548" t="str">
        <f t="shared" si="17"/>
        <v/>
      </c>
      <c r="DY619" s="1549"/>
      <c r="DZ619" s="1549"/>
      <c r="EA619" s="1549"/>
      <c r="EB619" s="1550"/>
      <c r="EC619" s="1548" t="str">
        <f t="shared" si="18"/>
        <v/>
      </c>
      <c r="ED619" s="1549"/>
      <c r="EE619" s="1549"/>
      <c r="EF619" s="1549"/>
      <c r="EG619" s="1550"/>
      <c r="EH619" s="1548" t="str">
        <f t="shared" si="19"/>
        <v/>
      </c>
      <c r="EI619" s="1549"/>
      <c r="EJ619" s="1549"/>
      <c r="EK619" s="1549"/>
      <c r="EL619" s="1550"/>
      <c r="EM619" s="1548" t="str">
        <f t="shared" si="20"/>
        <v/>
      </c>
      <c r="EN619" s="1549"/>
      <c r="EO619" s="1549"/>
      <c r="EP619" s="1549"/>
      <c r="EQ619" s="1550"/>
      <c r="ER619" s="1548" t="str">
        <f t="shared" si="21"/>
        <v/>
      </c>
      <c r="ES619" s="1549"/>
      <c r="ET619" s="1549"/>
      <c r="EU619" s="1549"/>
      <c r="EV619" s="1550"/>
      <c r="EW619" s="1548" t="str">
        <f t="shared" si="22"/>
        <v/>
      </c>
      <c r="EX619" s="1549"/>
      <c r="EY619" s="1549"/>
      <c r="EZ619" s="1549"/>
      <c r="FA619" s="1550"/>
    </row>
    <row r="620" spans="1:157" ht="12.95" customHeight="1">
      <c r="A620" s="2" t="s">
        <v>320</v>
      </c>
      <c r="B620" s="2"/>
      <c r="C620" s="2" t="s">
        <v>21</v>
      </c>
      <c r="AZ620" s="3"/>
      <c r="BA620" s="3"/>
      <c r="BB620" s="3"/>
      <c r="BC620" s="3"/>
      <c r="BD620" s="3"/>
      <c r="BE620" s="1548">
        <f t="shared" si="1"/>
        <v>0</v>
      </c>
      <c r="BF620" s="1550"/>
      <c r="BG620" s="1558">
        <f t="shared" si="2"/>
        <v>0</v>
      </c>
      <c r="BH620" s="1560"/>
      <c r="BI620" s="1548">
        <f t="shared" si="3"/>
        <v>0</v>
      </c>
      <c r="BJ620" s="1550"/>
      <c r="BK620" s="1558">
        <f t="shared" si="4"/>
        <v>0</v>
      </c>
      <c r="BL620" s="1560"/>
      <c r="BM620" s="3"/>
      <c r="BN620" s="1537">
        <f t="shared" si="5"/>
        <v>0</v>
      </c>
      <c r="BO620" s="1538"/>
      <c r="BP620" s="1538"/>
      <c r="BQ620" s="1538"/>
      <c r="BR620" s="1539"/>
      <c r="BS620" s="1544">
        <f t="shared" si="6"/>
        <v>0</v>
      </c>
      <c r="BT620" s="1544"/>
      <c r="BU620" s="1544"/>
      <c r="BV620" s="1544"/>
      <c r="BW620" s="1544"/>
      <c r="BX620" s="1544">
        <f t="shared" si="7"/>
        <v>0</v>
      </c>
      <c r="BY620" s="1544"/>
      <c r="BZ620" s="1544"/>
      <c r="CA620" s="1544"/>
      <c r="CB620" s="1544"/>
      <c r="CC620" s="1544">
        <f t="shared" si="8"/>
        <v>0</v>
      </c>
      <c r="CD620" s="1544"/>
      <c r="CE620" s="1544"/>
      <c r="CF620" s="1544"/>
      <c r="CG620" s="1544"/>
      <c r="CH620" s="1544">
        <f t="shared" si="9"/>
        <v>0</v>
      </c>
      <c r="CI620" s="1544"/>
      <c r="CJ620" s="1544"/>
      <c r="CK620" s="1544"/>
      <c r="CL620" s="1544"/>
      <c r="CM620" s="1544">
        <f t="shared" si="10"/>
        <v>0</v>
      </c>
      <c r="CN620" s="1544"/>
      <c r="CO620" s="1544"/>
      <c r="CP620" s="1544"/>
      <c r="CQ620" s="1544"/>
      <c r="CR620" s="6"/>
      <c r="CS620" s="1551">
        <f t="shared" si="11"/>
        <v>0</v>
      </c>
      <c r="CT620" s="1551"/>
      <c r="CU620" s="1551"/>
      <c r="CV620" s="1551"/>
      <c r="CW620" s="1551"/>
      <c r="CX620" s="1551">
        <f t="shared" si="12"/>
        <v>0</v>
      </c>
      <c r="CY620" s="1551"/>
      <c r="CZ620" s="1551"/>
      <c r="DA620" s="1551"/>
      <c r="DB620" s="1551"/>
      <c r="DC620" s="1551">
        <f t="shared" si="13"/>
        <v>0</v>
      </c>
      <c r="DD620" s="1551"/>
      <c r="DE620" s="1551"/>
      <c r="DF620" s="1551"/>
      <c r="DG620" s="1551"/>
      <c r="DH620" s="1551">
        <f t="shared" si="14"/>
        <v>0</v>
      </c>
      <c r="DI620" s="1551"/>
      <c r="DJ620" s="1551"/>
      <c r="DK620" s="1551"/>
      <c r="DL620" s="1551"/>
      <c r="DM620" s="1551">
        <f t="shared" si="15"/>
        <v>0</v>
      </c>
      <c r="DN620" s="1551"/>
      <c r="DO620" s="1551"/>
      <c r="DP620" s="1551"/>
      <c r="DQ620" s="1551"/>
      <c r="DR620" s="1551">
        <f t="shared" si="16"/>
        <v>0</v>
      </c>
      <c r="DS620" s="1551"/>
      <c r="DT620" s="1551"/>
      <c r="DU620" s="1551"/>
      <c r="DV620" s="1551"/>
      <c r="DX620" s="1548" t="str">
        <f t="shared" si="17"/>
        <v/>
      </c>
      <c r="DY620" s="1549"/>
      <c r="DZ620" s="1549"/>
      <c r="EA620" s="1549"/>
      <c r="EB620" s="1550"/>
      <c r="EC620" s="1548" t="str">
        <f t="shared" si="18"/>
        <v/>
      </c>
      <c r="ED620" s="1549"/>
      <c r="EE620" s="1549"/>
      <c r="EF620" s="1549"/>
      <c r="EG620" s="1550"/>
      <c r="EH620" s="1548" t="str">
        <f t="shared" si="19"/>
        <v/>
      </c>
      <c r="EI620" s="1549"/>
      <c r="EJ620" s="1549"/>
      <c r="EK620" s="1549"/>
      <c r="EL620" s="1550"/>
      <c r="EM620" s="1548" t="str">
        <f t="shared" si="20"/>
        <v/>
      </c>
      <c r="EN620" s="1549"/>
      <c r="EO620" s="1549"/>
      <c r="EP620" s="1549"/>
      <c r="EQ620" s="1550"/>
      <c r="ER620" s="1548" t="str">
        <f t="shared" si="21"/>
        <v/>
      </c>
      <c r="ES620" s="1549"/>
      <c r="ET620" s="1549"/>
      <c r="EU620" s="1549"/>
      <c r="EV620" s="1550"/>
      <c r="EW620" s="1548" t="str">
        <f t="shared" si="22"/>
        <v/>
      </c>
      <c r="EX620" s="1549"/>
      <c r="EY620" s="1549"/>
      <c r="EZ620" s="1549"/>
      <c r="FA620" s="1550"/>
    </row>
    <row r="621" spans="1:157" ht="12.95" customHeight="1">
      <c r="A621" s="2"/>
      <c r="B621" s="2"/>
      <c r="C621" s="2"/>
      <c r="AZ621" s="3"/>
      <c r="BA621" s="3"/>
      <c r="BB621" s="3"/>
      <c r="BC621" s="3"/>
      <c r="BD621" s="3"/>
      <c r="BE621" s="1548">
        <f t="shared" si="1"/>
        <v>0</v>
      </c>
      <c r="BF621" s="1550"/>
      <c r="BG621" s="1558">
        <f t="shared" si="2"/>
        <v>0</v>
      </c>
      <c r="BH621" s="1560"/>
      <c r="BI621" s="1548">
        <f t="shared" si="3"/>
        <v>0</v>
      </c>
      <c r="BJ621" s="1550"/>
      <c r="BK621" s="1558">
        <f t="shared" si="4"/>
        <v>0</v>
      </c>
      <c r="BL621" s="1560"/>
      <c r="BM621" s="3"/>
      <c r="BN621" s="1537">
        <f t="shared" si="5"/>
        <v>0</v>
      </c>
      <c r="BO621" s="1538"/>
      <c r="BP621" s="1538"/>
      <c r="BQ621" s="1538"/>
      <c r="BR621" s="1539"/>
      <c r="BS621" s="1544">
        <f t="shared" si="6"/>
        <v>0</v>
      </c>
      <c r="BT621" s="1544"/>
      <c r="BU621" s="1544"/>
      <c r="BV621" s="1544"/>
      <c r="BW621" s="1544"/>
      <c r="BX621" s="1544">
        <f t="shared" si="7"/>
        <v>0</v>
      </c>
      <c r="BY621" s="1544"/>
      <c r="BZ621" s="1544"/>
      <c r="CA621" s="1544"/>
      <c r="CB621" s="1544"/>
      <c r="CC621" s="1544">
        <f t="shared" si="8"/>
        <v>0</v>
      </c>
      <c r="CD621" s="1544"/>
      <c r="CE621" s="1544"/>
      <c r="CF621" s="1544"/>
      <c r="CG621" s="1544"/>
      <c r="CH621" s="1544">
        <f t="shared" si="9"/>
        <v>0</v>
      </c>
      <c r="CI621" s="1544"/>
      <c r="CJ621" s="1544"/>
      <c r="CK621" s="1544"/>
      <c r="CL621" s="1544"/>
      <c r="CM621" s="1544">
        <f t="shared" si="10"/>
        <v>0</v>
      </c>
      <c r="CN621" s="1544"/>
      <c r="CO621" s="1544"/>
      <c r="CP621" s="1544"/>
      <c r="CQ621" s="1544"/>
      <c r="CR621" s="6"/>
      <c r="CS621" s="1551">
        <f t="shared" si="11"/>
        <v>0</v>
      </c>
      <c r="CT621" s="1551"/>
      <c r="CU621" s="1551"/>
      <c r="CV621" s="1551"/>
      <c r="CW621" s="1551"/>
      <c r="CX621" s="1551">
        <f t="shared" si="12"/>
        <v>0</v>
      </c>
      <c r="CY621" s="1551"/>
      <c r="CZ621" s="1551"/>
      <c r="DA621" s="1551"/>
      <c r="DB621" s="1551"/>
      <c r="DC621" s="1551">
        <f t="shared" si="13"/>
        <v>0</v>
      </c>
      <c r="DD621" s="1551"/>
      <c r="DE621" s="1551"/>
      <c r="DF621" s="1551"/>
      <c r="DG621" s="1551"/>
      <c r="DH621" s="1551">
        <f t="shared" si="14"/>
        <v>0</v>
      </c>
      <c r="DI621" s="1551"/>
      <c r="DJ621" s="1551"/>
      <c r="DK621" s="1551"/>
      <c r="DL621" s="1551"/>
      <c r="DM621" s="1551">
        <f t="shared" si="15"/>
        <v>0</v>
      </c>
      <c r="DN621" s="1551"/>
      <c r="DO621" s="1551"/>
      <c r="DP621" s="1551"/>
      <c r="DQ621" s="1551"/>
      <c r="DR621" s="1551">
        <f t="shared" si="16"/>
        <v>0</v>
      </c>
      <c r="DS621" s="1551"/>
      <c r="DT621" s="1551"/>
      <c r="DU621" s="1551"/>
      <c r="DV621" s="1551"/>
      <c r="DX621" s="1548" t="str">
        <f t="shared" si="17"/>
        <v/>
      </c>
      <c r="DY621" s="1549"/>
      <c r="DZ621" s="1549"/>
      <c r="EA621" s="1549"/>
      <c r="EB621" s="1550"/>
      <c r="EC621" s="1548" t="str">
        <f t="shared" si="18"/>
        <v/>
      </c>
      <c r="ED621" s="1549"/>
      <c r="EE621" s="1549"/>
      <c r="EF621" s="1549"/>
      <c r="EG621" s="1550"/>
      <c r="EH621" s="1548" t="str">
        <f t="shared" si="19"/>
        <v/>
      </c>
      <c r="EI621" s="1549"/>
      <c r="EJ621" s="1549"/>
      <c r="EK621" s="1549"/>
      <c r="EL621" s="1550"/>
      <c r="EM621" s="1548" t="str">
        <f t="shared" si="20"/>
        <v/>
      </c>
      <c r="EN621" s="1549"/>
      <c r="EO621" s="1549"/>
      <c r="EP621" s="1549"/>
      <c r="EQ621" s="1550"/>
      <c r="ER621" s="1548" t="str">
        <f t="shared" si="21"/>
        <v/>
      </c>
      <c r="ES621" s="1549"/>
      <c r="ET621" s="1549"/>
      <c r="EU621" s="1549"/>
      <c r="EV621" s="1550"/>
      <c r="EW621" s="1548" t="str">
        <f t="shared" si="22"/>
        <v/>
      </c>
      <c r="EX621" s="1549"/>
      <c r="EY621" s="1549"/>
      <c r="EZ621" s="1549"/>
      <c r="FA621" s="1550"/>
    </row>
    <row r="622" spans="1:157" ht="12.95" customHeight="1">
      <c r="C622" s="2" t="s">
        <v>2419</v>
      </c>
      <c r="AZ622" s="3"/>
      <c r="BA622" s="3"/>
      <c r="BB622" s="3"/>
      <c r="BC622" s="3"/>
      <c r="BD622" s="3"/>
      <c r="BE622" s="1548">
        <f t="shared" si="1"/>
        <v>0</v>
      </c>
      <c r="BF622" s="1550"/>
      <c r="BG622" s="1558">
        <f t="shared" si="2"/>
        <v>0</v>
      </c>
      <c r="BH622" s="1560"/>
      <c r="BI622" s="1548">
        <f t="shared" si="3"/>
        <v>0</v>
      </c>
      <c r="BJ622" s="1550"/>
      <c r="BK622" s="1558">
        <f t="shared" si="4"/>
        <v>0</v>
      </c>
      <c r="BL622" s="1560"/>
      <c r="BM622" s="3"/>
      <c r="BN622" s="1537">
        <f t="shared" si="5"/>
        <v>0</v>
      </c>
      <c r="BO622" s="1538"/>
      <c r="BP622" s="1538"/>
      <c r="BQ622" s="1538"/>
      <c r="BR622" s="1539"/>
      <c r="BS622" s="1544">
        <f t="shared" si="6"/>
        <v>0</v>
      </c>
      <c r="BT622" s="1544"/>
      <c r="BU622" s="1544"/>
      <c r="BV622" s="1544"/>
      <c r="BW622" s="1544"/>
      <c r="BX622" s="1544">
        <f t="shared" si="7"/>
        <v>0</v>
      </c>
      <c r="BY622" s="1544"/>
      <c r="BZ622" s="1544"/>
      <c r="CA622" s="1544"/>
      <c r="CB622" s="1544"/>
      <c r="CC622" s="1544">
        <f t="shared" si="8"/>
        <v>0</v>
      </c>
      <c r="CD622" s="1544"/>
      <c r="CE622" s="1544"/>
      <c r="CF622" s="1544"/>
      <c r="CG622" s="1544"/>
      <c r="CH622" s="1544">
        <f t="shared" si="9"/>
        <v>0</v>
      </c>
      <c r="CI622" s="1544"/>
      <c r="CJ622" s="1544"/>
      <c r="CK622" s="1544"/>
      <c r="CL622" s="1544"/>
      <c r="CM622" s="1544">
        <f t="shared" si="10"/>
        <v>0</v>
      </c>
      <c r="CN622" s="1544"/>
      <c r="CO622" s="1544"/>
      <c r="CP622" s="1544"/>
      <c r="CQ622" s="1544"/>
      <c r="CR622" s="6"/>
      <c r="CS622" s="1551">
        <f t="shared" si="11"/>
        <v>0</v>
      </c>
      <c r="CT622" s="1551"/>
      <c r="CU622" s="1551"/>
      <c r="CV622" s="1551"/>
      <c r="CW622" s="1551"/>
      <c r="CX622" s="1551">
        <f t="shared" si="12"/>
        <v>0</v>
      </c>
      <c r="CY622" s="1551"/>
      <c r="CZ622" s="1551"/>
      <c r="DA622" s="1551"/>
      <c r="DB622" s="1551"/>
      <c r="DC622" s="1551">
        <f t="shared" si="13"/>
        <v>0</v>
      </c>
      <c r="DD622" s="1551"/>
      <c r="DE622" s="1551"/>
      <c r="DF622" s="1551"/>
      <c r="DG622" s="1551"/>
      <c r="DH622" s="1551">
        <f t="shared" si="14"/>
        <v>0</v>
      </c>
      <c r="DI622" s="1551"/>
      <c r="DJ622" s="1551"/>
      <c r="DK622" s="1551"/>
      <c r="DL622" s="1551"/>
      <c r="DM622" s="1551">
        <f t="shared" si="15"/>
        <v>0</v>
      </c>
      <c r="DN622" s="1551"/>
      <c r="DO622" s="1551"/>
      <c r="DP622" s="1551"/>
      <c r="DQ622" s="1551"/>
      <c r="DR622" s="1551">
        <f t="shared" si="16"/>
        <v>0</v>
      </c>
      <c r="DS622" s="1551"/>
      <c r="DT622" s="1551"/>
      <c r="DU622" s="1551"/>
      <c r="DV622" s="1551"/>
      <c r="DX622" s="1548" t="str">
        <f t="shared" si="17"/>
        <v/>
      </c>
      <c r="DY622" s="1549"/>
      <c r="DZ622" s="1549"/>
      <c r="EA622" s="1549"/>
      <c r="EB622" s="1550"/>
      <c r="EC622" s="1548" t="str">
        <f t="shared" si="18"/>
        <v/>
      </c>
      <c r="ED622" s="1549"/>
      <c r="EE622" s="1549"/>
      <c r="EF622" s="1549"/>
      <c r="EG622" s="1550"/>
      <c r="EH622" s="1548" t="str">
        <f t="shared" si="19"/>
        <v/>
      </c>
      <c r="EI622" s="1549"/>
      <c r="EJ622" s="1549"/>
      <c r="EK622" s="1549"/>
      <c r="EL622" s="1550"/>
      <c r="EM622" s="1548" t="str">
        <f t="shared" si="20"/>
        <v/>
      </c>
      <c r="EN622" s="1549"/>
      <c r="EO622" s="1549"/>
      <c r="EP622" s="1549"/>
      <c r="EQ622" s="1550"/>
      <c r="ER622" s="1548" t="str">
        <f t="shared" si="21"/>
        <v/>
      </c>
      <c r="ES622" s="1549"/>
      <c r="ET622" s="1549"/>
      <c r="EU622" s="1549"/>
      <c r="EV622" s="1550"/>
      <c r="EW622" s="1548" t="str">
        <f t="shared" si="22"/>
        <v/>
      </c>
      <c r="EX622" s="1549"/>
      <c r="EY622" s="1549"/>
      <c r="EZ622" s="1549"/>
      <c r="FA622" s="1550"/>
    </row>
    <row r="623" spans="1:157" ht="12.95" customHeight="1">
      <c r="B623" s="546"/>
      <c r="C623" s="2"/>
      <c r="AU623" s="3"/>
      <c r="AZ623" s="3"/>
      <c r="BA623" s="3"/>
      <c r="BB623" s="3"/>
      <c r="BC623" s="3"/>
      <c r="BD623" s="3"/>
      <c r="BE623" s="1548">
        <f t="shared" si="1"/>
        <v>0</v>
      </c>
      <c r="BF623" s="1550"/>
      <c r="BG623" s="1558">
        <f t="shared" si="2"/>
        <v>0</v>
      </c>
      <c r="BH623" s="1560"/>
      <c r="BI623" s="1548">
        <f t="shared" si="3"/>
        <v>0</v>
      </c>
      <c r="BJ623" s="1550"/>
      <c r="BK623" s="1558">
        <f t="shared" si="4"/>
        <v>0</v>
      </c>
      <c r="BL623" s="1560"/>
      <c r="BM623" s="3"/>
      <c r="BN623" s="1537">
        <f t="shared" si="5"/>
        <v>0</v>
      </c>
      <c r="BO623" s="1538"/>
      <c r="BP623" s="1538"/>
      <c r="BQ623" s="1538"/>
      <c r="BR623" s="1539"/>
      <c r="BS623" s="1544">
        <f t="shared" si="6"/>
        <v>0</v>
      </c>
      <c r="BT623" s="1544"/>
      <c r="BU623" s="1544"/>
      <c r="BV623" s="1544"/>
      <c r="BW623" s="1544"/>
      <c r="BX623" s="1544">
        <f t="shared" si="7"/>
        <v>0</v>
      </c>
      <c r="BY623" s="1544"/>
      <c r="BZ623" s="1544"/>
      <c r="CA623" s="1544"/>
      <c r="CB623" s="1544"/>
      <c r="CC623" s="1544">
        <f t="shared" si="8"/>
        <v>0</v>
      </c>
      <c r="CD623" s="1544"/>
      <c r="CE623" s="1544"/>
      <c r="CF623" s="1544"/>
      <c r="CG623" s="1544"/>
      <c r="CH623" s="1544">
        <f t="shared" si="9"/>
        <v>0</v>
      </c>
      <c r="CI623" s="1544"/>
      <c r="CJ623" s="1544"/>
      <c r="CK623" s="1544"/>
      <c r="CL623" s="1544"/>
      <c r="CM623" s="1544">
        <f t="shared" si="10"/>
        <v>0</v>
      </c>
      <c r="CN623" s="1544"/>
      <c r="CO623" s="1544"/>
      <c r="CP623" s="1544"/>
      <c r="CQ623" s="1544"/>
      <c r="CR623" s="6"/>
      <c r="CS623" s="1551">
        <f t="shared" si="11"/>
        <v>0</v>
      </c>
      <c r="CT623" s="1551"/>
      <c r="CU623" s="1551"/>
      <c r="CV623" s="1551"/>
      <c r="CW623" s="1551"/>
      <c r="CX623" s="1551">
        <f t="shared" si="12"/>
        <v>0</v>
      </c>
      <c r="CY623" s="1551"/>
      <c r="CZ623" s="1551"/>
      <c r="DA623" s="1551"/>
      <c r="DB623" s="1551"/>
      <c r="DC623" s="1551">
        <f t="shared" si="13"/>
        <v>0</v>
      </c>
      <c r="DD623" s="1551"/>
      <c r="DE623" s="1551"/>
      <c r="DF623" s="1551"/>
      <c r="DG623" s="1551"/>
      <c r="DH623" s="1551">
        <f t="shared" si="14"/>
        <v>0</v>
      </c>
      <c r="DI623" s="1551"/>
      <c r="DJ623" s="1551"/>
      <c r="DK623" s="1551"/>
      <c r="DL623" s="1551"/>
      <c r="DM623" s="1551">
        <f t="shared" si="15"/>
        <v>0</v>
      </c>
      <c r="DN623" s="1551"/>
      <c r="DO623" s="1551"/>
      <c r="DP623" s="1551"/>
      <c r="DQ623" s="1551"/>
      <c r="DR623" s="1551">
        <f t="shared" si="16"/>
        <v>0</v>
      </c>
      <c r="DS623" s="1551"/>
      <c r="DT623" s="1551"/>
      <c r="DU623" s="1551"/>
      <c r="DV623" s="1551"/>
      <c r="DX623" s="1548" t="str">
        <f t="shared" si="17"/>
        <v/>
      </c>
      <c r="DY623" s="1549"/>
      <c r="DZ623" s="1549"/>
      <c r="EA623" s="1549"/>
      <c r="EB623" s="1550"/>
      <c r="EC623" s="1548" t="str">
        <f t="shared" si="18"/>
        <v/>
      </c>
      <c r="ED623" s="1549"/>
      <c r="EE623" s="1549"/>
      <c r="EF623" s="1549"/>
      <c r="EG623" s="1550"/>
      <c r="EH623" s="1548" t="str">
        <f t="shared" si="19"/>
        <v/>
      </c>
      <c r="EI623" s="1549"/>
      <c r="EJ623" s="1549"/>
      <c r="EK623" s="1549"/>
      <c r="EL623" s="1550"/>
      <c r="EM623" s="1548" t="str">
        <f t="shared" si="20"/>
        <v/>
      </c>
      <c r="EN623" s="1549"/>
      <c r="EO623" s="1549"/>
      <c r="EP623" s="1549"/>
      <c r="EQ623" s="1550"/>
      <c r="ER623" s="1548" t="str">
        <f t="shared" si="21"/>
        <v/>
      </c>
      <c r="ES623" s="1549"/>
      <c r="ET623" s="1549"/>
      <c r="EU623" s="1549"/>
      <c r="EV623" s="1550"/>
      <c r="EW623" s="1548" t="str">
        <f t="shared" si="22"/>
        <v/>
      </c>
      <c r="EX623" s="1549"/>
      <c r="EY623" s="1549"/>
      <c r="EZ623" s="1549"/>
      <c r="FA623" s="1550"/>
    </row>
    <row r="624" spans="1:157" ht="12.95" customHeight="1">
      <c r="B624" s="1494" t="s">
        <v>2421</v>
      </c>
      <c r="C624" s="1494"/>
      <c r="D624" s="1494"/>
      <c r="E624" s="1494"/>
      <c r="F624" s="1494"/>
      <c r="G624" s="1494"/>
      <c r="H624" s="1494"/>
      <c r="I624" s="1494"/>
      <c r="J624" s="1494"/>
      <c r="K624" s="1494"/>
      <c r="L624" s="1494"/>
      <c r="M624" s="1517" t="s">
        <v>2422</v>
      </c>
      <c r="N624" s="1517"/>
      <c r="O624" s="1517"/>
      <c r="P624" s="1517"/>
      <c r="Q624" s="1517" t="s">
        <v>2043</v>
      </c>
      <c r="R624" s="1517"/>
      <c r="S624" s="1517"/>
      <c r="T624" s="1517" t="s">
        <v>2041</v>
      </c>
      <c r="U624" s="1517"/>
      <c r="V624" s="1517"/>
      <c r="W624" s="1516" t="s">
        <v>461</v>
      </c>
      <c r="X624" s="1516"/>
      <c r="Y624" s="1516"/>
      <c r="Z624" s="1702" t="s">
        <v>2451</v>
      </c>
      <c r="AA624" s="1702"/>
      <c r="AB624" s="1703"/>
      <c r="AC624" s="1523" t="s">
        <v>1864</v>
      </c>
      <c r="AD624" s="1524"/>
      <c r="AE624" s="1525"/>
      <c r="AF624" s="1701" t="s">
        <v>2230</v>
      </c>
      <c r="AG624" s="1702"/>
      <c r="AH624" s="1702"/>
      <c r="AI624" s="1702"/>
      <c r="AJ624" s="1703"/>
      <c r="AK624" s="1726" t="s">
        <v>2231</v>
      </c>
      <c r="AL624" s="1727"/>
      <c r="AM624" s="1727"/>
      <c r="AN624" s="1728"/>
      <c r="AO624" s="1517" t="s">
        <v>462</v>
      </c>
      <c r="AP624" s="1517"/>
      <c r="AQ624" s="1517"/>
      <c r="AR624" s="1517"/>
      <c r="AS624" s="1517"/>
      <c r="AU624" s="3"/>
      <c r="AZ624" s="3"/>
      <c r="BA624" s="3"/>
      <c r="BB624" s="3"/>
      <c r="BC624" s="3"/>
      <c r="BD624" s="3"/>
      <c r="BE624" s="1548">
        <f t="shared" si="1"/>
        <v>0</v>
      </c>
      <c r="BF624" s="1550"/>
      <c r="BG624" s="1558">
        <f t="shared" si="2"/>
        <v>0</v>
      </c>
      <c r="BH624" s="1560"/>
      <c r="BI624" s="1548">
        <f t="shared" si="3"/>
        <v>0</v>
      </c>
      <c r="BJ624" s="1550"/>
      <c r="BK624" s="1558">
        <f t="shared" si="4"/>
        <v>0</v>
      </c>
      <c r="BL624" s="1560"/>
      <c r="BM624" s="3"/>
      <c r="BN624" s="1537">
        <f t="shared" si="5"/>
        <v>0</v>
      </c>
      <c r="BO624" s="1538"/>
      <c r="BP624" s="1538"/>
      <c r="BQ624" s="1538"/>
      <c r="BR624" s="1539"/>
      <c r="BS624" s="1544">
        <f t="shared" si="6"/>
        <v>0</v>
      </c>
      <c r="BT624" s="1544"/>
      <c r="BU624" s="1544"/>
      <c r="BV624" s="1544"/>
      <c r="BW624" s="1544"/>
      <c r="BX624" s="1544">
        <f t="shared" si="7"/>
        <v>0</v>
      </c>
      <c r="BY624" s="1544"/>
      <c r="BZ624" s="1544"/>
      <c r="CA624" s="1544"/>
      <c r="CB624" s="1544"/>
      <c r="CC624" s="1544">
        <f t="shared" si="8"/>
        <v>0</v>
      </c>
      <c r="CD624" s="1544"/>
      <c r="CE624" s="1544"/>
      <c r="CF624" s="1544"/>
      <c r="CG624" s="1544"/>
      <c r="CH624" s="1544">
        <f t="shared" si="9"/>
        <v>0</v>
      </c>
      <c r="CI624" s="1544"/>
      <c r="CJ624" s="1544"/>
      <c r="CK624" s="1544"/>
      <c r="CL624" s="1544"/>
      <c r="CM624" s="1544">
        <f t="shared" si="10"/>
        <v>0</v>
      </c>
      <c r="CN624" s="1544"/>
      <c r="CO624" s="1544"/>
      <c r="CP624" s="1544"/>
      <c r="CQ624" s="1544"/>
      <c r="CR624" s="6"/>
      <c r="CS624" s="1551">
        <f t="shared" si="11"/>
        <v>0</v>
      </c>
      <c r="CT624" s="1551"/>
      <c r="CU624" s="1551"/>
      <c r="CV624" s="1551"/>
      <c r="CW624" s="1551"/>
      <c r="CX624" s="1551">
        <f t="shared" si="12"/>
        <v>0</v>
      </c>
      <c r="CY624" s="1551"/>
      <c r="CZ624" s="1551"/>
      <c r="DA624" s="1551"/>
      <c r="DB624" s="1551"/>
      <c r="DC624" s="1551">
        <f t="shared" si="13"/>
        <v>0</v>
      </c>
      <c r="DD624" s="1551"/>
      <c r="DE624" s="1551"/>
      <c r="DF624" s="1551"/>
      <c r="DG624" s="1551"/>
      <c r="DH624" s="1551">
        <f t="shared" si="14"/>
        <v>0</v>
      </c>
      <c r="DI624" s="1551"/>
      <c r="DJ624" s="1551"/>
      <c r="DK624" s="1551"/>
      <c r="DL624" s="1551"/>
      <c r="DM624" s="1551">
        <f t="shared" si="15"/>
        <v>0</v>
      </c>
      <c r="DN624" s="1551"/>
      <c r="DO624" s="1551"/>
      <c r="DP624" s="1551"/>
      <c r="DQ624" s="1551"/>
      <c r="DR624" s="1551">
        <f t="shared" si="16"/>
        <v>0</v>
      </c>
      <c r="DS624" s="1551"/>
      <c r="DT624" s="1551"/>
      <c r="DU624" s="1551"/>
      <c r="DV624" s="1551"/>
      <c r="DX624" s="1548" t="str">
        <f t="shared" si="17"/>
        <v/>
      </c>
      <c r="DY624" s="1549"/>
      <c r="DZ624" s="1549"/>
      <c r="EA624" s="1549"/>
      <c r="EB624" s="1550"/>
      <c r="EC624" s="1548" t="str">
        <f t="shared" si="18"/>
        <v/>
      </c>
      <c r="ED624" s="1549"/>
      <c r="EE624" s="1549"/>
      <c r="EF624" s="1549"/>
      <c r="EG624" s="1550"/>
      <c r="EH624" s="1548" t="str">
        <f t="shared" si="19"/>
        <v/>
      </c>
      <c r="EI624" s="1549"/>
      <c r="EJ624" s="1549"/>
      <c r="EK624" s="1549"/>
      <c r="EL624" s="1550"/>
      <c r="EM624" s="1548" t="str">
        <f t="shared" si="20"/>
        <v/>
      </c>
      <c r="EN624" s="1549"/>
      <c r="EO624" s="1549"/>
      <c r="EP624" s="1549"/>
      <c r="EQ624" s="1550"/>
      <c r="ER624" s="1548" t="str">
        <f t="shared" si="21"/>
        <v/>
      </c>
      <c r="ES624" s="1549"/>
      <c r="ET624" s="1549"/>
      <c r="EU624" s="1549"/>
      <c r="EV624" s="1550"/>
      <c r="EW624" s="1548" t="str">
        <f t="shared" si="22"/>
        <v/>
      </c>
      <c r="EX624" s="1549"/>
      <c r="EY624" s="1549"/>
      <c r="EZ624" s="1549"/>
      <c r="FA624" s="1550"/>
    </row>
    <row r="625" spans="2:157" ht="12.95" customHeight="1">
      <c r="B625" s="1494"/>
      <c r="C625" s="1494"/>
      <c r="D625" s="1494"/>
      <c r="E625" s="1494"/>
      <c r="F625" s="1494"/>
      <c r="G625" s="1494"/>
      <c r="H625" s="1494"/>
      <c r="I625" s="1494"/>
      <c r="J625" s="1494"/>
      <c r="K625" s="1494"/>
      <c r="L625" s="1494"/>
      <c r="M625" s="1517"/>
      <c r="N625" s="1517"/>
      <c r="O625" s="1517"/>
      <c r="P625" s="1517"/>
      <c r="Q625" s="1517"/>
      <c r="R625" s="1517"/>
      <c r="S625" s="1517"/>
      <c r="T625" s="1517"/>
      <c r="U625" s="1517"/>
      <c r="V625" s="1517"/>
      <c r="W625" s="1516"/>
      <c r="X625" s="1516"/>
      <c r="Y625" s="1516"/>
      <c r="Z625" s="1705"/>
      <c r="AA625" s="1705"/>
      <c r="AB625" s="1706"/>
      <c r="AC625" s="1526"/>
      <c r="AD625" s="1527"/>
      <c r="AE625" s="1528"/>
      <c r="AF625" s="1704"/>
      <c r="AG625" s="1705"/>
      <c r="AH625" s="1705"/>
      <c r="AI625" s="1705"/>
      <c r="AJ625" s="1706"/>
      <c r="AK625" s="1729"/>
      <c r="AL625" s="1730"/>
      <c r="AM625" s="1730"/>
      <c r="AN625" s="1731"/>
      <c r="AO625" s="1517"/>
      <c r="AP625" s="1517"/>
      <c r="AQ625" s="1517"/>
      <c r="AR625" s="1517"/>
      <c r="AS625" s="1517"/>
      <c r="AU625" s="3"/>
      <c r="AZ625" s="3"/>
      <c r="BA625" s="3"/>
      <c r="BB625" s="3"/>
      <c r="BC625" s="3"/>
      <c r="BD625" s="3"/>
      <c r="BE625" s="1548">
        <f t="shared" si="1"/>
        <v>0</v>
      </c>
      <c r="BF625" s="1550"/>
      <c r="BG625" s="1558">
        <f t="shared" si="2"/>
        <v>0</v>
      </c>
      <c r="BH625" s="1560"/>
      <c r="BI625" s="1548">
        <f t="shared" si="3"/>
        <v>0</v>
      </c>
      <c r="BJ625" s="1550"/>
      <c r="BK625" s="1558">
        <f t="shared" si="4"/>
        <v>0</v>
      </c>
      <c r="BL625" s="1560"/>
      <c r="BM625" s="3"/>
      <c r="BN625" s="1537">
        <f t="shared" si="5"/>
        <v>0</v>
      </c>
      <c r="BO625" s="1538"/>
      <c r="BP625" s="1538"/>
      <c r="BQ625" s="1538"/>
      <c r="BR625" s="1539"/>
      <c r="BS625" s="1544">
        <f t="shared" si="6"/>
        <v>0</v>
      </c>
      <c r="BT625" s="1544"/>
      <c r="BU625" s="1544"/>
      <c r="BV625" s="1544"/>
      <c r="BW625" s="1544"/>
      <c r="BX625" s="1544">
        <f t="shared" si="7"/>
        <v>0</v>
      </c>
      <c r="BY625" s="1544"/>
      <c r="BZ625" s="1544"/>
      <c r="CA625" s="1544"/>
      <c r="CB625" s="1544"/>
      <c r="CC625" s="1544">
        <f t="shared" si="8"/>
        <v>0</v>
      </c>
      <c r="CD625" s="1544"/>
      <c r="CE625" s="1544"/>
      <c r="CF625" s="1544"/>
      <c r="CG625" s="1544"/>
      <c r="CH625" s="1544">
        <f t="shared" si="9"/>
        <v>0</v>
      </c>
      <c r="CI625" s="1544"/>
      <c r="CJ625" s="1544"/>
      <c r="CK625" s="1544"/>
      <c r="CL625" s="1544"/>
      <c r="CM625" s="1544">
        <f t="shared" si="10"/>
        <v>0</v>
      </c>
      <c r="CN625" s="1544"/>
      <c r="CO625" s="1544"/>
      <c r="CP625" s="1544"/>
      <c r="CQ625" s="1544"/>
      <c r="CR625" s="6"/>
      <c r="CS625" s="1551">
        <f t="shared" si="11"/>
        <v>0</v>
      </c>
      <c r="CT625" s="1551"/>
      <c r="CU625" s="1551"/>
      <c r="CV625" s="1551"/>
      <c r="CW625" s="1551"/>
      <c r="CX625" s="1551">
        <f t="shared" si="12"/>
        <v>0</v>
      </c>
      <c r="CY625" s="1551"/>
      <c r="CZ625" s="1551"/>
      <c r="DA625" s="1551"/>
      <c r="DB625" s="1551"/>
      <c r="DC625" s="1551">
        <f t="shared" si="13"/>
        <v>0</v>
      </c>
      <c r="DD625" s="1551"/>
      <c r="DE625" s="1551"/>
      <c r="DF625" s="1551"/>
      <c r="DG625" s="1551"/>
      <c r="DH625" s="1551">
        <f t="shared" si="14"/>
        <v>0</v>
      </c>
      <c r="DI625" s="1551"/>
      <c r="DJ625" s="1551"/>
      <c r="DK625" s="1551"/>
      <c r="DL625" s="1551"/>
      <c r="DM625" s="1551">
        <f t="shared" si="15"/>
        <v>0</v>
      </c>
      <c r="DN625" s="1551"/>
      <c r="DO625" s="1551"/>
      <c r="DP625" s="1551"/>
      <c r="DQ625" s="1551"/>
      <c r="DR625" s="1551">
        <f t="shared" si="16"/>
        <v>0</v>
      </c>
      <c r="DS625" s="1551"/>
      <c r="DT625" s="1551"/>
      <c r="DU625" s="1551"/>
      <c r="DV625" s="1551"/>
      <c r="DX625" s="1548" t="str">
        <f t="shared" si="17"/>
        <v/>
      </c>
      <c r="DY625" s="1549"/>
      <c r="DZ625" s="1549"/>
      <c r="EA625" s="1549"/>
      <c r="EB625" s="1550"/>
      <c r="EC625" s="1548" t="str">
        <f t="shared" si="18"/>
        <v/>
      </c>
      <c r="ED625" s="1549"/>
      <c r="EE625" s="1549"/>
      <c r="EF625" s="1549"/>
      <c r="EG625" s="1550"/>
      <c r="EH625" s="1548" t="str">
        <f t="shared" si="19"/>
        <v/>
      </c>
      <c r="EI625" s="1549"/>
      <c r="EJ625" s="1549"/>
      <c r="EK625" s="1549"/>
      <c r="EL625" s="1550"/>
      <c r="EM625" s="1548" t="str">
        <f t="shared" si="20"/>
        <v/>
      </c>
      <c r="EN625" s="1549"/>
      <c r="EO625" s="1549"/>
      <c r="EP625" s="1549"/>
      <c r="EQ625" s="1550"/>
      <c r="ER625" s="1548" t="str">
        <f t="shared" si="21"/>
        <v/>
      </c>
      <c r="ES625" s="1549"/>
      <c r="ET625" s="1549"/>
      <c r="EU625" s="1549"/>
      <c r="EV625" s="1550"/>
      <c r="EW625" s="1548" t="str">
        <f t="shared" si="22"/>
        <v/>
      </c>
      <c r="EX625" s="1549"/>
      <c r="EY625" s="1549"/>
      <c r="EZ625" s="1549"/>
      <c r="FA625" s="1550"/>
    </row>
    <row r="626" spans="2:157" ht="12.95" customHeight="1">
      <c r="B626" s="1494"/>
      <c r="C626" s="1494"/>
      <c r="D626" s="1494"/>
      <c r="E626" s="1494"/>
      <c r="F626" s="1494"/>
      <c r="G626" s="1494"/>
      <c r="H626" s="1494"/>
      <c r="I626" s="1494"/>
      <c r="J626" s="1494"/>
      <c r="K626" s="1494"/>
      <c r="L626" s="1494"/>
      <c r="M626" s="1517"/>
      <c r="N626" s="1517"/>
      <c r="O626" s="1517"/>
      <c r="P626" s="1517"/>
      <c r="Q626" s="1517"/>
      <c r="R626" s="1517"/>
      <c r="S626" s="1517"/>
      <c r="T626" s="1517"/>
      <c r="U626" s="1517"/>
      <c r="V626" s="1517"/>
      <c r="W626" s="1516"/>
      <c r="X626" s="1516"/>
      <c r="Y626" s="1516"/>
      <c r="Z626" s="1708"/>
      <c r="AA626" s="1708"/>
      <c r="AB626" s="1709"/>
      <c r="AC626" s="1529"/>
      <c r="AD626" s="1530"/>
      <c r="AE626" s="1531"/>
      <c r="AF626" s="1707"/>
      <c r="AG626" s="1708"/>
      <c r="AH626" s="1708"/>
      <c r="AI626" s="1708"/>
      <c r="AJ626" s="1709"/>
      <c r="AK626" s="1732"/>
      <c r="AL626" s="1733"/>
      <c r="AM626" s="1733"/>
      <c r="AN626" s="1734"/>
      <c r="AO626" s="1517"/>
      <c r="AP626" s="1517"/>
      <c r="AQ626" s="1517"/>
      <c r="AR626" s="1517"/>
      <c r="AS626" s="1517"/>
      <c r="AT626" s="3"/>
      <c r="AU626" s="3"/>
      <c r="AZ626" s="3"/>
      <c r="BA626" s="3"/>
      <c r="BB626" s="3"/>
      <c r="BC626" s="3"/>
      <c r="BD626" s="3"/>
      <c r="BE626" s="1548">
        <f t="shared" si="1"/>
        <v>0</v>
      </c>
      <c r="BF626" s="1550"/>
      <c r="BG626" s="1558">
        <f t="shared" si="2"/>
        <v>0</v>
      </c>
      <c r="BH626" s="1560"/>
      <c r="BI626" s="1548">
        <f t="shared" si="3"/>
        <v>0</v>
      </c>
      <c r="BJ626" s="1550"/>
      <c r="BK626" s="1558">
        <f t="shared" si="4"/>
        <v>0</v>
      </c>
      <c r="BL626" s="1560"/>
      <c r="BM626" s="3"/>
      <c r="BN626" s="1537">
        <f t="shared" si="5"/>
        <v>0</v>
      </c>
      <c r="BO626" s="1538"/>
      <c r="BP626" s="1538"/>
      <c r="BQ626" s="1538"/>
      <c r="BR626" s="1539"/>
      <c r="BS626" s="1544">
        <f t="shared" si="6"/>
        <v>0</v>
      </c>
      <c r="BT626" s="1544"/>
      <c r="BU626" s="1544"/>
      <c r="BV626" s="1544"/>
      <c r="BW626" s="1544"/>
      <c r="BX626" s="1544">
        <f t="shared" si="7"/>
        <v>0</v>
      </c>
      <c r="BY626" s="1544"/>
      <c r="BZ626" s="1544"/>
      <c r="CA626" s="1544"/>
      <c r="CB626" s="1544"/>
      <c r="CC626" s="1544">
        <f t="shared" si="8"/>
        <v>0</v>
      </c>
      <c r="CD626" s="1544"/>
      <c r="CE626" s="1544"/>
      <c r="CF626" s="1544"/>
      <c r="CG626" s="1544"/>
      <c r="CH626" s="1544">
        <f t="shared" si="9"/>
        <v>0</v>
      </c>
      <c r="CI626" s="1544"/>
      <c r="CJ626" s="1544"/>
      <c r="CK626" s="1544"/>
      <c r="CL626" s="1544"/>
      <c r="CM626" s="1544">
        <f t="shared" si="10"/>
        <v>0</v>
      </c>
      <c r="CN626" s="1544"/>
      <c r="CO626" s="1544"/>
      <c r="CP626" s="1544"/>
      <c r="CQ626" s="1544"/>
      <c r="CR626" s="6"/>
      <c r="CS626" s="1551">
        <f t="shared" si="11"/>
        <v>0</v>
      </c>
      <c r="CT626" s="1551"/>
      <c r="CU626" s="1551"/>
      <c r="CV626" s="1551"/>
      <c r="CW626" s="1551"/>
      <c r="CX626" s="1551">
        <f t="shared" si="12"/>
        <v>0</v>
      </c>
      <c r="CY626" s="1551"/>
      <c r="CZ626" s="1551"/>
      <c r="DA626" s="1551"/>
      <c r="DB626" s="1551"/>
      <c r="DC626" s="1551">
        <f t="shared" si="13"/>
        <v>0</v>
      </c>
      <c r="DD626" s="1551"/>
      <c r="DE626" s="1551"/>
      <c r="DF626" s="1551"/>
      <c r="DG626" s="1551"/>
      <c r="DH626" s="1551">
        <f t="shared" si="14"/>
        <v>0</v>
      </c>
      <c r="DI626" s="1551"/>
      <c r="DJ626" s="1551"/>
      <c r="DK626" s="1551"/>
      <c r="DL626" s="1551"/>
      <c r="DM626" s="1551">
        <f t="shared" si="15"/>
        <v>0</v>
      </c>
      <c r="DN626" s="1551"/>
      <c r="DO626" s="1551"/>
      <c r="DP626" s="1551"/>
      <c r="DQ626" s="1551"/>
      <c r="DR626" s="1551">
        <f t="shared" si="16"/>
        <v>0</v>
      </c>
      <c r="DS626" s="1551"/>
      <c r="DT626" s="1551"/>
      <c r="DU626" s="1551"/>
      <c r="DV626" s="1551"/>
      <c r="DX626" s="1548" t="str">
        <f t="shared" si="17"/>
        <v/>
      </c>
      <c r="DY626" s="1549"/>
      <c r="DZ626" s="1549"/>
      <c r="EA626" s="1549"/>
      <c r="EB626" s="1550"/>
      <c r="EC626" s="1548" t="str">
        <f t="shared" si="18"/>
        <v/>
      </c>
      <c r="ED626" s="1549"/>
      <c r="EE626" s="1549"/>
      <c r="EF626" s="1549"/>
      <c r="EG626" s="1550"/>
      <c r="EH626" s="1548" t="str">
        <f t="shared" si="19"/>
        <v/>
      </c>
      <c r="EI626" s="1549"/>
      <c r="EJ626" s="1549"/>
      <c r="EK626" s="1549"/>
      <c r="EL626" s="1550"/>
      <c r="EM626" s="1548" t="str">
        <f t="shared" si="20"/>
        <v/>
      </c>
      <c r="EN626" s="1549"/>
      <c r="EO626" s="1549"/>
      <c r="EP626" s="1549"/>
      <c r="EQ626" s="1550"/>
      <c r="ER626" s="1548" t="str">
        <f t="shared" si="21"/>
        <v/>
      </c>
      <c r="ES626" s="1549"/>
      <c r="ET626" s="1549"/>
      <c r="EU626" s="1549"/>
      <c r="EV626" s="1550"/>
      <c r="EW626" s="1548" t="str">
        <f t="shared" si="22"/>
        <v/>
      </c>
      <c r="EX626" s="1549"/>
      <c r="EY626" s="1549"/>
      <c r="EZ626" s="1549"/>
      <c r="FA626" s="1550"/>
    </row>
    <row r="627" spans="2:157" ht="12.95" customHeight="1">
      <c r="B627" s="51" t="s">
        <v>112</v>
      </c>
      <c r="C627" s="1725" t="s">
        <v>2773</v>
      </c>
      <c r="D627" s="1725"/>
      <c r="E627" s="1725"/>
      <c r="F627" s="1725"/>
      <c r="G627" s="1725"/>
      <c r="H627" s="1725"/>
      <c r="I627" s="1725"/>
      <c r="J627" s="1725"/>
      <c r="K627" s="1725"/>
      <c r="L627" s="1725"/>
      <c r="M627" s="1532" t="s">
        <v>2438</v>
      </c>
      <c r="N627" s="1532"/>
      <c r="O627" s="1532"/>
      <c r="P627" s="1532"/>
      <c r="Q627" s="1720">
        <v>204</v>
      </c>
      <c r="R627" s="1720"/>
      <c r="S627" s="1721"/>
      <c r="T627" s="1719">
        <v>480</v>
      </c>
      <c r="U627" s="1720"/>
      <c r="V627" s="1721"/>
      <c r="W627" s="1722">
        <v>5.3999999999999999E-2</v>
      </c>
      <c r="X627" s="1723"/>
      <c r="Y627" s="1724"/>
      <c r="Z627" s="1555" t="s">
        <v>2450</v>
      </c>
      <c r="AA627" s="1556"/>
      <c r="AB627" s="1557"/>
      <c r="AC627" s="1503">
        <v>1</v>
      </c>
      <c r="AD627" s="1504"/>
      <c r="AE627" s="1505"/>
      <c r="AF627" s="1382">
        <v>2502559</v>
      </c>
      <c r="AG627" s="1383"/>
      <c r="AH627" s="1383"/>
      <c r="AI627" s="1383"/>
      <c r="AJ627" s="1384"/>
      <c r="AK627" s="1520"/>
      <c r="AL627" s="1521"/>
      <c r="AM627" s="1521"/>
      <c r="AN627" s="1522"/>
      <c r="AO627" s="1396">
        <v>40973132</v>
      </c>
      <c r="AP627" s="1396"/>
      <c r="AQ627" s="1396"/>
      <c r="AR627" s="1396"/>
      <c r="AS627" s="1396"/>
      <c r="AT627" s="3"/>
      <c r="AU627" s="3"/>
      <c r="AZ627" s="3"/>
      <c r="BA627" s="3"/>
      <c r="BB627" s="3"/>
      <c r="BC627" s="3"/>
      <c r="BD627" s="3"/>
      <c r="BE627" s="1548">
        <f t="shared" si="1"/>
        <v>0</v>
      </c>
      <c r="BF627" s="1550"/>
      <c r="BG627" s="1558">
        <f t="shared" si="2"/>
        <v>0</v>
      </c>
      <c r="BH627" s="1560"/>
      <c r="BI627" s="1548">
        <f t="shared" si="3"/>
        <v>0</v>
      </c>
      <c r="BJ627" s="1550"/>
      <c r="BK627" s="1558">
        <f t="shared" si="4"/>
        <v>0</v>
      </c>
      <c r="BL627" s="1560"/>
      <c r="BM627" s="3"/>
      <c r="BN627" s="1537">
        <f t="shared" si="5"/>
        <v>0</v>
      </c>
      <c r="BO627" s="1538"/>
      <c r="BP627" s="1538"/>
      <c r="BQ627" s="1538"/>
      <c r="BR627" s="1539"/>
      <c r="BS627" s="1544">
        <f t="shared" si="6"/>
        <v>0</v>
      </c>
      <c r="BT627" s="1544"/>
      <c r="BU627" s="1544"/>
      <c r="BV627" s="1544"/>
      <c r="BW627" s="1544"/>
      <c r="BX627" s="1544">
        <f t="shared" si="7"/>
        <v>0</v>
      </c>
      <c r="BY627" s="1544"/>
      <c r="BZ627" s="1544"/>
      <c r="CA627" s="1544"/>
      <c r="CB627" s="1544"/>
      <c r="CC627" s="1544">
        <f t="shared" si="8"/>
        <v>0</v>
      </c>
      <c r="CD627" s="1544"/>
      <c r="CE627" s="1544"/>
      <c r="CF627" s="1544"/>
      <c r="CG627" s="1544"/>
      <c r="CH627" s="1544">
        <f t="shared" si="9"/>
        <v>0</v>
      </c>
      <c r="CI627" s="1544"/>
      <c r="CJ627" s="1544"/>
      <c r="CK627" s="1544"/>
      <c r="CL627" s="1544"/>
      <c r="CM627" s="1544">
        <f t="shared" si="10"/>
        <v>0</v>
      </c>
      <c r="CN627" s="1544"/>
      <c r="CO627" s="1544"/>
      <c r="CP627" s="1544"/>
      <c r="CQ627" s="1544"/>
      <c r="CR627" s="6"/>
      <c r="CS627" s="1551">
        <f t="shared" si="11"/>
        <v>0</v>
      </c>
      <c r="CT627" s="1551"/>
      <c r="CU627" s="1551"/>
      <c r="CV627" s="1551"/>
      <c r="CW627" s="1551"/>
      <c r="CX627" s="1551">
        <f t="shared" si="12"/>
        <v>0</v>
      </c>
      <c r="CY627" s="1551"/>
      <c r="CZ627" s="1551"/>
      <c r="DA627" s="1551"/>
      <c r="DB627" s="1551"/>
      <c r="DC627" s="1551">
        <f t="shared" si="13"/>
        <v>0</v>
      </c>
      <c r="DD627" s="1551"/>
      <c r="DE627" s="1551"/>
      <c r="DF627" s="1551"/>
      <c r="DG627" s="1551"/>
      <c r="DH627" s="1551">
        <f t="shared" si="14"/>
        <v>0</v>
      </c>
      <c r="DI627" s="1551"/>
      <c r="DJ627" s="1551"/>
      <c r="DK627" s="1551"/>
      <c r="DL627" s="1551"/>
      <c r="DM627" s="1551">
        <f t="shared" si="15"/>
        <v>0</v>
      </c>
      <c r="DN627" s="1551"/>
      <c r="DO627" s="1551"/>
      <c r="DP627" s="1551"/>
      <c r="DQ627" s="1551"/>
      <c r="DR627" s="1551">
        <f t="shared" si="16"/>
        <v>0</v>
      </c>
      <c r="DS627" s="1551"/>
      <c r="DT627" s="1551"/>
      <c r="DU627" s="1551"/>
      <c r="DV627" s="1551"/>
      <c r="DX627" s="1548" t="str">
        <f t="shared" si="17"/>
        <v/>
      </c>
      <c r="DY627" s="1549"/>
      <c r="DZ627" s="1549"/>
      <c r="EA627" s="1549"/>
      <c r="EB627" s="1550"/>
      <c r="EC627" s="1548" t="str">
        <f t="shared" si="18"/>
        <v/>
      </c>
      <c r="ED627" s="1549"/>
      <c r="EE627" s="1549"/>
      <c r="EF627" s="1549"/>
      <c r="EG627" s="1550"/>
      <c r="EH627" s="1548" t="str">
        <f t="shared" si="19"/>
        <v/>
      </c>
      <c r="EI627" s="1549"/>
      <c r="EJ627" s="1549"/>
      <c r="EK627" s="1549"/>
      <c r="EL627" s="1550"/>
      <c r="EM627" s="1548" t="str">
        <f t="shared" si="20"/>
        <v/>
      </c>
      <c r="EN627" s="1549"/>
      <c r="EO627" s="1549"/>
      <c r="EP627" s="1549"/>
      <c r="EQ627" s="1550"/>
      <c r="ER627" s="1548" t="str">
        <f t="shared" si="21"/>
        <v/>
      </c>
      <c r="ES627" s="1549"/>
      <c r="ET627" s="1549"/>
      <c r="EU627" s="1549"/>
      <c r="EV627" s="1550"/>
      <c r="EW627" s="1548" t="str">
        <f t="shared" si="22"/>
        <v/>
      </c>
      <c r="EX627" s="1549"/>
      <c r="EY627" s="1549"/>
      <c r="EZ627" s="1549"/>
      <c r="FA627" s="1550"/>
    </row>
    <row r="628" spans="2:157" ht="12.95" customHeight="1">
      <c r="B628" s="52" t="s">
        <v>113</v>
      </c>
      <c r="C628" s="1725" t="s">
        <v>2669</v>
      </c>
      <c r="D628" s="1725"/>
      <c r="E628" s="1725"/>
      <c r="F628" s="1725"/>
      <c r="G628" s="1725"/>
      <c r="H628" s="1725"/>
      <c r="I628" s="1725"/>
      <c r="J628" s="1725"/>
      <c r="K628" s="1725"/>
      <c r="L628" s="1725"/>
      <c r="M628" s="1532" t="s">
        <v>2434</v>
      </c>
      <c r="N628" s="1532"/>
      <c r="O628" s="1532"/>
      <c r="P628" s="1532"/>
      <c r="Q628" s="1719">
        <v>660</v>
      </c>
      <c r="R628" s="1720"/>
      <c r="S628" s="1721"/>
      <c r="T628" s="1719"/>
      <c r="U628" s="1720"/>
      <c r="V628" s="1721"/>
      <c r="W628" s="1722">
        <v>0.03</v>
      </c>
      <c r="X628" s="1723"/>
      <c r="Y628" s="1724"/>
      <c r="Z628" s="1555" t="s">
        <v>465</v>
      </c>
      <c r="AA628" s="1556"/>
      <c r="AB628" s="1557"/>
      <c r="AC628" s="1503">
        <v>3</v>
      </c>
      <c r="AD628" s="1504"/>
      <c r="AE628" s="1505"/>
      <c r="AF628" s="1382"/>
      <c r="AG628" s="1383"/>
      <c r="AH628" s="1383"/>
      <c r="AI628" s="1383"/>
      <c r="AJ628" s="1384"/>
      <c r="AK628" s="1520"/>
      <c r="AL628" s="1521"/>
      <c r="AM628" s="1521"/>
      <c r="AN628" s="1522"/>
      <c r="AO628" s="1395">
        <v>2000000</v>
      </c>
      <c r="AP628" s="1393"/>
      <c r="AQ628" s="1393"/>
      <c r="AR628" s="1393"/>
      <c r="AS628" s="1394"/>
      <c r="AT628" s="1192" t="str">
        <f>IF(AND(NOT(C627=""),C628="",NOT(C629="")),"!","")</f>
        <v/>
      </c>
      <c r="AU628" s="3"/>
      <c r="AZ628" s="3"/>
      <c r="BA628" s="3"/>
      <c r="BB628" s="3"/>
      <c r="BC628" s="3"/>
      <c r="BD628" s="3"/>
      <c r="BE628" s="1548">
        <f t="shared" si="1"/>
        <v>0</v>
      </c>
      <c r="BF628" s="1550"/>
      <c r="BG628" s="1558">
        <f t="shared" si="2"/>
        <v>0</v>
      </c>
      <c r="BH628" s="1560"/>
      <c r="BI628" s="1548">
        <f t="shared" si="3"/>
        <v>0</v>
      </c>
      <c r="BJ628" s="1550"/>
      <c r="BK628" s="1558">
        <f t="shared" si="4"/>
        <v>0</v>
      </c>
      <c r="BL628" s="1560"/>
      <c r="BM628" s="3"/>
      <c r="BN628" s="1537">
        <f t="shared" si="5"/>
        <v>0</v>
      </c>
      <c r="BO628" s="1538"/>
      <c r="BP628" s="1538"/>
      <c r="BQ628" s="1538"/>
      <c r="BR628" s="1539"/>
      <c r="BS628" s="1544">
        <f t="shared" si="6"/>
        <v>0</v>
      </c>
      <c r="BT628" s="1544"/>
      <c r="BU628" s="1544"/>
      <c r="BV628" s="1544"/>
      <c r="BW628" s="1544"/>
      <c r="BX628" s="1544">
        <f t="shared" si="7"/>
        <v>0</v>
      </c>
      <c r="BY628" s="1544"/>
      <c r="BZ628" s="1544"/>
      <c r="CA628" s="1544"/>
      <c r="CB628" s="1544"/>
      <c r="CC628" s="1544">
        <f t="shared" si="8"/>
        <v>0</v>
      </c>
      <c r="CD628" s="1544"/>
      <c r="CE628" s="1544"/>
      <c r="CF628" s="1544"/>
      <c r="CG628" s="1544"/>
      <c r="CH628" s="1544">
        <f t="shared" si="9"/>
        <v>0</v>
      </c>
      <c r="CI628" s="1544"/>
      <c r="CJ628" s="1544"/>
      <c r="CK628" s="1544"/>
      <c r="CL628" s="1544"/>
      <c r="CM628" s="1544">
        <f t="shared" si="10"/>
        <v>0</v>
      </c>
      <c r="CN628" s="1544"/>
      <c r="CO628" s="1544"/>
      <c r="CP628" s="1544"/>
      <c r="CQ628" s="1544"/>
      <c r="CR628" s="6"/>
      <c r="CS628" s="1551">
        <f t="shared" si="11"/>
        <v>0</v>
      </c>
      <c r="CT628" s="1551"/>
      <c r="CU628" s="1551"/>
      <c r="CV628" s="1551"/>
      <c r="CW628" s="1551"/>
      <c r="CX628" s="1551">
        <f t="shared" si="12"/>
        <v>0</v>
      </c>
      <c r="CY628" s="1551"/>
      <c r="CZ628" s="1551"/>
      <c r="DA628" s="1551"/>
      <c r="DB628" s="1551"/>
      <c r="DC628" s="1551">
        <f t="shared" si="13"/>
        <v>0</v>
      </c>
      <c r="DD628" s="1551"/>
      <c r="DE628" s="1551"/>
      <c r="DF628" s="1551"/>
      <c r="DG628" s="1551"/>
      <c r="DH628" s="1551">
        <f t="shared" si="14"/>
        <v>0</v>
      </c>
      <c r="DI628" s="1551"/>
      <c r="DJ628" s="1551"/>
      <c r="DK628" s="1551"/>
      <c r="DL628" s="1551"/>
      <c r="DM628" s="1551">
        <f t="shared" si="15"/>
        <v>0</v>
      </c>
      <c r="DN628" s="1551"/>
      <c r="DO628" s="1551"/>
      <c r="DP628" s="1551"/>
      <c r="DQ628" s="1551"/>
      <c r="DR628" s="1551">
        <f t="shared" si="16"/>
        <v>0</v>
      </c>
      <c r="DS628" s="1551"/>
      <c r="DT628" s="1551"/>
      <c r="DU628" s="1551"/>
      <c r="DV628" s="1551"/>
      <c r="DX628" s="1548" t="str">
        <f t="shared" si="17"/>
        <v/>
      </c>
      <c r="DY628" s="1549"/>
      <c r="DZ628" s="1549"/>
      <c r="EA628" s="1549"/>
      <c r="EB628" s="1550"/>
      <c r="EC628" s="1548" t="str">
        <f t="shared" si="18"/>
        <v/>
      </c>
      <c r="ED628" s="1549"/>
      <c r="EE628" s="1549"/>
      <c r="EF628" s="1549"/>
      <c r="EG628" s="1550"/>
      <c r="EH628" s="1548" t="str">
        <f t="shared" si="19"/>
        <v/>
      </c>
      <c r="EI628" s="1549"/>
      <c r="EJ628" s="1549"/>
      <c r="EK628" s="1549"/>
      <c r="EL628" s="1550"/>
      <c r="EM628" s="1548" t="str">
        <f t="shared" si="20"/>
        <v/>
      </c>
      <c r="EN628" s="1549"/>
      <c r="EO628" s="1549"/>
      <c r="EP628" s="1549"/>
      <c r="EQ628" s="1550"/>
      <c r="ER628" s="1548" t="str">
        <f t="shared" si="21"/>
        <v/>
      </c>
      <c r="ES628" s="1549"/>
      <c r="ET628" s="1549"/>
      <c r="EU628" s="1549"/>
      <c r="EV628" s="1550"/>
      <c r="EW628" s="1548" t="str">
        <f t="shared" si="22"/>
        <v/>
      </c>
      <c r="EX628" s="1549"/>
      <c r="EY628" s="1549"/>
      <c r="EZ628" s="1549"/>
      <c r="FA628" s="1550"/>
    </row>
    <row r="629" spans="2:157" ht="12.95" customHeight="1">
      <c r="B629" s="52" t="s">
        <v>119</v>
      </c>
      <c r="C629" s="1725" t="s">
        <v>2743</v>
      </c>
      <c r="D629" s="1725"/>
      <c r="E629" s="1725"/>
      <c r="F629" s="1725"/>
      <c r="G629" s="1725"/>
      <c r="H629" s="1725"/>
      <c r="I629" s="1725"/>
      <c r="J629" s="1725"/>
      <c r="K629" s="1725"/>
      <c r="L629" s="1725"/>
      <c r="M629" s="1532" t="s">
        <v>2434</v>
      </c>
      <c r="N629" s="1532"/>
      <c r="O629" s="1532"/>
      <c r="P629" s="1532"/>
      <c r="Q629" s="1719">
        <v>660</v>
      </c>
      <c r="R629" s="1720"/>
      <c r="S629" s="1721"/>
      <c r="T629" s="1719"/>
      <c r="U629" s="1720"/>
      <c r="V629" s="1721"/>
      <c r="W629" s="1722">
        <v>0.04</v>
      </c>
      <c r="X629" s="1723"/>
      <c r="Y629" s="1724"/>
      <c r="Z629" s="1555" t="s">
        <v>465</v>
      </c>
      <c r="AA629" s="1556"/>
      <c r="AB629" s="1557"/>
      <c r="AC629" s="1503">
        <v>2</v>
      </c>
      <c r="AD629" s="1504"/>
      <c r="AE629" s="1505"/>
      <c r="AF629" s="1382"/>
      <c r="AG629" s="1383"/>
      <c r="AH629" s="1383"/>
      <c r="AI629" s="1383"/>
      <c r="AJ629" s="1384"/>
      <c r="AK629" s="1520"/>
      <c r="AL629" s="1521"/>
      <c r="AM629" s="1521"/>
      <c r="AN629" s="1522"/>
      <c r="AO629" s="1395">
        <v>19551066</v>
      </c>
      <c r="AP629" s="1393"/>
      <c r="AQ629" s="1393"/>
      <c r="AR629" s="1393"/>
      <c r="AS629" s="1394"/>
      <c r="AT629" s="1192" t="str">
        <f t="shared" ref="AT629:AT638" si="23">IF(AND(NOT(C628=""),C629="",NOT(C630="")),"!","")</f>
        <v/>
      </c>
      <c r="AU629" s="3"/>
      <c r="AZ629" s="3"/>
      <c r="BA629" s="3"/>
      <c r="BB629" s="3"/>
      <c r="BC629" s="3"/>
      <c r="BD629" s="3"/>
      <c r="BE629" s="1548">
        <f t="shared" si="1"/>
        <v>0</v>
      </c>
      <c r="BF629" s="1550"/>
      <c r="BG629" s="1558">
        <f t="shared" si="2"/>
        <v>0</v>
      </c>
      <c r="BH629" s="1560"/>
      <c r="BI629" s="1548">
        <f t="shared" si="3"/>
        <v>0</v>
      </c>
      <c r="BJ629" s="1550"/>
      <c r="BK629" s="1558">
        <f t="shared" si="4"/>
        <v>0</v>
      </c>
      <c r="BL629" s="1560"/>
      <c r="BM629" s="3"/>
      <c r="BN629" s="1537">
        <f t="shared" si="5"/>
        <v>0</v>
      </c>
      <c r="BO629" s="1538"/>
      <c r="BP629" s="1538"/>
      <c r="BQ629" s="1538"/>
      <c r="BR629" s="1539"/>
      <c r="BS629" s="1544">
        <f t="shared" si="6"/>
        <v>0</v>
      </c>
      <c r="BT629" s="1544"/>
      <c r="BU629" s="1544"/>
      <c r="BV629" s="1544"/>
      <c r="BW629" s="1544"/>
      <c r="BX629" s="1544">
        <f t="shared" si="7"/>
        <v>0</v>
      </c>
      <c r="BY629" s="1544"/>
      <c r="BZ629" s="1544"/>
      <c r="CA629" s="1544"/>
      <c r="CB629" s="1544"/>
      <c r="CC629" s="1544">
        <f t="shared" si="8"/>
        <v>0</v>
      </c>
      <c r="CD629" s="1544"/>
      <c r="CE629" s="1544"/>
      <c r="CF629" s="1544"/>
      <c r="CG629" s="1544"/>
      <c r="CH629" s="1544">
        <f t="shared" si="9"/>
        <v>0</v>
      </c>
      <c r="CI629" s="1544"/>
      <c r="CJ629" s="1544"/>
      <c r="CK629" s="1544"/>
      <c r="CL629" s="1544"/>
      <c r="CM629" s="1544">
        <f t="shared" si="10"/>
        <v>0</v>
      </c>
      <c r="CN629" s="1544"/>
      <c r="CO629" s="1544"/>
      <c r="CP629" s="1544"/>
      <c r="CQ629" s="1544"/>
      <c r="CR629" s="6"/>
      <c r="CS629" s="1551">
        <f t="shared" si="11"/>
        <v>0</v>
      </c>
      <c r="CT629" s="1551"/>
      <c r="CU629" s="1551"/>
      <c r="CV629" s="1551"/>
      <c r="CW629" s="1551"/>
      <c r="CX629" s="1551">
        <f t="shared" si="12"/>
        <v>0</v>
      </c>
      <c r="CY629" s="1551"/>
      <c r="CZ629" s="1551"/>
      <c r="DA629" s="1551"/>
      <c r="DB629" s="1551"/>
      <c r="DC629" s="1551">
        <f t="shared" si="13"/>
        <v>0</v>
      </c>
      <c r="DD629" s="1551"/>
      <c r="DE629" s="1551"/>
      <c r="DF629" s="1551"/>
      <c r="DG629" s="1551"/>
      <c r="DH629" s="1551">
        <f t="shared" si="14"/>
        <v>0</v>
      </c>
      <c r="DI629" s="1551"/>
      <c r="DJ629" s="1551"/>
      <c r="DK629" s="1551"/>
      <c r="DL629" s="1551"/>
      <c r="DM629" s="1551">
        <f t="shared" si="15"/>
        <v>0</v>
      </c>
      <c r="DN629" s="1551"/>
      <c r="DO629" s="1551"/>
      <c r="DP629" s="1551"/>
      <c r="DQ629" s="1551"/>
      <c r="DR629" s="1551">
        <f t="shared" si="16"/>
        <v>0</v>
      </c>
      <c r="DS629" s="1551"/>
      <c r="DT629" s="1551"/>
      <c r="DU629" s="1551"/>
      <c r="DV629" s="1551"/>
      <c r="DX629" s="1548" t="str">
        <f t="shared" si="17"/>
        <v/>
      </c>
      <c r="DY629" s="1549"/>
      <c r="DZ629" s="1549"/>
      <c r="EA629" s="1549"/>
      <c r="EB629" s="1550"/>
      <c r="EC629" s="1548" t="str">
        <f t="shared" si="18"/>
        <v/>
      </c>
      <c r="ED629" s="1549"/>
      <c r="EE629" s="1549"/>
      <c r="EF629" s="1549"/>
      <c r="EG629" s="1550"/>
      <c r="EH629" s="1548" t="str">
        <f t="shared" si="19"/>
        <v/>
      </c>
      <c r="EI629" s="1549"/>
      <c r="EJ629" s="1549"/>
      <c r="EK629" s="1549"/>
      <c r="EL629" s="1550"/>
      <c r="EM629" s="1548" t="str">
        <f t="shared" si="20"/>
        <v/>
      </c>
      <c r="EN629" s="1549"/>
      <c r="EO629" s="1549"/>
      <c r="EP629" s="1549"/>
      <c r="EQ629" s="1550"/>
      <c r="ER629" s="1548" t="str">
        <f t="shared" si="21"/>
        <v/>
      </c>
      <c r="ES629" s="1549"/>
      <c r="ET629" s="1549"/>
      <c r="EU629" s="1549"/>
      <c r="EV629" s="1550"/>
      <c r="EW629" s="1548" t="str">
        <f t="shared" si="22"/>
        <v/>
      </c>
      <c r="EX629" s="1549"/>
      <c r="EY629" s="1549"/>
      <c r="EZ629" s="1549"/>
      <c r="FA629" s="1550"/>
    </row>
    <row r="630" spans="2:157" ht="12.95" customHeight="1">
      <c r="B630" s="52" t="s">
        <v>589</v>
      </c>
      <c r="C630" s="1725" t="s">
        <v>2774</v>
      </c>
      <c r="D630" s="1518"/>
      <c r="E630" s="1518"/>
      <c r="F630" s="1518"/>
      <c r="G630" s="1518"/>
      <c r="H630" s="1518"/>
      <c r="I630" s="1518"/>
      <c r="J630" s="1518"/>
      <c r="K630" s="1518"/>
      <c r="L630" s="1518"/>
      <c r="M630" s="1532" t="s">
        <v>2441</v>
      </c>
      <c r="N630" s="1532"/>
      <c r="O630" s="1532"/>
      <c r="P630" s="1532"/>
      <c r="Q630" s="1719"/>
      <c r="R630" s="1720"/>
      <c r="S630" s="1721"/>
      <c r="T630" s="1719"/>
      <c r="U630" s="1720"/>
      <c r="V630" s="1721"/>
      <c r="W630" s="1722">
        <v>4.5999999999999999E-2</v>
      </c>
      <c r="X630" s="1723"/>
      <c r="Y630" s="1724"/>
      <c r="Z630" s="1555" t="s">
        <v>301</v>
      </c>
      <c r="AA630" s="1556"/>
      <c r="AB630" s="1557"/>
      <c r="AC630" s="1503"/>
      <c r="AD630" s="1504"/>
      <c r="AE630" s="1505"/>
      <c r="AF630" s="1382"/>
      <c r="AG630" s="1383"/>
      <c r="AH630" s="1383"/>
      <c r="AI630" s="1383"/>
      <c r="AJ630" s="1384"/>
      <c r="AK630" s="1520"/>
      <c r="AL630" s="1521"/>
      <c r="AM630" s="1521"/>
      <c r="AN630" s="1522"/>
      <c r="AO630" s="1395">
        <v>8147449</v>
      </c>
      <c r="AP630" s="1393"/>
      <c r="AQ630" s="1393"/>
      <c r="AR630" s="1393"/>
      <c r="AS630" s="1394"/>
      <c r="AT630" s="1192" t="str">
        <f t="shared" si="23"/>
        <v/>
      </c>
      <c r="AU630" s="3"/>
      <c r="AZ630" s="3"/>
      <c r="BA630" s="3"/>
      <c r="BB630" s="3"/>
      <c r="BC630" s="3"/>
      <c r="BD630" s="3"/>
      <c r="BE630" s="1548">
        <f t="shared" si="1"/>
        <v>0</v>
      </c>
      <c r="BF630" s="1550"/>
      <c r="BG630" s="1558">
        <f t="shared" si="2"/>
        <v>0</v>
      </c>
      <c r="BH630" s="1560"/>
      <c r="BI630" s="1548">
        <f t="shared" si="3"/>
        <v>0</v>
      </c>
      <c r="BJ630" s="1550"/>
      <c r="BK630" s="1558">
        <f t="shared" si="4"/>
        <v>0</v>
      </c>
      <c r="BL630" s="1560"/>
      <c r="BM630" s="3"/>
      <c r="BN630" s="1537">
        <f t="shared" si="5"/>
        <v>0</v>
      </c>
      <c r="BO630" s="1538"/>
      <c r="BP630" s="1538"/>
      <c r="BQ630" s="1538"/>
      <c r="BR630" s="1539"/>
      <c r="BS630" s="1544">
        <f t="shared" si="6"/>
        <v>0</v>
      </c>
      <c r="BT630" s="1544"/>
      <c r="BU630" s="1544"/>
      <c r="BV630" s="1544"/>
      <c r="BW630" s="1544"/>
      <c r="BX630" s="1544">
        <f t="shared" si="7"/>
        <v>0</v>
      </c>
      <c r="BY630" s="1544"/>
      <c r="BZ630" s="1544"/>
      <c r="CA630" s="1544"/>
      <c r="CB630" s="1544"/>
      <c r="CC630" s="1544">
        <f t="shared" si="8"/>
        <v>0</v>
      </c>
      <c r="CD630" s="1544"/>
      <c r="CE630" s="1544"/>
      <c r="CF630" s="1544"/>
      <c r="CG630" s="1544"/>
      <c r="CH630" s="1544">
        <f t="shared" si="9"/>
        <v>0</v>
      </c>
      <c r="CI630" s="1544"/>
      <c r="CJ630" s="1544"/>
      <c r="CK630" s="1544"/>
      <c r="CL630" s="1544"/>
      <c r="CM630" s="1544">
        <f t="shared" si="10"/>
        <v>0</v>
      </c>
      <c r="CN630" s="1544"/>
      <c r="CO630" s="1544"/>
      <c r="CP630" s="1544"/>
      <c r="CQ630" s="1544"/>
      <c r="CR630" s="6"/>
      <c r="CS630" s="1551">
        <f t="shared" si="11"/>
        <v>0</v>
      </c>
      <c r="CT630" s="1551"/>
      <c r="CU630" s="1551"/>
      <c r="CV630" s="1551"/>
      <c r="CW630" s="1551"/>
      <c r="CX630" s="1551">
        <f t="shared" si="12"/>
        <v>0</v>
      </c>
      <c r="CY630" s="1551"/>
      <c r="CZ630" s="1551"/>
      <c r="DA630" s="1551"/>
      <c r="DB630" s="1551"/>
      <c r="DC630" s="1551">
        <f t="shared" si="13"/>
        <v>0</v>
      </c>
      <c r="DD630" s="1551"/>
      <c r="DE630" s="1551"/>
      <c r="DF630" s="1551"/>
      <c r="DG630" s="1551"/>
      <c r="DH630" s="1551">
        <f t="shared" si="14"/>
        <v>0</v>
      </c>
      <c r="DI630" s="1551"/>
      <c r="DJ630" s="1551"/>
      <c r="DK630" s="1551"/>
      <c r="DL630" s="1551"/>
      <c r="DM630" s="1551">
        <f t="shared" si="15"/>
        <v>0</v>
      </c>
      <c r="DN630" s="1551"/>
      <c r="DO630" s="1551"/>
      <c r="DP630" s="1551"/>
      <c r="DQ630" s="1551"/>
      <c r="DR630" s="1551">
        <f t="shared" si="16"/>
        <v>0</v>
      </c>
      <c r="DS630" s="1551"/>
      <c r="DT630" s="1551"/>
      <c r="DU630" s="1551"/>
      <c r="DV630" s="1551"/>
      <c r="DX630" s="1548" t="str">
        <f t="shared" si="17"/>
        <v/>
      </c>
      <c r="DY630" s="1549"/>
      <c r="DZ630" s="1549"/>
      <c r="EA630" s="1549"/>
      <c r="EB630" s="1550"/>
      <c r="EC630" s="1548" t="str">
        <f t="shared" si="18"/>
        <v/>
      </c>
      <c r="ED630" s="1549"/>
      <c r="EE630" s="1549"/>
      <c r="EF630" s="1549"/>
      <c r="EG630" s="1550"/>
      <c r="EH630" s="1548" t="str">
        <f t="shared" si="19"/>
        <v/>
      </c>
      <c r="EI630" s="1549"/>
      <c r="EJ630" s="1549"/>
      <c r="EK630" s="1549"/>
      <c r="EL630" s="1550"/>
      <c r="EM630" s="1548" t="str">
        <f t="shared" si="20"/>
        <v/>
      </c>
      <c r="EN630" s="1549"/>
      <c r="EO630" s="1549"/>
      <c r="EP630" s="1549"/>
      <c r="EQ630" s="1550"/>
      <c r="ER630" s="1548" t="str">
        <f t="shared" si="21"/>
        <v/>
      </c>
      <c r="ES630" s="1549"/>
      <c r="ET630" s="1549"/>
      <c r="EU630" s="1549"/>
      <c r="EV630" s="1550"/>
      <c r="EW630" s="1548" t="str">
        <f t="shared" si="22"/>
        <v/>
      </c>
      <c r="EX630" s="1549"/>
      <c r="EY630" s="1549"/>
      <c r="EZ630" s="1549"/>
      <c r="FA630" s="1550"/>
    </row>
    <row r="631" spans="2:157" ht="12.95" customHeight="1">
      <c r="B631" s="52" t="s">
        <v>772</v>
      </c>
      <c r="C631" s="1725" t="s">
        <v>2659</v>
      </c>
      <c r="D631" s="1518"/>
      <c r="E631" s="1518"/>
      <c r="F631" s="1518"/>
      <c r="G631" s="1518"/>
      <c r="H631" s="1518"/>
      <c r="I631" s="1518"/>
      <c r="J631" s="1518"/>
      <c r="K631" s="1518"/>
      <c r="L631" s="1518"/>
      <c r="M631" s="1532" t="s">
        <v>2425</v>
      </c>
      <c r="N631" s="1532"/>
      <c r="O631" s="1532"/>
      <c r="P631" s="1532"/>
      <c r="Q631" s="1719"/>
      <c r="R631" s="1720"/>
      <c r="S631" s="1721"/>
      <c r="T631" s="1719"/>
      <c r="U631" s="1720"/>
      <c r="V631" s="1721"/>
      <c r="W631" s="1722"/>
      <c r="X631" s="1723"/>
      <c r="Y631" s="1724"/>
      <c r="Z631" s="1555" t="s">
        <v>466</v>
      </c>
      <c r="AA631" s="1556"/>
      <c r="AB631" s="1557"/>
      <c r="AC631" s="1503"/>
      <c r="AD631" s="1504"/>
      <c r="AE631" s="1505"/>
      <c r="AF631" s="1382"/>
      <c r="AG631" s="1383"/>
      <c r="AH631" s="1383"/>
      <c r="AI631" s="1383"/>
      <c r="AJ631" s="1384"/>
      <c r="AK631" s="1520"/>
      <c r="AL631" s="1521"/>
      <c r="AM631" s="1521"/>
      <c r="AN631" s="1522"/>
      <c r="AO631" s="1395">
        <v>5700000</v>
      </c>
      <c r="AP631" s="1393"/>
      <c r="AQ631" s="1393"/>
      <c r="AR631" s="1393"/>
      <c r="AS631" s="1394"/>
      <c r="AT631" s="1192" t="str">
        <f t="shared" si="23"/>
        <v/>
      </c>
      <c r="AU631" s="3"/>
      <c r="AZ631" s="3"/>
      <c r="BA631" s="3"/>
      <c r="BB631" s="3"/>
      <c r="BC631" s="3"/>
      <c r="BD631" s="3"/>
      <c r="BE631" s="1548">
        <f t="shared" si="1"/>
        <v>0</v>
      </c>
      <c r="BF631" s="1550"/>
      <c r="BG631" s="1558">
        <f t="shared" si="2"/>
        <v>0</v>
      </c>
      <c r="BH631" s="1560"/>
      <c r="BI631" s="1548">
        <f t="shared" si="3"/>
        <v>0</v>
      </c>
      <c r="BJ631" s="1550"/>
      <c r="BK631" s="1558">
        <f t="shared" si="4"/>
        <v>0</v>
      </c>
      <c r="BL631" s="1560"/>
      <c r="BM631" s="3"/>
      <c r="BN631" s="1537">
        <f t="shared" si="5"/>
        <v>0</v>
      </c>
      <c r="BO631" s="1538"/>
      <c r="BP631" s="1538"/>
      <c r="BQ631" s="1538"/>
      <c r="BR631" s="1539"/>
      <c r="BS631" s="1544">
        <f t="shared" si="6"/>
        <v>0</v>
      </c>
      <c r="BT631" s="1544"/>
      <c r="BU631" s="1544"/>
      <c r="BV631" s="1544"/>
      <c r="BW631" s="1544"/>
      <c r="BX631" s="1544">
        <f t="shared" si="7"/>
        <v>0</v>
      </c>
      <c r="BY631" s="1544"/>
      <c r="BZ631" s="1544"/>
      <c r="CA631" s="1544"/>
      <c r="CB631" s="1544"/>
      <c r="CC631" s="1544">
        <f t="shared" si="8"/>
        <v>0</v>
      </c>
      <c r="CD631" s="1544"/>
      <c r="CE631" s="1544"/>
      <c r="CF631" s="1544"/>
      <c r="CG631" s="1544"/>
      <c r="CH631" s="1544">
        <f t="shared" si="9"/>
        <v>0</v>
      </c>
      <c r="CI631" s="1544"/>
      <c r="CJ631" s="1544"/>
      <c r="CK631" s="1544"/>
      <c r="CL631" s="1544"/>
      <c r="CM631" s="1544">
        <f t="shared" si="10"/>
        <v>0</v>
      </c>
      <c r="CN631" s="1544"/>
      <c r="CO631" s="1544"/>
      <c r="CP631" s="1544"/>
      <c r="CQ631" s="1544"/>
      <c r="CR631" s="6"/>
      <c r="CS631" s="1551">
        <f t="shared" si="11"/>
        <v>0</v>
      </c>
      <c r="CT631" s="1551"/>
      <c r="CU631" s="1551"/>
      <c r="CV631" s="1551"/>
      <c r="CW631" s="1551"/>
      <c r="CX631" s="1551">
        <f t="shared" si="12"/>
        <v>0</v>
      </c>
      <c r="CY631" s="1551"/>
      <c r="CZ631" s="1551"/>
      <c r="DA631" s="1551"/>
      <c r="DB631" s="1551"/>
      <c r="DC631" s="1551">
        <f t="shared" si="13"/>
        <v>0</v>
      </c>
      <c r="DD631" s="1551"/>
      <c r="DE631" s="1551"/>
      <c r="DF631" s="1551"/>
      <c r="DG631" s="1551"/>
      <c r="DH631" s="1551">
        <f t="shared" si="14"/>
        <v>0</v>
      </c>
      <c r="DI631" s="1551"/>
      <c r="DJ631" s="1551"/>
      <c r="DK631" s="1551"/>
      <c r="DL631" s="1551"/>
      <c r="DM631" s="1551">
        <f t="shared" si="15"/>
        <v>0</v>
      </c>
      <c r="DN631" s="1551"/>
      <c r="DO631" s="1551"/>
      <c r="DP631" s="1551"/>
      <c r="DQ631" s="1551"/>
      <c r="DR631" s="1551">
        <f t="shared" si="16"/>
        <v>0</v>
      </c>
      <c r="DS631" s="1551"/>
      <c r="DT631" s="1551"/>
      <c r="DU631" s="1551"/>
      <c r="DV631" s="1551"/>
      <c r="DX631" s="1548" t="str">
        <f t="shared" si="17"/>
        <v/>
      </c>
      <c r="DY631" s="1549"/>
      <c r="DZ631" s="1549"/>
      <c r="EA631" s="1549"/>
      <c r="EB631" s="1550"/>
      <c r="EC631" s="1548" t="str">
        <f t="shared" si="18"/>
        <v/>
      </c>
      <c r="ED631" s="1549"/>
      <c r="EE631" s="1549"/>
      <c r="EF631" s="1549"/>
      <c r="EG631" s="1550"/>
      <c r="EH631" s="1548" t="str">
        <f t="shared" si="19"/>
        <v/>
      </c>
      <c r="EI631" s="1549"/>
      <c r="EJ631" s="1549"/>
      <c r="EK631" s="1549"/>
      <c r="EL631" s="1550"/>
      <c r="EM631" s="1548" t="str">
        <f t="shared" si="20"/>
        <v/>
      </c>
      <c r="EN631" s="1549"/>
      <c r="EO631" s="1549"/>
      <c r="EP631" s="1549"/>
      <c r="EQ631" s="1550"/>
      <c r="ER631" s="1548" t="str">
        <f t="shared" si="21"/>
        <v/>
      </c>
      <c r="ES631" s="1549"/>
      <c r="ET631" s="1549"/>
      <c r="EU631" s="1549"/>
      <c r="EV631" s="1550"/>
      <c r="EW631" s="1548" t="str">
        <f t="shared" si="22"/>
        <v/>
      </c>
      <c r="EX631" s="1549"/>
      <c r="EY631" s="1549"/>
      <c r="EZ631" s="1549"/>
      <c r="FA631" s="1550"/>
    </row>
    <row r="632" spans="2:157" ht="12.95" customHeight="1">
      <c r="B632" s="52" t="s">
        <v>592</v>
      </c>
      <c r="C632" s="1725" t="s">
        <v>2774</v>
      </c>
      <c r="D632" s="1518"/>
      <c r="E632" s="1518"/>
      <c r="F632" s="1518"/>
      <c r="G632" s="1518"/>
      <c r="H632" s="1518"/>
      <c r="I632" s="1518"/>
      <c r="J632" s="1518"/>
      <c r="K632" s="1518"/>
      <c r="L632" s="1518"/>
      <c r="M632" s="1532" t="s">
        <v>2441</v>
      </c>
      <c r="N632" s="1532"/>
      <c r="O632" s="1532"/>
      <c r="P632" s="1532"/>
      <c r="Q632" s="1719"/>
      <c r="R632" s="1720"/>
      <c r="S632" s="1721"/>
      <c r="T632" s="1719"/>
      <c r="U632" s="1720"/>
      <c r="V632" s="1721"/>
      <c r="W632" s="1722"/>
      <c r="X632" s="1723"/>
      <c r="Y632" s="1724"/>
      <c r="Z632" s="1555" t="s">
        <v>301</v>
      </c>
      <c r="AA632" s="1556"/>
      <c r="AB632" s="1557"/>
      <c r="AC632" s="1503"/>
      <c r="AD632" s="1504"/>
      <c r="AE632" s="1505"/>
      <c r="AF632" s="1382"/>
      <c r="AG632" s="1383"/>
      <c r="AH632" s="1383"/>
      <c r="AI632" s="1383"/>
      <c r="AJ632" s="1384"/>
      <c r="AK632" s="1520"/>
      <c r="AL632" s="1521"/>
      <c r="AM632" s="1521"/>
      <c r="AN632" s="1522"/>
      <c r="AO632" s="1395">
        <v>250000</v>
      </c>
      <c r="AP632" s="1393"/>
      <c r="AQ632" s="1393"/>
      <c r="AR632" s="1393"/>
      <c r="AS632" s="1394"/>
      <c r="AT632" s="1192" t="str">
        <f t="shared" si="23"/>
        <v/>
      </c>
      <c r="AU632" s="3"/>
      <c r="AZ632" s="3"/>
      <c r="BA632" s="3"/>
      <c r="BB632" s="3"/>
      <c r="BC632" s="3"/>
      <c r="BD632" s="3"/>
      <c r="BE632" s="3"/>
      <c r="BF632" s="3"/>
      <c r="BG632" s="1548">
        <f>SUM(BG597:BH631)</f>
        <v>65</v>
      </c>
      <c r="BH632" s="1550"/>
      <c r="BI632" s="3"/>
      <c r="BJ632" s="3"/>
      <c r="BK632" s="1548">
        <f>SUM(BK597:BL631)</f>
        <v>50</v>
      </c>
      <c r="BL632" s="1550"/>
      <c r="BM632" s="3"/>
      <c r="BN632" s="1548">
        <f>SUM(BN597:BR631)</f>
        <v>75</v>
      </c>
      <c r="BO632" s="1549"/>
      <c r="BP632" s="1549"/>
      <c r="BQ632" s="1549"/>
      <c r="BR632" s="1550"/>
      <c r="BS632" s="1386">
        <f>SUM(BS597:BW631)</f>
        <v>18</v>
      </c>
      <c r="BT632" s="1386"/>
      <c r="BU632" s="1386"/>
      <c r="BV632" s="1386"/>
      <c r="BW632" s="1386"/>
      <c r="BX632" s="1386">
        <f>SUM(BX597:CB631)</f>
        <v>48</v>
      </c>
      <c r="BY632" s="1386"/>
      <c r="BZ632" s="1386"/>
      <c r="CA632" s="1386"/>
      <c r="CB632" s="1386"/>
      <c r="CC632" s="1386">
        <f>SUM(CC597:CG631)</f>
        <v>48</v>
      </c>
      <c r="CD632" s="1386"/>
      <c r="CE632" s="1386"/>
      <c r="CF632" s="1386"/>
      <c r="CG632" s="1386"/>
      <c r="CH632" s="1386">
        <f>SUM(CH597:CL631)</f>
        <v>0</v>
      </c>
      <c r="CI632" s="1386"/>
      <c r="CJ632" s="1386"/>
      <c r="CK632" s="1386"/>
      <c r="CL632" s="1386"/>
      <c r="CM632" s="1386">
        <f>SUM(CM597:CQ631)</f>
        <v>0</v>
      </c>
      <c r="CN632" s="1386"/>
      <c r="CO632" s="1386"/>
      <c r="CP632" s="1386"/>
      <c r="CQ632" s="1386"/>
      <c r="CR632" s="385"/>
      <c r="CS632" s="1386">
        <f>SUM(CS597:CW631)</f>
        <v>11</v>
      </c>
      <c r="CT632" s="1386"/>
      <c r="CU632" s="1386"/>
      <c r="CV632" s="1386"/>
      <c r="CW632" s="1386"/>
      <c r="CX632" s="1386">
        <f>SUM(CX597:DB631)</f>
        <v>12</v>
      </c>
      <c r="CY632" s="1386"/>
      <c r="CZ632" s="1386"/>
      <c r="DA632" s="1386"/>
      <c r="DB632" s="1386"/>
      <c r="DC632" s="1386">
        <f>SUM(DC597:DG631)</f>
        <v>13</v>
      </c>
      <c r="DD632" s="1386"/>
      <c r="DE632" s="1386"/>
      <c r="DF632" s="1386"/>
      <c r="DG632" s="1386"/>
      <c r="DH632" s="1386">
        <f>SUM(DH597:DL631)</f>
        <v>14</v>
      </c>
      <c r="DI632" s="1386"/>
      <c r="DJ632" s="1386"/>
      <c r="DK632" s="1386"/>
      <c r="DL632" s="1386"/>
      <c r="DM632" s="1386">
        <f>SUM(DM597:DQ631)</f>
        <v>0</v>
      </c>
      <c r="DN632" s="1386"/>
      <c r="DO632" s="1386"/>
      <c r="DP632" s="1386"/>
      <c r="DQ632" s="1386"/>
      <c r="DR632" s="1386">
        <f>SUM(DR597:DV631)</f>
        <v>0</v>
      </c>
      <c r="DS632" s="1386"/>
      <c r="DT632" s="1386"/>
      <c r="DU632" s="1386"/>
      <c r="DV632" s="1386"/>
      <c r="DX632" s="1386">
        <f>SUM(DX597:EB631)</f>
        <v>4278</v>
      </c>
      <c r="DY632" s="1386"/>
      <c r="DZ632" s="1386"/>
      <c r="EA632" s="1386"/>
      <c r="EB632" s="1386"/>
      <c r="EC632" s="1386">
        <f>SUM(EC597:EG631)</f>
        <v>5580</v>
      </c>
      <c r="ED632" s="1386"/>
      <c r="EE632" s="1386"/>
      <c r="EF632" s="1386"/>
      <c r="EG632" s="1386"/>
      <c r="EH632" s="1386">
        <f>SUM(EH597:EL631)</f>
        <v>6678</v>
      </c>
      <c r="EI632" s="1386"/>
      <c r="EJ632" s="1386"/>
      <c r="EK632" s="1386"/>
      <c r="EL632" s="1386"/>
      <c r="EM632" s="1386">
        <f>SUM(EM597:EQ631)</f>
        <v>7700</v>
      </c>
      <c r="EN632" s="1386"/>
      <c r="EO632" s="1386"/>
      <c r="EP632" s="1386"/>
      <c r="EQ632" s="1386"/>
      <c r="ER632" s="1386">
        <f>SUM(ER597:EV631)</f>
        <v>0</v>
      </c>
      <c r="ES632" s="1386"/>
      <c r="ET632" s="1386"/>
      <c r="EU632" s="1386"/>
      <c r="EV632" s="1386"/>
      <c r="EW632" s="1386">
        <f>SUM(EW597:FA631)</f>
        <v>0</v>
      </c>
      <c r="EX632" s="1386"/>
      <c r="EY632" s="1386"/>
      <c r="EZ632" s="1386"/>
      <c r="FA632" s="1386"/>
    </row>
    <row r="633" spans="2:157" ht="12.95" customHeight="1">
      <c r="B633" s="52" t="s">
        <v>463</v>
      </c>
      <c r="C633" s="1518"/>
      <c r="D633" s="1518"/>
      <c r="E633" s="1518"/>
      <c r="F633" s="1518"/>
      <c r="G633" s="1518"/>
      <c r="H633" s="1518"/>
      <c r="I633" s="1518"/>
      <c r="J633" s="1518"/>
      <c r="K633" s="1518"/>
      <c r="L633" s="1518"/>
      <c r="M633" s="1532" t="s">
        <v>1289</v>
      </c>
      <c r="N633" s="1532"/>
      <c r="O633" s="1532"/>
      <c r="P633" s="1532"/>
      <c r="Q633" s="1719"/>
      <c r="R633" s="1720"/>
      <c r="S633" s="1721"/>
      <c r="T633" s="1719"/>
      <c r="U633" s="1720"/>
      <c r="V633" s="1721"/>
      <c r="W633" s="1722"/>
      <c r="X633" s="1723"/>
      <c r="Y633" s="1724"/>
      <c r="Z633" s="1555" t="s">
        <v>1289</v>
      </c>
      <c r="AA633" s="1556"/>
      <c r="AB633" s="1557"/>
      <c r="AC633" s="1503"/>
      <c r="AD633" s="1504"/>
      <c r="AE633" s="1505"/>
      <c r="AF633" s="1382"/>
      <c r="AG633" s="1383"/>
      <c r="AH633" s="1383"/>
      <c r="AI633" s="1383"/>
      <c r="AJ633" s="1384"/>
      <c r="AK633" s="1520"/>
      <c r="AL633" s="1521"/>
      <c r="AM633" s="1521"/>
      <c r="AN633" s="1522"/>
      <c r="AO633" s="1395"/>
      <c r="AP633" s="1393"/>
      <c r="AQ633" s="1393"/>
      <c r="AR633" s="1393"/>
      <c r="AS633" s="13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48">
        <f>BN632+BS632+BX632+CC632+CH632+CM632</f>
        <v>189</v>
      </c>
      <c r="CN633" s="1549"/>
      <c r="CO633" s="1549"/>
      <c r="CP633" s="1549"/>
      <c r="CQ633" s="1550"/>
      <c r="CR633" s="385"/>
      <c r="CS633" s="3"/>
      <c r="CT633" s="3"/>
      <c r="CU633" s="3"/>
      <c r="CV633" s="3"/>
      <c r="CW633" s="3"/>
      <c r="CX633" s="3"/>
      <c r="CY633" s="3"/>
      <c r="CZ633" s="3"/>
      <c r="DA633" s="3"/>
      <c r="DB633" s="3"/>
      <c r="DC633" s="3"/>
      <c r="DD633" s="3"/>
      <c r="DE633" s="3"/>
      <c r="DF633" s="3"/>
    </row>
    <row r="634" spans="2:157" ht="12.95" customHeight="1">
      <c r="B634" s="52" t="s">
        <v>464</v>
      </c>
      <c r="C634" s="1518"/>
      <c r="D634" s="1518"/>
      <c r="E634" s="1518"/>
      <c r="F634" s="1518"/>
      <c r="G634" s="1518"/>
      <c r="H634" s="1518"/>
      <c r="I634" s="1518"/>
      <c r="J634" s="1518"/>
      <c r="K634" s="1518"/>
      <c r="L634" s="1518"/>
      <c r="M634" s="1532" t="s">
        <v>1289</v>
      </c>
      <c r="N634" s="1532"/>
      <c r="O634" s="1532"/>
      <c r="P634" s="1532"/>
      <c r="Q634" s="1719"/>
      <c r="R634" s="1720"/>
      <c r="S634" s="1721"/>
      <c r="T634" s="1719"/>
      <c r="U634" s="1720"/>
      <c r="V634" s="1721"/>
      <c r="W634" s="1722"/>
      <c r="X634" s="1723"/>
      <c r="Y634" s="1724"/>
      <c r="Z634" s="1555" t="s">
        <v>1289</v>
      </c>
      <c r="AA634" s="1556"/>
      <c r="AB634" s="1557"/>
      <c r="AC634" s="1503"/>
      <c r="AD634" s="1504"/>
      <c r="AE634" s="1505"/>
      <c r="AF634" s="1382"/>
      <c r="AG634" s="1383"/>
      <c r="AH634" s="1383"/>
      <c r="AI634" s="1383"/>
      <c r="AJ634" s="1384"/>
      <c r="AK634" s="1520"/>
      <c r="AL634" s="1521"/>
      <c r="AM634" s="1521"/>
      <c r="AN634" s="1522"/>
      <c r="AO634" s="1395"/>
      <c r="AP634" s="1393"/>
      <c r="AQ634" s="1393"/>
      <c r="AR634" s="1393"/>
      <c r="AS634" s="139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75</v>
      </c>
      <c r="BS634" s="3"/>
      <c r="BT634" s="3"/>
      <c r="BU634" s="3"/>
      <c r="BV634" s="3"/>
      <c r="BW634" s="895">
        <f>BS632*1</f>
        <v>18</v>
      </c>
      <c r="BX634" s="3"/>
      <c r="BY634" s="3"/>
      <c r="BZ634" s="3"/>
      <c r="CA634" s="3"/>
      <c r="CB634" s="895">
        <f>BX632*2</f>
        <v>96</v>
      </c>
      <c r="CC634" s="3"/>
      <c r="CD634" s="3"/>
      <c r="CE634" s="3"/>
      <c r="CF634" s="3"/>
      <c r="CG634" s="895">
        <f>CC632*3</f>
        <v>144</v>
      </c>
      <c r="CH634" s="3"/>
      <c r="CI634" s="3"/>
      <c r="CJ634" s="3"/>
      <c r="CK634" s="3"/>
      <c r="CL634" s="895">
        <f>CH632*4</f>
        <v>0</v>
      </c>
      <c r="CM634" s="3"/>
      <c r="CN634" s="3"/>
      <c r="CO634" s="3"/>
      <c r="CP634" s="3"/>
      <c r="CQ634" s="895">
        <f>CM632*5</f>
        <v>0</v>
      </c>
      <c r="CS634" s="895">
        <f>BR634+BW634+CB634+CG634+CL634+CQ634</f>
        <v>333</v>
      </c>
      <c r="CT634" s="57" t="s">
        <v>2053</v>
      </c>
      <c r="CU634" s="3"/>
      <c r="CV634" s="3"/>
      <c r="CW634" s="3"/>
      <c r="CX634" s="3"/>
      <c r="CY634" s="3"/>
      <c r="CZ634" s="3"/>
      <c r="DA634" s="3"/>
      <c r="DB634" s="3"/>
      <c r="DC634" s="3"/>
      <c r="DD634" s="3"/>
      <c r="DE634" s="3"/>
      <c r="DF634" s="3"/>
    </row>
    <row r="635" spans="2:157" ht="12.95" customHeight="1">
      <c r="B635" s="52" t="s">
        <v>469</v>
      </c>
      <c r="C635" s="1518"/>
      <c r="D635" s="1518"/>
      <c r="E635" s="1518"/>
      <c r="F635" s="1518"/>
      <c r="G635" s="1518"/>
      <c r="H635" s="1518"/>
      <c r="I635" s="1518"/>
      <c r="J635" s="1518"/>
      <c r="K635" s="1518"/>
      <c r="L635" s="1518"/>
      <c r="M635" s="1532" t="s">
        <v>1289</v>
      </c>
      <c r="N635" s="1532"/>
      <c r="O635" s="1532"/>
      <c r="P635" s="1532"/>
      <c r="Q635" s="1719"/>
      <c r="R635" s="1720"/>
      <c r="S635" s="1721"/>
      <c r="T635" s="1719"/>
      <c r="U635" s="1720"/>
      <c r="V635" s="1721"/>
      <c r="W635" s="1722"/>
      <c r="X635" s="1723"/>
      <c r="Y635" s="1724"/>
      <c r="Z635" s="1555" t="s">
        <v>1289</v>
      </c>
      <c r="AA635" s="1556"/>
      <c r="AB635" s="1557"/>
      <c r="AC635" s="1503"/>
      <c r="AD635" s="1504"/>
      <c r="AE635" s="1505"/>
      <c r="AF635" s="1382"/>
      <c r="AG635" s="1383"/>
      <c r="AH635" s="1383"/>
      <c r="AI635" s="1383"/>
      <c r="AJ635" s="1384"/>
      <c r="AK635" s="1520"/>
      <c r="AL635" s="1521"/>
      <c r="AM635" s="1521"/>
      <c r="AN635" s="1522"/>
      <c r="AO635" s="1395"/>
      <c r="AP635" s="1393"/>
      <c r="AQ635" s="1393"/>
      <c r="AR635" s="1393"/>
      <c r="AS635" s="1394"/>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36">
        <f>DX597*(BN597/$BN$632)</f>
        <v>137.28</v>
      </c>
      <c r="DY635" s="1536"/>
      <c r="DZ635" s="1536"/>
      <c r="EA635" s="1536"/>
      <c r="EB635" s="1536"/>
      <c r="EC635" s="1536" t="e">
        <f t="shared" ref="EC635:EC657" si="24">EC597*(BS597/$BS$632)</f>
        <v>#VALUE!</v>
      </c>
      <c r="ED635" s="1536"/>
      <c r="EE635" s="1536"/>
      <c r="EF635" s="1536"/>
      <c r="EG635" s="1536"/>
      <c r="EH635" s="1536" t="e">
        <f t="shared" ref="EH635:EH657" si="25">EH597*(BX597/$BX$632)</f>
        <v>#VALUE!</v>
      </c>
      <c r="EI635" s="1536"/>
      <c r="EJ635" s="1536"/>
      <c r="EK635" s="1536"/>
      <c r="EL635" s="1536"/>
      <c r="EM635" s="1536" t="e">
        <f t="shared" ref="EM635:EM657" si="26">EM597*(CC597/$CC$632)</f>
        <v>#VALUE!</v>
      </c>
      <c r="EN635" s="1536"/>
      <c r="EO635" s="1536"/>
      <c r="EP635" s="1536"/>
      <c r="EQ635" s="1536"/>
      <c r="ER635" s="1536" t="e">
        <f t="shared" ref="ER635:ER657" si="27">ER597*(CH597/$CH$632)</f>
        <v>#VALUE!</v>
      </c>
      <c r="ES635" s="1536"/>
      <c r="ET635" s="1536"/>
      <c r="EU635" s="1536"/>
      <c r="EV635" s="1536"/>
      <c r="EW635" s="1536" t="e">
        <f t="shared" ref="EW635:EW657" si="28">EW597*(CM597/$CM$632)</f>
        <v>#VALUE!</v>
      </c>
      <c r="EX635" s="1536"/>
      <c r="EY635" s="1536"/>
      <c r="EZ635" s="1536"/>
      <c r="FA635" s="1536"/>
    </row>
    <row r="636" spans="2:157" ht="12.95" customHeight="1">
      <c r="B636" s="52" t="s">
        <v>654</v>
      </c>
      <c r="C636" s="1518"/>
      <c r="D636" s="1518"/>
      <c r="E636" s="1518"/>
      <c r="F636" s="1518"/>
      <c r="G636" s="1518"/>
      <c r="H636" s="1518"/>
      <c r="I636" s="1518"/>
      <c r="J636" s="1518"/>
      <c r="K636" s="1518"/>
      <c r="L636" s="1518"/>
      <c r="M636" s="1532" t="s">
        <v>1289</v>
      </c>
      <c r="N636" s="1532"/>
      <c r="O636" s="1532"/>
      <c r="P636" s="1532"/>
      <c r="Q636" s="1719"/>
      <c r="R636" s="1720"/>
      <c r="S636" s="1721"/>
      <c r="T636" s="1719"/>
      <c r="U636" s="1720"/>
      <c r="V636" s="1721"/>
      <c r="W636" s="1722"/>
      <c r="X636" s="1723"/>
      <c r="Y636" s="1724"/>
      <c r="Z636" s="1555" t="s">
        <v>1289</v>
      </c>
      <c r="AA636" s="1556"/>
      <c r="AB636" s="1557"/>
      <c r="AC636" s="1503"/>
      <c r="AD636" s="1504"/>
      <c r="AE636" s="1505"/>
      <c r="AF636" s="1382"/>
      <c r="AG636" s="1383"/>
      <c r="AH636" s="1383"/>
      <c r="AI636" s="1383"/>
      <c r="AJ636" s="1384"/>
      <c r="AK636" s="1520"/>
      <c r="AL636" s="1521"/>
      <c r="AM636" s="1521"/>
      <c r="AN636" s="1522"/>
      <c r="AO636" s="1395"/>
      <c r="AP636" s="1393"/>
      <c r="AQ636" s="1393"/>
      <c r="AR636" s="1393"/>
      <c r="AS636" s="1394"/>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36">
        <f t="shared" ref="DX636:DX657" si="29">DX598*(BN598/$BN$632)</f>
        <v>787.80000000000007</v>
      </c>
      <c r="DY636" s="1536"/>
      <c r="DZ636" s="1536"/>
      <c r="EA636" s="1536"/>
      <c r="EB636" s="1536"/>
      <c r="EC636" s="1536" t="e">
        <f t="shared" si="24"/>
        <v>#VALUE!</v>
      </c>
      <c r="ED636" s="1536"/>
      <c r="EE636" s="1536"/>
      <c r="EF636" s="1536"/>
      <c r="EG636" s="1536"/>
      <c r="EH636" s="1536" t="e">
        <f t="shared" si="25"/>
        <v>#VALUE!</v>
      </c>
      <c r="EI636" s="1536"/>
      <c r="EJ636" s="1536"/>
      <c r="EK636" s="1536"/>
      <c r="EL636" s="1536"/>
      <c r="EM636" s="1536" t="e">
        <f t="shared" si="26"/>
        <v>#VALUE!</v>
      </c>
      <c r="EN636" s="1536"/>
      <c r="EO636" s="1536"/>
      <c r="EP636" s="1536"/>
      <c r="EQ636" s="1536"/>
      <c r="ER636" s="1536" t="e">
        <f t="shared" si="27"/>
        <v>#VALUE!</v>
      </c>
      <c r="ES636" s="1536"/>
      <c r="ET636" s="1536"/>
      <c r="EU636" s="1536"/>
      <c r="EV636" s="1536"/>
      <c r="EW636" s="1536" t="e">
        <f t="shared" si="28"/>
        <v>#VALUE!</v>
      </c>
      <c r="EX636" s="1536"/>
      <c r="EY636" s="1536"/>
      <c r="EZ636" s="1536"/>
      <c r="FA636" s="1536"/>
    </row>
    <row r="637" spans="2:157" ht="12.95" customHeight="1">
      <c r="B637" s="52" t="s">
        <v>363</v>
      </c>
      <c r="C637" s="1518"/>
      <c r="D637" s="1518"/>
      <c r="E637" s="1518"/>
      <c r="F637" s="1518"/>
      <c r="G637" s="1518"/>
      <c r="H637" s="1518"/>
      <c r="I637" s="1518"/>
      <c r="J637" s="1518"/>
      <c r="K637" s="1518"/>
      <c r="L637" s="1518"/>
      <c r="M637" s="1532" t="s">
        <v>1289</v>
      </c>
      <c r="N637" s="1532"/>
      <c r="O637" s="1532"/>
      <c r="P637" s="1532"/>
      <c r="Q637" s="1719"/>
      <c r="R637" s="1720"/>
      <c r="S637" s="1721"/>
      <c r="T637" s="1719"/>
      <c r="U637" s="1720"/>
      <c r="V637" s="1721"/>
      <c r="W637" s="1722"/>
      <c r="X637" s="1723"/>
      <c r="Y637" s="1724"/>
      <c r="Z637" s="1555" t="s">
        <v>1289</v>
      </c>
      <c r="AA637" s="1556"/>
      <c r="AB637" s="1557"/>
      <c r="AC637" s="1503"/>
      <c r="AD637" s="1504"/>
      <c r="AE637" s="1505"/>
      <c r="AF637" s="1382"/>
      <c r="AG637" s="1383"/>
      <c r="AH637" s="1383"/>
      <c r="AI637" s="1383"/>
      <c r="AJ637" s="1384"/>
      <c r="AK637" s="1520"/>
      <c r="AL637" s="1521"/>
      <c r="AM637" s="1521"/>
      <c r="AN637" s="1522"/>
      <c r="AO637" s="1395"/>
      <c r="AP637" s="1393"/>
      <c r="AQ637" s="1393"/>
      <c r="AR637" s="1393"/>
      <c r="AS637" s="139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37">
        <f>IF(J773="SRO/Studio",O773,0)</f>
        <v>0</v>
      </c>
      <c r="BO637" s="1538"/>
      <c r="BP637" s="1538"/>
      <c r="BQ637" s="1538"/>
      <c r="BR637" s="1539"/>
      <c r="BS637" s="1544">
        <f>IF(J773="1 Bedroom",O773,0)</f>
        <v>0</v>
      </c>
      <c r="BT637" s="1544"/>
      <c r="BU637" s="1544"/>
      <c r="BV637" s="1544"/>
      <c r="BW637" s="1544"/>
      <c r="BX637" s="1544">
        <f>IF(J773="2 Bedrooms",O773,0)</f>
        <v>0</v>
      </c>
      <c r="BY637" s="1544"/>
      <c r="BZ637" s="1544"/>
      <c r="CA637" s="1544"/>
      <c r="CB637" s="1544"/>
      <c r="CC637" s="1544">
        <f>IF(J773="3 Bedrooms",O773,0)</f>
        <v>2</v>
      </c>
      <c r="CD637" s="1544"/>
      <c r="CE637" s="1544"/>
      <c r="CF637" s="1544"/>
      <c r="CG637" s="1544"/>
      <c r="CH637" s="1544">
        <f>IF(J773="4 Bedrooms",O773,0)</f>
        <v>0</v>
      </c>
      <c r="CI637" s="1544"/>
      <c r="CJ637" s="1544"/>
      <c r="CK637" s="1544"/>
      <c r="CL637" s="1544"/>
      <c r="CM637" s="1544">
        <f>IF(J773="5 Bedrooms",O773,0)</f>
        <v>0</v>
      </c>
      <c r="CN637" s="1544"/>
      <c r="CO637" s="1544"/>
      <c r="CP637" s="1544"/>
      <c r="CQ637" s="1544"/>
      <c r="CR637" s="6"/>
      <c r="CS637" s="3"/>
      <c r="CT637" s="3"/>
      <c r="CU637" s="3"/>
      <c r="CV637" s="3"/>
      <c r="CW637" s="3"/>
      <c r="CX637" s="3"/>
      <c r="CY637" s="3"/>
      <c r="CZ637" s="3"/>
      <c r="DA637" s="3"/>
      <c r="DB637" s="3"/>
      <c r="DC637" s="3"/>
      <c r="DD637" s="3"/>
      <c r="DE637" s="3"/>
      <c r="DF637" s="3"/>
      <c r="DX637" s="1536">
        <f t="shared" si="29"/>
        <v>609</v>
      </c>
      <c r="DY637" s="1536"/>
      <c r="DZ637" s="1536"/>
      <c r="EA637" s="1536"/>
      <c r="EB637" s="1536"/>
      <c r="EC637" s="1536" t="e">
        <f t="shared" si="24"/>
        <v>#VALUE!</v>
      </c>
      <c r="ED637" s="1536"/>
      <c r="EE637" s="1536"/>
      <c r="EF637" s="1536"/>
      <c r="EG637" s="1536"/>
      <c r="EH637" s="1536" t="e">
        <f t="shared" si="25"/>
        <v>#VALUE!</v>
      </c>
      <c r="EI637" s="1536"/>
      <c r="EJ637" s="1536"/>
      <c r="EK637" s="1536"/>
      <c r="EL637" s="1536"/>
      <c r="EM637" s="1536" t="e">
        <f t="shared" si="26"/>
        <v>#VALUE!</v>
      </c>
      <c r="EN637" s="1536"/>
      <c r="EO637" s="1536"/>
      <c r="EP637" s="1536"/>
      <c r="EQ637" s="1536"/>
      <c r="ER637" s="1536" t="e">
        <f t="shared" si="27"/>
        <v>#VALUE!</v>
      </c>
      <c r="ES637" s="1536"/>
      <c r="ET637" s="1536"/>
      <c r="EU637" s="1536"/>
      <c r="EV637" s="1536"/>
      <c r="EW637" s="1536" t="e">
        <f t="shared" si="28"/>
        <v>#VALUE!</v>
      </c>
      <c r="EX637" s="1536"/>
      <c r="EY637" s="1536"/>
      <c r="EZ637" s="1536"/>
      <c r="FA637" s="1536"/>
    </row>
    <row r="638" spans="2:157" ht="12.95" customHeight="1">
      <c r="B638" s="52" t="s">
        <v>364</v>
      </c>
      <c r="C638" s="1518"/>
      <c r="D638" s="1518"/>
      <c r="E638" s="1518"/>
      <c r="F638" s="1518"/>
      <c r="G638" s="1518"/>
      <c r="H638" s="1518"/>
      <c r="I638" s="1518"/>
      <c r="J638" s="1518"/>
      <c r="K638" s="1518"/>
      <c r="L638" s="1518"/>
      <c r="M638" s="1532" t="s">
        <v>1289</v>
      </c>
      <c r="N638" s="1532"/>
      <c r="O638" s="1532"/>
      <c r="P638" s="1532"/>
      <c r="Q638" s="1719"/>
      <c r="R638" s="1720"/>
      <c r="S638" s="1721"/>
      <c r="T638" s="1719"/>
      <c r="U638" s="1720"/>
      <c r="V638" s="1721"/>
      <c r="W638" s="1722"/>
      <c r="X638" s="1723"/>
      <c r="Y638" s="1724"/>
      <c r="Z638" s="1555" t="s">
        <v>1289</v>
      </c>
      <c r="AA638" s="1556"/>
      <c r="AB638" s="1557"/>
      <c r="AC638" s="1503"/>
      <c r="AD638" s="1504"/>
      <c r="AE638" s="1505"/>
      <c r="AF638" s="1382"/>
      <c r="AG638" s="1383"/>
      <c r="AH638" s="1383"/>
      <c r="AI638" s="1383"/>
      <c r="AJ638" s="1384"/>
      <c r="AK638" s="1520"/>
      <c r="AL638" s="1521"/>
      <c r="AM638" s="1521"/>
      <c r="AN638" s="1522"/>
      <c r="AO638" s="1395"/>
      <c r="AP638" s="1393"/>
      <c r="AQ638" s="1393"/>
      <c r="AR638" s="1393"/>
      <c r="AS638" s="13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37">
        <f>IF(J774="SRO/Studio",O774,0)</f>
        <v>0</v>
      </c>
      <c r="BO638" s="1538"/>
      <c r="BP638" s="1538"/>
      <c r="BQ638" s="1538"/>
      <c r="BR638" s="1539"/>
      <c r="BS638" s="1544">
        <f>IF(J774="1 Bedroom",O774,0)</f>
        <v>0</v>
      </c>
      <c r="BT638" s="1544"/>
      <c r="BU638" s="1544"/>
      <c r="BV638" s="1544"/>
      <c r="BW638" s="1544"/>
      <c r="BX638" s="1544">
        <f>IF(J774="2 Bedrooms",O774,0)</f>
        <v>0</v>
      </c>
      <c r="BY638" s="1544"/>
      <c r="BZ638" s="1544"/>
      <c r="CA638" s="1544"/>
      <c r="CB638" s="1544"/>
      <c r="CC638" s="1544">
        <f>IF(J774="3 Bedrooms",O774,0)</f>
        <v>0</v>
      </c>
      <c r="CD638" s="1544"/>
      <c r="CE638" s="1544"/>
      <c r="CF638" s="1544"/>
      <c r="CG638" s="1544"/>
      <c r="CH638" s="1544">
        <f>IF(J774="4 Bedrooms",O774,0)</f>
        <v>0</v>
      </c>
      <c r="CI638" s="1544"/>
      <c r="CJ638" s="1544"/>
      <c r="CK638" s="1544"/>
      <c r="CL638" s="1544"/>
      <c r="CM638" s="1544">
        <f>IF(J774="5 Bedrooms",O774,0)</f>
        <v>0</v>
      </c>
      <c r="CN638" s="1544"/>
      <c r="CO638" s="1544"/>
      <c r="CP638" s="1544"/>
      <c r="CQ638" s="1544"/>
      <c r="CR638" s="6"/>
      <c r="CS638" s="3"/>
      <c r="CT638" s="3"/>
      <c r="CU638" s="3"/>
      <c r="CV638" s="3"/>
      <c r="CW638" s="3"/>
      <c r="CX638" s="3"/>
      <c r="CY638" s="3"/>
      <c r="CZ638" s="3"/>
      <c r="DA638" s="3"/>
      <c r="DB638" s="3"/>
      <c r="DC638" s="3"/>
      <c r="DD638" s="3"/>
      <c r="DE638" s="3"/>
      <c r="DF638" s="3"/>
      <c r="DX638" s="1536" t="e">
        <f t="shared" si="29"/>
        <v>#VALUE!</v>
      </c>
      <c r="DY638" s="1536"/>
      <c r="DZ638" s="1536"/>
      <c r="EA638" s="1536"/>
      <c r="EB638" s="1536"/>
      <c r="EC638" s="1536">
        <f t="shared" si="24"/>
        <v>111.44444444444444</v>
      </c>
      <c r="ED638" s="1536"/>
      <c r="EE638" s="1536"/>
      <c r="EF638" s="1536"/>
      <c r="EG638" s="1536"/>
      <c r="EH638" s="1536" t="e">
        <f t="shared" si="25"/>
        <v>#VALUE!</v>
      </c>
      <c r="EI638" s="1536"/>
      <c r="EJ638" s="1536"/>
      <c r="EK638" s="1536"/>
      <c r="EL638" s="1536"/>
      <c r="EM638" s="1536" t="e">
        <f t="shared" si="26"/>
        <v>#VALUE!</v>
      </c>
      <c r="EN638" s="1536"/>
      <c r="EO638" s="1536"/>
      <c r="EP638" s="1536"/>
      <c r="EQ638" s="1536"/>
      <c r="ER638" s="1536" t="e">
        <f t="shared" si="27"/>
        <v>#VALUE!</v>
      </c>
      <c r="ES638" s="1536"/>
      <c r="ET638" s="1536"/>
      <c r="EU638" s="1536"/>
      <c r="EV638" s="1536"/>
      <c r="EW638" s="1536" t="e">
        <f t="shared" si="28"/>
        <v>#VALUE!</v>
      </c>
      <c r="EX638" s="1536"/>
      <c r="EY638" s="1536"/>
      <c r="EZ638" s="1536"/>
      <c r="FA638" s="1536"/>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552">
        <f>SUM(AO627:AR638)</f>
        <v>76621647</v>
      </c>
      <c r="AP639" s="1553"/>
      <c r="AQ639" s="1553"/>
      <c r="AR639" s="1553"/>
      <c r="AS639" s="1554"/>
      <c r="AV639" s="3"/>
      <c r="AW639" s="3"/>
      <c r="AX639" s="3"/>
      <c r="AY639" s="3"/>
      <c r="AZ639" s="34"/>
      <c r="BA639" s="34"/>
      <c r="BB639" s="34"/>
      <c r="BC639" s="34"/>
      <c r="BD639" s="34"/>
      <c r="BE639" s="34"/>
      <c r="BF639" s="34"/>
      <c r="BG639" s="34"/>
      <c r="BH639" s="34"/>
      <c r="BI639" s="34"/>
      <c r="BJ639" s="34"/>
      <c r="BK639" s="34"/>
      <c r="BL639" s="34"/>
      <c r="BM639" s="34"/>
      <c r="BN639" s="1537">
        <f>IF(J775="SRO/Studio",O775,0)</f>
        <v>0</v>
      </c>
      <c r="BO639" s="1538"/>
      <c r="BP639" s="1538"/>
      <c r="BQ639" s="1538"/>
      <c r="BR639" s="1539"/>
      <c r="BS639" s="1544">
        <f>IF(J775="1 Bedroom",O775,0)</f>
        <v>0</v>
      </c>
      <c r="BT639" s="1544"/>
      <c r="BU639" s="1544"/>
      <c r="BV639" s="1544"/>
      <c r="BW639" s="1544"/>
      <c r="BX639" s="1544">
        <f>IF(J775="2 Bedrooms",O775,0)</f>
        <v>0</v>
      </c>
      <c r="BY639" s="1544"/>
      <c r="BZ639" s="1544"/>
      <c r="CA639" s="1544"/>
      <c r="CB639" s="1544"/>
      <c r="CC639" s="1544">
        <f>IF(J775="3 Bedrooms",O775,0)</f>
        <v>0</v>
      </c>
      <c r="CD639" s="1544"/>
      <c r="CE639" s="1544"/>
      <c r="CF639" s="1544"/>
      <c r="CG639" s="1544"/>
      <c r="CH639" s="1544">
        <f>IF(J775="4 Bedrooms",O775,0)</f>
        <v>0</v>
      </c>
      <c r="CI639" s="1544"/>
      <c r="CJ639" s="1544"/>
      <c r="CK639" s="1544"/>
      <c r="CL639" s="1544"/>
      <c r="CM639" s="1544">
        <f>IF(J775="5 Bedrooms",O775,0)</f>
        <v>0</v>
      </c>
      <c r="CN639" s="1544"/>
      <c r="CO639" s="1544"/>
      <c r="CP639" s="1544"/>
      <c r="CQ639" s="1544"/>
      <c r="CR639" s="1047"/>
      <c r="CV639" s="3"/>
      <c r="CW639" s="3"/>
      <c r="CX639" s="3"/>
      <c r="CY639" s="3"/>
      <c r="CZ639" s="3"/>
      <c r="DA639" s="3"/>
      <c r="DB639" s="3"/>
      <c r="DC639" s="3"/>
      <c r="DD639" s="3"/>
      <c r="DE639" s="3"/>
      <c r="DF639" s="3"/>
      <c r="DX639" s="1536" t="e">
        <f t="shared" si="29"/>
        <v>#VALUE!</v>
      </c>
      <c r="DY639" s="1536"/>
      <c r="DZ639" s="1536"/>
      <c r="EA639" s="1536"/>
      <c r="EB639" s="1536"/>
      <c r="EC639" s="1536">
        <f t="shared" si="24"/>
        <v>557.22222222222229</v>
      </c>
      <c r="ED639" s="1536"/>
      <c r="EE639" s="1536"/>
      <c r="EF639" s="1536"/>
      <c r="EG639" s="1536"/>
      <c r="EH639" s="1536" t="e">
        <f t="shared" si="25"/>
        <v>#VALUE!</v>
      </c>
      <c r="EI639" s="1536"/>
      <c r="EJ639" s="1536"/>
      <c r="EK639" s="1536"/>
      <c r="EL639" s="1536"/>
      <c r="EM639" s="1536" t="e">
        <f t="shared" si="26"/>
        <v>#VALUE!</v>
      </c>
      <c r="EN639" s="1536"/>
      <c r="EO639" s="1536"/>
      <c r="EP639" s="1536"/>
      <c r="EQ639" s="1536"/>
      <c r="ER639" s="1536" t="e">
        <f t="shared" si="27"/>
        <v>#VALUE!</v>
      </c>
      <c r="ES639" s="1536"/>
      <c r="ET639" s="1536"/>
      <c r="EU639" s="1536"/>
      <c r="EV639" s="1536"/>
      <c r="EW639" s="1536" t="e">
        <f t="shared" si="28"/>
        <v>#VALUE!</v>
      </c>
      <c r="EX639" s="1536"/>
      <c r="EY639" s="1536"/>
      <c r="EZ639" s="1536"/>
      <c r="FA639" s="1536"/>
    </row>
    <row r="640" spans="2:157" ht="12.95" customHeight="1">
      <c r="B640" s="1449" t="s">
        <v>268</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399">
        <f>53452289+28641180</f>
        <v>82093469</v>
      </c>
      <c r="AP640" s="1393"/>
      <c r="AQ640" s="1393"/>
      <c r="AR640" s="1393"/>
      <c r="AS640" s="1394"/>
      <c r="AV640" s="3"/>
      <c r="AW640" s="3"/>
      <c r="AX640" s="3"/>
      <c r="AY640" s="3"/>
      <c r="AZ640" s="34"/>
      <c r="BA640" s="34"/>
      <c r="BB640" s="34"/>
      <c r="BC640" s="34"/>
      <c r="BD640" s="34"/>
      <c r="BE640" s="34"/>
      <c r="BF640" s="34"/>
      <c r="BG640" s="34"/>
      <c r="BH640" s="34"/>
      <c r="BI640" s="34"/>
      <c r="BJ640" s="34"/>
      <c r="BK640" s="34"/>
      <c r="BL640" s="34"/>
      <c r="BM640" s="34"/>
      <c r="BN640" s="1537">
        <f>IF(J776="SRO/Studio",O776,0)</f>
        <v>0</v>
      </c>
      <c r="BO640" s="1538"/>
      <c r="BP640" s="1538"/>
      <c r="BQ640" s="1538"/>
      <c r="BR640" s="1539"/>
      <c r="BS640" s="1544">
        <f>IF(J776="1 Bedroom",O776,0)</f>
        <v>0</v>
      </c>
      <c r="BT640" s="1544"/>
      <c r="BU640" s="1544"/>
      <c r="BV640" s="1544"/>
      <c r="BW640" s="1544"/>
      <c r="BX640" s="1544">
        <f>IF(J776="2 Bedrooms",O776,0)</f>
        <v>0</v>
      </c>
      <c r="BY640" s="1544"/>
      <c r="BZ640" s="1544"/>
      <c r="CA640" s="1544"/>
      <c r="CB640" s="1544"/>
      <c r="CC640" s="1544">
        <f>IF(J776="3 Bedrooms",O776,0)</f>
        <v>0</v>
      </c>
      <c r="CD640" s="1544"/>
      <c r="CE640" s="1544"/>
      <c r="CF640" s="1544"/>
      <c r="CG640" s="1544"/>
      <c r="CH640" s="1544">
        <f>IF(J776="4 Bedrooms",O776,0)</f>
        <v>0</v>
      </c>
      <c r="CI640" s="1544"/>
      <c r="CJ640" s="1544"/>
      <c r="CK640" s="1544"/>
      <c r="CL640" s="1544"/>
      <c r="CM640" s="1544">
        <f>IF(J776="5 Bedrooms",O776,0)</f>
        <v>0</v>
      </c>
      <c r="CN640" s="1544"/>
      <c r="CO640" s="1544"/>
      <c r="CP640" s="1544"/>
      <c r="CQ640" s="1544"/>
      <c r="CV640" s="3"/>
      <c r="CW640" s="3"/>
      <c r="CX640" s="3"/>
      <c r="CY640" s="3"/>
      <c r="CZ640" s="3"/>
      <c r="DA640" s="3"/>
      <c r="DB640" s="3"/>
      <c r="DC640" s="3"/>
      <c r="DD640" s="3"/>
      <c r="DE640" s="3"/>
      <c r="DF640" s="3"/>
      <c r="DX640" s="1536" t="e">
        <f t="shared" si="29"/>
        <v>#VALUE!</v>
      </c>
      <c r="DY640" s="1536"/>
      <c r="DZ640" s="1536"/>
      <c r="EA640" s="1536"/>
      <c r="EB640" s="1536"/>
      <c r="EC640" s="1536">
        <f t="shared" si="24"/>
        <v>270</v>
      </c>
      <c r="ED640" s="1536"/>
      <c r="EE640" s="1536"/>
      <c r="EF640" s="1536"/>
      <c r="EG640" s="1536"/>
      <c r="EH640" s="1536" t="e">
        <f t="shared" si="25"/>
        <v>#VALUE!</v>
      </c>
      <c r="EI640" s="1536"/>
      <c r="EJ640" s="1536"/>
      <c r="EK640" s="1536"/>
      <c r="EL640" s="1536"/>
      <c r="EM640" s="1536" t="e">
        <f t="shared" si="26"/>
        <v>#VALUE!</v>
      </c>
      <c r="EN640" s="1536"/>
      <c r="EO640" s="1536"/>
      <c r="EP640" s="1536"/>
      <c r="EQ640" s="1536"/>
      <c r="ER640" s="1536" t="e">
        <f t="shared" si="27"/>
        <v>#VALUE!</v>
      </c>
      <c r="ES640" s="1536"/>
      <c r="ET640" s="1536"/>
      <c r="EU640" s="1536"/>
      <c r="EV640" s="1536"/>
      <c r="EW640" s="1536" t="e">
        <f t="shared" si="28"/>
        <v>#VALUE!</v>
      </c>
      <c r="EX640" s="1536"/>
      <c r="EY640" s="1536"/>
      <c r="EZ640" s="1536"/>
      <c r="FA640" s="1536"/>
    </row>
    <row r="641" spans="1:157" ht="12.95" customHeight="1">
      <c r="B641" s="1847" t="s">
        <v>269</v>
      </c>
      <c r="C641" s="1499"/>
      <c r="D641" s="1499"/>
      <c r="E641" s="1499"/>
      <c r="F641" s="1499"/>
      <c r="G641" s="1499"/>
      <c r="H641" s="1499"/>
      <c r="I641" s="1499"/>
      <c r="J641" s="1499"/>
      <c r="K641" s="1499"/>
      <c r="L641" s="1499"/>
      <c r="M641" s="1499"/>
      <c r="N641" s="1499"/>
      <c r="O641" s="1499"/>
      <c r="P641" s="1499"/>
      <c r="Q641" s="1499"/>
      <c r="R641" s="1499"/>
      <c r="S641" s="1499"/>
      <c r="T641" s="1499"/>
      <c r="U641" s="1499"/>
      <c r="V641" s="1499"/>
      <c r="W641" s="1499"/>
      <c r="X641" s="1499"/>
      <c r="Y641" s="1499"/>
      <c r="Z641" s="1499"/>
      <c r="AA641" s="1499"/>
      <c r="AB641" s="1499"/>
      <c r="AC641" s="1499"/>
      <c r="AD641" s="1499"/>
      <c r="AE641" s="1499"/>
      <c r="AF641" s="1499"/>
      <c r="AG641" s="1499"/>
      <c r="AH641" s="1499"/>
      <c r="AI641" s="1499"/>
      <c r="AJ641" s="1499"/>
      <c r="AK641" s="1499"/>
      <c r="AL641" s="1499"/>
      <c r="AM641" s="1499"/>
      <c r="AN641" s="1848"/>
      <c r="AO641" s="1552">
        <f>AO639+AO640</f>
        <v>158715116</v>
      </c>
      <c r="AP641" s="1553"/>
      <c r="AQ641" s="1553"/>
      <c r="AR641" s="1553"/>
      <c r="AS641" s="1554"/>
      <c r="AV641" s="3"/>
      <c r="AW641" s="3"/>
      <c r="AX641" s="3"/>
      <c r="AY641" s="3"/>
      <c r="AZ641" s="34"/>
      <c r="BA641" s="34"/>
      <c r="BB641" s="34"/>
      <c r="BC641" s="34"/>
      <c r="BD641" s="34"/>
      <c r="BE641" s="34"/>
      <c r="BF641" s="34"/>
      <c r="BG641" s="34"/>
      <c r="BH641" s="34"/>
      <c r="BI641" s="34"/>
      <c r="BJ641" s="34"/>
      <c r="BK641" s="34"/>
      <c r="BL641" s="34"/>
      <c r="BM641" s="34"/>
      <c r="BN641" s="1558">
        <f>SUM(BN637:BR640)</f>
        <v>0</v>
      </c>
      <c r="BO641" s="1559"/>
      <c r="BP641" s="1559"/>
      <c r="BQ641" s="1559"/>
      <c r="BR641" s="1560"/>
      <c r="BS641" s="1541">
        <f>SUM(BS637:BW640)</f>
        <v>0</v>
      </c>
      <c r="BT641" s="1542"/>
      <c r="BU641" s="1542"/>
      <c r="BV641" s="1542"/>
      <c r="BW641" s="1543"/>
      <c r="BX641" s="1541">
        <f>SUM(BX637:CB640)</f>
        <v>0</v>
      </c>
      <c r="BY641" s="1542"/>
      <c r="BZ641" s="1542"/>
      <c r="CA641" s="1542"/>
      <c r="CB641" s="1543"/>
      <c r="CC641" s="1541">
        <f>SUM(CC637:CG640)</f>
        <v>2</v>
      </c>
      <c r="CD641" s="1542"/>
      <c r="CE641" s="1542"/>
      <c r="CF641" s="1542"/>
      <c r="CG641" s="1543"/>
      <c r="CH641" s="1541">
        <f>SUM(CH637:CL640)</f>
        <v>0</v>
      </c>
      <c r="CI641" s="1542"/>
      <c r="CJ641" s="1542"/>
      <c r="CK641" s="1542"/>
      <c r="CL641" s="1543"/>
      <c r="CM641" s="1541">
        <f>SUM(CM637:CQ640)</f>
        <v>0</v>
      </c>
      <c r="CN641" s="1542"/>
      <c r="CO641" s="1542"/>
      <c r="CP641" s="1542"/>
      <c r="CQ641" s="1543"/>
      <c r="CS641" s="895">
        <f>BN641+BS641+BX641+CC641+CH641+CM641</f>
        <v>2</v>
      </c>
      <c r="CT641" s="57" t="s">
        <v>2050</v>
      </c>
      <c r="CU641" s="3"/>
      <c r="CV641" s="3"/>
      <c r="CW641" s="3"/>
      <c r="CX641" s="3"/>
      <c r="CY641" s="3"/>
      <c r="CZ641" s="3"/>
      <c r="DA641" s="3"/>
      <c r="DB641" s="3"/>
      <c r="DC641" s="3"/>
      <c r="DD641" s="3"/>
      <c r="DE641" s="3"/>
      <c r="DF641" s="3"/>
      <c r="DX641" s="1536" t="e">
        <f t="shared" si="29"/>
        <v>#VALUE!</v>
      </c>
      <c r="DY641" s="1536"/>
      <c r="DZ641" s="1536"/>
      <c r="EA641" s="1536"/>
      <c r="EB641" s="1536"/>
      <c r="EC641" s="1536">
        <f t="shared" si="24"/>
        <v>325.66666666666663</v>
      </c>
      <c r="ED641" s="1536"/>
      <c r="EE641" s="1536"/>
      <c r="EF641" s="1536"/>
      <c r="EG641" s="1536"/>
      <c r="EH641" s="1536" t="e">
        <f t="shared" si="25"/>
        <v>#VALUE!</v>
      </c>
      <c r="EI641" s="1536"/>
      <c r="EJ641" s="1536"/>
      <c r="EK641" s="1536"/>
      <c r="EL641" s="1536"/>
      <c r="EM641" s="1536" t="e">
        <f t="shared" si="26"/>
        <v>#VALUE!</v>
      </c>
      <c r="EN641" s="1536"/>
      <c r="EO641" s="1536"/>
      <c r="EP641" s="1536"/>
      <c r="EQ641" s="1536"/>
      <c r="ER641" s="1536" t="e">
        <f t="shared" si="27"/>
        <v>#VALUE!</v>
      </c>
      <c r="ES641" s="1536"/>
      <c r="ET641" s="1536"/>
      <c r="EU641" s="1536"/>
      <c r="EV641" s="1536"/>
      <c r="EW641" s="1536" t="e">
        <f t="shared" si="28"/>
        <v>#VALUE!</v>
      </c>
      <c r="EX641" s="1536"/>
      <c r="EY641" s="1536"/>
      <c r="EZ641" s="1536"/>
      <c r="FA641" s="153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2052</v>
      </c>
      <c r="CU642" s="3"/>
      <c r="CV642" s="3"/>
      <c r="CW642" s="3"/>
      <c r="CX642" s="3"/>
      <c r="CY642" s="3"/>
      <c r="CZ642" s="3"/>
      <c r="DA642" s="3"/>
      <c r="DB642" s="3"/>
      <c r="DC642" s="3"/>
      <c r="DD642" s="3"/>
      <c r="DE642" s="3"/>
      <c r="DF642" s="3"/>
      <c r="DX642" s="1536" t="e">
        <f t="shared" si="29"/>
        <v>#VALUE!</v>
      </c>
      <c r="DY642" s="1536"/>
      <c r="DZ642" s="1536"/>
      <c r="EA642" s="1536"/>
      <c r="EB642" s="1536"/>
      <c r="EC642" s="1536" t="e">
        <f t="shared" si="24"/>
        <v>#VALUE!</v>
      </c>
      <c r="ED642" s="1536"/>
      <c r="EE642" s="1536"/>
      <c r="EF642" s="1536"/>
      <c r="EG642" s="1536"/>
      <c r="EH642" s="1536">
        <f t="shared" si="25"/>
        <v>75.25</v>
      </c>
      <c r="EI642" s="1536"/>
      <c r="EJ642" s="1536"/>
      <c r="EK642" s="1536"/>
      <c r="EL642" s="1536"/>
      <c r="EM642" s="1536" t="e">
        <f t="shared" si="26"/>
        <v>#VALUE!</v>
      </c>
      <c r="EN642" s="1536"/>
      <c r="EO642" s="1536"/>
      <c r="EP642" s="1536"/>
      <c r="EQ642" s="1536"/>
      <c r="ER642" s="1536" t="e">
        <f t="shared" si="27"/>
        <v>#VALUE!</v>
      </c>
      <c r="ES642" s="1536"/>
      <c r="ET642" s="1536"/>
      <c r="EU642" s="1536"/>
      <c r="EV642" s="1536"/>
      <c r="EW642" s="1536" t="e">
        <f t="shared" si="28"/>
        <v>#VALUE!</v>
      </c>
      <c r="EX642" s="1536"/>
      <c r="EY642" s="1536"/>
      <c r="EZ642" s="1536"/>
      <c r="FA642" s="1536"/>
    </row>
    <row r="643" spans="1:157" ht="12.95" customHeight="1">
      <c r="A643" s="55" t="s">
        <v>112</v>
      </c>
      <c r="B643" t="s">
        <v>471</v>
      </c>
      <c r="G643" s="1481" t="str">
        <f>C627</f>
        <v>Lument Real Estate Capital, LLC</v>
      </c>
      <c r="H643" s="1481"/>
      <c r="I643" s="1481"/>
      <c r="J643" s="1481"/>
      <c r="K643" s="1481"/>
      <c r="L643" s="1481"/>
      <c r="M643" s="1481"/>
      <c r="N643" s="1481"/>
      <c r="O643" s="1481"/>
      <c r="P643" s="1481"/>
      <c r="Q643" s="1481"/>
      <c r="R643" s="1481"/>
      <c r="S643" s="8"/>
      <c r="T643" s="55" t="s">
        <v>113</v>
      </c>
      <c r="U643" t="s">
        <v>471</v>
      </c>
      <c r="Z643" s="1481" t="str">
        <f>C628</f>
        <v>County of Santa Clara</v>
      </c>
      <c r="AA643" s="1481"/>
      <c r="AB643" s="1481"/>
      <c r="AC643" s="1481"/>
      <c r="AD643" s="1481"/>
      <c r="AE643" s="1481"/>
      <c r="AF643" s="1481"/>
      <c r="AG643" s="1481"/>
      <c r="AH643" s="1481"/>
      <c r="AI643" s="1481"/>
      <c r="AJ643" s="1481"/>
      <c r="AK643" s="148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36" t="e">
        <f t="shared" si="29"/>
        <v>#VALUE!</v>
      </c>
      <c r="DY643" s="1536"/>
      <c r="DZ643" s="1536"/>
      <c r="EA643" s="1536"/>
      <c r="EB643" s="1536"/>
      <c r="EC643" s="1536" t="e">
        <f t="shared" si="24"/>
        <v>#VALUE!</v>
      </c>
      <c r="ED643" s="1536"/>
      <c r="EE643" s="1536"/>
      <c r="EF643" s="1536"/>
      <c r="EG643" s="1536"/>
      <c r="EH643" s="1536">
        <f t="shared" si="25"/>
        <v>250.83333333333334</v>
      </c>
      <c r="EI643" s="1536"/>
      <c r="EJ643" s="1536"/>
      <c r="EK643" s="1536"/>
      <c r="EL643" s="1536"/>
      <c r="EM643" s="1536" t="e">
        <f t="shared" si="26"/>
        <v>#VALUE!</v>
      </c>
      <c r="EN643" s="1536"/>
      <c r="EO643" s="1536"/>
      <c r="EP643" s="1536"/>
      <c r="EQ643" s="1536"/>
      <c r="ER643" s="1536" t="e">
        <f t="shared" si="27"/>
        <v>#VALUE!</v>
      </c>
      <c r="ES643" s="1536"/>
      <c r="ET643" s="1536"/>
      <c r="EU643" s="1536"/>
      <c r="EV643" s="1536"/>
      <c r="EW643" s="1536" t="e">
        <f t="shared" si="28"/>
        <v>#VALUE!</v>
      </c>
      <c r="EX643" s="1536"/>
      <c r="EY643" s="1536"/>
      <c r="EZ643" s="1536"/>
      <c r="FA643" s="1536"/>
    </row>
    <row r="644" spans="1:157" ht="12.95" customHeight="1">
      <c r="A644" s="22"/>
      <c r="B644" t="s">
        <v>85</v>
      </c>
      <c r="G644" s="1477" t="s">
        <v>2783</v>
      </c>
      <c r="H644" s="1486"/>
      <c r="I644" s="1486"/>
      <c r="J644" s="1486"/>
      <c r="K644" s="1486"/>
      <c r="L644" s="1486"/>
      <c r="M644" s="1486"/>
      <c r="N644" s="1486"/>
      <c r="O644" s="1486"/>
      <c r="P644" s="1486"/>
      <c r="Q644" s="1486"/>
      <c r="R644" s="1486"/>
      <c r="S644" s="8"/>
      <c r="T644" s="22"/>
      <c r="U644" t="s">
        <v>85</v>
      </c>
      <c r="Z644" s="1486" t="s">
        <v>2739</v>
      </c>
      <c r="AA644" s="1486"/>
      <c r="AB644" s="1486"/>
      <c r="AC644" s="1486"/>
      <c r="AD644" s="1486"/>
      <c r="AE644" s="1486"/>
      <c r="AF644" s="1486"/>
      <c r="AG644" s="1486"/>
      <c r="AH644" s="1486"/>
      <c r="AI644" s="1486"/>
      <c r="AJ644" s="1486"/>
      <c r="AK644" s="14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536" t="e">
        <f t="shared" si="29"/>
        <v>#VALUE!</v>
      </c>
      <c r="DY644" s="1536"/>
      <c r="DZ644" s="1536"/>
      <c r="EA644" s="1536"/>
      <c r="EB644" s="1536"/>
      <c r="EC644" s="1536" t="e">
        <f t="shared" si="24"/>
        <v>#VALUE!</v>
      </c>
      <c r="ED644" s="1536"/>
      <c r="EE644" s="1536"/>
      <c r="EF644" s="1536"/>
      <c r="EG644" s="1536"/>
      <c r="EH644" s="1536">
        <f t="shared" si="25"/>
        <v>443.20833333333331</v>
      </c>
      <c r="EI644" s="1536"/>
      <c r="EJ644" s="1536"/>
      <c r="EK644" s="1536"/>
      <c r="EL644" s="1536"/>
      <c r="EM644" s="1536" t="e">
        <f t="shared" si="26"/>
        <v>#VALUE!</v>
      </c>
      <c r="EN644" s="1536"/>
      <c r="EO644" s="1536"/>
      <c r="EP644" s="1536"/>
      <c r="EQ644" s="1536"/>
      <c r="ER644" s="1536" t="e">
        <f t="shared" si="27"/>
        <v>#VALUE!</v>
      </c>
      <c r="ES644" s="1536"/>
      <c r="ET644" s="1536"/>
      <c r="EU644" s="1536"/>
      <c r="EV644" s="1536"/>
      <c r="EW644" s="1536" t="e">
        <f t="shared" si="28"/>
        <v>#VALUE!</v>
      </c>
      <c r="EX644" s="1536"/>
      <c r="EY644" s="1536"/>
      <c r="EZ644" s="1536"/>
      <c r="FA644" s="1536"/>
    </row>
    <row r="645" spans="1:157" ht="12.95" customHeight="1">
      <c r="A645" s="22"/>
      <c r="B645" t="s">
        <v>588</v>
      </c>
      <c r="G645" s="1477" t="s">
        <v>738</v>
      </c>
      <c r="H645" s="1486"/>
      <c r="I645" s="1486"/>
      <c r="J645" s="1486"/>
      <c r="K645" s="1486"/>
      <c r="L645" s="1486"/>
      <c r="M645" s="1486"/>
      <c r="N645" s="1486"/>
      <c r="O645" s="1486"/>
      <c r="P645" s="1486"/>
      <c r="Q645" s="1486"/>
      <c r="R645" s="1486"/>
      <c r="T645" s="22"/>
      <c r="U645" t="s">
        <v>588</v>
      </c>
      <c r="Z645" s="1485" t="s">
        <v>2640</v>
      </c>
      <c r="AA645" s="1485"/>
      <c r="AB645" s="1485"/>
      <c r="AC645" s="1485"/>
      <c r="AD645" s="1485"/>
      <c r="AE645" s="1485"/>
      <c r="AF645" s="1485"/>
      <c r="AG645" s="1485"/>
      <c r="AH645" s="1485"/>
      <c r="AI645" s="1485"/>
      <c r="AJ645" s="1485"/>
      <c r="AK645" s="1485"/>
      <c r="AV645" s="3"/>
      <c r="AW645" s="3"/>
      <c r="AX645" s="3"/>
      <c r="AY645" s="3"/>
      <c r="AZ645" s="3"/>
      <c r="BA645" s="3"/>
      <c r="BB645" s="3"/>
      <c r="BC645" s="3"/>
      <c r="BD645" s="3"/>
      <c r="BE645" s="3"/>
      <c r="BF645" s="3"/>
      <c r="BG645" s="3"/>
      <c r="BH645" s="3"/>
      <c r="BI645" s="3"/>
      <c r="BJ645" s="3"/>
      <c r="BK645" s="3"/>
      <c r="BL645" s="3"/>
      <c r="BM645" s="3"/>
      <c r="BN645" s="1537">
        <f t="shared" ref="BN645:BN654" si="30">IF(J787="SRO/Studio",O787,0)</f>
        <v>0</v>
      </c>
      <c r="BO645" s="1538"/>
      <c r="BP645" s="1538"/>
      <c r="BQ645" s="1538"/>
      <c r="BR645" s="1539"/>
      <c r="BS645" s="1544">
        <f t="shared" ref="BS645:BS654" si="31">IF(J787="1 Bedroom",O787,0)</f>
        <v>0</v>
      </c>
      <c r="BT645" s="1544"/>
      <c r="BU645" s="1544"/>
      <c r="BV645" s="1544"/>
      <c r="BW645" s="1544"/>
      <c r="BX645" s="1544">
        <f t="shared" ref="BX645:BX654" si="32">IF(J787="2 Bedrooms",O787,0)</f>
        <v>0</v>
      </c>
      <c r="BY645" s="1544"/>
      <c r="BZ645" s="1544"/>
      <c r="CA645" s="1544"/>
      <c r="CB645" s="1544"/>
      <c r="CC645" s="1544">
        <f t="shared" ref="CC645:CC654" si="33">IF(J787="3 Bedrooms",O787,0)</f>
        <v>0</v>
      </c>
      <c r="CD645" s="1544"/>
      <c r="CE645" s="1544"/>
      <c r="CF645" s="1544"/>
      <c r="CG645" s="1544"/>
      <c r="CH645" s="1544">
        <f t="shared" ref="CH645:CH654" si="34">IF(J787="4 Bedrooms",O787,0)</f>
        <v>0</v>
      </c>
      <c r="CI645" s="1544"/>
      <c r="CJ645" s="1544"/>
      <c r="CK645" s="1544"/>
      <c r="CL645" s="1544"/>
      <c r="CM645" s="1544">
        <f t="shared" ref="CM645:CM654" si="35">IF(J787="5 Bedrooms",O787,0)</f>
        <v>0</v>
      </c>
      <c r="CN645" s="1544"/>
      <c r="CO645" s="1544"/>
      <c r="CP645" s="1544"/>
      <c r="CQ645" s="1544"/>
      <c r="CR645" s="6"/>
      <c r="CS645" s="1537">
        <f t="shared" ref="CS645:CS654" si="36">IF(AND(BN645&gt;=1,AH787&gt;=0.1,AH787&lt;=1),O787,0)</f>
        <v>0</v>
      </c>
      <c r="CT645" s="1538"/>
      <c r="CU645" s="1538"/>
      <c r="CV645" s="1538"/>
      <c r="CW645" s="1539"/>
      <c r="CX645" s="1537">
        <f t="shared" ref="CX645:CX654" si="37">IF(AND(BS645&gt;=1,AH787&gt;=0.1,AH787&lt;=1),O787,0)</f>
        <v>0</v>
      </c>
      <c r="CY645" s="1538"/>
      <c r="CZ645" s="1538"/>
      <c r="DA645" s="1538"/>
      <c r="DB645" s="1539"/>
      <c r="DC645" s="1537">
        <f t="shared" ref="DC645:DC654" si="38">IF(AND(BX645&gt;=1,AH787&gt;=0.1,AH787&lt;=1),O787,0)</f>
        <v>0</v>
      </c>
      <c r="DD645" s="1538"/>
      <c r="DE645" s="1538"/>
      <c r="DF645" s="1538"/>
      <c r="DG645" s="1539"/>
      <c r="DH645" s="1537">
        <f t="shared" ref="DH645:DH654" si="39">IF(AND(CC645&gt;=1,AH787&gt;=0.1,AH787&lt;=1),O787,0)</f>
        <v>0</v>
      </c>
      <c r="DI645" s="1538"/>
      <c r="DJ645" s="1538"/>
      <c r="DK645" s="1538"/>
      <c r="DL645" s="1539"/>
      <c r="DM645" s="1537">
        <f t="shared" ref="DM645:DM654" si="40">IF(AND(CH645&gt;=1,AH787&gt;=0.1,AH787&lt;=1),O787,0)</f>
        <v>0</v>
      </c>
      <c r="DN645" s="1538"/>
      <c r="DO645" s="1538"/>
      <c r="DP645" s="1538"/>
      <c r="DQ645" s="1539"/>
      <c r="DR645" s="1537">
        <f t="shared" ref="DR645:DR654" si="41">IF(AND(CM645&gt;=1,AH787&gt;=0.1,AH787&lt;=1),O787,0)</f>
        <v>0</v>
      </c>
      <c r="DS645" s="1538"/>
      <c r="DT645" s="1538"/>
      <c r="DU645" s="1538"/>
      <c r="DV645" s="1539"/>
      <c r="DX645" s="1536" t="e">
        <f t="shared" si="29"/>
        <v>#VALUE!</v>
      </c>
      <c r="DY645" s="1536"/>
      <c r="DZ645" s="1536"/>
      <c r="EA645" s="1536"/>
      <c r="EB645" s="1536"/>
      <c r="EC645" s="1536" t="e">
        <f t="shared" si="24"/>
        <v>#VALUE!</v>
      </c>
      <c r="ED645" s="1536"/>
      <c r="EE645" s="1536"/>
      <c r="EF645" s="1536"/>
      <c r="EG645" s="1536"/>
      <c r="EH645" s="1536">
        <f t="shared" si="25"/>
        <v>1168</v>
      </c>
      <c r="EI645" s="1536"/>
      <c r="EJ645" s="1536"/>
      <c r="EK645" s="1536"/>
      <c r="EL645" s="1536"/>
      <c r="EM645" s="1536" t="e">
        <f t="shared" si="26"/>
        <v>#VALUE!</v>
      </c>
      <c r="EN645" s="1536"/>
      <c r="EO645" s="1536"/>
      <c r="EP645" s="1536"/>
      <c r="EQ645" s="1536"/>
      <c r="ER645" s="1536" t="e">
        <f t="shared" si="27"/>
        <v>#VALUE!</v>
      </c>
      <c r="ES645" s="1536"/>
      <c r="ET645" s="1536"/>
      <c r="EU645" s="1536"/>
      <c r="EV645" s="1536"/>
      <c r="EW645" s="1536" t="e">
        <f t="shared" si="28"/>
        <v>#VALUE!</v>
      </c>
      <c r="EX645" s="1536"/>
      <c r="EY645" s="1536"/>
      <c r="EZ645" s="1536"/>
      <c r="FA645" s="1536"/>
    </row>
    <row r="646" spans="1:157" ht="12.95" customHeight="1">
      <c r="A646" s="22"/>
      <c r="B646" t="s">
        <v>17</v>
      </c>
      <c r="G646" s="1477" t="s">
        <v>2780</v>
      </c>
      <c r="H646" s="1486"/>
      <c r="I646" s="1486"/>
      <c r="J646" s="1486"/>
      <c r="K646" s="1486"/>
      <c r="L646" s="1486"/>
      <c r="M646" s="1486"/>
      <c r="N646" s="1486"/>
      <c r="O646" s="1486"/>
      <c r="P646" s="1486"/>
      <c r="Q646" s="1486"/>
      <c r="R646" s="1486"/>
      <c r="S646" s="8"/>
      <c r="T646" s="22"/>
      <c r="U646" t="s">
        <v>17</v>
      </c>
      <c r="Z646" s="1485" t="s">
        <v>2738</v>
      </c>
      <c r="AA646" s="1485"/>
      <c r="AB646" s="1485"/>
      <c r="AC646" s="1485"/>
      <c r="AD646" s="1485"/>
      <c r="AE646" s="1485"/>
      <c r="AF646" s="1485"/>
      <c r="AG646" s="1485"/>
      <c r="AH646" s="1485"/>
      <c r="AI646" s="1485"/>
      <c r="AJ646" s="1485"/>
      <c r="AK646" s="1485"/>
      <c r="AZ646" s="3"/>
      <c r="BA646" s="3"/>
      <c r="BB646" s="3"/>
      <c r="BC646" s="3"/>
      <c r="BD646" s="3"/>
      <c r="BE646" s="3"/>
      <c r="BF646" s="3"/>
      <c r="BG646" s="3"/>
      <c r="BH646" s="3"/>
      <c r="BI646" s="3"/>
      <c r="BJ646" s="3"/>
      <c r="BK646" s="3"/>
      <c r="BL646" s="3"/>
      <c r="BM646" s="3"/>
      <c r="BN646" s="1537">
        <f t="shared" si="30"/>
        <v>0</v>
      </c>
      <c r="BO646" s="1538"/>
      <c r="BP646" s="1538"/>
      <c r="BQ646" s="1538"/>
      <c r="BR646" s="1539"/>
      <c r="BS646" s="1544">
        <f t="shared" si="31"/>
        <v>0</v>
      </c>
      <c r="BT646" s="1544"/>
      <c r="BU646" s="1544"/>
      <c r="BV646" s="1544"/>
      <c r="BW646" s="1544"/>
      <c r="BX646" s="1544">
        <f t="shared" si="32"/>
        <v>0</v>
      </c>
      <c r="BY646" s="1544"/>
      <c r="BZ646" s="1544"/>
      <c r="CA646" s="1544"/>
      <c r="CB646" s="1544"/>
      <c r="CC646" s="1544">
        <f t="shared" si="33"/>
        <v>0</v>
      </c>
      <c r="CD646" s="1544"/>
      <c r="CE646" s="1544"/>
      <c r="CF646" s="1544"/>
      <c r="CG646" s="1544"/>
      <c r="CH646" s="1544">
        <f t="shared" si="34"/>
        <v>0</v>
      </c>
      <c r="CI646" s="1544"/>
      <c r="CJ646" s="1544"/>
      <c r="CK646" s="1544"/>
      <c r="CL646" s="1544"/>
      <c r="CM646" s="1544">
        <f t="shared" si="35"/>
        <v>0</v>
      </c>
      <c r="CN646" s="1544"/>
      <c r="CO646" s="1544"/>
      <c r="CP646" s="1544"/>
      <c r="CQ646" s="1544"/>
      <c r="CR646" s="6"/>
      <c r="CS646" s="1537">
        <f t="shared" si="36"/>
        <v>0</v>
      </c>
      <c r="CT646" s="1538"/>
      <c r="CU646" s="1538"/>
      <c r="CV646" s="1538"/>
      <c r="CW646" s="1539"/>
      <c r="CX646" s="1537">
        <f t="shared" si="37"/>
        <v>0</v>
      </c>
      <c r="CY646" s="1538"/>
      <c r="CZ646" s="1538"/>
      <c r="DA646" s="1538"/>
      <c r="DB646" s="1539"/>
      <c r="DC646" s="1537">
        <f t="shared" si="38"/>
        <v>0</v>
      </c>
      <c r="DD646" s="1538"/>
      <c r="DE646" s="1538"/>
      <c r="DF646" s="1538"/>
      <c r="DG646" s="1539"/>
      <c r="DH646" s="1537">
        <f t="shared" si="39"/>
        <v>0</v>
      </c>
      <c r="DI646" s="1538"/>
      <c r="DJ646" s="1538"/>
      <c r="DK646" s="1538"/>
      <c r="DL646" s="1539"/>
      <c r="DM646" s="1537">
        <f t="shared" si="40"/>
        <v>0</v>
      </c>
      <c r="DN646" s="1538"/>
      <c r="DO646" s="1538"/>
      <c r="DP646" s="1538"/>
      <c r="DQ646" s="1539"/>
      <c r="DR646" s="1537">
        <f t="shared" si="41"/>
        <v>0</v>
      </c>
      <c r="DS646" s="1538"/>
      <c r="DT646" s="1538"/>
      <c r="DU646" s="1538"/>
      <c r="DV646" s="1539"/>
      <c r="DX646" s="1536" t="e">
        <f t="shared" si="29"/>
        <v>#VALUE!</v>
      </c>
      <c r="DY646" s="1536"/>
      <c r="DZ646" s="1536"/>
      <c r="EA646" s="1536"/>
      <c r="EB646" s="1536"/>
      <c r="EC646" s="1536" t="e">
        <f t="shared" si="24"/>
        <v>#VALUE!</v>
      </c>
      <c r="ED646" s="1536"/>
      <c r="EE646" s="1536"/>
      <c r="EF646" s="1536"/>
      <c r="EG646" s="1536"/>
      <c r="EH646" s="1536" t="e">
        <f t="shared" si="25"/>
        <v>#VALUE!</v>
      </c>
      <c r="EI646" s="1536"/>
      <c r="EJ646" s="1536"/>
      <c r="EK646" s="1536"/>
      <c r="EL646" s="1536"/>
      <c r="EM646" s="1536">
        <f t="shared" si="26"/>
        <v>115.91666666666666</v>
      </c>
      <c r="EN646" s="1536"/>
      <c r="EO646" s="1536"/>
      <c r="EP646" s="1536"/>
      <c r="EQ646" s="1536"/>
      <c r="ER646" s="1536" t="e">
        <f t="shared" si="27"/>
        <v>#VALUE!</v>
      </c>
      <c r="ES646" s="1536"/>
      <c r="ET646" s="1536"/>
      <c r="EU646" s="1536"/>
      <c r="EV646" s="1536"/>
      <c r="EW646" s="1536" t="e">
        <f t="shared" si="28"/>
        <v>#VALUE!</v>
      </c>
      <c r="EX646" s="1536"/>
      <c r="EY646" s="1536"/>
      <c r="EZ646" s="1536"/>
      <c r="FA646" s="1536"/>
    </row>
    <row r="647" spans="1:157" ht="12.95" customHeight="1">
      <c r="A647" s="22"/>
      <c r="B647" t="s">
        <v>317</v>
      </c>
      <c r="G647" s="1480" t="s">
        <v>2781</v>
      </c>
      <c r="H647" s="1480"/>
      <c r="I647" s="1480"/>
      <c r="J647" s="1480"/>
      <c r="K647" s="1480"/>
      <c r="L647" s="1480"/>
      <c r="O647" s="33" t="s">
        <v>207</v>
      </c>
      <c r="P647" s="1406" t="s">
        <v>599</v>
      </c>
      <c r="Q647" s="1515"/>
      <c r="R647" s="1515"/>
      <c r="S647" s="10"/>
      <c r="T647" s="22"/>
      <c r="U647" t="s">
        <v>317</v>
      </c>
      <c r="Z647" s="1480" t="s">
        <v>2740</v>
      </c>
      <c r="AA647" s="1480"/>
      <c r="AB647" s="1480"/>
      <c r="AC647" s="1480"/>
      <c r="AD647" s="1480"/>
      <c r="AE647" s="1480"/>
      <c r="AH647" s="33" t="s">
        <v>207</v>
      </c>
      <c r="AI647" s="1515" t="s">
        <v>599</v>
      </c>
      <c r="AJ647" s="1515"/>
      <c r="AK647" s="1515"/>
      <c r="AZ647" s="34"/>
      <c r="BA647" s="34"/>
      <c r="BB647" s="34"/>
      <c r="BC647" s="34"/>
      <c r="BD647" s="34"/>
      <c r="BE647" s="34"/>
      <c r="BF647" s="34"/>
      <c r="BG647" s="34"/>
      <c r="BH647" s="34"/>
      <c r="BI647" s="34"/>
      <c r="BJ647" s="34"/>
      <c r="BK647" s="34"/>
      <c r="BL647" s="34"/>
      <c r="BM647" s="34"/>
      <c r="BN647" s="1537">
        <f t="shared" si="30"/>
        <v>0</v>
      </c>
      <c r="BO647" s="1538"/>
      <c r="BP647" s="1538"/>
      <c r="BQ647" s="1538"/>
      <c r="BR647" s="1539"/>
      <c r="BS647" s="1544">
        <f t="shared" si="31"/>
        <v>0</v>
      </c>
      <c r="BT647" s="1544"/>
      <c r="BU647" s="1544"/>
      <c r="BV647" s="1544"/>
      <c r="BW647" s="1544"/>
      <c r="BX647" s="1544">
        <f t="shared" si="32"/>
        <v>0</v>
      </c>
      <c r="BY647" s="1544"/>
      <c r="BZ647" s="1544"/>
      <c r="CA647" s="1544"/>
      <c r="CB647" s="1544"/>
      <c r="CC647" s="1544">
        <f t="shared" si="33"/>
        <v>0</v>
      </c>
      <c r="CD647" s="1544"/>
      <c r="CE647" s="1544"/>
      <c r="CF647" s="1544"/>
      <c r="CG647" s="1544"/>
      <c r="CH647" s="1544">
        <f t="shared" si="34"/>
        <v>0</v>
      </c>
      <c r="CI647" s="1544"/>
      <c r="CJ647" s="1544"/>
      <c r="CK647" s="1544"/>
      <c r="CL647" s="1544"/>
      <c r="CM647" s="1544">
        <f t="shared" si="35"/>
        <v>0</v>
      </c>
      <c r="CN647" s="1544"/>
      <c r="CO647" s="1544"/>
      <c r="CP647" s="1544"/>
      <c r="CQ647" s="1544"/>
      <c r="CR647" s="6"/>
      <c r="CS647" s="1537">
        <f t="shared" si="36"/>
        <v>0</v>
      </c>
      <c r="CT647" s="1538"/>
      <c r="CU647" s="1538"/>
      <c r="CV647" s="1538"/>
      <c r="CW647" s="1539"/>
      <c r="CX647" s="1537">
        <f t="shared" si="37"/>
        <v>0</v>
      </c>
      <c r="CY647" s="1538"/>
      <c r="CZ647" s="1538"/>
      <c r="DA647" s="1538"/>
      <c r="DB647" s="1539"/>
      <c r="DC647" s="1537">
        <f t="shared" si="38"/>
        <v>0</v>
      </c>
      <c r="DD647" s="1538"/>
      <c r="DE647" s="1538"/>
      <c r="DF647" s="1538"/>
      <c r="DG647" s="1539"/>
      <c r="DH647" s="1537">
        <f t="shared" si="39"/>
        <v>0</v>
      </c>
      <c r="DI647" s="1538"/>
      <c r="DJ647" s="1538"/>
      <c r="DK647" s="1538"/>
      <c r="DL647" s="1539"/>
      <c r="DM647" s="1537">
        <f t="shared" si="40"/>
        <v>0</v>
      </c>
      <c r="DN647" s="1538"/>
      <c r="DO647" s="1538"/>
      <c r="DP647" s="1538"/>
      <c r="DQ647" s="1539"/>
      <c r="DR647" s="1537">
        <f t="shared" si="41"/>
        <v>0</v>
      </c>
      <c r="DS647" s="1538"/>
      <c r="DT647" s="1538"/>
      <c r="DU647" s="1538"/>
      <c r="DV647" s="1539"/>
      <c r="DX647" s="1536" t="e">
        <f t="shared" si="29"/>
        <v>#VALUE!</v>
      </c>
      <c r="DY647" s="1536"/>
      <c r="DZ647" s="1536"/>
      <c r="EA647" s="1536"/>
      <c r="EB647" s="1536"/>
      <c r="EC647" s="1536" t="e">
        <f t="shared" si="24"/>
        <v>#VALUE!</v>
      </c>
      <c r="ED647" s="1536"/>
      <c r="EE647" s="1536"/>
      <c r="EF647" s="1536"/>
      <c r="EG647" s="1536"/>
      <c r="EH647" s="1536" t="e">
        <f t="shared" si="25"/>
        <v>#VALUE!</v>
      </c>
      <c r="EI647" s="1536"/>
      <c r="EJ647" s="1536"/>
      <c r="EK647" s="1536"/>
      <c r="EL647" s="1536"/>
      <c r="EM647" s="1536">
        <f t="shared" si="26"/>
        <v>289.79166666666669</v>
      </c>
      <c r="EN647" s="1536"/>
      <c r="EO647" s="1536"/>
      <c r="EP647" s="1536"/>
      <c r="EQ647" s="1536"/>
      <c r="ER647" s="1536" t="e">
        <f t="shared" si="27"/>
        <v>#VALUE!</v>
      </c>
      <c r="ES647" s="1536"/>
      <c r="ET647" s="1536"/>
      <c r="EU647" s="1536"/>
      <c r="EV647" s="1536"/>
      <c r="EW647" s="1536" t="e">
        <f t="shared" si="28"/>
        <v>#VALUE!</v>
      </c>
      <c r="EX647" s="1536"/>
      <c r="EY647" s="1536"/>
      <c r="EZ647" s="1536"/>
      <c r="FA647" s="1536"/>
    </row>
    <row r="648" spans="1:157" ht="12.95" customHeight="1">
      <c r="A648" s="22"/>
      <c r="B648" t="s">
        <v>18</v>
      </c>
      <c r="H648" s="1477" t="s">
        <v>2769</v>
      </c>
      <c r="I648" s="1486"/>
      <c r="J648" s="1486"/>
      <c r="K648" s="1486"/>
      <c r="L648" s="1486"/>
      <c r="M648" s="1486"/>
      <c r="N648" s="1486"/>
      <c r="O648" s="1486"/>
      <c r="P648" s="1486"/>
      <c r="Q648" s="1486"/>
      <c r="R648" s="1486"/>
      <c r="S648" s="8"/>
      <c r="T648" s="22"/>
      <c r="U648" t="s">
        <v>18</v>
      </c>
      <c r="AA648" s="1477" t="s">
        <v>2799</v>
      </c>
      <c r="AB648" s="1486"/>
      <c r="AC648" s="1486"/>
      <c r="AD648" s="1486"/>
      <c r="AE648" s="1486"/>
      <c r="AF648" s="1486"/>
      <c r="AG648" s="1486"/>
      <c r="AH648" s="1486"/>
      <c r="AI648" s="1486"/>
      <c r="AJ648" s="1486"/>
      <c r="AK648" s="1486"/>
      <c r="AZ648" s="34"/>
      <c r="BA648" s="34"/>
      <c r="BB648" s="34"/>
      <c r="BC648" s="34"/>
      <c r="BD648" s="34"/>
      <c r="BE648" s="34"/>
      <c r="BF648" s="34"/>
      <c r="BG648" s="34"/>
      <c r="BH648" s="34"/>
      <c r="BI648" s="34"/>
      <c r="BJ648" s="34"/>
      <c r="BK648" s="34"/>
      <c r="BL648" s="34"/>
      <c r="BM648" s="34"/>
      <c r="BN648" s="1537">
        <f t="shared" si="30"/>
        <v>0</v>
      </c>
      <c r="BO648" s="1538"/>
      <c r="BP648" s="1538"/>
      <c r="BQ648" s="1538"/>
      <c r="BR648" s="1539"/>
      <c r="BS648" s="1544">
        <f t="shared" si="31"/>
        <v>0</v>
      </c>
      <c r="BT648" s="1544"/>
      <c r="BU648" s="1544"/>
      <c r="BV648" s="1544"/>
      <c r="BW648" s="1544"/>
      <c r="BX648" s="1544">
        <f t="shared" si="32"/>
        <v>0</v>
      </c>
      <c r="BY648" s="1544"/>
      <c r="BZ648" s="1544"/>
      <c r="CA648" s="1544"/>
      <c r="CB648" s="1544"/>
      <c r="CC648" s="1544">
        <f t="shared" si="33"/>
        <v>0</v>
      </c>
      <c r="CD648" s="1544"/>
      <c r="CE648" s="1544"/>
      <c r="CF648" s="1544"/>
      <c r="CG648" s="1544"/>
      <c r="CH648" s="1544">
        <f t="shared" si="34"/>
        <v>0</v>
      </c>
      <c r="CI648" s="1544"/>
      <c r="CJ648" s="1544"/>
      <c r="CK648" s="1544"/>
      <c r="CL648" s="1544"/>
      <c r="CM648" s="1544">
        <f t="shared" si="35"/>
        <v>0</v>
      </c>
      <c r="CN648" s="1544"/>
      <c r="CO648" s="1544"/>
      <c r="CP648" s="1544"/>
      <c r="CQ648" s="1544"/>
      <c r="CR648" s="6"/>
      <c r="CS648" s="1537">
        <f t="shared" si="36"/>
        <v>0</v>
      </c>
      <c r="CT648" s="1538"/>
      <c r="CU648" s="1538"/>
      <c r="CV648" s="1538"/>
      <c r="CW648" s="1539"/>
      <c r="CX648" s="1537">
        <f t="shared" si="37"/>
        <v>0</v>
      </c>
      <c r="CY648" s="1538"/>
      <c r="CZ648" s="1538"/>
      <c r="DA648" s="1538"/>
      <c r="DB648" s="1539"/>
      <c r="DC648" s="1537">
        <f t="shared" si="38"/>
        <v>0</v>
      </c>
      <c r="DD648" s="1538"/>
      <c r="DE648" s="1538"/>
      <c r="DF648" s="1538"/>
      <c r="DG648" s="1539"/>
      <c r="DH648" s="1537">
        <f t="shared" si="39"/>
        <v>0</v>
      </c>
      <c r="DI648" s="1538"/>
      <c r="DJ648" s="1538"/>
      <c r="DK648" s="1538"/>
      <c r="DL648" s="1539"/>
      <c r="DM648" s="1537">
        <f t="shared" si="40"/>
        <v>0</v>
      </c>
      <c r="DN648" s="1538"/>
      <c r="DO648" s="1538"/>
      <c r="DP648" s="1538"/>
      <c r="DQ648" s="1539"/>
      <c r="DR648" s="1537">
        <f t="shared" si="41"/>
        <v>0</v>
      </c>
      <c r="DS648" s="1538"/>
      <c r="DT648" s="1538"/>
      <c r="DU648" s="1538"/>
      <c r="DV648" s="1539"/>
      <c r="DX648" s="1536" t="e">
        <f t="shared" si="29"/>
        <v>#VALUE!</v>
      </c>
      <c r="DY648" s="1536"/>
      <c r="DZ648" s="1536"/>
      <c r="EA648" s="1536"/>
      <c r="EB648" s="1536"/>
      <c r="EC648" s="1536" t="e">
        <f t="shared" si="24"/>
        <v>#VALUE!</v>
      </c>
      <c r="ED648" s="1536"/>
      <c r="EE648" s="1536"/>
      <c r="EF648" s="1536"/>
      <c r="EG648" s="1536"/>
      <c r="EH648" s="1536" t="e">
        <f t="shared" si="25"/>
        <v>#VALUE!</v>
      </c>
      <c r="EI648" s="1536"/>
      <c r="EJ648" s="1536"/>
      <c r="EK648" s="1536"/>
      <c r="EL648" s="1536"/>
      <c r="EM648" s="1536">
        <f t="shared" si="26"/>
        <v>556.75</v>
      </c>
      <c r="EN648" s="1536"/>
      <c r="EO648" s="1536"/>
      <c r="EP648" s="1536"/>
      <c r="EQ648" s="1536"/>
      <c r="ER648" s="1536" t="e">
        <f t="shared" si="27"/>
        <v>#VALUE!</v>
      </c>
      <c r="ES648" s="1536"/>
      <c r="ET648" s="1536"/>
      <c r="EU648" s="1536"/>
      <c r="EV648" s="1536"/>
      <c r="EW648" s="1536" t="e">
        <f t="shared" si="28"/>
        <v>#VALUE!</v>
      </c>
      <c r="EX648" s="1536"/>
      <c r="EY648" s="1536"/>
      <c r="EZ648" s="1536"/>
      <c r="FA648" s="1536"/>
    </row>
    <row r="649" spans="1:157" ht="12.95" customHeight="1">
      <c r="A649" s="22"/>
      <c r="B649" t="s">
        <v>20</v>
      </c>
      <c r="N649" s="1479" t="s">
        <v>553</v>
      </c>
      <c r="O649" s="1479"/>
      <c r="T649" s="22"/>
      <c r="U649" t="s">
        <v>20</v>
      </c>
      <c r="AG649" s="1479" t="s">
        <v>553</v>
      </c>
      <c r="AH649" s="1479"/>
      <c r="AZ649" s="34"/>
      <c r="BA649" s="34"/>
      <c r="BB649" s="34"/>
      <c r="BC649" s="34"/>
      <c r="BD649" s="34"/>
      <c r="BE649" s="34"/>
      <c r="BF649" s="34"/>
      <c r="BG649" s="34"/>
      <c r="BH649" s="34"/>
      <c r="BI649" s="34"/>
      <c r="BJ649" s="34"/>
      <c r="BK649" s="34"/>
      <c r="BL649" s="34"/>
      <c r="BM649" s="34"/>
      <c r="BN649" s="1537">
        <f t="shared" si="30"/>
        <v>0</v>
      </c>
      <c r="BO649" s="1538"/>
      <c r="BP649" s="1538"/>
      <c r="BQ649" s="1538"/>
      <c r="BR649" s="1539"/>
      <c r="BS649" s="1544">
        <f t="shared" si="31"/>
        <v>0</v>
      </c>
      <c r="BT649" s="1544"/>
      <c r="BU649" s="1544"/>
      <c r="BV649" s="1544"/>
      <c r="BW649" s="1544"/>
      <c r="BX649" s="1544">
        <f t="shared" si="32"/>
        <v>0</v>
      </c>
      <c r="BY649" s="1544"/>
      <c r="BZ649" s="1544"/>
      <c r="CA649" s="1544"/>
      <c r="CB649" s="1544"/>
      <c r="CC649" s="1544">
        <f t="shared" si="33"/>
        <v>0</v>
      </c>
      <c r="CD649" s="1544"/>
      <c r="CE649" s="1544"/>
      <c r="CF649" s="1544"/>
      <c r="CG649" s="1544"/>
      <c r="CH649" s="1544">
        <f t="shared" si="34"/>
        <v>0</v>
      </c>
      <c r="CI649" s="1544"/>
      <c r="CJ649" s="1544"/>
      <c r="CK649" s="1544"/>
      <c r="CL649" s="1544"/>
      <c r="CM649" s="1544">
        <f t="shared" si="35"/>
        <v>0</v>
      </c>
      <c r="CN649" s="1544"/>
      <c r="CO649" s="1544"/>
      <c r="CP649" s="1544"/>
      <c r="CQ649" s="1544"/>
      <c r="CR649" s="6"/>
      <c r="CS649" s="1537">
        <f t="shared" si="36"/>
        <v>0</v>
      </c>
      <c r="CT649" s="1538"/>
      <c r="CU649" s="1538"/>
      <c r="CV649" s="1538"/>
      <c r="CW649" s="1539"/>
      <c r="CX649" s="1537">
        <f t="shared" si="37"/>
        <v>0</v>
      </c>
      <c r="CY649" s="1538"/>
      <c r="CZ649" s="1538"/>
      <c r="DA649" s="1538"/>
      <c r="DB649" s="1539"/>
      <c r="DC649" s="1537">
        <f t="shared" si="38"/>
        <v>0</v>
      </c>
      <c r="DD649" s="1538"/>
      <c r="DE649" s="1538"/>
      <c r="DF649" s="1538"/>
      <c r="DG649" s="1539"/>
      <c r="DH649" s="1537">
        <f t="shared" si="39"/>
        <v>0</v>
      </c>
      <c r="DI649" s="1538"/>
      <c r="DJ649" s="1538"/>
      <c r="DK649" s="1538"/>
      <c r="DL649" s="1539"/>
      <c r="DM649" s="1537">
        <f t="shared" si="40"/>
        <v>0</v>
      </c>
      <c r="DN649" s="1538"/>
      <c r="DO649" s="1538"/>
      <c r="DP649" s="1538"/>
      <c r="DQ649" s="1539"/>
      <c r="DR649" s="1537">
        <f t="shared" si="41"/>
        <v>0</v>
      </c>
      <c r="DS649" s="1538"/>
      <c r="DT649" s="1538"/>
      <c r="DU649" s="1538"/>
      <c r="DV649" s="1539"/>
      <c r="DX649" s="1536" t="e">
        <f t="shared" si="29"/>
        <v>#VALUE!</v>
      </c>
      <c r="DY649" s="1536"/>
      <c r="DZ649" s="1536"/>
      <c r="EA649" s="1536"/>
      <c r="EB649" s="1536"/>
      <c r="EC649" s="1536" t="e">
        <f t="shared" si="24"/>
        <v>#VALUE!</v>
      </c>
      <c r="ED649" s="1536"/>
      <c r="EE649" s="1536"/>
      <c r="EF649" s="1536"/>
      <c r="EG649" s="1536"/>
      <c r="EH649" s="1536" t="e">
        <f t="shared" si="25"/>
        <v>#VALUE!</v>
      </c>
      <c r="EI649" s="1536"/>
      <c r="EJ649" s="1536"/>
      <c r="EK649" s="1536"/>
      <c r="EL649" s="1536"/>
      <c r="EM649" s="1536">
        <f t="shared" si="26"/>
        <v>1233.375</v>
      </c>
      <c r="EN649" s="1536"/>
      <c r="EO649" s="1536"/>
      <c r="EP649" s="1536"/>
      <c r="EQ649" s="1536"/>
      <c r="ER649" s="1536" t="e">
        <f t="shared" si="27"/>
        <v>#VALUE!</v>
      </c>
      <c r="ES649" s="1536"/>
      <c r="ET649" s="1536"/>
      <c r="EU649" s="1536"/>
      <c r="EV649" s="1536"/>
      <c r="EW649" s="1536" t="e">
        <f t="shared" si="28"/>
        <v>#VALUE!</v>
      </c>
      <c r="EX649" s="1536"/>
      <c r="EY649" s="1536"/>
      <c r="EZ649" s="1536"/>
      <c r="FA649" s="1536"/>
    </row>
    <row r="650" spans="1:157" ht="12.95" customHeight="1">
      <c r="A650" s="22"/>
      <c r="T650" s="22"/>
      <c r="AZ650" s="34"/>
      <c r="BA650" s="34"/>
      <c r="BB650" s="34"/>
      <c r="BC650" s="34"/>
      <c r="BD650" s="34"/>
      <c r="BE650" s="34"/>
      <c r="BF650" s="34"/>
      <c r="BG650" s="34"/>
      <c r="BH650" s="34"/>
      <c r="BI650" s="34"/>
      <c r="BJ650" s="34"/>
      <c r="BK650" s="34"/>
      <c r="BL650" s="34"/>
      <c r="BM650" s="34"/>
      <c r="BN650" s="1537">
        <f t="shared" si="30"/>
        <v>0</v>
      </c>
      <c r="BO650" s="1538"/>
      <c r="BP650" s="1538"/>
      <c r="BQ650" s="1538"/>
      <c r="BR650" s="1539"/>
      <c r="BS650" s="1544">
        <f t="shared" si="31"/>
        <v>0</v>
      </c>
      <c r="BT650" s="1544"/>
      <c r="BU650" s="1544"/>
      <c r="BV650" s="1544"/>
      <c r="BW650" s="1544"/>
      <c r="BX650" s="1544">
        <f t="shared" si="32"/>
        <v>0</v>
      </c>
      <c r="BY650" s="1544"/>
      <c r="BZ650" s="1544"/>
      <c r="CA650" s="1544"/>
      <c r="CB650" s="1544"/>
      <c r="CC650" s="1544">
        <f t="shared" si="33"/>
        <v>0</v>
      </c>
      <c r="CD650" s="1544"/>
      <c r="CE650" s="1544"/>
      <c r="CF650" s="1544"/>
      <c r="CG650" s="1544"/>
      <c r="CH650" s="1544">
        <f t="shared" si="34"/>
        <v>0</v>
      </c>
      <c r="CI650" s="1544"/>
      <c r="CJ650" s="1544"/>
      <c r="CK650" s="1544"/>
      <c r="CL650" s="1544"/>
      <c r="CM650" s="1544">
        <f t="shared" si="35"/>
        <v>0</v>
      </c>
      <c r="CN650" s="1544"/>
      <c r="CO650" s="1544"/>
      <c r="CP650" s="1544"/>
      <c r="CQ650" s="1544"/>
      <c r="CR650" s="6"/>
      <c r="CS650" s="1537">
        <f t="shared" si="36"/>
        <v>0</v>
      </c>
      <c r="CT650" s="1538"/>
      <c r="CU650" s="1538"/>
      <c r="CV650" s="1538"/>
      <c r="CW650" s="1539"/>
      <c r="CX650" s="1537">
        <f t="shared" si="37"/>
        <v>0</v>
      </c>
      <c r="CY650" s="1538"/>
      <c r="CZ650" s="1538"/>
      <c r="DA650" s="1538"/>
      <c r="DB650" s="1539"/>
      <c r="DC650" s="1537">
        <f t="shared" si="38"/>
        <v>0</v>
      </c>
      <c r="DD650" s="1538"/>
      <c r="DE650" s="1538"/>
      <c r="DF650" s="1538"/>
      <c r="DG650" s="1539"/>
      <c r="DH650" s="1537">
        <f t="shared" si="39"/>
        <v>0</v>
      </c>
      <c r="DI650" s="1538"/>
      <c r="DJ650" s="1538"/>
      <c r="DK650" s="1538"/>
      <c r="DL650" s="1539"/>
      <c r="DM650" s="1537">
        <f t="shared" si="40"/>
        <v>0</v>
      </c>
      <c r="DN650" s="1538"/>
      <c r="DO650" s="1538"/>
      <c r="DP650" s="1538"/>
      <c r="DQ650" s="1539"/>
      <c r="DR650" s="1537">
        <f t="shared" si="41"/>
        <v>0</v>
      </c>
      <c r="DS650" s="1538"/>
      <c r="DT650" s="1538"/>
      <c r="DU650" s="1538"/>
      <c r="DV650" s="1539"/>
      <c r="DX650" s="1536" t="e">
        <f t="shared" si="29"/>
        <v>#VALUE!</v>
      </c>
      <c r="DY650" s="1536"/>
      <c r="DZ650" s="1536"/>
      <c r="EA650" s="1536"/>
      <c r="EB650" s="1536"/>
      <c r="EC650" s="1536" t="e">
        <f t="shared" si="24"/>
        <v>#VALUE!</v>
      </c>
      <c r="ED650" s="1536"/>
      <c r="EE650" s="1536"/>
      <c r="EF650" s="1536"/>
      <c r="EG650" s="1536"/>
      <c r="EH650" s="1536" t="e">
        <f t="shared" si="25"/>
        <v>#VALUE!</v>
      </c>
      <c r="EI650" s="1536"/>
      <c r="EJ650" s="1536"/>
      <c r="EK650" s="1536"/>
      <c r="EL650" s="1536"/>
      <c r="EM650" s="1536" t="e">
        <f t="shared" si="26"/>
        <v>#VALUE!</v>
      </c>
      <c r="EN650" s="1536"/>
      <c r="EO650" s="1536"/>
      <c r="EP650" s="1536"/>
      <c r="EQ650" s="1536"/>
      <c r="ER650" s="1536" t="e">
        <f t="shared" si="27"/>
        <v>#VALUE!</v>
      </c>
      <c r="ES650" s="1536"/>
      <c r="ET650" s="1536"/>
      <c r="EU650" s="1536"/>
      <c r="EV650" s="1536"/>
      <c r="EW650" s="1536" t="e">
        <f t="shared" si="28"/>
        <v>#VALUE!</v>
      </c>
      <c r="EX650" s="1536"/>
      <c r="EY650" s="1536"/>
      <c r="EZ650" s="1536"/>
      <c r="FA650" s="1536"/>
    </row>
    <row r="651" spans="1:157" ht="12.95" customHeight="1">
      <c r="A651" s="55" t="s">
        <v>119</v>
      </c>
      <c r="B651" t="s">
        <v>471</v>
      </c>
      <c r="G651" s="1481" t="str">
        <f>C629</f>
        <v>City of San José</v>
      </c>
      <c r="H651" s="1481"/>
      <c r="I651" s="1481"/>
      <c r="J651" s="1481"/>
      <c r="K651" s="1481"/>
      <c r="L651" s="1481"/>
      <c r="M651" s="1481"/>
      <c r="N651" s="1481"/>
      <c r="O651" s="1481"/>
      <c r="P651" s="1481"/>
      <c r="Q651" s="1481"/>
      <c r="R651" s="1481"/>
      <c r="T651" s="55" t="s">
        <v>589</v>
      </c>
      <c r="U651" t="s">
        <v>471</v>
      </c>
      <c r="Z651" s="1481" t="str">
        <f>C630</f>
        <v>Lument Securities, LLC</v>
      </c>
      <c r="AA651" s="1481"/>
      <c r="AB651" s="1481"/>
      <c r="AC651" s="1481"/>
      <c r="AD651" s="1481"/>
      <c r="AE651" s="1481"/>
      <c r="AF651" s="1481"/>
      <c r="AG651" s="1481"/>
      <c r="AH651" s="1481"/>
      <c r="AI651" s="1481"/>
      <c r="AJ651" s="1481"/>
      <c r="AK651" s="1481"/>
      <c r="AZ651" s="34"/>
      <c r="BA651" s="34"/>
      <c r="BB651" s="34"/>
      <c r="BC651" s="34"/>
      <c r="BD651" s="34"/>
      <c r="BE651" s="34"/>
      <c r="BF651" s="34"/>
      <c r="BG651" s="34"/>
      <c r="BH651" s="34"/>
      <c r="BI651" s="34"/>
      <c r="BJ651" s="34"/>
      <c r="BK651" s="34"/>
      <c r="BL651" s="34"/>
      <c r="BM651" s="34"/>
      <c r="BN651" s="1537">
        <f t="shared" si="30"/>
        <v>0</v>
      </c>
      <c r="BO651" s="1538"/>
      <c r="BP651" s="1538"/>
      <c r="BQ651" s="1538"/>
      <c r="BR651" s="1539"/>
      <c r="BS651" s="1544">
        <f t="shared" si="31"/>
        <v>0</v>
      </c>
      <c r="BT651" s="1544"/>
      <c r="BU651" s="1544"/>
      <c r="BV651" s="1544"/>
      <c r="BW651" s="1544"/>
      <c r="BX651" s="1544">
        <f t="shared" si="32"/>
        <v>0</v>
      </c>
      <c r="BY651" s="1544"/>
      <c r="BZ651" s="1544"/>
      <c r="CA651" s="1544"/>
      <c r="CB651" s="1544"/>
      <c r="CC651" s="1544">
        <f t="shared" si="33"/>
        <v>0</v>
      </c>
      <c r="CD651" s="1544"/>
      <c r="CE651" s="1544"/>
      <c r="CF651" s="1544"/>
      <c r="CG651" s="1544"/>
      <c r="CH651" s="1544">
        <f t="shared" si="34"/>
        <v>0</v>
      </c>
      <c r="CI651" s="1544"/>
      <c r="CJ651" s="1544"/>
      <c r="CK651" s="1544"/>
      <c r="CL651" s="1544"/>
      <c r="CM651" s="1544">
        <f t="shared" si="35"/>
        <v>0</v>
      </c>
      <c r="CN651" s="1544"/>
      <c r="CO651" s="1544"/>
      <c r="CP651" s="1544"/>
      <c r="CQ651" s="1544"/>
      <c r="CR651" s="6"/>
      <c r="CS651" s="1537">
        <f t="shared" si="36"/>
        <v>0</v>
      </c>
      <c r="CT651" s="1538"/>
      <c r="CU651" s="1538"/>
      <c r="CV651" s="1538"/>
      <c r="CW651" s="1539"/>
      <c r="CX651" s="1537">
        <f t="shared" si="37"/>
        <v>0</v>
      </c>
      <c r="CY651" s="1538"/>
      <c r="CZ651" s="1538"/>
      <c r="DA651" s="1538"/>
      <c r="DB651" s="1539"/>
      <c r="DC651" s="1537">
        <f t="shared" si="38"/>
        <v>0</v>
      </c>
      <c r="DD651" s="1538"/>
      <c r="DE651" s="1538"/>
      <c r="DF651" s="1538"/>
      <c r="DG651" s="1539"/>
      <c r="DH651" s="1537">
        <f t="shared" si="39"/>
        <v>0</v>
      </c>
      <c r="DI651" s="1538"/>
      <c r="DJ651" s="1538"/>
      <c r="DK651" s="1538"/>
      <c r="DL651" s="1539"/>
      <c r="DM651" s="1537">
        <f t="shared" si="40"/>
        <v>0</v>
      </c>
      <c r="DN651" s="1538"/>
      <c r="DO651" s="1538"/>
      <c r="DP651" s="1538"/>
      <c r="DQ651" s="1539"/>
      <c r="DR651" s="1537">
        <f t="shared" si="41"/>
        <v>0</v>
      </c>
      <c r="DS651" s="1538"/>
      <c r="DT651" s="1538"/>
      <c r="DU651" s="1538"/>
      <c r="DV651" s="1539"/>
      <c r="DX651" s="1536" t="e">
        <f t="shared" si="29"/>
        <v>#VALUE!</v>
      </c>
      <c r="DY651" s="1536"/>
      <c r="DZ651" s="1536"/>
      <c r="EA651" s="1536"/>
      <c r="EB651" s="1536"/>
      <c r="EC651" s="1536" t="e">
        <f t="shared" si="24"/>
        <v>#VALUE!</v>
      </c>
      <c r="ED651" s="1536"/>
      <c r="EE651" s="1536"/>
      <c r="EF651" s="1536"/>
      <c r="EG651" s="1536"/>
      <c r="EH651" s="1536" t="e">
        <f t="shared" si="25"/>
        <v>#VALUE!</v>
      </c>
      <c r="EI651" s="1536"/>
      <c r="EJ651" s="1536"/>
      <c r="EK651" s="1536"/>
      <c r="EL651" s="1536"/>
      <c r="EM651" s="1536" t="e">
        <f t="shared" si="26"/>
        <v>#VALUE!</v>
      </c>
      <c r="EN651" s="1536"/>
      <c r="EO651" s="1536"/>
      <c r="EP651" s="1536"/>
      <c r="EQ651" s="1536"/>
      <c r="ER651" s="1536" t="e">
        <f t="shared" si="27"/>
        <v>#VALUE!</v>
      </c>
      <c r="ES651" s="1536"/>
      <c r="ET651" s="1536"/>
      <c r="EU651" s="1536"/>
      <c r="EV651" s="1536"/>
      <c r="EW651" s="1536" t="e">
        <f t="shared" si="28"/>
        <v>#VALUE!</v>
      </c>
      <c r="EX651" s="1536"/>
      <c r="EY651" s="1536"/>
      <c r="EZ651" s="1536"/>
      <c r="FA651" s="1536"/>
    </row>
    <row r="652" spans="1:157" ht="12.95" customHeight="1">
      <c r="A652" s="22"/>
      <c r="B652" t="s">
        <v>85</v>
      </c>
      <c r="G652" s="1477" t="s">
        <v>2663</v>
      </c>
      <c r="H652" s="1486"/>
      <c r="I652" s="1486"/>
      <c r="J652" s="1486"/>
      <c r="K652" s="1486"/>
      <c r="L652" s="1486"/>
      <c r="M652" s="1486"/>
      <c r="N652" s="1486"/>
      <c r="O652" s="1486"/>
      <c r="P652" s="1486"/>
      <c r="Q652" s="1486"/>
      <c r="R652" s="1486"/>
      <c r="T652" s="22"/>
      <c r="U652" t="s">
        <v>85</v>
      </c>
      <c r="Z652" s="1477" t="s">
        <v>2784</v>
      </c>
      <c r="AA652" s="1486"/>
      <c r="AB652" s="1486"/>
      <c r="AC652" s="1486"/>
      <c r="AD652" s="1486"/>
      <c r="AE652" s="1486"/>
      <c r="AF652" s="1486"/>
      <c r="AG652" s="1486"/>
      <c r="AH652" s="1486"/>
      <c r="AI652" s="1486"/>
      <c r="AJ652" s="1486"/>
      <c r="AK652" s="1486"/>
      <c r="AZ652" s="34"/>
      <c r="BA652" s="34"/>
      <c r="BB652" s="34"/>
      <c r="BC652" s="34"/>
      <c r="BD652" s="34"/>
      <c r="BE652" s="34"/>
      <c r="BF652" s="34"/>
      <c r="BG652" s="34"/>
      <c r="BH652" s="34"/>
      <c r="BI652" s="34"/>
      <c r="BJ652" s="34"/>
      <c r="BK652" s="34"/>
      <c r="BL652" s="34"/>
      <c r="BM652" s="34"/>
      <c r="BN652" s="1537">
        <f t="shared" si="30"/>
        <v>0</v>
      </c>
      <c r="BO652" s="1538"/>
      <c r="BP652" s="1538"/>
      <c r="BQ652" s="1538"/>
      <c r="BR652" s="1539"/>
      <c r="BS652" s="1544">
        <f t="shared" si="31"/>
        <v>0</v>
      </c>
      <c r="BT652" s="1544"/>
      <c r="BU652" s="1544"/>
      <c r="BV652" s="1544"/>
      <c r="BW652" s="1544"/>
      <c r="BX652" s="1544">
        <f t="shared" si="32"/>
        <v>0</v>
      </c>
      <c r="BY652" s="1544"/>
      <c r="BZ652" s="1544"/>
      <c r="CA652" s="1544"/>
      <c r="CB652" s="1544"/>
      <c r="CC652" s="1544">
        <f t="shared" si="33"/>
        <v>0</v>
      </c>
      <c r="CD652" s="1544"/>
      <c r="CE652" s="1544"/>
      <c r="CF652" s="1544"/>
      <c r="CG652" s="1544"/>
      <c r="CH652" s="1544">
        <f t="shared" si="34"/>
        <v>0</v>
      </c>
      <c r="CI652" s="1544"/>
      <c r="CJ652" s="1544"/>
      <c r="CK652" s="1544"/>
      <c r="CL652" s="1544"/>
      <c r="CM652" s="1544">
        <f t="shared" si="35"/>
        <v>0</v>
      </c>
      <c r="CN652" s="1544"/>
      <c r="CO652" s="1544"/>
      <c r="CP652" s="1544"/>
      <c r="CQ652" s="1544"/>
      <c r="CR652" s="6"/>
      <c r="CS652" s="1537">
        <f t="shared" si="36"/>
        <v>0</v>
      </c>
      <c r="CT652" s="1538"/>
      <c r="CU652" s="1538"/>
      <c r="CV652" s="1538"/>
      <c r="CW652" s="1539"/>
      <c r="CX652" s="1537">
        <f t="shared" si="37"/>
        <v>0</v>
      </c>
      <c r="CY652" s="1538"/>
      <c r="CZ652" s="1538"/>
      <c r="DA652" s="1538"/>
      <c r="DB652" s="1539"/>
      <c r="DC652" s="1537">
        <f t="shared" si="38"/>
        <v>0</v>
      </c>
      <c r="DD652" s="1538"/>
      <c r="DE652" s="1538"/>
      <c r="DF652" s="1538"/>
      <c r="DG652" s="1539"/>
      <c r="DH652" s="1537">
        <f t="shared" si="39"/>
        <v>0</v>
      </c>
      <c r="DI652" s="1538"/>
      <c r="DJ652" s="1538"/>
      <c r="DK652" s="1538"/>
      <c r="DL652" s="1539"/>
      <c r="DM652" s="1537">
        <f t="shared" si="40"/>
        <v>0</v>
      </c>
      <c r="DN652" s="1538"/>
      <c r="DO652" s="1538"/>
      <c r="DP652" s="1538"/>
      <c r="DQ652" s="1539"/>
      <c r="DR652" s="1537">
        <f t="shared" si="41"/>
        <v>0</v>
      </c>
      <c r="DS652" s="1538"/>
      <c r="DT652" s="1538"/>
      <c r="DU652" s="1538"/>
      <c r="DV652" s="1539"/>
      <c r="DX652" s="1536" t="e">
        <f t="shared" si="29"/>
        <v>#VALUE!</v>
      </c>
      <c r="DY652" s="1536"/>
      <c r="DZ652" s="1536"/>
      <c r="EA652" s="1536"/>
      <c r="EB652" s="1536"/>
      <c r="EC652" s="1536" t="e">
        <f t="shared" si="24"/>
        <v>#VALUE!</v>
      </c>
      <c r="ED652" s="1536"/>
      <c r="EE652" s="1536"/>
      <c r="EF652" s="1536"/>
      <c r="EG652" s="1536"/>
      <c r="EH652" s="1536" t="e">
        <f t="shared" si="25"/>
        <v>#VALUE!</v>
      </c>
      <c r="EI652" s="1536"/>
      <c r="EJ652" s="1536"/>
      <c r="EK652" s="1536"/>
      <c r="EL652" s="1536"/>
      <c r="EM652" s="1536" t="e">
        <f t="shared" si="26"/>
        <v>#VALUE!</v>
      </c>
      <c r="EN652" s="1536"/>
      <c r="EO652" s="1536"/>
      <c r="EP652" s="1536"/>
      <c r="EQ652" s="1536"/>
      <c r="ER652" s="1536" t="e">
        <f t="shared" si="27"/>
        <v>#VALUE!</v>
      </c>
      <c r="ES652" s="1536"/>
      <c r="ET652" s="1536"/>
      <c r="EU652" s="1536"/>
      <c r="EV652" s="1536"/>
      <c r="EW652" s="1536" t="e">
        <f t="shared" si="28"/>
        <v>#VALUE!</v>
      </c>
      <c r="EX652" s="1536"/>
      <c r="EY652" s="1536"/>
      <c r="EZ652" s="1536"/>
      <c r="FA652" s="1536"/>
    </row>
    <row r="653" spans="1:157" ht="12.95" customHeight="1">
      <c r="A653" s="22"/>
      <c r="B653" t="s">
        <v>588</v>
      </c>
      <c r="G653" s="1406" t="s">
        <v>2640</v>
      </c>
      <c r="H653" s="1485"/>
      <c r="I653" s="1485"/>
      <c r="J653" s="1485"/>
      <c r="K653" s="1485"/>
      <c r="L653" s="1485"/>
      <c r="M653" s="1485"/>
      <c r="N653" s="1485"/>
      <c r="O653" s="1485"/>
      <c r="P653" s="1485"/>
      <c r="Q653" s="1485"/>
      <c r="R653" s="1485"/>
      <c r="T653" s="22"/>
      <c r="U653" t="s">
        <v>588</v>
      </c>
      <c r="Z653" s="1406" t="s">
        <v>2785</v>
      </c>
      <c r="AA653" s="1485"/>
      <c r="AB653" s="1485"/>
      <c r="AC653" s="1485"/>
      <c r="AD653" s="1485"/>
      <c r="AE653" s="1485"/>
      <c r="AF653" s="1485"/>
      <c r="AG653" s="1485"/>
      <c r="AH653" s="1485"/>
      <c r="AI653" s="1485"/>
      <c r="AJ653" s="1485"/>
      <c r="AK653" s="1485"/>
      <c r="AZ653" s="34"/>
      <c r="BA653" s="34"/>
      <c r="BB653" s="34"/>
      <c r="BC653" s="34"/>
      <c r="BD653" s="34"/>
      <c r="BE653" s="34"/>
      <c r="BF653" s="34"/>
      <c r="BG653" s="34"/>
      <c r="BH653" s="34"/>
      <c r="BI653" s="34"/>
      <c r="BJ653" s="34"/>
      <c r="BK653" s="34"/>
      <c r="BL653" s="34"/>
      <c r="BM653" s="34"/>
      <c r="BN653" s="1537">
        <f t="shared" si="30"/>
        <v>0</v>
      </c>
      <c r="BO653" s="1538"/>
      <c r="BP653" s="1538"/>
      <c r="BQ653" s="1538"/>
      <c r="BR653" s="1539"/>
      <c r="BS653" s="1544">
        <f t="shared" si="31"/>
        <v>0</v>
      </c>
      <c r="BT653" s="1544"/>
      <c r="BU653" s="1544"/>
      <c r="BV653" s="1544"/>
      <c r="BW653" s="1544"/>
      <c r="BX653" s="1544">
        <f t="shared" si="32"/>
        <v>0</v>
      </c>
      <c r="BY653" s="1544"/>
      <c r="BZ653" s="1544"/>
      <c r="CA653" s="1544"/>
      <c r="CB653" s="1544"/>
      <c r="CC653" s="1544">
        <f t="shared" si="33"/>
        <v>0</v>
      </c>
      <c r="CD653" s="1544"/>
      <c r="CE653" s="1544"/>
      <c r="CF653" s="1544"/>
      <c r="CG653" s="1544"/>
      <c r="CH653" s="1544">
        <f t="shared" si="34"/>
        <v>0</v>
      </c>
      <c r="CI653" s="1544"/>
      <c r="CJ653" s="1544"/>
      <c r="CK653" s="1544"/>
      <c r="CL653" s="1544"/>
      <c r="CM653" s="1544">
        <f t="shared" si="35"/>
        <v>0</v>
      </c>
      <c r="CN653" s="1544"/>
      <c r="CO653" s="1544"/>
      <c r="CP653" s="1544"/>
      <c r="CQ653" s="1544"/>
      <c r="CR653" s="6"/>
      <c r="CS653" s="1537">
        <f t="shared" si="36"/>
        <v>0</v>
      </c>
      <c r="CT653" s="1538"/>
      <c r="CU653" s="1538"/>
      <c r="CV653" s="1538"/>
      <c r="CW653" s="1539"/>
      <c r="CX653" s="1537">
        <f t="shared" si="37"/>
        <v>0</v>
      </c>
      <c r="CY653" s="1538"/>
      <c r="CZ653" s="1538"/>
      <c r="DA653" s="1538"/>
      <c r="DB653" s="1539"/>
      <c r="DC653" s="1537">
        <f t="shared" si="38"/>
        <v>0</v>
      </c>
      <c r="DD653" s="1538"/>
      <c r="DE653" s="1538"/>
      <c r="DF653" s="1538"/>
      <c r="DG653" s="1539"/>
      <c r="DH653" s="1537">
        <f t="shared" si="39"/>
        <v>0</v>
      </c>
      <c r="DI653" s="1538"/>
      <c r="DJ653" s="1538"/>
      <c r="DK653" s="1538"/>
      <c r="DL653" s="1539"/>
      <c r="DM653" s="1537">
        <f t="shared" si="40"/>
        <v>0</v>
      </c>
      <c r="DN653" s="1538"/>
      <c r="DO653" s="1538"/>
      <c r="DP653" s="1538"/>
      <c r="DQ653" s="1539"/>
      <c r="DR653" s="1537">
        <f t="shared" si="41"/>
        <v>0</v>
      </c>
      <c r="DS653" s="1538"/>
      <c r="DT653" s="1538"/>
      <c r="DU653" s="1538"/>
      <c r="DV653" s="1539"/>
      <c r="DX653" s="1536" t="e">
        <f t="shared" si="29"/>
        <v>#VALUE!</v>
      </c>
      <c r="DY653" s="1536"/>
      <c r="DZ653" s="1536"/>
      <c r="EA653" s="1536"/>
      <c r="EB653" s="1536"/>
      <c r="EC653" s="1536" t="e">
        <f t="shared" si="24"/>
        <v>#VALUE!</v>
      </c>
      <c r="ED653" s="1536"/>
      <c r="EE653" s="1536"/>
      <c r="EF653" s="1536"/>
      <c r="EG653" s="1536"/>
      <c r="EH653" s="1536" t="e">
        <f t="shared" si="25"/>
        <v>#VALUE!</v>
      </c>
      <c r="EI653" s="1536"/>
      <c r="EJ653" s="1536"/>
      <c r="EK653" s="1536"/>
      <c r="EL653" s="1536"/>
      <c r="EM653" s="1536" t="e">
        <f t="shared" si="26"/>
        <v>#VALUE!</v>
      </c>
      <c r="EN653" s="1536"/>
      <c r="EO653" s="1536"/>
      <c r="EP653" s="1536"/>
      <c r="EQ653" s="1536"/>
      <c r="ER653" s="1536" t="e">
        <f t="shared" si="27"/>
        <v>#VALUE!</v>
      </c>
      <c r="ES653" s="1536"/>
      <c r="ET653" s="1536"/>
      <c r="EU653" s="1536"/>
      <c r="EV653" s="1536"/>
      <c r="EW653" s="1536" t="e">
        <f t="shared" si="28"/>
        <v>#VALUE!</v>
      </c>
      <c r="EX653" s="1536"/>
      <c r="EY653" s="1536"/>
      <c r="EZ653" s="1536"/>
      <c r="FA653" s="1536"/>
    </row>
    <row r="654" spans="1:157" ht="12.95" customHeight="1">
      <c r="A654" s="22"/>
      <c r="B654" t="s">
        <v>17</v>
      </c>
      <c r="G654" s="1406" t="s">
        <v>2741</v>
      </c>
      <c r="H654" s="1485"/>
      <c r="I654" s="1485"/>
      <c r="J654" s="1485"/>
      <c r="K654" s="1485"/>
      <c r="L654" s="1485"/>
      <c r="M654" s="1485"/>
      <c r="N654" s="1485"/>
      <c r="O654" s="1485"/>
      <c r="P654" s="1485"/>
      <c r="Q654" s="1485"/>
      <c r="R654" s="1485"/>
      <c r="T654" s="22"/>
      <c r="U654" t="s">
        <v>17</v>
      </c>
      <c r="Z654" s="1406" t="s">
        <v>2780</v>
      </c>
      <c r="AA654" s="1485"/>
      <c r="AB654" s="1485"/>
      <c r="AC654" s="1485"/>
      <c r="AD654" s="1485"/>
      <c r="AE654" s="1485"/>
      <c r="AF654" s="1485"/>
      <c r="AG654" s="1485"/>
      <c r="AH654" s="1485"/>
      <c r="AI654" s="1485"/>
      <c r="AJ654" s="1485"/>
      <c r="AK654" s="1485"/>
      <c r="AZ654" s="34"/>
      <c r="BA654" s="34"/>
      <c r="BB654" s="34"/>
      <c r="BC654" s="34"/>
      <c r="BD654" s="34"/>
      <c r="BE654" s="34"/>
      <c r="BF654" s="34"/>
      <c r="BG654" s="34"/>
      <c r="BH654" s="34"/>
      <c r="BI654" s="34"/>
      <c r="BJ654" s="34"/>
      <c r="BK654" s="34"/>
      <c r="BL654" s="34"/>
      <c r="BM654" s="34"/>
      <c r="BN654" s="1537">
        <f t="shared" si="30"/>
        <v>0</v>
      </c>
      <c r="BO654" s="1538"/>
      <c r="BP654" s="1538"/>
      <c r="BQ654" s="1538"/>
      <c r="BR654" s="1539"/>
      <c r="BS654" s="1544">
        <f t="shared" si="31"/>
        <v>0</v>
      </c>
      <c r="BT654" s="1544"/>
      <c r="BU654" s="1544"/>
      <c r="BV654" s="1544"/>
      <c r="BW654" s="1544"/>
      <c r="BX654" s="1544">
        <f t="shared" si="32"/>
        <v>0</v>
      </c>
      <c r="BY654" s="1544"/>
      <c r="BZ654" s="1544"/>
      <c r="CA654" s="1544"/>
      <c r="CB654" s="1544"/>
      <c r="CC654" s="1544">
        <f t="shared" si="33"/>
        <v>0</v>
      </c>
      <c r="CD654" s="1544"/>
      <c r="CE654" s="1544"/>
      <c r="CF654" s="1544"/>
      <c r="CG654" s="1544"/>
      <c r="CH654" s="1544">
        <f t="shared" si="34"/>
        <v>0</v>
      </c>
      <c r="CI654" s="1544"/>
      <c r="CJ654" s="1544"/>
      <c r="CK654" s="1544"/>
      <c r="CL654" s="1544"/>
      <c r="CM654" s="1544">
        <f t="shared" si="35"/>
        <v>0</v>
      </c>
      <c r="CN654" s="1544"/>
      <c r="CO654" s="1544"/>
      <c r="CP654" s="1544"/>
      <c r="CQ654" s="1544"/>
      <c r="CR654" s="6"/>
      <c r="CS654" s="1537">
        <f t="shared" si="36"/>
        <v>0</v>
      </c>
      <c r="CT654" s="1538"/>
      <c r="CU654" s="1538"/>
      <c r="CV654" s="1538"/>
      <c r="CW654" s="1539"/>
      <c r="CX654" s="1537">
        <f t="shared" si="37"/>
        <v>0</v>
      </c>
      <c r="CY654" s="1538"/>
      <c r="CZ654" s="1538"/>
      <c r="DA654" s="1538"/>
      <c r="DB654" s="1539"/>
      <c r="DC654" s="1537">
        <f t="shared" si="38"/>
        <v>0</v>
      </c>
      <c r="DD654" s="1538"/>
      <c r="DE654" s="1538"/>
      <c r="DF654" s="1538"/>
      <c r="DG654" s="1539"/>
      <c r="DH654" s="1537">
        <f t="shared" si="39"/>
        <v>0</v>
      </c>
      <c r="DI654" s="1538"/>
      <c r="DJ654" s="1538"/>
      <c r="DK654" s="1538"/>
      <c r="DL654" s="1539"/>
      <c r="DM654" s="1537">
        <f t="shared" si="40"/>
        <v>0</v>
      </c>
      <c r="DN654" s="1538"/>
      <c r="DO654" s="1538"/>
      <c r="DP654" s="1538"/>
      <c r="DQ654" s="1539"/>
      <c r="DR654" s="1537">
        <f t="shared" si="41"/>
        <v>0</v>
      </c>
      <c r="DS654" s="1538"/>
      <c r="DT654" s="1538"/>
      <c r="DU654" s="1538"/>
      <c r="DV654" s="1539"/>
      <c r="DX654" s="1536" t="e">
        <f t="shared" si="29"/>
        <v>#VALUE!</v>
      </c>
      <c r="DY654" s="1536"/>
      <c r="DZ654" s="1536"/>
      <c r="EA654" s="1536"/>
      <c r="EB654" s="1536"/>
      <c r="EC654" s="1536" t="e">
        <f t="shared" si="24"/>
        <v>#VALUE!</v>
      </c>
      <c r="ED654" s="1536"/>
      <c r="EE654" s="1536"/>
      <c r="EF654" s="1536"/>
      <c r="EG654" s="1536"/>
      <c r="EH654" s="1536" t="e">
        <f t="shared" si="25"/>
        <v>#VALUE!</v>
      </c>
      <c r="EI654" s="1536"/>
      <c r="EJ654" s="1536"/>
      <c r="EK654" s="1536"/>
      <c r="EL654" s="1536"/>
      <c r="EM654" s="1536" t="e">
        <f t="shared" si="26"/>
        <v>#VALUE!</v>
      </c>
      <c r="EN654" s="1536"/>
      <c r="EO654" s="1536"/>
      <c r="EP654" s="1536"/>
      <c r="EQ654" s="1536"/>
      <c r="ER654" s="1536" t="e">
        <f t="shared" si="27"/>
        <v>#VALUE!</v>
      </c>
      <c r="ES654" s="1536"/>
      <c r="ET654" s="1536"/>
      <c r="EU654" s="1536"/>
      <c r="EV654" s="1536"/>
      <c r="EW654" s="1536" t="e">
        <f t="shared" si="28"/>
        <v>#VALUE!</v>
      </c>
      <c r="EX654" s="1536"/>
      <c r="EY654" s="1536"/>
      <c r="EZ654" s="1536"/>
      <c r="FA654" s="1536"/>
    </row>
    <row r="655" spans="1:157" ht="12.95" customHeight="1">
      <c r="A655" s="22"/>
      <c r="B655" t="s">
        <v>317</v>
      </c>
      <c r="G655" s="1547" t="s">
        <v>2742</v>
      </c>
      <c r="H655" s="1480"/>
      <c r="I655" s="1480"/>
      <c r="J655" s="1480"/>
      <c r="K655" s="1480"/>
      <c r="L655" s="1480"/>
      <c r="O655" s="33" t="s">
        <v>207</v>
      </c>
      <c r="P655" s="1515" t="s">
        <v>599</v>
      </c>
      <c r="Q655" s="1515"/>
      <c r="R655" s="1515"/>
      <c r="T655" s="22"/>
      <c r="U655" t="s">
        <v>317</v>
      </c>
      <c r="Z655" s="1547" t="s">
        <v>2781</v>
      </c>
      <c r="AA655" s="1480"/>
      <c r="AB655" s="1480"/>
      <c r="AC655" s="1480"/>
      <c r="AD655" s="1480"/>
      <c r="AE655" s="1480"/>
      <c r="AH655" s="33" t="s">
        <v>207</v>
      </c>
      <c r="AI655" s="1515" t="s">
        <v>599</v>
      </c>
      <c r="AJ655" s="1515"/>
      <c r="AK655" s="1515"/>
      <c r="AZ655" s="34"/>
      <c r="BA655" s="34"/>
      <c r="BB655" s="34"/>
      <c r="BC655" s="34"/>
      <c r="BD655" s="34"/>
      <c r="BE655" s="34"/>
      <c r="BF655" s="34"/>
      <c r="BG655" s="34"/>
      <c r="BH655" s="34"/>
      <c r="BI655" s="34"/>
      <c r="BJ655" s="34"/>
      <c r="BK655" s="34"/>
      <c r="BL655" s="34"/>
      <c r="BM655" s="34"/>
      <c r="BN655" s="1558">
        <f>SUM(BN645:BR654)</f>
        <v>0</v>
      </c>
      <c r="BO655" s="1559"/>
      <c r="BP655" s="1559"/>
      <c r="BQ655" s="1559"/>
      <c r="BR655" s="1560"/>
      <c r="BS655" s="1541">
        <f>SUM(BS645:BW654)</f>
        <v>0</v>
      </c>
      <c r="BT655" s="1542"/>
      <c r="BU655" s="1542"/>
      <c r="BV655" s="1542"/>
      <c r="BW655" s="1543"/>
      <c r="BX655" s="1541">
        <f>SUM(BX645:CB654)</f>
        <v>0</v>
      </c>
      <c r="BY655" s="1542"/>
      <c r="BZ655" s="1542"/>
      <c r="CA655" s="1542"/>
      <c r="CB655" s="1543"/>
      <c r="CC655" s="1541">
        <f>SUM(CC645:CG654)</f>
        <v>0</v>
      </c>
      <c r="CD655" s="1542"/>
      <c r="CE655" s="1542"/>
      <c r="CF655" s="1542"/>
      <c r="CG655" s="1543"/>
      <c r="CH655" s="1541">
        <f>SUM(CH645:CL654)</f>
        <v>0</v>
      </c>
      <c r="CI655" s="1542"/>
      <c r="CJ655" s="1542"/>
      <c r="CK655" s="1542"/>
      <c r="CL655" s="1543"/>
      <c r="CM655" s="1541">
        <f>SUM(CM645:CQ654)</f>
        <v>0</v>
      </c>
      <c r="CN655" s="1542"/>
      <c r="CO655" s="1542"/>
      <c r="CP655" s="1542"/>
      <c r="CQ655" s="1543"/>
      <c r="CR655" s="1047"/>
      <c r="CS655" s="1540">
        <f>SUM(CS645:CW654)</f>
        <v>0</v>
      </c>
      <c r="CT655" s="1540"/>
      <c r="CU655" s="1540"/>
      <c r="CV655" s="1540"/>
      <c r="CW655" s="1540"/>
      <c r="CX655" s="1540">
        <f>SUM(CX645:DB654)</f>
        <v>0</v>
      </c>
      <c r="CY655" s="1540"/>
      <c r="CZ655" s="1540"/>
      <c r="DA655" s="1540"/>
      <c r="DB655" s="1540"/>
      <c r="DC655" s="1540">
        <f>SUM(DC645:DG654)</f>
        <v>0</v>
      </c>
      <c r="DD655" s="1540"/>
      <c r="DE655" s="1540"/>
      <c r="DF655" s="1540"/>
      <c r="DG655" s="1540"/>
      <c r="DH655" s="1540">
        <f>SUM(DH645:DL654)</f>
        <v>0</v>
      </c>
      <c r="DI655" s="1540"/>
      <c r="DJ655" s="1540"/>
      <c r="DK655" s="1540"/>
      <c r="DL655" s="1540"/>
      <c r="DM655" s="1540">
        <f>SUM(DM645:DQ654)</f>
        <v>0</v>
      </c>
      <c r="DN655" s="1540"/>
      <c r="DO655" s="1540"/>
      <c r="DP655" s="1540"/>
      <c r="DQ655" s="1540"/>
      <c r="DR655" s="1540">
        <f>SUM(DR645:DV654)</f>
        <v>0</v>
      </c>
      <c r="DS655" s="1540"/>
      <c r="DT655" s="1540"/>
      <c r="DU655" s="1540"/>
      <c r="DV655" s="1540"/>
      <c r="DX655" s="1536" t="e">
        <f t="shared" si="29"/>
        <v>#VALUE!</v>
      </c>
      <c r="DY655" s="1536"/>
      <c r="DZ655" s="1536"/>
      <c r="EA655" s="1536"/>
      <c r="EB655" s="1536"/>
      <c r="EC655" s="1536" t="e">
        <f t="shared" si="24"/>
        <v>#VALUE!</v>
      </c>
      <c r="ED655" s="1536"/>
      <c r="EE655" s="1536"/>
      <c r="EF655" s="1536"/>
      <c r="EG655" s="1536"/>
      <c r="EH655" s="1536" t="e">
        <f t="shared" si="25"/>
        <v>#VALUE!</v>
      </c>
      <c r="EI655" s="1536"/>
      <c r="EJ655" s="1536"/>
      <c r="EK655" s="1536"/>
      <c r="EL655" s="1536"/>
      <c r="EM655" s="1536" t="e">
        <f t="shared" si="26"/>
        <v>#VALUE!</v>
      </c>
      <c r="EN655" s="1536"/>
      <c r="EO655" s="1536"/>
      <c r="EP655" s="1536"/>
      <c r="EQ655" s="1536"/>
      <c r="ER655" s="1536" t="e">
        <f t="shared" si="27"/>
        <v>#VALUE!</v>
      </c>
      <c r="ES655" s="1536"/>
      <c r="ET655" s="1536"/>
      <c r="EU655" s="1536"/>
      <c r="EV655" s="1536"/>
      <c r="EW655" s="1536" t="e">
        <f t="shared" si="28"/>
        <v>#VALUE!</v>
      </c>
      <c r="EX655" s="1536"/>
      <c r="EY655" s="1536"/>
      <c r="EZ655" s="1536"/>
      <c r="FA655" s="1536"/>
    </row>
    <row r="656" spans="1:157" ht="12.95" customHeight="1">
      <c r="A656" s="22"/>
      <c r="B656" t="s">
        <v>18</v>
      </c>
      <c r="H656" s="1477" t="s">
        <v>2799</v>
      </c>
      <c r="I656" s="1486"/>
      <c r="J656" s="1486"/>
      <c r="K656" s="1486"/>
      <c r="L656" s="1486"/>
      <c r="M656" s="1486"/>
      <c r="N656" s="1486"/>
      <c r="O656" s="1486"/>
      <c r="P656" s="1486"/>
      <c r="Q656" s="1486"/>
      <c r="R656" s="1486"/>
      <c r="T656" s="22"/>
      <c r="U656" t="s">
        <v>18</v>
      </c>
      <c r="AA656" s="1477" t="s">
        <v>2768</v>
      </c>
      <c r="AB656" s="1486"/>
      <c r="AC656" s="1486"/>
      <c r="AD656" s="1486"/>
      <c r="AE656" s="1486"/>
      <c r="AF656" s="1486"/>
      <c r="AG656" s="1486"/>
      <c r="AH656" s="1486"/>
      <c r="AI656" s="1486"/>
      <c r="AJ656" s="1486"/>
      <c r="AK656" s="14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36" t="e">
        <f t="shared" si="29"/>
        <v>#VALUE!</v>
      </c>
      <c r="DY656" s="1536"/>
      <c r="DZ656" s="1536"/>
      <c r="EA656" s="1536"/>
      <c r="EB656" s="1536"/>
      <c r="EC656" s="1536" t="e">
        <f t="shared" si="24"/>
        <v>#VALUE!</v>
      </c>
      <c r="ED656" s="1536"/>
      <c r="EE656" s="1536"/>
      <c r="EF656" s="1536"/>
      <c r="EG656" s="1536"/>
      <c r="EH656" s="1536" t="e">
        <f t="shared" si="25"/>
        <v>#VALUE!</v>
      </c>
      <c r="EI656" s="1536"/>
      <c r="EJ656" s="1536"/>
      <c r="EK656" s="1536"/>
      <c r="EL656" s="1536"/>
      <c r="EM656" s="1536" t="e">
        <f t="shared" si="26"/>
        <v>#VALUE!</v>
      </c>
      <c r="EN656" s="1536"/>
      <c r="EO656" s="1536"/>
      <c r="EP656" s="1536"/>
      <c r="EQ656" s="1536"/>
      <c r="ER656" s="1536" t="e">
        <f t="shared" si="27"/>
        <v>#VALUE!</v>
      </c>
      <c r="ES656" s="1536"/>
      <c r="ET656" s="1536"/>
      <c r="EU656" s="1536"/>
      <c r="EV656" s="1536"/>
      <c r="EW656" s="1536" t="e">
        <f t="shared" si="28"/>
        <v>#VALUE!</v>
      </c>
      <c r="EX656" s="1536"/>
      <c r="EY656" s="1536"/>
      <c r="EZ656" s="1536"/>
      <c r="FA656" s="1536"/>
    </row>
    <row r="657" spans="1:157" ht="12.95" customHeight="1">
      <c r="A657" s="22"/>
      <c r="B657" t="s">
        <v>20</v>
      </c>
      <c r="N657" s="1479" t="s">
        <v>553</v>
      </c>
      <c r="O657" s="1479"/>
      <c r="T657" s="22"/>
      <c r="U657" t="s">
        <v>20</v>
      </c>
      <c r="AG657" s="1479" t="s">
        <v>553</v>
      </c>
      <c r="AH657" s="14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536">
        <f>SUM(CS655:DV655)</f>
        <v>0</v>
      </c>
      <c r="DS657" s="1536"/>
      <c r="DT657" s="1536"/>
      <c r="DU657" s="1536"/>
      <c r="DV657" s="1536"/>
      <c r="DX657" s="1536" t="e">
        <f t="shared" si="29"/>
        <v>#VALUE!</v>
      </c>
      <c r="DY657" s="1536"/>
      <c r="DZ657" s="1536"/>
      <c r="EA657" s="1536"/>
      <c r="EB657" s="1536"/>
      <c r="EC657" s="1536" t="e">
        <f t="shared" si="24"/>
        <v>#VALUE!</v>
      </c>
      <c r="ED657" s="1536"/>
      <c r="EE657" s="1536"/>
      <c r="EF657" s="1536"/>
      <c r="EG657" s="1536"/>
      <c r="EH657" s="1536" t="e">
        <f t="shared" si="25"/>
        <v>#VALUE!</v>
      </c>
      <c r="EI657" s="1536"/>
      <c r="EJ657" s="1536"/>
      <c r="EK657" s="1536"/>
      <c r="EL657" s="1536"/>
      <c r="EM657" s="1536" t="e">
        <f t="shared" si="26"/>
        <v>#VALUE!</v>
      </c>
      <c r="EN657" s="1536"/>
      <c r="EO657" s="1536"/>
      <c r="EP657" s="1536"/>
      <c r="EQ657" s="1536"/>
      <c r="ER657" s="1536" t="e">
        <f t="shared" si="27"/>
        <v>#VALUE!</v>
      </c>
      <c r="ES657" s="1536"/>
      <c r="ET657" s="1536"/>
      <c r="EU657" s="1536"/>
      <c r="EV657" s="1536"/>
      <c r="EW657" s="1536" t="e">
        <f t="shared" si="28"/>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536" t="e">
        <f t="shared" ref="DX658:DX667" si="42">DX620*(BN620/$BN$632)</f>
        <v>#VALUE!</v>
      </c>
      <c r="DY658" s="1536"/>
      <c r="DZ658" s="1536"/>
      <c r="EA658" s="1536"/>
      <c r="EB658" s="1536"/>
      <c r="EC658" s="1536" t="e">
        <f t="shared" ref="EC658:EC667" si="43">EC620*(BS620/$BS$632)</f>
        <v>#VALUE!</v>
      </c>
      <c r="ED658" s="1536"/>
      <c r="EE658" s="1536"/>
      <c r="EF658" s="1536"/>
      <c r="EG658" s="1536"/>
      <c r="EH658" s="1536" t="e">
        <f t="shared" ref="EH658:EH667" si="44">EH620*(BX620/$BX$632)</f>
        <v>#VALUE!</v>
      </c>
      <c r="EI658" s="1536"/>
      <c r="EJ658" s="1536"/>
      <c r="EK658" s="1536"/>
      <c r="EL658" s="1536"/>
      <c r="EM658" s="1536" t="e">
        <f t="shared" ref="EM658:EM667" si="45">EM620*(CC620/$CC$632)</f>
        <v>#VALUE!</v>
      </c>
      <c r="EN658" s="1536"/>
      <c r="EO658" s="1536"/>
      <c r="EP658" s="1536"/>
      <c r="EQ658" s="1536"/>
      <c r="ER658" s="1536" t="e">
        <f t="shared" ref="ER658:ER667" si="46">ER620*(CH620/$CH$632)</f>
        <v>#VALUE!</v>
      </c>
      <c r="ES658" s="1536"/>
      <c r="ET658" s="1536"/>
      <c r="EU658" s="1536"/>
      <c r="EV658" s="1536"/>
      <c r="EW658" s="1536" t="e">
        <f t="shared" ref="EW658:EW667" si="47">EW620*(CM620/$CM$632)</f>
        <v>#VALUE!</v>
      </c>
      <c r="EX658" s="1536"/>
      <c r="EY658" s="1536"/>
      <c r="EZ658" s="1536"/>
      <c r="FA658" s="1536"/>
    </row>
    <row r="659" spans="1:157" ht="12.95" customHeight="1">
      <c r="A659" s="55" t="s">
        <v>772</v>
      </c>
      <c r="B659" t="s">
        <v>471</v>
      </c>
      <c r="G659" s="1481" t="str">
        <f>C631</f>
        <v>Affirmed Housing Group, Inc.</v>
      </c>
      <c r="H659" s="1481"/>
      <c r="I659" s="1481"/>
      <c r="J659" s="1481"/>
      <c r="K659" s="1481"/>
      <c r="L659" s="1481"/>
      <c r="M659" s="1481"/>
      <c r="N659" s="1481"/>
      <c r="O659" s="1481"/>
      <c r="P659" s="1481"/>
      <c r="Q659" s="1481"/>
      <c r="R659" s="1481"/>
      <c r="T659" s="55" t="s">
        <v>592</v>
      </c>
      <c r="U659" t="s">
        <v>471</v>
      </c>
      <c r="Z659" s="1481" t="str">
        <f>C632</f>
        <v>Lument Securities, LLC</v>
      </c>
      <c r="AA659" s="1481"/>
      <c r="AB659" s="1481"/>
      <c r="AC659" s="1481"/>
      <c r="AD659" s="1481"/>
      <c r="AE659" s="1481"/>
      <c r="AF659" s="1481"/>
      <c r="AG659" s="1481"/>
      <c r="AH659" s="1481"/>
      <c r="AI659" s="1481"/>
      <c r="AJ659" s="1481"/>
      <c r="AK659" s="148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36" t="e">
        <f t="shared" si="42"/>
        <v>#VALUE!</v>
      </c>
      <c r="DY659" s="1536"/>
      <c r="DZ659" s="1536"/>
      <c r="EA659" s="1536"/>
      <c r="EB659" s="1536"/>
      <c r="EC659" s="1536" t="e">
        <f t="shared" si="43"/>
        <v>#VALUE!</v>
      </c>
      <c r="ED659" s="1536"/>
      <c r="EE659" s="1536"/>
      <c r="EF659" s="1536"/>
      <c r="EG659" s="1536"/>
      <c r="EH659" s="1536" t="e">
        <f t="shared" si="44"/>
        <v>#VALUE!</v>
      </c>
      <c r="EI659" s="1536"/>
      <c r="EJ659" s="1536"/>
      <c r="EK659" s="1536"/>
      <c r="EL659" s="1536"/>
      <c r="EM659" s="1536" t="e">
        <f t="shared" si="45"/>
        <v>#VALUE!</v>
      </c>
      <c r="EN659" s="1536"/>
      <c r="EO659" s="1536"/>
      <c r="EP659" s="1536"/>
      <c r="EQ659" s="1536"/>
      <c r="ER659" s="1536" t="e">
        <f t="shared" si="46"/>
        <v>#VALUE!</v>
      </c>
      <c r="ES659" s="1536"/>
      <c r="ET659" s="1536"/>
      <c r="EU659" s="1536"/>
      <c r="EV659" s="1536"/>
      <c r="EW659" s="1536" t="e">
        <f t="shared" si="47"/>
        <v>#VALUE!</v>
      </c>
      <c r="EX659" s="1536"/>
      <c r="EY659" s="1536"/>
      <c r="EZ659" s="1536"/>
      <c r="FA659" s="1536"/>
    </row>
    <row r="660" spans="1:157" ht="12.95" customHeight="1">
      <c r="A660" s="22"/>
      <c r="B660" t="s">
        <v>85</v>
      </c>
      <c r="G660" s="1477" t="s">
        <v>2645</v>
      </c>
      <c r="H660" s="1486"/>
      <c r="I660" s="1486"/>
      <c r="J660" s="1486"/>
      <c r="K660" s="1486"/>
      <c r="L660" s="1486"/>
      <c r="M660" s="1486"/>
      <c r="N660" s="1486"/>
      <c r="O660" s="1486"/>
      <c r="P660" s="1486"/>
      <c r="Q660" s="1486"/>
      <c r="R660" s="1486"/>
      <c r="T660" s="22"/>
      <c r="U660" t="s">
        <v>85</v>
      </c>
      <c r="Z660" s="1486" t="s">
        <v>2784</v>
      </c>
      <c r="AA660" s="1486"/>
      <c r="AB660" s="1486"/>
      <c r="AC660" s="1486"/>
      <c r="AD660" s="1486"/>
      <c r="AE660" s="1486"/>
      <c r="AF660" s="1486"/>
      <c r="AG660" s="1486"/>
      <c r="AH660" s="1486"/>
      <c r="AI660" s="1486"/>
      <c r="AJ660" s="1486"/>
      <c r="AK660" s="1486"/>
      <c r="AZ660" s="34"/>
      <c r="BA660" s="34"/>
      <c r="BB660" s="34"/>
      <c r="BC660" s="34"/>
      <c r="BD660" s="34"/>
      <c r="BE660" s="34"/>
      <c r="BF660" s="34"/>
      <c r="BG660" s="34"/>
      <c r="BH660" s="34"/>
      <c r="BI660" s="34"/>
      <c r="BJ660" s="34"/>
      <c r="BK660" s="34"/>
      <c r="BL660" s="34"/>
      <c r="BM660" s="34"/>
      <c r="BN660" s="1541">
        <f>BN632+BN641+BN655</f>
        <v>75</v>
      </c>
      <c r="BO660" s="1542"/>
      <c r="BP660" s="1542"/>
      <c r="BQ660" s="1542"/>
      <c r="BR660" s="1543"/>
      <c r="BS660" s="1541">
        <f>BS632+BS641+BS655</f>
        <v>18</v>
      </c>
      <c r="BT660" s="1542"/>
      <c r="BU660" s="1542"/>
      <c r="BV660" s="1542"/>
      <c r="BW660" s="1543"/>
      <c r="BX660" s="1541">
        <f>BX632+BX641+BX655</f>
        <v>48</v>
      </c>
      <c r="BY660" s="1542"/>
      <c r="BZ660" s="1542"/>
      <c r="CA660" s="1542"/>
      <c r="CB660" s="1543"/>
      <c r="CC660" s="1541">
        <f>CC632+CC641+CC655</f>
        <v>50</v>
      </c>
      <c r="CD660" s="1542"/>
      <c r="CE660" s="1542"/>
      <c r="CF660" s="1542"/>
      <c r="CG660" s="1543"/>
      <c r="CH660" s="1541">
        <f>CH632+CH641+CH655</f>
        <v>0</v>
      </c>
      <c r="CI660" s="1542"/>
      <c r="CJ660" s="1542"/>
      <c r="CK660" s="1542"/>
      <c r="CL660" s="1543"/>
      <c r="CM660" s="1548">
        <f>CM655+CM641+CM632</f>
        <v>0</v>
      </c>
      <c r="CN660" s="1549"/>
      <c r="CO660" s="1549"/>
      <c r="CP660" s="1549"/>
      <c r="CQ660" s="1550"/>
      <c r="CR660" s="3"/>
      <c r="CS660" s="895">
        <f>CS634+CS658</f>
        <v>333</v>
      </c>
      <c r="CT660" s="57" t="s">
        <v>2054</v>
      </c>
      <c r="CU660" s="3"/>
      <c r="CV660" s="3"/>
      <c r="CW660" s="3"/>
      <c r="CX660" s="3"/>
      <c r="CY660" s="3"/>
      <c r="CZ660" s="3"/>
      <c r="DA660" s="3"/>
      <c r="DB660" s="3"/>
      <c r="DC660" s="3"/>
      <c r="DD660" s="3"/>
      <c r="DE660" s="3"/>
      <c r="DF660" s="3"/>
      <c r="DX660" s="1536" t="e">
        <f t="shared" si="42"/>
        <v>#VALUE!</v>
      </c>
      <c r="DY660" s="1536"/>
      <c r="DZ660" s="1536"/>
      <c r="EA660" s="1536"/>
      <c r="EB660" s="1536"/>
      <c r="EC660" s="1536" t="e">
        <f t="shared" si="43"/>
        <v>#VALUE!</v>
      </c>
      <c r="ED660" s="1536"/>
      <c r="EE660" s="1536"/>
      <c r="EF660" s="1536"/>
      <c r="EG660" s="1536"/>
      <c r="EH660" s="1536" t="e">
        <f t="shared" si="44"/>
        <v>#VALUE!</v>
      </c>
      <c r="EI660" s="1536"/>
      <c r="EJ660" s="1536"/>
      <c r="EK660" s="1536"/>
      <c r="EL660" s="1536"/>
      <c r="EM660" s="1536" t="e">
        <f t="shared" si="45"/>
        <v>#VALUE!</v>
      </c>
      <c r="EN660" s="1536"/>
      <c r="EO660" s="1536"/>
      <c r="EP660" s="1536"/>
      <c r="EQ660" s="1536"/>
      <c r="ER660" s="1536" t="e">
        <f t="shared" si="46"/>
        <v>#VALUE!</v>
      </c>
      <c r="ES660" s="1536"/>
      <c r="ET660" s="1536"/>
      <c r="EU660" s="1536"/>
      <c r="EV660" s="1536"/>
      <c r="EW660" s="1536" t="e">
        <f t="shared" si="47"/>
        <v>#VALUE!</v>
      </c>
      <c r="EX660" s="1536"/>
      <c r="EY660" s="1536"/>
      <c r="EZ660" s="1536"/>
      <c r="FA660" s="1536"/>
    </row>
    <row r="661" spans="1:157" ht="12.95" customHeight="1">
      <c r="A661" s="22"/>
      <c r="B661" t="s">
        <v>588</v>
      </c>
      <c r="G661" s="1477" t="s">
        <v>738</v>
      </c>
      <c r="H661" s="1486"/>
      <c r="I661" s="1486"/>
      <c r="J661" s="1486"/>
      <c r="K661" s="1486"/>
      <c r="L661" s="1486"/>
      <c r="M661" s="1486"/>
      <c r="N661" s="1486"/>
      <c r="O661" s="1486"/>
      <c r="P661" s="1486"/>
      <c r="Q661" s="1486"/>
      <c r="R661" s="1486"/>
      <c r="T661" s="22"/>
      <c r="U661" t="s">
        <v>588</v>
      </c>
      <c r="Z661" s="1485" t="s">
        <v>2785</v>
      </c>
      <c r="AA661" s="1485"/>
      <c r="AB661" s="1485"/>
      <c r="AC661" s="1485"/>
      <c r="AD661" s="1485"/>
      <c r="AE661" s="1485"/>
      <c r="AF661" s="1485"/>
      <c r="AG661" s="1485"/>
      <c r="AH661" s="1485"/>
      <c r="AI661" s="1485"/>
      <c r="AJ661" s="1485"/>
      <c r="AK661" s="148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36" t="e">
        <f t="shared" si="42"/>
        <v>#VALUE!</v>
      </c>
      <c r="DY661" s="1536"/>
      <c r="DZ661" s="1536"/>
      <c r="EA661" s="1536"/>
      <c r="EB661" s="1536"/>
      <c r="EC661" s="1536" t="e">
        <f t="shared" si="43"/>
        <v>#VALUE!</v>
      </c>
      <c r="ED661" s="1536"/>
      <c r="EE661" s="1536"/>
      <c r="EF661" s="1536"/>
      <c r="EG661" s="1536"/>
      <c r="EH661" s="1536" t="e">
        <f t="shared" si="44"/>
        <v>#VALUE!</v>
      </c>
      <c r="EI661" s="1536"/>
      <c r="EJ661" s="1536"/>
      <c r="EK661" s="1536"/>
      <c r="EL661" s="1536"/>
      <c r="EM661" s="1536" t="e">
        <f t="shared" si="45"/>
        <v>#VALUE!</v>
      </c>
      <c r="EN661" s="1536"/>
      <c r="EO661" s="1536"/>
      <c r="EP661" s="1536"/>
      <c r="EQ661" s="1536"/>
      <c r="ER661" s="1536" t="e">
        <f t="shared" si="46"/>
        <v>#VALUE!</v>
      </c>
      <c r="ES661" s="1536"/>
      <c r="ET661" s="1536"/>
      <c r="EU661" s="1536"/>
      <c r="EV661" s="1536"/>
      <c r="EW661" s="1536" t="e">
        <f t="shared" si="47"/>
        <v>#VALUE!</v>
      </c>
      <c r="EX661" s="1536"/>
      <c r="EY661" s="1536"/>
      <c r="EZ661" s="1536"/>
      <c r="FA661" s="1536"/>
    </row>
    <row r="662" spans="1:157" ht="12.95" customHeight="1">
      <c r="A662" s="22"/>
      <c r="B662" t="s">
        <v>17</v>
      </c>
      <c r="G662" s="1477" t="s">
        <v>2744</v>
      </c>
      <c r="H662" s="1486"/>
      <c r="I662" s="1486"/>
      <c r="J662" s="1486"/>
      <c r="K662" s="1486"/>
      <c r="L662" s="1486"/>
      <c r="M662" s="1486"/>
      <c r="N662" s="1486"/>
      <c r="O662" s="1486"/>
      <c r="P662" s="1486"/>
      <c r="Q662" s="1486"/>
      <c r="R662" s="1486"/>
      <c r="T662" s="22"/>
      <c r="U662" t="s">
        <v>17</v>
      </c>
      <c r="Z662" s="1485" t="s">
        <v>2780</v>
      </c>
      <c r="AA662" s="1485"/>
      <c r="AB662" s="1485"/>
      <c r="AC662" s="1485"/>
      <c r="AD662" s="1485"/>
      <c r="AE662" s="1485"/>
      <c r="AF662" s="1485"/>
      <c r="AG662" s="1485"/>
      <c r="AH662" s="1485"/>
      <c r="AI662" s="1485"/>
      <c r="AJ662" s="1485"/>
      <c r="AK662" s="148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36" t="e">
        <f t="shared" si="42"/>
        <v>#VALUE!</v>
      </c>
      <c r="DY662" s="1536"/>
      <c r="DZ662" s="1536"/>
      <c r="EA662" s="1536"/>
      <c r="EB662" s="1536"/>
      <c r="EC662" s="1536" t="e">
        <f t="shared" si="43"/>
        <v>#VALUE!</v>
      </c>
      <c r="ED662" s="1536"/>
      <c r="EE662" s="1536"/>
      <c r="EF662" s="1536"/>
      <c r="EG662" s="1536"/>
      <c r="EH662" s="1536" t="e">
        <f t="shared" si="44"/>
        <v>#VALUE!</v>
      </c>
      <c r="EI662" s="1536"/>
      <c r="EJ662" s="1536"/>
      <c r="EK662" s="1536"/>
      <c r="EL662" s="1536"/>
      <c r="EM662" s="1536" t="e">
        <f t="shared" si="45"/>
        <v>#VALUE!</v>
      </c>
      <c r="EN662" s="1536"/>
      <c r="EO662" s="1536"/>
      <c r="EP662" s="1536"/>
      <c r="EQ662" s="1536"/>
      <c r="ER662" s="1536" t="e">
        <f t="shared" si="46"/>
        <v>#VALUE!</v>
      </c>
      <c r="ES662" s="1536"/>
      <c r="ET662" s="1536"/>
      <c r="EU662" s="1536"/>
      <c r="EV662" s="1536"/>
      <c r="EW662" s="1536" t="e">
        <f t="shared" si="47"/>
        <v>#VALUE!</v>
      </c>
      <c r="EX662" s="1536"/>
      <c r="EY662" s="1536"/>
      <c r="EZ662" s="1536"/>
      <c r="FA662" s="1536"/>
    </row>
    <row r="663" spans="1:157" ht="12.95" customHeight="1">
      <c r="A663" s="22"/>
      <c r="B663" t="s">
        <v>317</v>
      </c>
      <c r="G663" s="1547" t="s">
        <v>2657</v>
      </c>
      <c r="H663" s="1480"/>
      <c r="I663" s="1480"/>
      <c r="J663" s="1480"/>
      <c r="K663" s="1480"/>
      <c r="L663" s="1480"/>
      <c r="O663" s="33" t="s">
        <v>207</v>
      </c>
      <c r="P663" s="1515" t="s">
        <v>599</v>
      </c>
      <c r="Q663" s="1515"/>
      <c r="R663" s="1515"/>
      <c r="T663" s="22"/>
      <c r="U663" t="s">
        <v>317</v>
      </c>
      <c r="Z663" s="1547" t="s">
        <v>2781</v>
      </c>
      <c r="AA663" s="1480"/>
      <c r="AB663" s="1480"/>
      <c r="AC663" s="1480"/>
      <c r="AD663" s="1480"/>
      <c r="AE663" s="1480"/>
      <c r="AH663" s="33" t="s">
        <v>207</v>
      </c>
      <c r="AI663" s="1515" t="s">
        <v>599</v>
      </c>
      <c r="AJ663" s="1515"/>
      <c r="AK663" s="151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36" t="e">
        <f t="shared" si="42"/>
        <v>#VALUE!</v>
      </c>
      <c r="DY663" s="1536"/>
      <c r="DZ663" s="1536"/>
      <c r="EA663" s="1536"/>
      <c r="EB663" s="1536"/>
      <c r="EC663" s="1536" t="e">
        <f t="shared" si="43"/>
        <v>#VALUE!</v>
      </c>
      <c r="ED663" s="1536"/>
      <c r="EE663" s="1536"/>
      <c r="EF663" s="1536"/>
      <c r="EG663" s="1536"/>
      <c r="EH663" s="1536" t="e">
        <f t="shared" si="44"/>
        <v>#VALUE!</v>
      </c>
      <c r="EI663" s="1536"/>
      <c r="EJ663" s="1536"/>
      <c r="EK663" s="1536"/>
      <c r="EL663" s="1536"/>
      <c r="EM663" s="1536" t="e">
        <f t="shared" si="45"/>
        <v>#VALUE!</v>
      </c>
      <c r="EN663" s="1536"/>
      <c r="EO663" s="1536"/>
      <c r="EP663" s="1536"/>
      <c r="EQ663" s="1536"/>
      <c r="ER663" s="1536" t="e">
        <f t="shared" si="46"/>
        <v>#VALUE!</v>
      </c>
      <c r="ES663" s="1536"/>
      <c r="ET663" s="1536"/>
      <c r="EU663" s="1536"/>
      <c r="EV663" s="1536"/>
      <c r="EW663" s="1536" t="e">
        <f t="shared" si="47"/>
        <v>#VALUE!</v>
      </c>
      <c r="EX663" s="1536"/>
      <c r="EY663" s="1536"/>
      <c r="EZ663" s="1536"/>
      <c r="FA663" s="1536"/>
    </row>
    <row r="664" spans="1:157" ht="12.95" customHeight="1">
      <c r="A664" s="22"/>
      <c r="B664" t="s">
        <v>18</v>
      </c>
      <c r="H664" s="1477" t="s">
        <v>1850</v>
      </c>
      <c r="I664" s="1486"/>
      <c r="J664" s="1486"/>
      <c r="K664" s="1486"/>
      <c r="L664" s="1486"/>
      <c r="M664" s="1486"/>
      <c r="N664" s="1486"/>
      <c r="O664" s="1486"/>
      <c r="P664" s="1486"/>
      <c r="Q664" s="1486"/>
      <c r="R664" s="1486"/>
      <c r="T664" s="22"/>
      <c r="U664" t="s">
        <v>18</v>
      </c>
      <c r="AA664" s="1477" t="s">
        <v>2801</v>
      </c>
      <c r="AB664" s="1486"/>
      <c r="AC664" s="1486"/>
      <c r="AD664" s="1486"/>
      <c r="AE664" s="1486"/>
      <c r="AF664" s="1486"/>
      <c r="AG664" s="1486"/>
      <c r="AH664" s="1486"/>
      <c r="AI664" s="1486"/>
      <c r="AJ664" s="1486"/>
      <c r="AK664" s="14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36" t="e">
        <f t="shared" si="42"/>
        <v>#VALUE!</v>
      </c>
      <c r="DY664" s="1536"/>
      <c r="DZ664" s="1536"/>
      <c r="EA664" s="1536"/>
      <c r="EB664" s="1536"/>
      <c r="EC664" s="1536" t="e">
        <f t="shared" si="43"/>
        <v>#VALUE!</v>
      </c>
      <c r="ED664" s="1536"/>
      <c r="EE664" s="1536"/>
      <c r="EF664" s="1536"/>
      <c r="EG664" s="1536"/>
      <c r="EH664" s="1536" t="e">
        <f t="shared" si="44"/>
        <v>#VALUE!</v>
      </c>
      <c r="EI664" s="1536"/>
      <c r="EJ664" s="1536"/>
      <c r="EK664" s="1536"/>
      <c r="EL664" s="1536"/>
      <c r="EM664" s="1536" t="e">
        <f t="shared" si="45"/>
        <v>#VALUE!</v>
      </c>
      <c r="EN664" s="1536"/>
      <c r="EO664" s="1536"/>
      <c r="EP664" s="1536"/>
      <c r="EQ664" s="1536"/>
      <c r="ER664" s="1536" t="e">
        <f t="shared" si="46"/>
        <v>#VALUE!</v>
      </c>
      <c r="ES664" s="1536"/>
      <c r="ET664" s="1536"/>
      <c r="EU664" s="1536"/>
      <c r="EV664" s="1536"/>
      <c r="EW664" s="1536" t="e">
        <f t="shared" si="47"/>
        <v>#VALUE!</v>
      </c>
      <c r="EX664" s="1536"/>
      <c r="EY664" s="1536"/>
      <c r="EZ664" s="1536"/>
      <c r="FA664" s="1536"/>
    </row>
    <row r="665" spans="1:157" ht="12.95" customHeight="1">
      <c r="A665" s="22"/>
      <c r="B665" t="s">
        <v>20</v>
      </c>
      <c r="N665" s="1479" t="s">
        <v>553</v>
      </c>
      <c r="O665" s="1479"/>
      <c r="T665" s="22"/>
      <c r="U665" t="s">
        <v>20</v>
      </c>
      <c r="AG665" s="1479" t="s">
        <v>553</v>
      </c>
      <c r="AH665" s="14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36" t="e">
        <f t="shared" si="42"/>
        <v>#VALUE!</v>
      </c>
      <c r="DY665" s="1536"/>
      <c r="DZ665" s="1536"/>
      <c r="EA665" s="1536"/>
      <c r="EB665" s="1536"/>
      <c r="EC665" s="1536" t="e">
        <f t="shared" si="43"/>
        <v>#VALUE!</v>
      </c>
      <c r="ED665" s="1536"/>
      <c r="EE665" s="1536"/>
      <c r="EF665" s="1536"/>
      <c r="EG665" s="1536"/>
      <c r="EH665" s="1536" t="e">
        <f t="shared" si="44"/>
        <v>#VALUE!</v>
      </c>
      <c r="EI665" s="1536"/>
      <c r="EJ665" s="1536"/>
      <c r="EK665" s="1536"/>
      <c r="EL665" s="1536"/>
      <c r="EM665" s="1536" t="e">
        <f t="shared" si="45"/>
        <v>#VALUE!</v>
      </c>
      <c r="EN665" s="1536"/>
      <c r="EO665" s="1536"/>
      <c r="EP665" s="1536"/>
      <c r="EQ665" s="1536"/>
      <c r="ER665" s="1536" t="e">
        <f t="shared" si="46"/>
        <v>#VALUE!</v>
      </c>
      <c r="ES665" s="1536"/>
      <c r="ET665" s="1536"/>
      <c r="EU665" s="1536"/>
      <c r="EV665" s="1536"/>
      <c r="EW665" s="1536" t="e">
        <f t="shared" si="47"/>
        <v>#VALUE!</v>
      </c>
      <c r="EX665" s="1536"/>
      <c r="EY665" s="1536"/>
      <c r="EZ665" s="1536"/>
      <c r="FA665" s="153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36" t="e">
        <f t="shared" si="42"/>
        <v>#VALUE!</v>
      </c>
      <c r="DY666" s="1536"/>
      <c r="DZ666" s="1536"/>
      <c r="EA666" s="1536"/>
      <c r="EB666" s="1536"/>
      <c r="EC666" s="1536" t="e">
        <f t="shared" si="43"/>
        <v>#VALUE!</v>
      </c>
      <c r="ED666" s="1536"/>
      <c r="EE666" s="1536"/>
      <c r="EF666" s="1536"/>
      <c r="EG666" s="1536"/>
      <c r="EH666" s="1536" t="e">
        <f t="shared" si="44"/>
        <v>#VALUE!</v>
      </c>
      <c r="EI666" s="1536"/>
      <c r="EJ666" s="1536"/>
      <c r="EK666" s="1536"/>
      <c r="EL666" s="1536"/>
      <c r="EM666" s="1536" t="e">
        <f t="shared" si="45"/>
        <v>#VALUE!</v>
      </c>
      <c r="EN666" s="1536"/>
      <c r="EO666" s="1536"/>
      <c r="EP666" s="1536"/>
      <c r="EQ666" s="1536"/>
      <c r="ER666" s="1536" t="e">
        <f t="shared" si="46"/>
        <v>#VALUE!</v>
      </c>
      <c r="ES666" s="1536"/>
      <c r="ET666" s="1536"/>
      <c r="EU666" s="1536"/>
      <c r="EV666" s="1536"/>
      <c r="EW666" s="1536" t="e">
        <f t="shared" si="47"/>
        <v>#VALUE!</v>
      </c>
      <c r="EX666" s="1536"/>
      <c r="EY666" s="1536"/>
      <c r="EZ666" s="1536"/>
      <c r="FA666" s="1536"/>
    </row>
    <row r="667" spans="1:157" ht="12.95" customHeight="1">
      <c r="A667" s="55" t="s">
        <v>463</v>
      </c>
      <c r="B667" t="s">
        <v>471</v>
      </c>
      <c r="G667" s="1481">
        <f>C633</f>
        <v>0</v>
      </c>
      <c r="H667" s="1481"/>
      <c r="I667" s="1481"/>
      <c r="J667" s="1481"/>
      <c r="K667" s="1481"/>
      <c r="L667" s="1481"/>
      <c r="M667" s="1481"/>
      <c r="N667" s="1481"/>
      <c r="O667" s="1481"/>
      <c r="P667" s="1481"/>
      <c r="Q667" s="1481"/>
      <c r="R667" s="1481"/>
      <c r="T667" s="55" t="s">
        <v>464</v>
      </c>
      <c r="U667" t="s">
        <v>471</v>
      </c>
      <c r="Z667" s="1481">
        <f>C634</f>
        <v>0</v>
      </c>
      <c r="AA667" s="1481"/>
      <c r="AB667" s="1481"/>
      <c r="AC667" s="1481"/>
      <c r="AD667" s="1481"/>
      <c r="AE667" s="1481"/>
      <c r="AF667" s="1481"/>
      <c r="AG667" s="1481"/>
      <c r="AH667" s="1481"/>
      <c r="AI667" s="1481"/>
      <c r="AJ667" s="1481"/>
      <c r="AK667" s="1481"/>
      <c r="AZ667" s="3"/>
      <c r="BA667" s="118">
        <f t="shared" ref="BA667:BA699" si="48">IF($G718=0,"N/A",VLOOKUP($T$189,TC_Rent,(MATCH($B718,bedrooms,FALSE))))</f>
        <v>3122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36" t="e">
        <f t="shared" si="42"/>
        <v>#VALUE!</v>
      </c>
      <c r="DY667" s="1536"/>
      <c r="DZ667" s="1536"/>
      <c r="EA667" s="1536"/>
      <c r="EB667" s="1536"/>
      <c r="EC667" s="1536" t="e">
        <f t="shared" si="43"/>
        <v>#VALUE!</v>
      </c>
      <c r="ED667" s="1536"/>
      <c r="EE667" s="1536"/>
      <c r="EF667" s="1536"/>
      <c r="EG667" s="1536"/>
      <c r="EH667" s="1536" t="e">
        <f t="shared" si="44"/>
        <v>#VALUE!</v>
      </c>
      <c r="EI667" s="1536"/>
      <c r="EJ667" s="1536"/>
      <c r="EK667" s="1536"/>
      <c r="EL667" s="1536"/>
      <c r="EM667" s="1536" t="e">
        <f t="shared" si="45"/>
        <v>#VALUE!</v>
      </c>
      <c r="EN667" s="1536"/>
      <c r="EO667" s="1536"/>
      <c r="EP667" s="1536"/>
      <c r="EQ667" s="1536"/>
      <c r="ER667" s="1536" t="e">
        <f t="shared" si="46"/>
        <v>#VALUE!</v>
      </c>
      <c r="ES667" s="1536"/>
      <c r="ET667" s="1536"/>
      <c r="EU667" s="1536"/>
      <c r="EV667" s="1536"/>
      <c r="EW667" s="1536" t="e">
        <f t="shared" si="47"/>
        <v>#VALUE!</v>
      </c>
      <c r="EX667" s="1536"/>
      <c r="EY667" s="1536"/>
      <c r="EZ667" s="1536"/>
      <c r="FA667" s="1536"/>
    </row>
    <row r="668" spans="1:157" ht="12.95" customHeight="1">
      <c r="A668" s="22"/>
      <c r="B668" t="s">
        <v>85</v>
      </c>
      <c r="G668" s="1486"/>
      <c r="H668" s="1486"/>
      <c r="I668" s="1486"/>
      <c r="J668" s="1486"/>
      <c r="K668" s="1486"/>
      <c r="L668" s="1486"/>
      <c r="M668" s="1486"/>
      <c r="N668" s="1486"/>
      <c r="O668" s="1486"/>
      <c r="P668" s="1486"/>
      <c r="Q668" s="1486"/>
      <c r="R668" s="1486"/>
      <c r="T668" s="22"/>
      <c r="U668" t="s">
        <v>85</v>
      </c>
      <c r="Z668" s="1486"/>
      <c r="AA668" s="1486"/>
      <c r="AB668" s="1486"/>
      <c r="AC668" s="1486"/>
      <c r="AD668" s="1486"/>
      <c r="AE668" s="1486"/>
      <c r="AF668" s="1486"/>
      <c r="AG668" s="1486"/>
      <c r="AH668" s="1486"/>
      <c r="AI668" s="1486"/>
      <c r="AJ668" s="1486"/>
      <c r="AK668" s="1486"/>
      <c r="AZ668" s="3"/>
      <c r="BA668" s="118">
        <f t="shared" si="48"/>
        <v>3122</v>
      </c>
      <c r="BB668" s="3"/>
      <c r="BC668" s="3"/>
      <c r="BD668" s="3"/>
      <c r="BE668" s="3"/>
      <c r="BF668" s="218"/>
      <c r="BG668" s="315">
        <f t="shared" ref="BG668:BG700" si="49">G718</f>
        <v>11</v>
      </c>
      <c r="BH668" s="319">
        <f t="shared" ref="BH668:BH702" si="50">IF($BG$703=0,0,BG668/$BG$703)</f>
        <v>5.8201058201058198E-2</v>
      </c>
      <c r="BI668" s="320">
        <f t="shared" ref="BI668:BI691" si="51">IF(BH668=0,"",BH668*AC718)</f>
        <v>1.7460317460317457E-2</v>
      </c>
      <c r="BJ668" s="3"/>
      <c r="BK668" s="3"/>
      <c r="BL668" s="3"/>
      <c r="BM668" s="3"/>
      <c r="BN668" s="3"/>
      <c r="BO668" s="3"/>
      <c r="BT668" s="315">
        <f t="shared" ref="BT668:BT700" si="52">G718</f>
        <v>11</v>
      </c>
      <c r="BU668" s="319">
        <f t="shared" ref="BU668:BU702" si="53">IF($BT$703=0,0,BT668/$BT$703)</f>
        <v>5.8201058201058198E-2</v>
      </c>
      <c r="BV668" s="320">
        <f t="shared" ref="BV668:BV700" si="54">IF(BU668=0,"",BU668*AH718)</f>
        <v>1.7449132119215397E-2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36" t="e">
        <f>DX630*(BN630/$BN$632)</f>
        <v>#VALUE!</v>
      </c>
      <c r="DY668" s="1536"/>
      <c r="DZ668" s="1536"/>
      <c r="EA668" s="1536"/>
      <c r="EB668" s="1536"/>
      <c r="EC668" s="1536" t="e">
        <f>EC630*(BS630/$BS$632)</f>
        <v>#VALUE!</v>
      </c>
      <c r="ED668" s="1536"/>
      <c r="EE668" s="1536"/>
      <c r="EF668" s="1536"/>
      <c r="EG668" s="1536"/>
      <c r="EH668" s="1536" t="e">
        <f>EH630*(BX630/$BX$632)</f>
        <v>#VALUE!</v>
      </c>
      <c r="EI668" s="1536"/>
      <c r="EJ668" s="1536"/>
      <c r="EK668" s="1536"/>
      <c r="EL668" s="1536"/>
      <c r="EM668" s="1536" t="e">
        <f>EM630*(CC630/$CC$632)</f>
        <v>#VALUE!</v>
      </c>
      <c r="EN668" s="1536"/>
      <c r="EO668" s="1536"/>
      <c r="EP668" s="1536"/>
      <c r="EQ668" s="1536"/>
      <c r="ER668" s="1536" t="e">
        <f>ER630*(CH630/$CH$632)</f>
        <v>#VALUE!</v>
      </c>
      <c r="ES668" s="1536"/>
      <c r="ET668" s="1536"/>
      <c r="EU668" s="1536"/>
      <c r="EV668" s="1536"/>
      <c r="EW668" s="1536" t="e">
        <f>EW630*(CM630/$CM$632)</f>
        <v>#VALUE!</v>
      </c>
      <c r="EX668" s="1536"/>
      <c r="EY668" s="1536"/>
      <c r="EZ668" s="1536"/>
      <c r="FA668" s="1536"/>
    </row>
    <row r="669" spans="1:157" ht="12.95" customHeight="1">
      <c r="A669" s="22"/>
      <c r="B669" t="s">
        <v>588</v>
      </c>
      <c r="G669" s="1486"/>
      <c r="H669" s="1486"/>
      <c r="I669" s="1486"/>
      <c r="J669" s="1486"/>
      <c r="K669" s="1486"/>
      <c r="L669" s="1486"/>
      <c r="M669" s="1486"/>
      <c r="N669" s="1486"/>
      <c r="O669" s="1486"/>
      <c r="P669" s="1486"/>
      <c r="Q669" s="1486"/>
      <c r="R669" s="1486"/>
      <c r="T669" s="22"/>
      <c r="U669" t="s">
        <v>588</v>
      </c>
      <c r="Z669" s="1485"/>
      <c r="AA669" s="1485"/>
      <c r="AB669" s="1485"/>
      <c r="AC669" s="1485"/>
      <c r="AD669" s="1485"/>
      <c r="AE669" s="1485"/>
      <c r="AF669" s="1485"/>
      <c r="AG669" s="1485"/>
      <c r="AH669" s="1485"/>
      <c r="AI669" s="1485"/>
      <c r="AJ669" s="1485"/>
      <c r="AK669" s="1485"/>
      <c r="AZ669" s="3"/>
      <c r="BA669" s="118">
        <f t="shared" si="48"/>
        <v>3122</v>
      </c>
      <c r="BB669" s="3"/>
      <c r="BC669" s="3"/>
      <c r="BD669" s="3"/>
      <c r="BE669" s="3"/>
      <c r="BF669" s="218"/>
      <c r="BG669" s="316">
        <f t="shared" si="49"/>
        <v>39</v>
      </c>
      <c r="BH669" s="319">
        <f t="shared" si="50"/>
        <v>0.20634920634920634</v>
      </c>
      <c r="BI669" s="320">
        <f t="shared" si="51"/>
        <v>0.10317460317460317</v>
      </c>
      <c r="BJ669" s="3"/>
      <c r="BK669" s="3"/>
      <c r="BL669" s="3"/>
      <c r="BM669" s="3"/>
      <c r="BN669" s="3"/>
      <c r="BO669" s="3"/>
      <c r="BT669" s="316">
        <f t="shared" si="52"/>
        <v>39</v>
      </c>
      <c r="BU669" s="319">
        <f t="shared" si="53"/>
        <v>0.20634920634920634</v>
      </c>
      <c r="BV669" s="320">
        <f t="shared" si="54"/>
        <v>0.10317460317460317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36" t="e">
        <f>DX631*(BN631/$BN$632)</f>
        <v>#VALUE!</v>
      </c>
      <c r="DY669" s="1536"/>
      <c r="DZ669" s="1536"/>
      <c r="EA669" s="1536"/>
      <c r="EB669" s="1536"/>
      <c r="EC669" s="1536" t="e">
        <f>EC631*(BS631/$BS$632)</f>
        <v>#VALUE!</v>
      </c>
      <c r="ED669" s="1536"/>
      <c r="EE669" s="1536"/>
      <c r="EF669" s="1536"/>
      <c r="EG669" s="1536"/>
      <c r="EH669" s="1536" t="e">
        <f>EH631*(BX631/$BX$632)</f>
        <v>#VALUE!</v>
      </c>
      <c r="EI669" s="1536"/>
      <c r="EJ669" s="1536"/>
      <c r="EK669" s="1536"/>
      <c r="EL669" s="1536"/>
      <c r="EM669" s="1536" t="e">
        <f>EM631*(CC631/$CC$632)</f>
        <v>#VALUE!</v>
      </c>
      <c r="EN669" s="1536"/>
      <c r="EO669" s="1536"/>
      <c r="EP669" s="1536"/>
      <c r="EQ669" s="1536"/>
      <c r="ER669" s="1536" t="e">
        <f>ER631*(CH631/$CH$632)</f>
        <v>#VALUE!</v>
      </c>
      <c r="ES669" s="1536"/>
      <c r="ET669" s="1536"/>
      <c r="EU669" s="1536"/>
      <c r="EV669" s="1536"/>
      <c r="EW669" s="1536" t="e">
        <f>EW631*(CM631/$CM$632)</f>
        <v>#VALUE!</v>
      </c>
      <c r="EX669" s="1536"/>
      <c r="EY669" s="1536"/>
      <c r="EZ669" s="1536"/>
      <c r="FA669" s="1536"/>
    </row>
    <row r="670" spans="1:157" ht="12.95" customHeight="1">
      <c r="A670" s="22"/>
      <c r="B670" t="s">
        <v>17</v>
      </c>
      <c r="G670" s="1486"/>
      <c r="H670" s="1486"/>
      <c r="I670" s="1486"/>
      <c r="J670" s="1486"/>
      <c r="K670" s="1486"/>
      <c r="L670" s="1486"/>
      <c r="M670" s="1486"/>
      <c r="N670" s="1486"/>
      <c r="O670" s="1486"/>
      <c r="P670" s="1486"/>
      <c r="Q670" s="1486"/>
      <c r="R670" s="1486"/>
      <c r="T670" s="22"/>
      <c r="U670" t="s">
        <v>17</v>
      </c>
      <c r="Z670" s="1485"/>
      <c r="AA670" s="1485"/>
      <c r="AB670" s="1485"/>
      <c r="AC670" s="1485"/>
      <c r="AD670" s="1485"/>
      <c r="AE670" s="1485"/>
      <c r="AF670" s="1485"/>
      <c r="AG670" s="1485"/>
      <c r="AH670" s="1485"/>
      <c r="AI670" s="1485"/>
      <c r="AJ670" s="1485"/>
      <c r="AK670" s="1485"/>
      <c r="AZ670" s="3"/>
      <c r="BA670" s="118">
        <f t="shared" si="48"/>
        <v>3346</v>
      </c>
      <c r="BB670" s="3"/>
      <c r="BC670" s="3"/>
      <c r="BD670" s="3"/>
      <c r="BE670" s="3"/>
      <c r="BF670" s="218"/>
      <c r="BG670" s="316">
        <f t="shared" si="49"/>
        <v>25</v>
      </c>
      <c r="BH670" s="319">
        <f t="shared" si="50"/>
        <v>0.13227513227513227</v>
      </c>
      <c r="BI670" s="320">
        <f t="shared" si="51"/>
        <v>7.9365079365079361E-2</v>
      </c>
      <c r="BJ670" s="3"/>
      <c r="BK670" s="3"/>
      <c r="BL670" s="3"/>
      <c r="BM670" s="3"/>
      <c r="BN670" s="3"/>
      <c r="BO670" s="3"/>
      <c r="BT670" s="316">
        <f t="shared" si="52"/>
        <v>25</v>
      </c>
      <c r="BU670" s="319">
        <f t="shared" si="53"/>
        <v>0.13227513227513227</v>
      </c>
      <c r="BV670" s="320">
        <f t="shared" si="54"/>
        <v>7.9356605621820231E-2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36">
        <f>SUMIF(DX635:EB669,"&gt;0")</f>
        <v>1534.08</v>
      </c>
      <c r="DY670" s="1536"/>
      <c r="DZ670" s="1536"/>
      <c r="EA670" s="1536"/>
      <c r="EB670" s="1536"/>
      <c r="EC670" s="1536">
        <f>SUMIF(EC635:EG669,"&gt;0")</f>
        <v>1264.3333333333335</v>
      </c>
      <c r="ED670" s="1536"/>
      <c r="EE670" s="1536"/>
      <c r="EF670" s="1536"/>
      <c r="EG670" s="1536"/>
      <c r="EH670" s="1536">
        <f>SUMIF(EH635:EL669,"&gt;0")</f>
        <v>1937.2916666666667</v>
      </c>
      <c r="EI670" s="1536"/>
      <c r="EJ670" s="1536"/>
      <c r="EK670" s="1536"/>
      <c r="EL670" s="1536"/>
      <c r="EM670" s="1536">
        <f>SUMIF(EM635:EQ669,"&gt;0")</f>
        <v>2195.8333333333335</v>
      </c>
      <c r="EN670" s="1536"/>
      <c r="EO670" s="1536"/>
      <c r="EP670" s="1536"/>
      <c r="EQ670" s="1536"/>
      <c r="ER670" s="1536">
        <f>SUMIF(ER635:EV669,"&gt;0")</f>
        <v>0</v>
      </c>
      <c r="ES670" s="1536"/>
      <c r="ET670" s="1536"/>
      <c r="EU670" s="1536"/>
      <c r="EV670" s="1536"/>
      <c r="EW670" s="1536">
        <f>SUMIF(EW635:FA669,"&gt;0")</f>
        <v>0</v>
      </c>
      <c r="EX670" s="1536"/>
      <c r="EY670" s="1536"/>
      <c r="EZ670" s="1536"/>
      <c r="FA670" s="1536"/>
    </row>
    <row r="671" spans="1:157" ht="12.95" customHeight="1">
      <c r="A671" s="22"/>
      <c r="B671" t="s">
        <v>317</v>
      </c>
      <c r="G671" s="1480"/>
      <c r="H671" s="1480"/>
      <c r="I671" s="1480"/>
      <c r="J671" s="1480"/>
      <c r="K671" s="1480"/>
      <c r="L671" s="1480"/>
      <c r="O671" s="33" t="s">
        <v>207</v>
      </c>
      <c r="P671" s="1515"/>
      <c r="Q671" s="1515"/>
      <c r="R671" s="1515"/>
      <c r="T671" s="22"/>
      <c r="U671" t="s">
        <v>317</v>
      </c>
      <c r="Z671" s="1480"/>
      <c r="AA671" s="1480"/>
      <c r="AB671" s="1480"/>
      <c r="AC671" s="1480"/>
      <c r="AD671" s="1480"/>
      <c r="AE671" s="1480"/>
      <c r="AH671" s="33" t="s">
        <v>207</v>
      </c>
      <c r="AI671" s="1515"/>
      <c r="AJ671" s="1515"/>
      <c r="AK671" s="1515"/>
      <c r="AZ671" s="3"/>
      <c r="BA671" s="118">
        <f t="shared" si="48"/>
        <v>3346</v>
      </c>
      <c r="BB671" s="3"/>
      <c r="BC671" s="3"/>
      <c r="BD671" s="3"/>
      <c r="BE671" s="3"/>
      <c r="BF671" s="218"/>
      <c r="BG671" s="316">
        <f t="shared" si="49"/>
        <v>2</v>
      </c>
      <c r="BH671" s="319">
        <f t="shared" si="50"/>
        <v>1.0582010582010581E-2</v>
      </c>
      <c r="BI671" s="320">
        <f t="shared" si="51"/>
        <v>3.1746031746031742E-3</v>
      </c>
      <c r="BJ671" s="3"/>
      <c r="BK671" s="3"/>
      <c r="BL671" s="3"/>
      <c r="BM671" s="3"/>
      <c r="BN671" s="3"/>
      <c r="BO671" s="3"/>
      <c r="BT671" s="316">
        <f t="shared" si="52"/>
        <v>2</v>
      </c>
      <c r="BU671" s="319">
        <f t="shared" si="53"/>
        <v>1.0582010582010581E-2</v>
      </c>
      <c r="BV671" s="320">
        <f t="shared" si="54"/>
        <v>3.1720731063229566E-3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6"/>
      <c r="I672" s="1486"/>
      <c r="J672" s="1486"/>
      <c r="K672" s="1486"/>
      <c r="L672" s="1486"/>
      <c r="M672" s="1486"/>
      <c r="N672" s="1486"/>
      <c r="O672" s="1486"/>
      <c r="P672" s="1486"/>
      <c r="Q672" s="1486"/>
      <c r="R672" s="1486"/>
      <c r="T672" s="22"/>
      <c r="U672" t="s">
        <v>18</v>
      </c>
      <c r="AA672" s="1486"/>
      <c r="AB672" s="1486"/>
      <c r="AC672" s="1486"/>
      <c r="AD672" s="1486"/>
      <c r="AE672" s="1486"/>
      <c r="AF672" s="1486"/>
      <c r="AG672" s="1486"/>
      <c r="AH672" s="1486"/>
      <c r="AI672" s="1486"/>
      <c r="AJ672" s="1486"/>
      <c r="AK672" s="1486"/>
      <c r="AZ672" s="3"/>
      <c r="BA672" s="118">
        <f t="shared" si="48"/>
        <v>3346</v>
      </c>
      <c r="BB672" s="3"/>
      <c r="BC672" s="3"/>
      <c r="BD672" s="3"/>
      <c r="BE672" s="3"/>
      <c r="BF672" s="218"/>
      <c r="BG672" s="316">
        <f t="shared" si="49"/>
        <v>10</v>
      </c>
      <c r="BH672" s="319">
        <f t="shared" si="50"/>
        <v>5.2910052910052907E-2</v>
      </c>
      <c r="BI672" s="320">
        <f t="shared" si="51"/>
        <v>1.5873015873015872E-2</v>
      </c>
      <c r="BJ672" s="3"/>
      <c r="BK672" s="3"/>
      <c r="BL672" s="3"/>
      <c r="BM672" s="3"/>
      <c r="BN672" s="3"/>
      <c r="BO672" s="3"/>
      <c r="BT672" s="316">
        <f t="shared" si="52"/>
        <v>10</v>
      </c>
      <c r="BU672" s="319">
        <f t="shared" si="53"/>
        <v>5.2910052910052907E-2</v>
      </c>
      <c r="BV672" s="320">
        <f t="shared" si="54"/>
        <v>1.5860365531614781E-2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79" t="s">
        <v>677</v>
      </c>
      <c r="O673" s="1479"/>
      <c r="T673" s="22"/>
      <c r="U673" t="s">
        <v>20</v>
      </c>
      <c r="AG673" s="1479" t="s">
        <v>677</v>
      </c>
      <c r="AH673" s="1479"/>
      <c r="AZ673" s="3"/>
      <c r="BA673" s="118">
        <f t="shared" si="48"/>
        <v>3346</v>
      </c>
      <c r="BB673" s="3"/>
      <c r="BC673" s="3"/>
      <c r="BD673" s="3"/>
      <c r="BE673" s="3"/>
      <c r="BF673" s="218"/>
      <c r="BG673" s="316">
        <f t="shared" si="49"/>
        <v>3</v>
      </c>
      <c r="BH673" s="319">
        <f t="shared" si="50"/>
        <v>1.5873015873015872E-2</v>
      </c>
      <c r="BI673" s="320">
        <f t="shared" si="51"/>
        <v>7.9365079365079361E-3</v>
      </c>
      <c r="BJ673" s="3"/>
      <c r="BK673" s="3"/>
      <c r="BL673" s="3"/>
      <c r="BM673" s="3"/>
      <c r="BN673" s="3"/>
      <c r="BO673" s="3"/>
      <c r="BT673" s="316">
        <f t="shared" si="52"/>
        <v>3</v>
      </c>
      <c r="BU673" s="319">
        <f t="shared" si="53"/>
        <v>1.5873015873015872E-2</v>
      </c>
      <c r="BV673" s="320">
        <f t="shared" si="54"/>
        <v>7.9365079365079361E-3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4014</v>
      </c>
      <c r="BB674" s="3"/>
      <c r="BC674" s="3"/>
      <c r="BD674" s="3"/>
      <c r="BE674" s="3"/>
      <c r="BF674" s="218"/>
      <c r="BG674" s="316">
        <f t="shared" si="49"/>
        <v>3</v>
      </c>
      <c r="BH674" s="319">
        <f t="shared" si="50"/>
        <v>1.5873015873015872E-2</v>
      </c>
      <c r="BI674" s="320">
        <f t="shared" si="51"/>
        <v>9.5238095238095229E-3</v>
      </c>
      <c r="BJ674" s="3"/>
      <c r="BK674" s="3"/>
      <c r="BL674" s="3"/>
      <c r="BM674" s="3"/>
      <c r="BN674" s="3"/>
      <c r="BO674" s="3"/>
      <c r="BT674" s="316">
        <f t="shared" si="52"/>
        <v>3</v>
      </c>
      <c r="BU674" s="319">
        <f t="shared" si="53"/>
        <v>1.5873015873015872E-2</v>
      </c>
      <c r="BV674" s="320">
        <f t="shared" si="54"/>
        <v>9.5209631969942789E-3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81">
        <f>C635</f>
        <v>0</v>
      </c>
      <c r="H675" s="1481"/>
      <c r="I675" s="1481"/>
      <c r="J675" s="1481"/>
      <c r="K675" s="1481"/>
      <c r="L675" s="1481"/>
      <c r="M675" s="1481"/>
      <c r="N675" s="1481"/>
      <c r="O675" s="1481"/>
      <c r="P675" s="1481"/>
      <c r="Q675" s="1481"/>
      <c r="R675" s="1481"/>
      <c r="T675" s="55" t="s">
        <v>654</v>
      </c>
      <c r="U675" t="s">
        <v>471</v>
      </c>
      <c r="Z675" s="1481">
        <f>C636</f>
        <v>0</v>
      </c>
      <c r="AA675" s="1481"/>
      <c r="AB675" s="1481"/>
      <c r="AC675" s="1481"/>
      <c r="AD675" s="1481"/>
      <c r="AE675" s="1481"/>
      <c r="AF675" s="1481"/>
      <c r="AG675" s="1481"/>
      <c r="AH675" s="1481"/>
      <c r="AI675" s="1481"/>
      <c r="AJ675" s="1481"/>
      <c r="AK675" s="1481"/>
      <c r="AZ675" s="3"/>
      <c r="BA675" s="118">
        <f t="shared" si="48"/>
        <v>4014</v>
      </c>
      <c r="BB675" s="3"/>
      <c r="BC675" s="3"/>
      <c r="BD675" s="3"/>
      <c r="BE675" s="3"/>
      <c r="BF675" s="218"/>
      <c r="BG675" s="316">
        <f t="shared" si="49"/>
        <v>3</v>
      </c>
      <c r="BH675" s="319">
        <f t="shared" si="50"/>
        <v>1.5873015873015872E-2</v>
      </c>
      <c r="BI675" s="320">
        <f t="shared" si="51"/>
        <v>4.7619047619047615E-3</v>
      </c>
      <c r="BJ675" s="3"/>
      <c r="BK675" s="3"/>
      <c r="BL675" s="3"/>
      <c r="BM675" s="3"/>
      <c r="BN675" s="3"/>
      <c r="BO675" s="3"/>
      <c r="BT675" s="316">
        <f t="shared" si="52"/>
        <v>3</v>
      </c>
      <c r="BU675" s="319">
        <f t="shared" si="53"/>
        <v>1.5873015873015872E-2</v>
      </c>
      <c r="BV675" s="320">
        <f t="shared" si="54"/>
        <v>4.761113879200576E-3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6"/>
      <c r="H676" s="1486"/>
      <c r="I676" s="1486"/>
      <c r="J676" s="1486"/>
      <c r="K676" s="1486"/>
      <c r="L676" s="1486"/>
      <c r="M676" s="1486"/>
      <c r="N676" s="1486"/>
      <c r="O676" s="1486"/>
      <c r="P676" s="1486"/>
      <c r="Q676" s="1486"/>
      <c r="R676" s="1486"/>
      <c r="T676" s="22"/>
      <c r="U676" t="s">
        <v>85</v>
      </c>
      <c r="Z676" s="1486"/>
      <c r="AA676" s="1486"/>
      <c r="AB676" s="1486"/>
      <c r="AC676" s="1486"/>
      <c r="AD676" s="1486"/>
      <c r="AE676" s="1486"/>
      <c r="AF676" s="1486"/>
      <c r="AG676" s="1486"/>
      <c r="AH676" s="1486"/>
      <c r="AI676" s="1486"/>
      <c r="AJ676" s="1486"/>
      <c r="AK676" s="1486"/>
      <c r="AZ676" s="3"/>
      <c r="BA676" s="118">
        <f t="shared" si="48"/>
        <v>4014</v>
      </c>
      <c r="BB676" s="3"/>
      <c r="BC676" s="3"/>
      <c r="BD676" s="3"/>
      <c r="BE676" s="3"/>
      <c r="BF676" s="218"/>
      <c r="BG676" s="316">
        <f t="shared" si="49"/>
        <v>10</v>
      </c>
      <c r="BH676" s="319">
        <f t="shared" si="50"/>
        <v>5.2910052910052907E-2</v>
      </c>
      <c r="BI676" s="320">
        <f t="shared" si="51"/>
        <v>1.5873015873015872E-2</v>
      </c>
      <c r="BJ676" s="3"/>
      <c r="BK676" s="3"/>
      <c r="BL676" s="3"/>
      <c r="BM676" s="3"/>
      <c r="BN676" s="3"/>
      <c r="BO676" s="3"/>
      <c r="BT676" s="316">
        <f t="shared" si="52"/>
        <v>10</v>
      </c>
      <c r="BU676" s="319">
        <f t="shared" si="53"/>
        <v>5.2910052910052907E-2</v>
      </c>
      <c r="BV676" s="320">
        <f t="shared" si="54"/>
        <v>1.5870379597335251E-2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86"/>
      <c r="H677" s="1486"/>
      <c r="I677" s="1486"/>
      <c r="J677" s="1486"/>
      <c r="K677" s="1486"/>
      <c r="L677" s="1486"/>
      <c r="M677" s="1486"/>
      <c r="N677" s="1486"/>
      <c r="O677" s="1486"/>
      <c r="P677" s="1486"/>
      <c r="Q677" s="1486"/>
      <c r="R677" s="1486"/>
      <c r="T677" s="22"/>
      <c r="U677" t="s">
        <v>588</v>
      </c>
      <c r="Z677" s="1485"/>
      <c r="AA677" s="1485"/>
      <c r="AB677" s="1485"/>
      <c r="AC677" s="1485"/>
      <c r="AD677" s="1485"/>
      <c r="AE677" s="1485"/>
      <c r="AF677" s="1485"/>
      <c r="AG677" s="1485"/>
      <c r="AH677" s="1485"/>
      <c r="AI677" s="1485"/>
      <c r="AJ677" s="1485"/>
      <c r="AK677" s="1485"/>
      <c r="AZ677" s="3"/>
      <c r="BA677" s="118">
        <f t="shared" si="48"/>
        <v>4014</v>
      </c>
      <c r="BB677" s="3"/>
      <c r="BC677" s="3"/>
      <c r="BD677" s="3"/>
      <c r="BE677" s="3"/>
      <c r="BF677" s="218"/>
      <c r="BG677" s="316">
        <f t="shared" si="49"/>
        <v>11</v>
      </c>
      <c r="BH677" s="319">
        <f t="shared" si="50"/>
        <v>5.8201058201058198E-2</v>
      </c>
      <c r="BI677" s="320">
        <f t="shared" si="51"/>
        <v>2.9100529100529099E-2</v>
      </c>
      <c r="BJ677" s="3"/>
      <c r="BK677" s="3"/>
      <c r="BL677" s="3"/>
      <c r="BM677" s="3"/>
      <c r="BN677" s="3"/>
      <c r="BO677" s="3"/>
      <c r="BT677" s="316">
        <f t="shared" si="52"/>
        <v>11</v>
      </c>
      <c r="BU677" s="319">
        <f t="shared" si="53"/>
        <v>5.8201058201058198E-2</v>
      </c>
      <c r="BV677" s="320">
        <f t="shared" si="54"/>
        <v>2.9100529100529099E-2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6"/>
      <c r="H678" s="1486"/>
      <c r="I678" s="1486"/>
      <c r="J678" s="1486"/>
      <c r="K678" s="1486"/>
      <c r="L678" s="1486"/>
      <c r="M678" s="1486"/>
      <c r="N678" s="1486"/>
      <c r="O678" s="1486"/>
      <c r="P678" s="1486"/>
      <c r="Q678" s="1486"/>
      <c r="R678" s="1486"/>
      <c r="T678" s="22"/>
      <c r="U678" t="s">
        <v>17</v>
      </c>
      <c r="Z678" s="1485"/>
      <c r="AA678" s="1485"/>
      <c r="AB678" s="1485"/>
      <c r="AC678" s="1485"/>
      <c r="AD678" s="1485"/>
      <c r="AE678" s="1485"/>
      <c r="AF678" s="1485"/>
      <c r="AG678" s="1485"/>
      <c r="AH678" s="1485"/>
      <c r="AI678" s="1485"/>
      <c r="AJ678" s="1485"/>
      <c r="AK678" s="1485"/>
      <c r="AZ678" s="3"/>
      <c r="BA678" s="118">
        <f t="shared" si="48"/>
        <v>4638</v>
      </c>
      <c r="BB678" s="3"/>
      <c r="BC678" s="3"/>
      <c r="BD678" s="3"/>
      <c r="BE678" s="3"/>
      <c r="BF678" s="218"/>
      <c r="BG678" s="316">
        <f t="shared" si="49"/>
        <v>24</v>
      </c>
      <c r="BH678" s="319">
        <f t="shared" si="50"/>
        <v>0.12698412698412698</v>
      </c>
      <c r="BI678" s="320">
        <f t="shared" si="51"/>
        <v>7.6190476190476183E-2</v>
      </c>
      <c r="BJ678" s="3"/>
      <c r="BK678" s="3"/>
      <c r="BL678" s="3"/>
      <c r="BM678" s="3"/>
      <c r="BN678" s="3"/>
      <c r="BO678" s="3"/>
      <c r="BT678" s="316">
        <f t="shared" si="52"/>
        <v>24</v>
      </c>
      <c r="BU678" s="319">
        <f t="shared" si="53"/>
        <v>0.12698412698412698</v>
      </c>
      <c r="BV678" s="320">
        <f t="shared" si="54"/>
        <v>7.6209457375376655E-2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0"/>
      <c r="H679" s="1480"/>
      <c r="I679" s="1480"/>
      <c r="J679" s="1480"/>
      <c r="K679" s="1480"/>
      <c r="L679" s="1480"/>
      <c r="O679" s="33" t="s">
        <v>207</v>
      </c>
      <c r="P679" s="1515"/>
      <c r="Q679" s="1515"/>
      <c r="R679" s="1515"/>
      <c r="T679" s="22"/>
      <c r="U679" t="s">
        <v>317</v>
      </c>
      <c r="Z679" s="1480"/>
      <c r="AA679" s="1480"/>
      <c r="AB679" s="1480"/>
      <c r="AC679" s="1480"/>
      <c r="AD679" s="1480"/>
      <c r="AE679" s="1480"/>
      <c r="AH679" s="33" t="s">
        <v>207</v>
      </c>
      <c r="AI679" s="1515"/>
      <c r="AJ679" s="1515"/>
      <c r="AK679" s="1515"/>
      <c r="AZ679" s="3"/>
      <c r="BA679" s="118">
        <f t="shared" si="48"/>
        <v>4638</v>
      </c>
      <c r="BB679" s="3"/>
      <c r="BC679" s="3"/>
      <c r="BD679" s="3"/>
      <c r="BE679" s="3"/>
      <c r="BF679" s="218"/>
      <c r="BG679" s="316">
        <f t="shared" si="49"/>
        <v>4</v>
      </c>
      <c r="BH679" s="319">
        <f t="shared" si="50"/>
        <v>2.1164021164021163E-2</v>
      </c>
      <c r="BI679" s="320">
        <f t="shared" si="51"/>
        <v>6.3492063492063483E-3</v>
      </c>
      <c r="BJ679" s="3"/>
      <c r="BK679" s="3"/>
      <c r="BL679" s="3"/>
      <c r="BM679" s="3"/>
      <c r="BN679" s="3"/>
      <c r="BO679" s="3"/>
      <c r="BT679" s="316">
        <f t="shared" si="52"/>
        <v>4</v>
      </c>
      <c r="BU679" s="319">
        <f t="shared" si="53"/>
        <v>2.1164021164021163E-2</v>
      </c>
      <c r="BV679" s="320">
        <f t="shared" si="54"/>
        <v>6.3473810778683568E-3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6"/>
      <c r="I680" s="1486"/>
      <c r="J680" s="1486"/>
      <c r="K680" s="1486"/>
      <c r="L680" s="1486"/>
      <c r="M680" s="1486"/>
      <c r="N680" s="1486"/>
      <c r="O680" s="1486"/>
      <c r="P680" s="1486"/>
      <c r="Q680" s="1486"/>
      <c r="R680" s="1486"/>
      <c r="T680" s="22"/>
      <c r="U680" t="s">
        <v>18</v>
      </c>
      <c r="AA680" s="1486"/>
      <c r="AB680" s="1486"/>
      <c r="AC680" s="1486"/>
      <c r="AD680" s="1486"/>
      <c r="AE680" s="1486"/>
      <c r="AF680" s="1486"/>
      <c r="AG680" s="1486"/>
      <c r="AH680" s="1486"/>
      <c r="AI680" s="1486"/>
      <c r="AJ680" s="1486"/>
      <c r="AK680" s="1486"/>
      <c r="AZ680" s="3"/>
      <c r="BA680" s="118">
        <f t="shared" si="48"/>
        <v>4638</v>
      </c>
      <c r="BB680" s="3"/>
      <c r="BC680" s="3"/>
      <c r="BD680" s="3"/>
      <c r="BE680" s="3"/>
      <c r="BF680" s="218"/>
      <c r="BG680" s="316">
        <f t="shared" si="49"/>
        <v>10</v>
      </c>
      <c r="BH680" s="319">
        <f t="shared" si="50"/>
        <v>5.2910052910052907E-2</v>
      </c>
      <c r="BI680" s="320">
        <f t="shared" si="51"/>
        <v>1.5873015873015872E-2</v>
      </c>
      <c r="BJ680" s="3"/>
      <c r="BK680" s="3"/>
      <c r="BL680" s="3"/>
      <c r="BM680" s="3"/>
      <c r="BN680" s="3"/>
      <c r="BO680" s="3"/>
      <c r="BT680" s="316">
        <f t="shared" si="52"/>
        <v>10</v>
      </c>
      <c r="BU680" s="319">
        <f t="shared" si="53"/>
        <v>5.2910052910052907E-2</v>
      </c>
      <c r="BV680" s="320">
        <f t="shared" si="54"/>
        <v>1.5868452694670892E-2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79" t="s">
        <v>677</v>
      </c>
      <c r="O681" s="1479"/>
      <c r="T681" s="22"/>
      <c r="U681" t="s">
        <v>20</v>
      </c>
      <c r="AG681" s="1479" t="s">
        <v>677</v>
      </c>
      <c r="AH681" s="1479"/>
      <c r="AZ681" s="3"/>
      <c r="BA681" s="118">
        <f t="shared" si="48"/>
        <v>4638</v>
      </c>
      <c r="BB681" s="3"/>
      <c r="BC681" s="3"/>
      <c r="BD681" s="3"/>
      <c r="BE681" s="3"/>
      <c r="BF681" s="218"/>
      <c r="BG681" s="316">
        <f t="shared" si="49"/>
        <v>12</v>
      </c>
      <c r="BH681" s="319">
        <f t="shared" si="50"/>
        <v>6.3492063492063489E-2</v>
      </c>
      <c r="BI681" s="320">
        <f t="shared" si="51"/>
        <v>3.1746031746031744E-2</v>
      </c>
      <c r="BJ681" s="3"/>
      <c r="BK681" s="3"/>
      <c r="BL681" s="3"/>
      <c r="BM681" s="3"/>
      <c r="BN681" s="3"/>
      <c r="BO681" s="3"/>
      <c r="BT681" s="316">
        <f t="shared" si="52"/>
        <v>12</v>
      </c>
      <c r="BU681" s="319">
        <f t="shared" si="53"/>
        <v>6.3492063492063489E-2</v>
      </c>
      <c r="BV681" s="320">
        <f t="shared" si="54"/>
        <v>3.1746031746031744E-2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22</v>
      </c>
      <c r="BH682" s="319">
        <f t="shared" si="50"/>
        <v>0.1164021164021164</v>
      </c>
      <c r="BI682" s="320">
        <f t="shared" si="51"/>
        <v>6.9841269841269829E-2</v>
      </c>
      <c r="BJ682" s="3"/>
      <c r="BK682" s="3"/>
      <c r="BL682" s="3"/>
      <c r="BM682" s="3"/>
      <c r="BN682" s="3"/>
      <c r="BO682" s="3"/>
      <c r="BT682" s="316">
        <f t="shared" si="52"/>
        <v>22</v>
      </c>
      <c r="BU682" s="319">
        <f t="shared" si="53"/>
        <v>0.1164021164021164</v>
      </c>
      <c r="BV682" s="320">
        <f t="shared" si="54"/>
        <v>6.984628933744931E-2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81">
        <f>C637</f>
        <v>0</v>
      </c>
      <c r="H683" s="1481"/>
      <c r="I683" s="1481"/>
      <c r="J683" s="1481"/>
      <c r="K683" s="1481"/>
      <c r="L683" s="1481"/>
      <c r="M683" s="1481"/>
      <c r="N683" s="1481"/>
      <c r="O683" s="1481"/>
      <c r="P683" s="1481"/>
      <c r="Q683" s="1481"/>
      <c r="R683" s="1481"/>
      <c r="T683" s="55" t="s">
        <v>364</v>
      </c>
      <c r="U683" t="s">
        <v>471</v>
      </c>
      <c r="Z683" s="1481">
        <f>C638</f>
        <v>0</v>
      </c>
      <c r="AA683" s="1481"/>
      <c r="AB683" s="1481"/>
      <c r="AC683" s="1481"/>
      <c r="AD683" s="1481"/>
      <c r="AE683" s="1481"/>
      <c r="AF683" s="1481"/>
      <c r="AG683" s="1481"/>
      <c r="AH683" s="1481"/>
      <c r="AI683" s="1481"/>
      <c r="AJ683" s="1481"/>
      <c r="AK683" s="148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6"/>
      <c r="H684" s="1486"/>
      <c r="I684" s="1486"/>
      <c r="J684" s="1486"/>
      <c r="K684" s="1486"/>
      <c r="L684" s="1486"/>
      <c r="M684" s="1486"/>
      <c r="N684" s="1486"/>
      <c r="O684" s="1486"/>
      <c r="P684" s="1486"/>
      <c r="Q684" s="1486"/>
      <c r="R684" s="1486"/>
      <c r="T684" s="22"/>
      <c r="U684" t="s">
        <v>85</v>
      </c>
      <c r="Z684" s="1486"/>
      <c r="AA684" s="1486"/>
      <c r="AB684" s="1486"/>
      <c r="AC684" s="1486"/>
      <c r="AD684" s="1486"/>
      <c r="AE684" s="1486"/>
      <c r="AF684" s="1486"/>
      <c r="AG684" s="1486"/>
      <c r="AH684" s="1486"/>
      <c r="AI684" s="1486"/>
      <c r="AJ684" s="1486"/>
      <c r="AK684" s="14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86"/>
      <c r="H685" s="1486"/>
      <c r="I685" s="1486"/>
      <c r="J685" s="1486"/>
      <c r="K685" s="1486"/>
      <c r="L685" s="1486"/>
      <c r="M685" s="1486"/>
      <c r="N685" s="1486"/>
      <c r="O685" s="1486"/>
      <c r="P685" s="1486"/>
      <c r="Q685" s="1486"/>
      <c r="R685" s="1486"/>
      <c r="U685" t="s">
        <v>588</v>
      </c>
      <c r="Z685" s="1485"/>
      <c r="AA685" s="1485"/>
      <c r="AB685" s="1485"/>
      <c r="AC685" s="1485"/>
      <c r="AD685" s="1485"/>
      <c r="AE685" s="1485"/>
      <c r="AF685" s="1485"/>
      <c r="AG685" s="1485"/>
      <c r="AH685" s="1485"/>
      <c r="AI685" s="1485"/>
      <c r="AJ685" s="1485"/>
      <c r="AK685" s="148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6"/>
      <c r="H686" s="1486"/>
      <c r="I686" s="1486"/>
      <c r="J686" s="1486"/>
      <c r="K686" s="1486"/>
      <c r="L686" s="1486"/>
      <c r="M686" s="1486"/>
      <c r="N686" s="1486"/>
      <c r="O686" s="1486"/>
      <c r="P686" s="1486"/>
      <c r="Q686" s="1486"/>
      <c r="R686" s="1486"/>
      <c r="U686" t="s">
        <v>17</v>
      </c>
      <c r="Z686" s="1485"/>
      <c r="AA686" s="1485"/>
      <c r="AB686" s="1485"/>
      <c r="AC686" s="1485"/>
      <c r="AD686" s="1485"/>
      <c r="AE686" s="1485"/>
      <c r="AF686" s="1485"/>
      <c r="AG686" s="1485"/>
      <c r="AH686" s="1485"/>
      <c r="AI686" s="1485"/>
      <c r="AJ686" s="1485"/>
      <c r="AK686" s="148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0"/>
      <c r="H687" s="1480"/>
      <c r="I687" s="1480"/>
      <c r="J687" s="1480"/>
      <c r="K687" s="1480"/>
      <c r="L687" s="1480"/>
      <c r="O687" s="33" t="s">
        <v>207</v>
      </c>
      <c r="P687" s="1515"/>
      <c r="Q687" s="1515"/>
      <c r="R687" s="1515"/>
      <c r="U687" t="s">
        <v>317</v>
      </c>
      <c r="Z687" s="1480"/>
      <c r="AA687" s="1480"/>
      <c r="AB687" s="1480"/>
      <c r="AC687" s="1480"/>
      <c r="AD687" s="1480"/>
      <c r="AE687" s="1480"/>
      <c r="AH687" s="33" t="s">
        <v>207</v>
      </c>
      <c r="AI687" s="1515"/>
      <c r="AJ687" s="1515"/>
      <c r="AK687" s="151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6"/>
      <c r="I688" s="1486"/>
      <c r="J688" s="1486"/>
      <c r="K688" s="1486"/>
      <c r="L688" s="1486"/>
      <c r="M688" s="1486"/>
      <c r="N688" s="1486"/>
      <c r="O688" s="1486"/>
      <c r="P688" s="1486"/>
      <c r="Q688" s="1486"/>
      <c r="R688" s="1486"/>
      <c r="U688" t="s">
        <v>18</v>
      </c>
      <c r="AA688" s="1486"/>
      <c r="AB688" s="1486"/>
      <c r="AC688" s="1486"/>
      <c r="AD688" s="1486"/>
      <c r="AE688" s="1486"/>
      <c r="AF688" s="1486"/>
      <c r="AG688" s="1486"/>
      <c r="AH688" s="1486"/>
      <c r="AI688" s="1486"/>
      <c r="AJ688" s="1486"/>
      <c r="AK688" s="14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79" t="s">
        <v>677</v>
      </c>
      <c r="O689" s="1479"/>
      <c r="U689" t="s">
        <v>20</v>
      </c>
      <c r="AG689" s="1479" t="s">
        <v>677</v>
      </c>
      <c r="AH689" s="14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79" t="s">
        <v>553</v>
      </c>
      <c r="AF693" s="14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79" t="s">
        <v>677</v>
      </c>
      <c r="AF694" s="14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5">
        <v>45405</v>
      </c>
      <c r="AF695" s="1545"/>
      <c r="AG695" s="1545"/>
      <c r="AH695" s="1545"/>
      <c r="AI695" s="154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19">
        <v>45511</v>
      </c>
      <c r="AF696" s="1519"/>
      <c r="AG696" s="1519"/>
      <c r="AH696" s="1519"/>
      <c r="AI696" s="151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5">
        <v>45672</v>
      </c>
      <c r="AF698" s="1545"/>
      <c r="AG698" s="1545"/>
      <c r="AH698" s="1545"/>
      <c r="AI698" s="154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35">
        <v>0.51480000000000004</v>
      </c>
      <c r="AF699" s="1735"/>
      <c r="AG699" s="1735"/>
      <c r="AH699" s="1735"/>
      <c r="AI699" s="173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1" t="str">
        <f>H335</f>
        <v>City of San Jose</v>
      </c>
      <c r="X700" s="1481"/>
      <c r="Y700" s="1481"/>
      <c r="Z700" s="1481"/>
      <c r="AA700" s="1481"/>
      <c r="AB700" s="1481"/>
      <c r="AC700" s="1481"/>
      <c r="AD700" s="1481"/>
      <c r="AE700" s="1481"/>
      <c r="AF700" s="1481"/>
      <c r="AG700" s="1481"/>
      <c r="AH700" s="1481"/>
      <c r="AI700" s="1481"/>
      <c r="AJ700" s="1481"/>
      <c r="AK700" s="148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G751</f>
        <v>0</v>
      </c>
      <c r="BH701" s="319">
        <f t="shared" si="50"/>
        <v>0</v>
      </c>
      <c r="BI701" s="320" t="str">
        <f>IF(BH701=0,"",BH701*AC762)</f>
        <v/>
      </c>
      <c r="BJ701" s="3"/>
      <c r="BK701" s="34"/>
      <c r="BL701" s="34"/>
      <c r="BM701" s="34"/>
      <c r="BN701" s="34"/>
      <c r="BO701" s="34"/>
      <c r="BT701" s="316">
        <f>G751</f>
        <v>0</v>
      </c>
      <c r="BU701" s="319">
        <f t="shared" si="53"/>
        <v>0</v>
      </c>
      <c r="BV701" s="320" t="str">
        <f>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79" t="s">
        <v>553</v>
      </c>
      <c r="AF702" s="14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86" t="s">
        <v>2773</v>
      </c>
      <c r="X703" s="1486"/>
      <c r="Y703" s="1486"/>
      <c r="Z703" s="1486"/>
      <c r="AA703" s="1486"/>
      <c r="AB703" s="1486"/>
      <c r="AC703" s="1486"/>
      <c r="AD703" s="1486"/>
      <c r="AE703" s="1486"/>
      <c r="AF703" s="1486"/>
      <c r="AG703" s="1486"/>
      <c r="AH703" s="1486"/>
      <c r="AI703" s="1486"/>
      <c r="AJ703" s="1486"/>
      <c r="AK703" s="1486"/>
      <c r="AZ703" s="34"/>
      <c r="BA703" s="34"/>
      <c r="BB703" s="34"/>
      <c r="BC703" s="34"/>
      <c r="BD703" s="34"/>
      <c r="BE703" s="3"/>
      <c r="BF703" s="312" t="s">
        <v>914</v>
      </c>
      <c r="BG703" s="321">
        <f>SUM(BG668:BG702)</f>
        <v>189</v>
      </c>
      <c r="BH703" s="322">
        <f>SUM(BH668:BH702)</f>
        <v>1</v>
      </c>
      <c r="BI703" s="322">
        <f>SUM(BI668:BI702)</f>
        <v>0.48624338624338614</v>
      </c>
      <c r="BN703" s="3"/>
      <c r="BO703" s="3"/>
      <c r="BT703" s="893">
        <f>SUM(BT668:BT702)</f>
        <v>189</v>
      </c>
      <c r="BU703" s="322">
        <f>SUM(BU668:BU702)</f>
        <v>1</v>
      </c>
      <c r="BV703" s="322">
        <f>SUM(BV668:BV702)</f>
        <v>0.48621988549554057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6" t="s">
        <v>2780</v>
      </c>
      <c r="K704" s="1486"/>
      <c r="L704" s="1486"/>
      <c r="M704" s="1486"/>
      <c r="N704" s="1486"/>
      <c r="O704" s="1486"/>
      <c r="P704" s="1486"/>
      <c r="Q704" s="1486"/>
      <c r="R704" s="1486"/>
      <c r="S704" s="1486"/>
      <c r="T704" s="1486"/>
      <c r="U704" s="1486"/>
      <c r="V704" s="1486"/>
      <c r="W704" s="1486"/>
      <c r="X704" s="14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47" t="s">
        <v>2781</v>
      </c>
      <c r="K705" s="1480"/>
      <c r="L705" s="1480"/>
      <c r="M705" s="1480"/>
      <c r="N705" s="1480"/>
      <c r="O705" s="1480"/>
      <c r="P705" s="4" t="s">
        <v>207</v>
      </c>
      <c r="Q705" s="4"/>
      <c r="R705" s="1515" t="s">
        <v>599</v>
      </c>
      <c r="S705" s="1515"/>
      <c r="T705" s="151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86" t="s">
        <v>301</v>
      </c>
      <c r="X706" s="1486"/>
      <c r="Y706" s="1486"/>
      <c r="Z706" s="1486"/>
      <c r="AA706" s="1486"/>
      <c r="AB706" s="1486"/>
      <c r="AC706" s="1486"/>
      <c r="AD706" s="1486"/>
      <c r="AE706" s="1486"/>
      <c r="AF706" s="1486"/>
      <c r="AG706" s="1486"/>
      <c r="AH706" s="1486"/>
      <c r="AI706" s="1486"/>
      <c r="AJ706" s="1486"/>
      <c r="AK706" s="14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6" t="s">
        <v>2782</v>
      </c>
      <c r="F707" s="1486"/>
      <c r="G707" s="1486"/>
      <c r="H707" s="1486"/>
      <c r="I707" s="1486"/>
      <c r="J707" s="1486"/>
      <c r="K707" s="1486"/>
      <c r="L707" s="1486"/>
      <c r="M707" s="1486"/>
      <c r="N707" s="1486"/>
      <c r="O707" s="1486"/>
      <c r="P707" s="1486"/>
      <c r="Q707" s="1486"/>
      <c r="R707" s="1486"/>
      <c r="S707" s="1486"/>
      <c r="T707" s="1486"/>
      <c r="U707" s="1486"/>
      <c r="V707" s="1486"/>
      <c r="W707" s="1486"/>
      <c r="X707" s="1486"/>
      <c r="Y707" s="1486"/>
      <c r="Z707" s="1486"/>
      <c r="AA707" s="1486"/>
      <c r="AB707" s="1486"/>
      <c r="AC707" s="1486"/>
      <c r="AD707" s="1486"/>
      <c r="AE707" s="1486"/>
      <c r="AF707" s="1486"/>
      <c r="AG707" s="1486"/>
      <c r="AH707" s="1486"/>
      <c r="AI707" s="1486"/>
      <c r="AJ707" s="1486"/>
      <c r="AK707" s="14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6" t="s">
        <v>390</v>
      </c>
      <c r="C714" s="1507"/>
      <c r="D714" s="1507"/>
      <c r="E714" s="1507"/>
      <c r="F714" s="1508"/>
      <c r="G714" s="1506" t="s">
        <v>286</v>
      </c>
      <c r="H714" s="1507"/>
      <c r="I714" s="1507"/>
      <c r="J714" s="1508"/>
      <c r="K714" s="1638" t="s">
        <v>1867</v>
      </c>
      <c r="L714" s="1639"/>
      <c r="M714" s="1639"/>
      <c r="N714" s="1640"/>
      <c r="O714" s="1506" t="s">
        <v>455</v>
      </c>
      <c r="P714" s="1507"/>
      <c r="Q714" s="1507"/>
      <c r="R714" s="1507"/>
      <c r="S714" s="1508"/>
      <c r="T714" s="1546" t="s">
        <v>2251</v>
      </c>
      <c r="U714" s="1507"/>
      <c r="V714" s="1507"/>
      <c r="W714" s="1508"/>
      <c r="X714" s="1546" t="s">
        <v>2253</v>
      </c>
      <c r="Y714" s="1507"/>
      <c r="Z714" s="1507"/>
      <c r="AA714" s="1507"/>
      <c r="AB714" s="1508"/>
      <c r="AC714" s="1546" t="s">
        <v>2252</v>
      </c>
      <c r="AD714" s="1507"/>
      <c r="AE714" s="1507"/>
      <c r="AF714" s="1507"/>
      <c r="AG714" s="1508"/>
      <c r="AH714" s="1546" t="s">
        <v>2254</v>
      </c>
      <c r="AI714" s="1507"/>
      <c r="AJ714" s="1508"/>
      <c r="AK714" s="1546" t="s">
        <v>2288</v>
      </c>
      <c r="AL714" s="1507"/>
      <c r="AM714" s="1507"/>
      <c r="AN714" s="1507"/>
      <c r="AO714" s="150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09"/>
      <c r="C715" s="1510"/>
      <c r="D715" s="1510"/>
      <c r="E715" s="1510"/>
      <c r="F715" s="1511"/>
      <c r="G715" s="1509"/>
      <c r="H715" s="1510"/>
      <c r="I715" s="1510"/>
      <c r="J715" s="1511"/>
      <c r="K715" s="1641"/>
      <c r="L715" s="1642"/>
      <c r="M715" s="1642"/>
      <c r="N715" s="1643"/>
      <c r="O715" s="1509"/>
      <c r="P715" s="1510"/>
      <c r="Q715" s="1510"/>
      <c r="R715" s="1510"/>
      <c r="S715" s="1511"/>
      <c r="T715" s="1509"/>
      <c r="U715" s="1510"/>
      <c r="V715" s="1510"/>
      <c r="W715" s="1511"/>
      <c r="X715" s="1509"/>
      <c r="Y715" s="1510"/>
      <c r="Z715" s="1510"/>
      <c r="AA715" s="1510"/>
      <c r="AB715" s="1511"/>
      <c r="AC715" s="1509"/>
      <c r="AD715" s="1510"/>
      <c r="AE715" s="1510"/>
      <c r="AF715" s="1510"/>
      <c r="AG715" s="1511"/>
      <c r="AH715" s="1509"/>
      <c r="AI715" s="1510"/>
      <c r="AJ715" s="1511"/>
      <c r="AK715" s="1509"/>
      <c r="AL715" s="1510"/>
      <c r="AM715" s="1510"/>
      <c r="AN715" s="1510"/>
      <c r="AO715" s="151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09"/>
      <c r="C716" s="1510"/>
      <c r="D716" s="1510"/>
      <c r="E716" s="1510"/>
      <c r="F716" s="1511"/>
      <c r="G716" s="1509"/>
      <c r="H716" s="1510"/>
      <c r="I716" s="1510"/>
      <c r="J716" s="1511"/>
      <c r="K716" s="1641"/>
      <c r="L716" s="1642"/>
      <c r="M716" s="1642"/>
      <c r="N716" s="1643"/>
      <c r="O716" s="1509"/>
      <c r="P716" s="1510"/>
      <c r="Q716" s="1510"/>
      <c r="R716" s="1510"/>
      <c r="S716" s="1511"/>
      <c r="T716" s="1509"/>
      <c r="U716" s="1510"/>
      <c r="V716" s="1510"/>
      <c r="W716" s="1511"/>
      <c r="X716" s="1509"/>
      <c r="Y716" s="1510"/>
      <c r="Z716" s="1510"/>
      <c r="AA716" s="1510"/>
      <c r="AB716" s="1511"/>
      <c r="AC716" s="1509"/>
      <c r="AD716" s="1510"/>
      <c r="AE716" s="1510"/>
      <c r="AF716" s="1510"/>
      <c r="AG716" s="1511"/>
      <c r="AH716" s="1509"/>
      <c r="AI716" s="1510"/>
      <c r="AJ716" s="1511"/>
      <c r="AK716" s="1509"/>
      <c r="AL716" s="1510"/>
      <c r="AM716" s="1510"/>
      <c r="AN716" s="1510"/>
      <c r="AO716" s="151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12"/>
      <c r="C717" s="1513"/>
      <c r="D717" s="1513"/>
      <c r="E717" s="1513"/>
      <c r="F717" s="1514"/>
      <c r="G717" s="1512"/>
      <c r="H717" s="1513"/>
      <c r="I717" s="1513"/>
      <c r="J717" s="1514"/>
      <c r="K717" s="1641"/>
      <c r="L717" s="1642"/>
      <c r="M717" s="1642"/>
      <c r="N717" s="1643"/>
      <c r="O717" s="1512"/>
      <c r="P717" s="1513"/>
      <c r="Q717" s="1513"/>
      <c r="R717" s="1513"/>
      <c r="S717" s="1514"/>
      <c r="T717" s="1512"/>
      <c r="U717" s="1513"/>
      <c r="V717" s="1513"/>
      <c r="W717" s="1514"/>
      <c r="X717" s="1512"/>
      <c r="Y717" s="1513"/>
      <c r="Z717" s="1513"/>
      <c r="AA717" s="1513"/>
      <c r="AB717" s="1514"/>
      <c r="AC717" s="1512"/>
      <c r="AD717" s="1513"/>
      <c r="AE717" s="1513"/>
      <c r="AF717" s="1513"/>
      <c r="AG717" s="1514"/>
      <c r="AH717" s="1512"/>
      <c r="AI717" s="1513"/>
      <c r="AJ717" s="1514"/>
      <c r="AK717" s="1512"/>
      <c r="AL717" s="1513"/>
      <c r="AM717" s="1513"/>
      <c r="AN717" s="1513"/>
      <c r="AO717" s="151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6" t="s">
        <v>325</v>
      </c>
      <c r="C718" s="1367"/>
      <c r="D718" s="1367"/>
      <c r="E718" s="1367"/>
      <c r="F718" s="1368"/>
      <c r="G718" s="1465">
        <v>11</v>
      </c>
      <c r="H718" s="1466"/>
      <c r="I718" s="1466"/>
      <c r="J718" s="1467"/>
      <c r="K718" s="1372">
        <v>398</v>
      </c>
      <c r="L718" s="1373"/>
      <c r="M718" s="1373"/>
      <c r="N718" s="1374"/>
      <c r="O718" s="1369">
        <v>936</v>
      </c>
      <c r="P718" s="1370"/>
      <c r="Q718" s="1370"/>
      <c r="R718" s="1370"/>
      <c r="S718" s="1371"/>
      <c r="T718" s="1369"/>
      <c r="U718" s="1370"/>
      <c r="V718" s="1370"/>
      <c r="W718" s="1371"/>
      <c r="X718" s="1389">
        <f t="shared" ref="X718:X741" si="56">O718+T718</f>
        <v>936</v>
      </c>
      <c r="Y718" s="1390"/>
      <c r="Z718" s="1390"/>
      <c r="AA718" s="1390"/>
      <c r="AB718" s="1391"/>
      <c r="AC718" s="1363">
        <v>0.3</v>
      </c>
      <c r="AD718" s="1364"/>
      <c r="AE718" s="1364"/>
      <c r="AF718" s="1364"/>
      <c r="AG718" s="1365"/>
      <c r="AH718" s="1533">
        <f t="shared" ref="AH718:AH751" si="57">IF($AC718&gt;0,($X718/$BA667), "")</f>
        <v>0.29980781550288277</v>
      </c>
      <c r="AI718" s="1534"/>
      <c r="AJ718" s="1535"/>
      <c r="AK718" s="1366" t="s">
        <v>2417</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6" t="s">
        <v>325</v>
      </c>
      <c r="C719" s="1367"/>
      <c r="D719" s="1367"/>
      <c r="E719" s="1367"/>
      <c r="F719" s="1368"/>
      <c r="G719" s="1465">
        <v>39</v>
      </c>
      <c r="H719" s="1466"/>
      <c r="I719" s="1466"/>
      <c r="J719" s="1467"/>
      <c r="K719" s="1372">
        <v>398</v>
      </c>
      <c r="L719" s="1373"/>
      <c r="M719" s="1373"/>
      <c r="N719" s="1374"/>
      <c r="O719" s="1369">
        <v>1515</v>
      </c>
      <c r="P719" s="1370"/>
      <c r="Q719" s="1370"/>
      <c r="R719" s="1370"/>
      <c r="S719" s="1371"/>
      <c r="T719" s="1369">
        <v>46</v>
      </c>
      <c r="U719" s="1370"/>
      <c r="V719" s="1370"/>
      <c r="W719" s="1371"/>
      <c r="X719" s="1389">
        <f t="shared" si="56"/>
        <v>1561</v>
      </c>
      <c r="Y719" s="1390"/>
      <c r="Z719" s="1390"/>
      <c r="AA719" s="1390"/>
      <c r="AB719" s="1391"/>
      <c r="AC719" s="1363">
        <v>0.5</v>
      </c>
      <c r="AD719" s="1364"/>
      <c r="AE719" s="1364"/>
      <c r="AF719" s="1364"/>
      <c r="AG719" s="1365"/>
      <c r="AH719" s="1533">
        <f t="shared" si="57"/>
        <v>0.5</v>
      </c>
      <c r="AI719" s="1534"/>
      <c r="AJ719" s="1535"/>
      <c r="AK719" s="1366" t="s">
        <v>599</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6" t="s">
        <v>325</v>
      </c>
      <c r="C720" s="1367"/>
      <c r="D720" s="1367"/>
      <c r="E720" s="1367"/>
      <c r="F720" s="1368"/>
      <c r="G720" s="1465">
        <v>25</v>
      </c>
      <c r="H720" s="1466"/>
      <c r="I720" s="1466"/>
      <c r="J720" s="1467"/>
      <c r="K720" s="1372">
        <v>398</v>
      </c>
      <c r="L720" s="1373"/>
      <c r="M720" s="1373"/>
      <c r="N720" s="1374"/>
      <c r="O720" s="1369">
        <v>1827</v>
      </c>
      <c r="P720" s="1370"/>
      <c r="Q720" s="1370"/>
      <c r="R720" s="1370"/>
      <c r="S720" s="1371"/>
      <c r="T720" s="1369">
        <v>46</v>
      </c>
      <c r="U720" s="1370"/>
      <c r="V720" s="1370"/>
      <c r="W720" s="1371"/>
      <c r="X720" s="1389">
        <f t="shared" si="56"/>
        <v>1873</v>
      </c>
      <c r="Y720" s="1390"/>
      <c r="Z720" s="1390"/>
      <c r="AA720" s="1390"/>
      <c r="AB720" s="1391"/>
      <c r="AC720" s="1363">
        <v>0.6</v>
      </c>
      <c r="AD720" s="1364"/>
      <c r="AE720" s="1364"/>
      <c r="AF720" s="1364"/>
      <c r="AG720" s="1365"/>
      <c r="AH720" s="1533">
        <f t="shared" si="57"/>
        <v>0.59993593850096094</v>
      </c>
      <c r="AI720" s="1534"/>
      <c r="AJ720" s="1535"/>
      <c r="AK720" s="1366" t="s">
        <v>599</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6" t="s">
        <v>326</v>
      </c>
      <c r="C721" s="1367"/>
      <c r="D721" s="1367"/>
      <c r="E721" s="1367"/>
      <c r="F721" s="1368"/>
      <c r="G721" s="1465">
        <v>2</v>
      </c>
      <c r="H721" s="1466"/>
      <c r="I721" s="1466"/>
      <c r="J721" s="1467"/>
      <c r="K721" s="1372">
        <v>540</v>
      </c>
      <c r="L721" s="1373"/>
      <c r="M721" s="1373"/>
      <c r="N721" s="1374"/>
      <c r="O721" s="1369">
        <v>1003</v>
      </c>
      <c r="P721" s="1370"/>
      <c r="Q721" s="1370"/>
      <c r="R721" s="1370"/>
      <c r="S721" s="1371"/>
      <c r="T721" s="1369"/>
      <c r="U721" s="1370"/>
      <c r="V721" s="1370"/>
      <c r="W721" s="1371"/>
      <c r="X721" s="1389">
        <f t="shared" si="56"/>
        <v>1003</v>
      </c>
      <c r="Y721" s="1390"/>
      <c r="Z721" s="1390"/>
      <c r="AA721" s="1390"/>
      <c r="AB721" s="1391"/>
      <c r="AC721" s="1363">
        <v>0.3</v>
      </c>
      <c r="AD721" s="1364"/>
      <c r="AE721" s="1364"/>
      <c r="AF721" s="1364"/>
      <c r="AG721" s="1365"/>
      <c r="AH721" s="1533">
        <f t="shared" si="57"/>
        <v>0.29976090854751941</v>
      </c>
      <c r="AI721" s="1534"/>
      <c r="AJ721" s="1535"/>
      <c r="AK721" s="1366" t="s">
        <v>2417</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6" t="s">
        <v>326</v>
      </c>
      <c r="C722" s="1367"/>
      <c r="D722" s="1367"/>
      <c r="E722" s="1367"/>
      <c r="F722" s="1368"/>
      <c r="G722" s="1465">
        <v>10</v>
      </c>
      <c r="H722" s="1466"/>
      <c r="I722" s="1466"/>
      <c r="J722" s="1467"/>
      <c r="K722" s="1372">
        <v>540</v>
      </c>
      <c r="L722" s="1373"/>
      <c r="M722" s="1373"/>
      <c r="N722" s="1374"/>
      <c r="O722" s="1369">
        <v>1003</v>
      </c>
      <c r="P722" s="1370"/>
      <c r="Q722" s="1370"/>
      <c r="R722" s="1370"/>
      <c r="S722" s="1371"/>
      <c r="T722" s="1369"/>
      <c r="U722" s="1370"/>
      <c r="V722" s="1370"/>
      <c r="W722" s="1371"/>
      <c r="X722" s="1389">
        <f t="shared" si="56"/>
        <v>1003</v>
      </c>
      <c r="Y722" s="1390"/>
      <c r="Z722" s="1390"/>
      <c r="AA722" s="1390"/>
      <c r="AB722" s="1391"/>
      <c r="AC722" s="1363">
        <v>0.3</v>
      </c>
      <c r="AD722" s="1364"/>
      <c r="AE722" s="1364"/>
      <c r="AF722" s="1364"/>
      <c r="AG722" s="1365"/>
      <c r="AH722" s="1533">
        <f t="shared" si="57"/>
        <v>0.29976090854751941</v>
      </c>
      <c r="AI722" s="1534"/>
      <c r="AJ722" s="1535"/>
      <c r="AK722" s="1366" t="s">
        <v>2417</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6" t="s">
        <v>326</v>
      </c>
      <c r="C723" s="1367"/>
      <c r="D723" s="1367"/>
      <c r="E723" s="1367"/>
      <c r="F723" s="1368"/>
      <c r="G723" s="1465">
        <v>3</v>
      </c>
      <c r="H723" s="1466"/>
      <c r="I723" s="1466"/>
      <c r="J723" s="1467"/>
      <c r="K723" s="1372">
        <v>540</v>
      </c>
      <c r="L723" s="1373"/>
      <c r="M723" s="1373"/>
      <c r="N723" s="1374"/>
      <c r="O723" s="1369">
        <v>1620</v>
      </c>
      <c r="P723" s="1370"/>
      <c r="Q723" s="1370"/>
      <c r="R723" s="1370"/>
      <c r="S723" s="1371"/>
      <c r="T723" s="1369">
        <v>53</v>
      </c>
      <c r="U723" s="1370"/>
      <c r="V723" s="1370"/>
      <c r="W723" s="1371"/>
      <c r="X723" s="1389">
        <f t="shared" si="56"/>
        <v>1673</v>
      </c>
      <c r="Y723" s="1390"/>
      <c r="Z723" s="1390"/>
      <c r="AA723" s="1390"/>
      <c r="AB723" s="1391"/>
      <c r="AC723" s="1363">
        <v>0.5</v>
      </c>
      <c r="AD723" s="1364"/>
      <c r="AE723" s="1364"/>
      <c r="AF723" s="1364"/>
      <c r="AG723" s="1365"/>
      <c r="AH723" s="1533">
        <f t="shared" si="57"/>
        <v>0.5</v>
      </c>
      <c r="AI723" s="1534"/>
      <c r="AJ723" s="1535"/>
      <c r="AK723" s="1366" t="s">
        <v>599</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6" t="s">
        <v>326</v>
      </c>
      <c r="C724" s="1367"/>
      <c r="D724" s="1367"/>
      <c r="E724" s="1367"/>
      <c r="F724" s="1368"/>
      <c r="G724" s="1465">
        <v>3</v>
      </c>
      <c r="H724" s="1466"/>
      <c r="I724" s="1466"/>
      <c r="J724" s="1467"/>
      <c r="K724" s="1372">
        <v>540</v>
      </c>
      <c r="L724" s="1373"/>
      <c r="M724" s="1373"/>
      <c r="N724" s="1374"/>
      <c r="O724" s="1369">
        <v>1954</v>
      </c>
      <c r="P724" s="1370"/>
      <c r="Q724" s="1370"/>
      <c r="R724" s="1370"/>
      <c r="S724" s="1371"/>
      <c r="T724" s="1369">
        <v>53</v>
      </c>
      <c r="U724" s="1370"/>
      <c r="V724" s="1370"/>
      <c r="W724" s="1371"/>
      <c r="X724" s="1389">
        <f t="shared" si="56"/>
        <v>2007</v>
      </c>
      <c r="Y724" s="1390"/>
      <c r="Z724" s="1390"/>
      <c r="AA724" s="1390"/>
      <c r="AB724" s="1391"/>
      <c r="AC724" s="1363">
        <v>0.6</v>
      </c>
      <c r="AD724" s="1364"/>
      <c r="AE724" s="1364"/>
      <c r="AF724" s="1364"/>
      <c r="AG724" s="1365"/>
      <c r="AH724" s="1533">
        <f t="shared" si="57"/>
        <v>0.5998206814106396</v>
      </c>
      <c r="AI724" s="1534"/>
      <c r="AJ724" s="1535"/>
      <c r="AK724" s="1366" t="s">
        <v>599</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6" t="s">
        <v>163</v>
      </c>
      <c r="C725" s="1367"/>
      <c r="D725" s="1367"/>
      <c r="E725" s="1367"/>
      <c r="F725" s="1368"/>
      <c r="G725" s="1465">
        <v>3</v>
      </c>
      <c r="H725" s="1466"/>
      <c r="I725" s="1466"/>
      <c r="J725" s="1467"/>
      <c r="K725" s="1372">
        <v>840</v>
      </c>
      <c r="L725" s="1373"/>
      <c r="M725" s="1373"/>
      <c r="N725" s="1374"/>
      <c r="O725" s="1369">
        <v>1204</v>
      </c>
      <c r="P725" s="1370"/>
      <c r="Q725" s="1370"/>
      <c r="R725" s="1370"/>
      <c r="S725" s="1371"/>
      <c r="T725" s="1369"/>
      <c r="U725" s="1370"/>
      <c r="V725" s="1370"/>
      <c r="W725" s="1371"/>
      <c r="X725" s="1389">
        <f t="shared" si="56"/>
        <v>1204</v>
      </c>
      <c r="Y725" s="1390"/>
      <c r="Z725" s="1390"/>
      <c r="AA725" s="1390"/>
      <c r="AB725" s="1391"/>
      <c r="AC725" s="1363">
        <v>0.3</v>
      </c>
      <c r="AD725" s="1364"/>
      <c r="AE725" s="1364"/>
      <c r="AF725" s="1364"/>
      <c r="AG725" s="1365"/>
      <c r="AH725" s="1533">
        <f t="shared" si="57"/>
        <v>0.29995017438963628</v>
      </c>
      <c r="AI725" s="1534"/>
      <c r="AJ725" s="1535"/>
      <c r="AK725" s="1366" t="s">
        <v>2417</v>
      </c>
      <c r="AL725" s="1367"/>
      <c r="AM725" s="1367"/>
      <c r="AN725" s="1367"/>
      <c r="AO725" s="136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6" t="s">
        <v>163</v>
      </c>
      <c r="C726" s="1367"/>
      <c r="D726" s="1367"/>
      <c r="E726" s="1367"/>
      <c r="F726" s="1368"/>
      <c r="G726" s="1465">
        <v>10</v>
      </c>
      <c r="H726" s="1466"/>
      <c r="I726" s="1466"/>
      <c r="J726" s="1467"/>
      <c r="K726" s="1372">
        <v>840</v>
      </c>
      <c r="L726" s="1373"/>
      <c r="M726" s="1373"/>
      <c r="N726" s="1374"/>
      <c r="O726" s="1369">
        <v>1204</v>
      </c>
      <c r="P726" s="1370"/>
      <c r="Q726" s="1370"/>
      <c r="R726" s="1370"/>
      <c r="S726" s="1371"/>
      <c r="T726" s="1369"/>
      <c r="U726" s="1370"/>
      <c r="V726" s="1370"/>
      <c r="W726" s="1371"/>
      <c r="X726" s="1389">
        <f t="shared" si="56"/>
        <v>1204</v>
      </c>
      <c r="Y726" s="1390"/>
      <c r="Z726" s="1390"/>
      <c r="AA726" s="1390"/>
      <c r="AB726" s="1391"/>
      <c r="AC726" s="1363">
        <v>0.3</v>
      </c>
      <c r="AD726" s="1364"/>
      <c r="AE726" s="1364"/>
      <c r="AF726" s="1364"/>
      <c r="AG726" s="1365"/>
      <c r="AH726" s="1533">
        <f t="shared" si="57"/>
        <v>0.29995017438963628</v>
      </c>
      <c r="AI726" s="1534"/>
      <c r="AJ726" s="1535"/>
      <c r="AK726" s="1366" t="s">
        <v>2417</v>
      </c>
      <c r="AL726" s="1367"/>
      <c r="AM726" s="1367"/>
      <c r="AN726" s="1367"/>
      <c r="AO726" s="136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6" t="s">
        <v>163</v>
      </c>
      <c r="C727" s="1367"/>
      <c r="D727" s="1367"/>
      <c r="E727" s="1367"/>
      <c r="F727" s="1368"/>
      <c r="G727" s="1465">
        <v>11</v>
      </c>
      <c r="H727" s="1466"/>
      <c r="I727" s="1466"/>
      <c r="J727" s="1467"/>
      <c r="K727" s="1372">
        <v>840</v>
      </c>
      <c r="L727" s="1373"/>
      <c r="M727" s="1373"/>
      <c r="N727" s="1374"/>
      <c r="O727" s="1369">
        <v>1934</v>
      </c>
      <c r="P727" s="1370"/>
      <c r="Q727" s="1370"/>
      <c r="R727" s="1370"/>
      <c r="S727" s="1371"/>
      <c r="T727" s="1369">
        <v>73</v>
      </c>
      <c r="U727" s="1370"/>
      <c r="V727" s="1370"/>
      <c r="W727" s="1371"/>
      <c r="X727" s="1389">
        <f t="shared" si="56"/>
        <v>2007</v>
      </c>
      <c r="Y727" s="1390"/>
      <c r="Z727" s="1390"/>
      <c r="AA727" s="1390"/>
      <c r="AB727" s="1391"/>
      <c r="AC727" s="1363">
        <v>0.5</v>
      </c>
      <c r="AD727" s="1364"/>
      <c r="AE727" s="1364"/>
      <c r="AF727" s="1364"/>
      <c r="AG727" s="1365"/>
      <c r="AH727" s="1533">
        <f t="shared" si="57"/>
        <v>0.5</v>
      </c>
      <c r="AI727" s="1534"/>
      <c r="AJ727" s="1535"/>
      <c r="AK727" s="1366" t="s">
        <v>599</v>
      </c>
      <c r="AL727" s="1367"/>
      <c r="AM727" s="1367"/>
      <c r="AN727" s="1367"/>
      <c r="AO727" s="136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6" t="s">
        <v>163</v>
      </c>
      <c r="C728" s="1367"/>
      <c r="D728" s="1367"/>
      <c r="E728" s="1367"/>
      <c r="F728" s="1368"/>
      <c r="G728" s="1465">
        <v>24</v>
      </c>
      <c r="H728" s="1466"/>
      <c r="I728" s="1466"/>
      <c r="J728" s="1467"/>
      <c r="K728" s="1372">
        <v>840</v>
      </c>
      <c r="L728" s="1373"/>
      <c r="M728" s="1373"/>
      <c r="N728" s="1374"/>
      <c r="O728" s="1369">
        <v>2336</v>
      </c>
      <c r="P728" s="1370"/>
      <c r="Q728" s="1370"/>
      <c r="R728" s="1370"/>
      <c r="S728" s="1371"/>
      <c r="T728" s="1369">
        <v>73</v>
      </c>
      <c r="U728" s="1370"/>
      <c r="V728" s="1370"/>
      <c r="W728" s="1371"/>
      <c r="X728" s="1389">
        <f t="shared" si="56"/>
        <v>2409</v>
      </c>
      <c r="Y728" s="1390"/>
      <c r="Z728" s="1390"/>
      <c r="AA728" s="1390"/>
      <c r="AB728" s="1391"/>
      <c r="AC728" s="1363">
        <v>0.6</v>
      </c>
      <c r="AD728" s="1364"/>
      <c r="AE728" s="1364"/>
      <c r="AF728" s="1364"/>
      <c r="AG728" s="1365"/>
      <c r="AH728" s="1533">
        <f t="shared" si="57"/>
        <v>0.60014947683109121</v>
      </c>
      <c r="AI728" s="1534"/>
      <c r="AJ728" s="1535"/>
      <c r="AK728" s="1366" t="s">
        <v>599</v>
      </c>
      <c r="AL728" s="1367"/>
      <c r="AM728" s="1367"/>
      <c r="AN728" s="1367"/>
      <c r="AO728" s="136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6" t="s">
        <v>164</v>
      </c>
      <c r="C729" s="1367"/>
      <c r="D729" s="1367"/>
      <c r="E729" s="1367"/>
      <c r="F729" s="1368"/>
      <c r="G729" s="1465">
        <v>4</v>
      </c>
      <c r="H729" s="1466"/>
      <c r="I729" s="1466"/>
      <c r="J729" s="1467"/>
      <c r="K729" s="1372">
        <v>1042</v>
      </c>
      <c r="L729" s="1373"/>
      <c r="M729" s="1373"/>
      <c r="N729" s="1374"/>
      <c r="O729" s="1369">
        <v>1391</v>
      </c>
      <c r="P729" s="1370"/>
      <c r="Q729" s="1370"/>
      <c r="R729" s="1370"/>
      <c r="S729" s="1371"/>
      <c r="T729" s="1369"/>
      <c r="U729" s="1370"/>
      <c r="V729" s="1370"/>
      <c r="W729" s="1371"/>
      <c r="X729" s="1389">
        <f t="shared" si="56"/>
        <v>1391</v>
      </c>
      <c r="Y729" s="1390"/>
      <c r="Z729" s="1390"/>
      <c r="AA729" s="1390"/>
      <c r="AB729" s="1391"/>
      <c r="AC729" s="1363">
        <v>0.3</v>
      </c>
      <c r="AD729" s="1364"/>
      <c r="AE729" s="1364"/>
      <c r="AF729" s="1364"/>
      <c r="AG729" s="1365"/>
      <c r="AH729" s="1533">
        <f t="shared" si="57"/>
        <v>0.29991375592927988</v>
      </c>
      <c r="AI729" s="1534"/>
      <c r="AJ729" s="1535"/>
      <c r="AK729" s="1366" t="s">
        <v>2417</v>
      </c>
      <c r="AL729" s="1367"/>
      <c r="AM729" s="1367"/>
      <c r="AN729" s="1367"/>
      <c r="AO729" s="136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6" t="s">
        <v>164</v>
      </c>
      <c r="C730" s="1367"/>
      <c r="D730" s="1367"/>
      <c r="E730" s="1367"/>
      <c r="F730" s="1368"/>
      <c r="G730" s="1465">
        <v>10</v>
      </c>
      <c r="H730" s="1466"/>
      <c r="I730" s="1466"/>
      <c r="J730" s="1467"/>
      <c r="K730" s="1372">
        <v>1042</v>
      </c>
      <c r="L730" s="1373"/>
      <c r="M730" s="1373"/>
      <c r="N730" s="1374"/>
      <c r="O730" s="1369">
        <v>1391</v>
      </c>
      <c r="P730" s="1370"/>
      <c r="Q730" s="1370"/>
      <c r="R730" s="1370"/>
      <c r="S730" s="1371"/>
      <c r="T730" s="1369"/>
      <c r="U730" s="1370"/>
      <c r="V730" s="1370"/>
      <c r="W730" s="1371"/>
      <c r="X730" s="1389">
        <f t="shared" si="56"/>
        <v>1391</v>
      </c>
      <c r="Y730" s="1390"/>
      <c r="Z730" s="1390"/>
      <c r="AA730" s="1390"/>
      <c r="AB730" s="1391"/>
      <c r="AC730" s="1363">
        <v>0.3</v>
      </c>
      <c r="AD730" s="1364"/>
      <c r="AE730" s="1364"/>
      <c r="AF730" s="1364"/>
      <c r="AG730" s="1365"/>
      <c r="AH730" s="1533">
        <f t="shared" si="57"/>
        <v>0.29991375592927988</v>
      </c>
      <c r="AI730" s="1534"/>
      <c r="AJ730" s="1535"/>
      <c r="AK730" s="1366" t="s">
        <v>2417</v>
      </c>
      <c r="AL730" s="1367"/>
      <c r="AM730" s="1367"/>
      <c r="AN730" s="1367"/>
      <c r="AO730" s="136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6" t="s">
        <v>164</v>
      </c>
      <c r="C731" s="1367"/>
      <c r="D731" s="1367"/>
      <c r="E731" s="1367"/>
      <c r="F731" s="1368"/>
      <c r="G731" s="1465">
        <v>12</v>
      </c>
      <c r="H731" s="1466"/>
      <c r="I731" s="1466"/>
      <c r="J731" s="1467"/>
      <c r="K731" s="1372">
        <v>1042</v>
      </c>
      <c r="L731" s="1373"/>
      <c r="M731" s="1373"/>
      <c r="N731" s="1374"/>
      <c r="O731" s="1369">
        <v>2227</v>
      </c>
      <c r="P731" s="1370"/>
      <c r="Q731" s="1370"/>
      <c r="R731" s="1370"/>
      <c r="S731" s="1371"/>
      <c r="T731" s="1369">
        <v>92</v>
      </c>
      <c r="U731" s="1370"/>
      <c r="V731" s="1370"/>
      <c r="W731" s="1371"/>
      <c r="X731" s="1389">
        <f t="shared" si="56"/>
        <v>2319</v>
      </c>
      <c r="Y731" s="1390"/>
      <c r="Z731" s="1390"/>
      <c r="AA731" s="1390"/>
      <c r="AB731" s="1391"/>
      <c r="AC731" s="1363">
        <v>0.5</v>
      </c>
      <c r="AD731" s="1364"/>
      <c r="AE731" s="1364"/>
      <c r="AF731" s="1364"/>
      <c r="AG731" s="1365"/>
      <c r="AH731" s="1533">
        <f t="shared" si="57"/>
        <v>0.5</v>
      </c>
      <c r="AI731" s="1534"/>
      <c r="AJ731" s="1535"/>
      <c r="AK731" s="1366" t="s">
        <v>599</v>
      </c>
      <c r="AL731" s="1367"/>
      <c r="AM731" s="1367"/>
      <c r="AN731" s="1367"/>
      <c r="AO731" s="136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6" t="s">
        <v>164</v>
      </c>
      <c r="C732" s="1367"/>
      <c r="D732" s="1367"/>
      <c r="E732" s="1367"/>
      <c r="F732" s="1368"/>
      <c r="G732" s="1465">
        <v>22</v>
      </c>
      <c r="H732" s="1466"/>
      <c r="I732" s="1466"/>
      <c r="J732" s="1467"/>
      <c r="K732" s="1372">
        <v>1042</v>
      </c>
      <c r="L732" s="1373"/>
      <c r="M732" s="1373"/>
      <c r="N732" s="1374"/>
      <c r="O732" s="1369">
        <v>2691</v>
      </c>
      <c r="P732" s="1370"/>
      <c r="Q732" s="1370"/>
      <c r="R732" s="1370"/>
      <c r="S732" s="1371"/>
      <c r="T732" s="1369">
        <v>92</v>
      </c>
      <c r="U732" s="1370"/>
      <c r="V732" s="1370"/>
      <c r="W732" s="1371"/>
      <c r="X732" s="1389">
        <f t="shared" si="56"/>
        <v>2783</v>
      </c>
      <c r="Y732" s="1390"/>
      <c r="Z732" s="1390"/>
      <c r="AA732" s="1390"/>
      <c r="AB732" s="1391"/>
      <c r="AC732" s="1363">
        <v>0.6</v>
      </c>
      <c r="AD732" s="1364"/>
      <c r="AE732" s="1364"/>
      <c r="AF732" s="1364"/>
      <c r="AG732" s="1365"/>
      <c r="AH732" s="1533">
        <f t="shared" si="57"/>
        <v>0.60004312203536003</v>
      </c>
      <c r="AI732" s="1534"/>
      <c r="AJ732" s="1535"/>
      <c r="AK732" s="1366" t="s">
        <v>599</v>
      </c>
      <c r="AL732" s="1367"/>
      <c r="AM732" s="1367"/>
      <c r="AN732" s="1367"/>
      <c r="AO732" s="136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6"/>
      <c r="C733" s="1367"/>
      <c r="D733" s="1367"/>
      <c r="E733" s="1367"/>
      <c r="F733" s="1368"/>
      <c r="G733" s="1465"/>
      <c r="H733" s="1466"/>
      <c r="I733" s="1466"/>
      <c r="J733" s="1467"/>
      <c r="K733" s="1372"/>
      <c r="L733" s="1373"/>
      <c r="M733" s="1373"/>
      <c r="N733" s="1374"/>
      <c r="O733" s="1369"/>
      <c r="P733" s="1370"/>
      <c r="Q733" s="1370"/>
      <c r="R733" s="1370"/>
      <c r="S733" s="1371"/>
      <c r="T733" s="1369"/>
      <c r="U733" s="1370"/>
      <c r="V733" s="1370"/>
      <c r="W733" s="1371"/>
      <c r="X733" s="1389">
        <f t="shared" si="56"/>
        <v>0</v>
      </c>
      <c r="Y733" s="1390"/>
      <c r="Z733" s="1390"/>
      <c r="AA733" s="1390"/>
      <c r="AB733" s="1391"/>
      <c r="AC733" s="1363"/>
      <c r="AD733" s="1364"/>
      <c r="AE733" s="1364"/>
      <c r="AF733" s="1364"/>
      <c r="AG733" s="1365"/>
      <c r="AH733" s="1533" t="str">
        <f t="shared" si="57"/>
        <v/>
      </c>
      <c r="AI733" s="1534"/>
      <c r="AJ733" s="1535"/>
      <c r="AK733" s="1366" t="s">
        <v>599</v>
      </c>
      <c r="AL733" s="1367"/>
      <c r="AM733" s="1367"/>
      <c r="AN733" s="1367"/>
      <c r="AO733" s="136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6"/>
      <c r="C734" s="1367"/>
      <c r="D734" s="1367"/>
      <c r="E734" s="1367"/>
      <c r="F734" s="1368"/>
      <c r="G734" s="1465"/>
      <c r="H734" s="1466"/>
      <c r="I734" s="1466"/>
      <c r="J734" s="1467"/>
      <c r="K734" s="1372"/>
      <c r="L734" s="1373"/>
      <c r="M734" s="1373"/>
      <c r="N734" s="1374"/>
      <c r="O734" s="1369"/>
      <c r="P734" s="1370"/>
      <c r="Q734" s="1370"/>
      <c r="R734" s="1370"/>
      <c r="S734" s="1371"/>
      <c r="T734" s="1369"/>
      <c r="U734" s="1370"/>
      <c r="V734" s="1370"/>
      <c r="W734" s="1371"/>
      <c r="X734" s="1389">
        <f t="shared" si="56"/>
        <v>0</v>
      </c>
      <c r="Y734" s="1390"/>
      <c r="Z734" s="1390"/>
      <c r="AA734" s="1390"/>
      <c r="AB734" s="1391"/>
      <c r="AC734" s="1363"/>
      <c r="AD734" s="1364"/>
      <c r="AE734" s="1364"/>
      <c r="AF734" s="1364"/>
      <c r="AG734" s="1365"/>
      <c r="AH734" s="1533" t="str">
        <f t="shared" si="57"/>
        <v/>
      </c>
      <c r="AI734" s="1534"/>
      <c r="AJ734" s="1535"/>
      <c r="AK734" s="1366" t="s">
        <v>599</v>
      </c>
      <c r="AL734" s="1367"/>
      <c r="AM734" s="1367"/>
      <c r="AN734" s="1367"/>
      <c r="AO734" s="136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6"/>
      <c r="C735" s="1367"/>
      <c r="D735" s="1367"/>
      <c r="E735" s="1367"/>
      <c r="F735" s="1368"/>
      <c r="G735" s="1465"/>
      <c r="H735" s="1466"/>
      <c r="I735" s="1466"/>
      <c r="J735" s="1467"/>
      <c r="K735" s="1372"/>
      <c r="L735" s="1373"/>
      <c r="M735" s="1373"/>
      <c r="N735" s="1374"/>
      <c r="O735" s="1369"/>
      <c r="P735" s="1370"/>
      <c r="Q735" s="1370"/>
      <c r="R735" s="1370"/>
      <c r="S735" s="1371"/>
      <c r="T735" s="1369"/>
      <c r="U735" s="1370"/>
      <c r="V735" s="1370"/>
      <c r="W735" s="1371"/>
      <c r="X735" s="1389">
        <f t="shared" si="56"/>
        <v>0</v>
      </c>
      <c r="Y735" s="1390"/>
      <c r="Z735" s="1390"/>
      <c r="AA735" s="1390"/>
      <c r="AB735" s="1391"/>
      <c r="AC735" s="1363"/>
      <c r="AD735" s="1364"/>
      <c r="AE735" s="1364"/>
      <c r="AF735" s="1364"/>
      <c r="AG735" s="1365"/>
      <c r="AH735" s="1533" t="str">
        <f t="shared" si="57"/>
        <v/>
      </c>
      <c r="AI735" s="1534"/>
      <c r="AJ735" s="1535"/>
      <c r="AK735" s="1366" t="s">
        <v>599</v>
      </c>
      <c r="AL735" s="1367"/>
      <c r="AM735" s="1367"/>
      <c r="AN735" s="1367"/>
      <c r="AO735" s="136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6"/>
      <c r="C736" s="1367"/>
      <c r="D736" s="1367"/>
      <c r="E736" s="1367"/>
      <c r="F736" s="1368"/>
      <c r="G736" s="1465"/>
      <c r="H736" s="1466"/>
      <c r="I736" s="1466"/>
      <c r="J736" s="1467"/>
      <c r="K736" s="1372"/>
      <c r="L736" s="1373"/>
      <c r="M736" s="1373"/>
      <c r="N736" s="1374"/>
      <c r="O736" s="1369"/>
      <c r="P736" s="1370"/>
      <c r="Q736" s="1370"/>
      <c r="R736" s="1370"/>
      <c r="S736" s="1371"/>
      <c r="T736" s="1369"/>
      <c r="U736" s="1370"/>
      <c r="V736" s="1370"/>
      <c r="W736" s="1371"/>
      <c r="X736" s="1389">
        <f t="shared" si="56"/>
        <v>0</v>
      </c>
      <c r="Y736" s="1390"/>
      <c r="Z736" s="1390"/>
      <c r="AA736" s="1390"/>
      <c r="AB736" s="1391"/>
      <c r="AC736" s="1363"/>
      <c r="AD736" s="1364"/>
      <c r="AE736" s="1364"/>
      <c r="AF736" s="1364"/>
      <c r="AG736" s="1365"/>
      <c r="AH736" s="1533" t="str">
        <f t="shared" si="57"/>
        <v/>
      </c>
      <c r="AI736" s="1534"/>
      <c r="AJ736" s="1535"/>
      <c r="AK736" s="1366" t="s">
        <v>599</v>
      </c>
      <c r="AL736" s="1367"/>
      <c r="AM736" s="1367"/>
      <c r="AN736" s="1367"/>
      <c r="AO736" s="136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6"/>
      <c r="C737" s="1367"/>
      <c r="D737" s="1367"/>
      <c r="E737" s="1367"/>
      <c r="F737" s="1368"/>
      <c r="G737" s="1465"/>
      <c r="H737" s="1466"/>
      <c r="I737" s="1466"/>
      <c r="J737" s="1467"/>
      <c r="K737" s="1372"/>
      <c r="L737" s="1373"/>
      <c r="M737" s="1373"/>
      <c r="N737" s="1374"/>
      <c r="O737" s="1369"/>
      <c r="P737" s="1370"/>
      <c r="Q737" s="1370"/>
      <c r="R737" s="1370"/>
      <c r="S737" s="1371"/>
      <c r="T737" s="1369"/>
      <c r="U737" s="1370"/>
      <c r="V737" s="1370"/>
      <c r="W737" s="1371"/>
      <c r="X737" s="1389">
        <f t="shared" si="56"/>
        <v>0</v>
      </c>
      <c r="Y737" s="1390"/>
      <c r="Z737" s="1390"/>
      <c r="AA737" s="1390"/>
      <c r="AB737" s="1391"/>
      <c r="AC737" s="1363"/>
      <c r="AD737" s="1364"/>
      <c r="AE737" s="1364"/>
      <c r="AF737" s="1364"/>
      <c r="AG737" s="1365"/>
      <c r="AH737" s="1533" t="str">
        <f t="shared" si="57"/>
        <v/>
      </c>
      <c r="AI737" s="1534"/>
      <c r="AJ737" s="1535"/>
      <c r="AK737" s="1366" t="s">
        <v>599</v>
      </c>
      <c r="AL737" s="1367"/>
      <c r="AM737" s="1367"/>
      <c r="AN737" s="1367"/>
      <c r="AO737" s="136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6"/>
      <c r="C738" s="1367"/>
      <c r="D738" s="1367"/>
      <c r="E738" s="1367"/>
      <c r="F738" s="1368"/>
      <c r="G738" s="1465"/>
      <c r="H738" s="1466"/>
      <c r="I738" s="1466"/>
      <c r="J738" s="1467"/>
      <c r="K738" s="1372"/>
      <c r="L738" s="1373"/>
      <c r="M738" s="1373"/>
      <c r="N738" s="1374"/>
      <c r="O738" s="1369"/>
      <c r="P738" s="1370"/>
      <c r="Q738" s="1370"/>
      <c r="R738" s="1370"/>
      <c r="S738" s="1371"/>
      <c r="T738" s="1369"/>
      <c r="U738" s="1370"/>
      <c r="V738" s="1370"/>
      <c r="W738" s="1371"/>
      <c r="X738" s="1389">
        <f t="shared" si="56"/>
        <v>0</v>
      </c>
      <c r="Y738" s="1390"/>
      <c r="Z738" s="1390"/>
      <c r="AA738" s="1390"/>
      <c r="AB738" s="1391"/>
      <c r="AC738" s="1363"/>
      <c r="AD738" s="1364"/>
      <c r="AE738" s="1364"/>
      <c r="AF738" s="1364"/>
      <c r="AG738" s="1365"/>
      <c r="AH738" s="1533" t="str">
        <f t="shared" si="57"/>
        <v/>
      </c>
      <c r="AI738" s="1534"/>
      <c r="AJ738" s="1535"/>
      <c r="AK738" s="1366" t="s">
        <v>599</v>
      </c>
      <c r="AL738" s="1367"/>
      <c r="AM738" s="1367"/>
      <c r="AN738" s="1367"/>
      <c r="AO738" s="136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6"/>
      <c r="C739" s="1367"/>
      <c r="D739" s="1367"/>
      <c r="E739" s="1367"/>
      <c r="F739" s="1368"/>
      <c r="G739" s="1465"/>
      <c r="H739" s="1466"/>
      <c r="I739" s="1466"/>
      <c r="J739" s="1467"/>
      <c r="K739" s="1372"/>
      <c r="L739" s="1373"/>
      <c r="M739" s="1373"/>
      <c r="N739" s="1374"/>
      <c r="O739" s="1369"/>
      <c r="P739" s="1370"/>
      <c r="Q739" s="1370"/>
      <c r="R739" s="1370"/>
      <c r="S739" s="1371"/>
      <c r="T739" s="1369"/>
      <c r="U739" s="1370"/>
      <c r="V739" s="1370"/>
      <c r="W739" s="1371"/>
      <c r="X739" s="1389">
        <f t="shared" si="56"/>
        <v>0</v>
      </c>
      <c r="Y739" s="1390"/>
      <c r="Z739" s="1390"/>
      <c r="AA739" s="1390"/>
      <c r="AB739" s="1391"/>
      <c r="AC739" s="1363"/>
      <c r="AD739" s="1364"/>
      <c r="AE739" s="1364"/>
      <c r="AF739" s="1364"/>
      <c r="AG739" s="1365"/>
      <c r="AH739" s="1533" t="str">
        <f t="shared" si="57"/>
        <v/>
      </c>
      <c r="AI739" s="1534"/>
      <c r="AJ739" s="1535"/>
      <c r="AK739" s="1366" t="s">
        <v>599</v>
      </c>
      <c r="AL739" s="1367"/>
      <c r="AM739" s="1367"/>
      <c r="AN739" s="1367"/>
      <c r="AO739" s="136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6"/>
      <c r="C740" s="1367"/>
      <c r="D740" s="1367"/>
      <c r="E740" s="1367"/>
      <c r="F740" s="1368"/>
      <c r="G740" s="1465"/>
      <c r="H740" s="1466"/>
      <c r="I740" s="1466"/>
      <c r="J740" s="1467"/>
      <c r="K740" s="1372"/>
      <c r="L740" s="1373"/>
      <c r="M740" s="1373"/>
      <c r="N740" s="1374"/>
      <c r="O740" s="1369"/>
      <c r="P740" s="1370"/>
      <c r="Q740" s="1370"/>
      <c r="R740" s="1370"/>
      <c r="S740" s="1371"/>
      <c r="T740" s="1369"/>
      <c r="U740" s="1370"/>
      <c r="V740" s="1370"/>
      <c r="W740" s="1371"/>
      <c r="X740" s="1389">
        <f t="shared" si="56"/>
        <v>0</v>
      </c>
      <c r="Y740" s="1390"/>
      <c r="Z740" s="1390"/>
      <c r="AA740" s="1390"/>
      <c r="AB740" s="1391"/>
      <c r="AC740" s="1363"/>
      <c r="AD740" s="1364"/>
      <c r="AE740" s="1364"/>
      <c r="AF740" s="1364"/>
      <c r="AG740" s="1365"/>
      <c r="AH740" s="1533" t="str">
        <f t="shared" si="57"/>
        <v/>
      </c>
      <c r="AI740" s="1534"/>
      <c r="AJ740" s="1535"/>
      <c r="AK740" s="1366" t="s">
        <v>599</v>
      </c>
      <c r="AL740" s="1367"/>
      <c r="AM740" s="1367"/>
      <c r="AN740" s="1367"/>
      <c r="AO740" s="136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6"/>
      <c r="C741" s="1367"/>
      <c r="D741" s="1367"/>
      <c r="E741" s="1367"/>
      <c r="F741" s="1368"/>
      <c r="G741" s="1465"/>
      <c r="H741" s="1466"/>
      <c r="I741" s="1466"/>
      <c r="J741" s="1467"/>
      <c r="K741" s="1372"/>
      <c r="L741" s="1373"/>
      <c r="M741" s="1373"/>
      <c r="N741" s="1374"/>
      <c r="O741" s="1369"/>
      <c r="P741" s="1370"/>
      <c r="Q741" s="1370"/>
      <c r="R741" s="1370"/>
      <c r="S741" s="1371"/>
      <c r="T741" s="1369"/>
      <c r="U741" s="1370"/>
      <c r="V741" s="1370"/>
      <c r="W741" s="1371"/>
      <c r="X741" s="1389">
        <f t="shared" si="56"/>
        <v>0</v>
      </c>
      <c r="Y741" s="1390"/>
      <c r="Z741" s="1390"/>
      <c r="AA741" s="1390"/>
      <c r="AB741" s="1391"/>
      <c r="AC741" s="1363"/>
      <c r="AD741" s="1364"/>
      <c r="AE741" s="1364"/>
      <c r="AF741" s="1364"/>
      <c r="AG741" s="1365"/>
      <c r="AH741" s="1533" t="str">
        <f t="shared" si="57"/>
        <v/>
      </c>
      <c r="AI741" s="1534"/>
      <c r="AJ741" s="1535"/>
      <c r="AK741" s="1366" t="s">
        <v>599</v>
      </c>
      <c r="AL741" s="1367"/>
      <c r="AM741" s="1367"/>
      <c r="AN741" s="1367"/>
      <c r="AO741" s="136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6"/>
      <c r="C742" s="1367"/>
      <c r="D742" s="1367"/>
      <c r="E742" s="1367"/>
      <c r="F742" s="1368"/>
      <c r="G742" s="1465"/>
      <c r="H742" s="1466"/>
      <c r="I742" s="1466"/>
      <c r="J742" s="1467"/>
      <c r="K742" s="1372"/>
      <c r="L742" s="1373"/>
      <c r="M742" s="1373"/>
      <c r="N742" s="1374"/>
      <c r="O742" s="1369"/>
      <c r="P742" s="1370"/>
      <c r="Q742" s="1370"/>
      <c r="R742" s="1370"/>
      <c r="S742" s="1371"/>
      <c r="T742" s="1369"/>
      <c r="U742" s="1370"/>
      <c r="V742" s="1370"/>
      <c r="W742" s="1371"/>
      <c r="X742" s="1389">
        <f t="shared" ref="X742:X751" si="58">O742+T742</f>
        <v>0</v>
      </c>
      <c r="Y742" s="1390"/>
      <c r="Z742" s="1390"/>
      <c r="AA742" s="1390"/>
      <c r="AB742" s="1391"/>
      <c r="AC742" s="1363"/>
      <c r="AD742" s="1364"/>
      <c r="AE742" s="1364"/>
      <c r="AF742" s="1364"/>
      <c r="AG742" s="1365"/>
      <c r="AH742" s="1533" t="str">
        <f t="shared" si="57"/>
        <v/>
      </c>
      <c r="AI742" s="1534"/>
      <c r="AJ742" s="1535"/>
      <c r="AK742" s="1366" t="s">
        <v>599</v>
      </c>
      <c r="AL742" s="1367"/>
      <c r="AM742" s="1367"/>
      <c r="AN742" s="1367"/>
      <c r="AO742" s="136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6"/>
      <c r="C743" s="1367"/>
      <c r="D743" s="1367"/>
      <c r="E743" s="1367"/>
      <c r="F743" s="1368"/>
      <c r="G743" s="1465"/>
      <c r="H743" s="1466"/>
      <c r="I743" s="1466"/>
      <c r="J743" s="1467"/>
      <c r="K743" s="1372"/>
      <c r="L743" s="1373"/>
      <c r="M743" s="1373"/>
      <c r="N743" s="1374"/>
      <c r="O743" s="1369"/>
      <c r="P743" s="1370"/>
      <c r="Q743" s="1370"/>
      <c r="R743" s="1370"/>
      <c r="S743" s="1371"/>
      <c r="T743" s="1369"/>
      <c r="U743" s="1370"/>
      <c r="V743" s="1370"/>
      <c r="W743" s="1371"/>
      <c r="X743" s="1389">
        <f t="shared" si="58"/>
        <v>0</v>
      </c>
      <c r="Y743" s="1390"/>
      <c r="Z743" s="1390"/>
      <c r="AA743" s="1390"/>
      <c r="AB743" s="1391"/>
      <c r="AC743" s="1363"/>
      <c r="AD743" s="1364"/>
      <c r="AE743" s="1364"/>
      <c r="AF743" s="1364"/>
      <c r="AG743" s="1365"/>
      <c r="AH743" s="1533" t="str">
        <f t="shared" si="57"/>
        <v/>
      </c>
      <c r="AI743" s="1534"/>
      <c r="AJ743" s="1535"/>
      <c r="AK743" s="1366" t="s">
        <v>599</v>
      </c>
      <c r="AL743" s="1367"/>
      <c r="AM743" s="1367"/>
      <c r="AN743" s="1367"/>
      <c r="AO743" s="136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6"/>
      <c r="C744" s="1367"/>
      <c r="D744" s="1367"/>
      <c r="E744" s="1367"/>
      <c r="F744" s="1368"/>
      <c r="G744" s="1465"/>
      <c r="H744" s="1466"/>
      <c r="I744" s="1466"/>
      <c r="J744" s="1467"/>
      <c r="K744" s="1372"/>
      <c r="L744" s="1373"/>
      <c r="M744" s="1373"/>
      <c r="N744" s="1374"/>
      <c r="O744" s="1369"/>
      <c r="P744" s="1370"/>
      <c r="Q744" s="1370"/>
      <c r="R744" s="1370"/>
      <c r="S744" s="1371"/>
      <c r="T744" s="1369"/>
      <c r="U744" s="1370"/>
      <c r="V744" s="1370"/>
      <c r="W744" s="1371"/>
      <c r="X744" s="1389">
        <f t="shared" si="58"/>
        <v>0</v>
      </c>
      <c r="Y744" s="1390"/>
      <c r="Z744" s="1390"/>
      <c r="AA744" s="1390"/>
      <c r="AB744" s="1391"/>
      <c r="AC744" s="1363"/>
      <c r="AD744" s="1364"/>
      <c r="AE744" s="1364"/>
      <c r="AF744" s="1364"/>
      <c r="AG744" s="1365"/>
      <c r="AH744" s="1533" t="str">
        <f t="shared" si="57"/>
        <v/>
      </c>
      <c r="AI744" s="1534"/>
      <c r="AJ744" s="1535"/>
      <c r="AK744" s="1366" t="s">
        <v>599</v>
      </c>
      <c r="AL744" s="1367"/>
      <c r="AM744" s="1367"/>
      <c r="AN744" s="1367"/>
      <c r="AO744" s="136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6"/>
      <c r="C745" s="1367"/>
      <c r="D745" s="1367"/>
      <c r="E745" s="1367"/>
      <c r="F745" s="1368"/>
      <c r="G745" s="1465"/>
      <c r="H745" s="1466"/>
      <c r="I745" s="1466"/>
      <c r="J745" s="1467"/>
      <c r="K745" s="1372"/>
      <c r="L745" s="1373"/>
      <c r="M745" s="1373"/>
      <c r="N745" s="1374"/>
      <c r="O745" s="1369"/>
      <c r="P745" s="1370"/>
      <c r="Q745" s="1370"/>
      <c r="R745" s="1370"/>
      <c r="S745" s="1371"/>
      <c r="T745" s="1369"/>
      <c r="U745" s="1370"/>
      <c r="V745" s="1370"/>
      <c r="W745" s="1371"/>
      <c r="X745" s="1389">
        <f t="shared" si="58"/>
        <v>0</v>
      </c>
      <c r="Y745" s="1390"/>
      <c r="Z745" s="1390"/>
      <c r="AA745" s="1390"/>
      <c r="AB745" s="1391"/>
      <c r="AC745" s="1363"/>
      <c r="AD745" s="1364"/>
      <c r="AE745" s="1364"/>
      <c r="AF745" s="1364"/>
      <c r="AG745" s="1365"/>
      <c r="AH745" s="1533" t="str">
        <f t="shared" si="57"/>
        <v/>
      </c>
      <c r="AI745" s="1534"/>
      <c r="AJ745" s="1535"/>
      <c r="AK745" s="1366" t="s">
        <v>599</v>
      </c>
      <c r="AL745" s="1367"/>
      <c r="AM745" s="1367"/>
      <c r="AN745" s="1367"/>
      <c r="AO745" s="136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6"/>
      <c r="C746" s="1367"/>
      <c r="D746" s="1367"/>
      <c r="E746" s="1367"/>
      <c r="F746" s="1368"/>
      <c r="G746" s="1465"/>
      <c r="H746" s="1466"/>
      <c r="I746" s="1466"/>
      <c r="J746" s="1467"/>
      <c r="K746" s="1372"/>
      <c r="L746" s="1373"/>
      <c r="M746" s="1373"/>
      <c r="N746" s="1374"/>
      <c r="O746" s="1369"/>
      <c r="P746" s="1370"/>
      <c r="Q746" s="1370"/>
      <c r="R746" s="1370"/>
      <c r="S746" s="1371"/>
      <c r="T746" s="1369"/>
      <c r="U746" s="1370"/>
      <c r="V746" s="1370"/>
      <c r="W746" s="1371"/>
      <c r="X746" s="1389">
        <f t="shared" si="58"/>
        <v>0</v>
      </c>
      <c r="Y746" s="1390"/>
      <c r="Z746" s="1390"/>
      <c r="AA746" s="1390"/>
      <c r="AB746" s="1391"/>
      <c r="AC746" s="1363"/>
      <c r="AD746" s="1364"/>
      <c r="AE746" s="1364"/>
      <c r="AF746" s="1364"/>
      <c r="AG746" s="1365"/>
      <c r="AH746" s="1533" t="str">
        <f t="shared" si="57"/>
        <v/>
      </c>
      <c r="AI746" s="1534"/>
      <c r="AJ746" s="1535"/>
      <c r="AK746" s="1366" t="s">
        <v>599</v>
      </c>
      <c r="AL746" s="1367"/>
      <c r="AM746" s="1367"/>
      <c r="AN746" s="1367"/>
      <c r="AO746" s="136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6"/>
      <c r="C747" s="1367"/>
      <c r="D747" s="1367"/>
      <c r="E747" s="1367"/>
      <c r="F747" s="1368"/>
      <c r="G747" s="1465"/>
      <c r="H747" s="1466"/>
      <c r="I747" s="1466"/>
      <c r="J747" s="1467"/>
      <c r="K747" s="1372"/>
      <c r="L747" s="1373"/>
      <c r="M747" s="1373"/>
      <c r="N747" s="1374"/>
      <c r="O747" s="1369"/>
      <c r="P747" s="1370"/>
      <c r="Q747" s="1370"/>
      <c r="R747" s="1370"/>
      <c r="S747" s="1371"/>
      <c r="T747" s="1369"/>
      <c r="U747" s="1370"/>
      <c r="V747" s="1370"/>
      <c r="W747" s="1371"/>
      <c r="X747" s="1389">
        <f t="shared" si="58"/>
        <v>0</v>
      </c>
      <c r="Y747" s="1390"/>
      <c r="Z747" s="1390"/>
      <c r="AA747" s="1390"/>
      <c r="AB747" s="1391"/>
      <c r="AC747" s="1363"/>
      <c r="AD747" s="1364"/>
      <c r="AE747" s="1364"/>
      <c r="AF747" s="1364"/>
      <c r="AG747" s="1365"/>
      <c r="AH747" s="1533" t="str">
        <f t="shared" si="57"/>
        <v/>
      </c>
      <c r="AI747" s="1534"/>
      <c r="AJ747" s="1535"/>
      <c r="AK747" s="1366" t="s">
        <v>599</v>
      </c>
      <c r="AL747" s="1367"/>
      <c r="AM747" s="1367"/>
      <c r="AN747" s="1367"/>
      <c r="AO747" s="136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6"/>
      <c r="C748" s="1367"/>
      <c r="D748" s="1367"/>
      <c r="E748" s="1367"/>
      <c r="F748" s="1368"/>
      <c r="G748" s="1465"/>
      <c r="H748" s="1466"/>
      <c r="I748" s="1466"/>
      <c r="J748" s="1467"/>
      <c r="K748" s="1372"/>
      <c r="L748" s="1373"/>
      <c r="M748" s="1373"/>
      <c r="N748" s="1374"/>
      <c r="O748" s="1369"/>
      <c r="P748" s="1370"/>
      <c r="Q748" s="1370"/>
      <c r="R748" s="1370"/>
      <c r="S748" s="1371"/>
      <c r="T748" s="1369"/>
      <c r="U748" s="1370"/>
      <c r="V748" s="1370"/>
      <c r="W748" s="1371"/>
      <c r="X748" s="1389">
        <f t="shared" si="58"/>
        <v>0</v>
      </c>
      <c r="Y748" s="1390"/>
      <c r="Z748" s="1390"/>
      <c r="AA748" s="1390"/>
      <c r="AB748" s="1391"/>
      <c r="AC748" s="1363"/>
      <c r="AD748" s="1364"/>
      <c r="AE748" s="1364"/>
      <c r="AF748" s="1364"/>
      <c r="AG748" s="1365"/>
      <c r="AH748" s="1533" t="str">
        <f t="shared" si="57"/>
        <v/>
      </c>
      <c r="AI748" s="1534"/>
      <c r="AJ748" s="1535"/>
      <c r="AK748" s="1366" t="s">
        <v>599</v>
      </c>
      <c r="AL748" s="1367"/>
      <c r="AM748" s="1367"/>
      <c r="AN748" s="1367"/>
      <c r="AO748" s="136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6"/>
      <c r="C749" s="1367"/>
      <c r="D749" s="1367"/>
      <c r="E749" s="1367"/>
      <c r="F749" s="1368"/>
      <c r="G749" s="1465"/>
      <c r="H749" s="1466"/>
      <c r="I749" s="1466"/>
      <c r="J749" s="1467"/>
      <c r="K749" s="1372"/>
      <c r="L749" s="1373"/>
      <c r="M749" s="1373"/>
      <c r="N749" s="1374"/>
      <c r="O749" s="1369"/>
      <c r="P749" s="1370"/>
      <c r="Q749" s="1370"/>
      <c r="R749" s="1370"/>
      <c r="S749" s="1371"/>
      <c r="T749" s="1369"/>
      <c r="U749" s="1370"/>
      <c r="V749" s="1370"/>
      <c r="W749" s="1371"/>
      <c r="X749" s="1389">
        <f t="shared" si="58"/>
        <v>0</v>
      </c>
      <c r="Y749" s="1390"/>
      <c r="Z749" s="1390"/>
      <c r="AA749" s="1390"/>
      <c r="AB749" s="1391"/>
      <c r="AC749" s="1363"/>
      <c r="AD749" s="1364"/>
      <c r="AE749" s="1364"/>
      <c r="AF749" s="1364"/>
      <c r="AG749" s="1365"/>
      <c r="AH749" s="1533" t="str">
        <f t="shared" si="57"/>
        <v/>
      </c>
      <c r="AI749" s="1534"/>
      <c r="AJ749" s="1535"/>
      <c r="AK749" s="1366" t="s">
        <v>599</v>
      </c>
      <c r="AL749" s="1367"/>
      <c r="AM749" s="1367"/>
      <c r="AN749" s="1367"/>
      <c r="AO749" s="136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6"/>
      <c r="C750" s="1367"/>
      <c r="D750" s="1367"/>
      <c r="E750" s="1367"/>
      <c r="F750" s="1368"/>
      <c r="G750" s="1465"/>
      <c r="H750" s="1466"/>
      <c r="I750" s="1466"/>
      <c r="J750" s="1467"/>
      <c r="K750" s="1372"/>
      <c r="L750" s="1373"/>
      <c r="M750" s="1373"/>
      <c r="N750" s="1374"/>
      <c r="O750" s="1369"/>
      <c r="P750" s="1370"/>
      <c r="Q750" s="1370"/>
      <c r="R750" s="1370"/>
      <c r="S750" s="1371"/>
      <c r="T750" s="1369"/>
      <c r="U750" s="1370"/>
      <c r="V750" s="1370"/>
      <c r="W750" s="1371"/>
      <c r="X750" s="1389">
        <f t="shared" si="58"/>
        <v>0</v>
      </c>
      <c r="Y750" s="1390"/>
      <c r="Z750" s="1390"/>
      <c r="AA750" s="1390"/>
      <c r="AB750" s="1391"/>
      <c r="AC750" s="1363"/>
      <c r="AD750" s="1364"/>
      <c r="AE750" s="1364"/>
      <c r="AF750" s="1364"/>
      <c r="AG750" s="1365"/>
      <c r="AH750" s="1533" t="str">
        <f t="shared" si="57"/>
        <v/>
      </c>
      <c r="AI750" s="1534"/>
      <c r="AJ750" s="1535"/>
      <c r="AK750" s="1366" t="s">
        <v>599</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6"/>
      <c r="C751" s="1367"/>
      <c r="D751" s="1367"/>
      <c r="E751" s="1367"/>
      <c r="F751" s="1368"/>
      <c r="G751" s="1465"/>
      <c r="H751" s="1466"/>
      <c r="I751" s="1466"/>
      <c r="J751" s="1467"/>
      <c r="K751" s="1372"/>
      <c r="L751" s="1373"/>
      <c r="M751" s="1373"/>
      <c r="N751" s="1374"/>
      <c r="O751" s="1369"/>
      <c r="P751" s="1370"/>
      <c r="Q751" s="1370"/>
      <c r="R751" s="1370"/>
      <c r="S751" s="1371"/>
      <c r="T751" s="1369"/>
      <c r="U751" s="1370"/>
      <c r="V751" s="1370"/>
      <c r="W751" s="1371"/>
      <c r="X751" s="1389">
        <f t="shared" si="58"/>
        <v>0</v>
      </c>
      <c r="Y751" s="1390"/>
      <c r="Z751" s="1390"/>
      <c r="AA751" s="1390"/>
      <c r="AB751" s="1391"/>
      <c r="AC751" s="1363"/>
      <c r="AD751" s="1364"/>
      <c r="AE751" s="1364"/>
      <c r="AF751" s="1364"/>
      <c r="AG751" s="1365"/>
      <c r="AH751" s="1533" t="str">
        <f t="shared" si="57"/>
        <v/>
      </c>
      <c r="AI751" s="1534"/>
      <c r="AJ751" s="1535"/>
      <c r="AK751" s="1366" t="s">
        <v>599</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6"/>
      <c r="C752" s="1367"/>
      <c r="D752" s="1367"/>
      <c r="E752" s="1367"/>
      <c r="F752" s="1368"/>
      <c r="G752" s="1465"/>
      <c r="H752" s="1466"/>
      <c r="I752" s="1466"/>
      <c r="J752" s="1467"/>
      <c r="K752" s="1372"/>
      <c r="L752" s="1373"/>
      <c r="M752" s="1373"/>
      <c r="N752" s="1374"/>
      <c r="O752" s="1369"/>
      <c r="P752" s="1370"/>
      <c r="Q752" s="1370"/>
      <c r="R752" s="1370"/>
      <c r="S752" s="1371"/>
      <c r="T752" s="1369"/>
      <c r="U752" s="1370"/>
      <c r="V752" s="1370"/>
      <c r="W752" s="1371"/>
      <c r="X752" s="1389">
        <f>O752+T752</f>
        <v>0</v>
      </c>
      <c r="Y752" s="1390"/>
      <c r="Z752" s="1390"/>
      <c r="AA752" s="1390"/>
      <c r="AB752" s="1391"/>
      <c r="AC752" s="1363"/>
      <c r="AD752" s="1364"/>
      <c r="AE752" s="1364"/>
      <c r="AF752" s="1364"/>
      <c r="AG752" s="1365"/>
      <c r="AH752" s="1533" t="str">
        <f>IF($AC752&gt;0,($X752/$BA701), "")</f>
        <v/>
      </c>
      <c r="AI752" s="1534"/>
      <c r="AJ752" s="1535"/>
      <c r="AK752" s="1366" t="s">
        <v>599</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9" t="s">
        <v>125</v>
      </c>
      <c r="C753" s="1450"/>
      <c r="D753" s="1450"/>
      <c r="E753" s="1450"/>
      <c r="F753" s="1451"/>
      <c r="G753" s="1590">
        <f>SUM(G718:G752)</f>
        <v>189</v>
      </c>
      <c r="H753" s="1591"/>
      <c r="I753" s="1591"/>
      <c r="J753" s="1592"/>
      <c r="K753" s="937" t="s">
        <v>124</v>
      </c>
      <c r="L753" s="5"/>
      <c r="M753" s="5"/>
      <c r="N753" s="46"/>
      <c r="O753" s="1389">
        <f>SUMPRODUCT(G718:G752,O718:O752)</f>
        <v>336204</v>
      </c>
      <c r="P753" s="1390"/>
      <c r="Q753" s="1390"/>
      <c r="R753" s="1390"/>
      <c r="S753" s="1391"/>
      <c r="T753"/>
      <c r="U753"/>
      <c r="V753"/>
      <c r="W753"/>
      <c r="X753" s="939" t="s">
        <v>915</v>
      </c>
      <c r="Y753" s="938"/>
      <c r="Z753" s="938"/>
      <c r="AA753" s="938"/>
      <c r="AB753" s="940"/>
      <c r="AC753" s="1630">
        <f>BI703</f>
        <v>0.48624338624338614</v>
      </c>
      <c r="AD753" s="1631"/>
      <c r="AE753" s="1631"/>
      <c r="AF753" s="1631"/>
      <c r="AG753" s="1632"/>
      <c r="AH753" s="1630">
        <f>IFERROR(BV703,"")</f>
        <v>0.48621988549554057</v>
      </c>
      <c r="AI753" s="1631"/>
      <c r="AJ753" s="163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2" t="s">
        <v>2182</v>
      </c>
      <c r="C754" s="1392"/>
      <c r="D754" s="1392"/>
      <c r="E754" s="1392"/>
      <c r="F754" s="1392"/>
      <c r="G754" s="1392"/>
      <c r="H754" s="1392"/>
      <c r="I754" s="1392"/>
      <c r="J754" s="1392"/>
      <c r="K754" s="1392"/>
      <c r="L754" s="1392"/>
      <c r="M754" s="1392"/>
      <c r="N754" s="1392"/>
      <c r="O754" s="1392"/>
      <c r="P754" s="1392"/>
      <c r="Q754" s="1392"/>
      <c r="R754" s="1392"/>
      <c r="S754" s="1392"/>
      <c r="T754" s="1392"/>
      <c r="U754" s="1392"/>
      <c r="V754" s="1392"/>
      <c r="W754" s="1392"/>
      <c r="X754" s="1392"/>
      <c r="Y754" s="1392"/>
      <c r="Z754" s="1392"/>
      <c r="AA754" s="1392"/>
      <c r="AB754" s="1392"/>
      <c r="AC754" s="1392"/>
      <c r="AD754" s="1392"/>
      <c r="AE754" s="1392"/>
      <c r="AF754" s="1392"/>
      <c r="AG754" s="1392"/>
      <c r="AH754" s="13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2"/>
      <c r="C755" s="1392"/>
      <c r="D755" s="1392"/>
      <c r="E755" s="1392"/>
      <c r="F755" s="1392"/>
      <c r="G755" s="1392"/>
      <c r="H755" s="1392"/>
      <c r="I755" s="1392"/>
      <c r="J755" s="1392"/>
      <c r="K755" s="1392"/>
      <c r="L755" s="1392"/>
      <c r="M755" s="1392"/>
      <c r="N755" s="1392"/>
      <c r="O755" s="1392"/>
      <c r="P755" s="1392"/>
      <c r="Q755" s="1392"/>
      <c r="R755" s="1392"/>
      <c r="S755" s="1392"/>
      <c r="T755" s="1392"/>
      <c r="U755" s="1392"/>
      <c r="V755" s="1392"/>
      <c r="W755" s="1392"/>
      <c r="X755" s="1392"/>
      <c r="Y755" s="1392"/>
      <c r="Z755" s="1392"/>
      <c r="AA755" s="1392"/>
      <c r="AB755" s="1392"/>
      <c r="AC755" s="1392"/>
      <c r="AD755" s="1392"/>
      <c r="AE755" s="1392"/>
      <c r="AF755" s="1392"/>
      <c r="AG755" s="1392"/>
      <c r="AH755" s="13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6">
        <f>CS634</f>
        <v>333</v>
      </c>
      <c r="P756" s="1386"/>
      <c r="Q756" s="1386"/>
      <c r="R756" s="1386"/>
      <c r="S756" s="1004"/>
      <c r="T756" s="1004"/>
      <c r="U756" s="118" t="s">
        <v>2181</v>
      </c>
      <c r="V756" s="1067"/>
      <c r="W756" s="1067"/>
      <c r="X756" s="1067"/>
      <c r="Y756" s="1068"/>
      <c r="Z756" s="1068"/>
      <c r="AA756" s="1068"/>
      <c r="AB756" s="1068"/>
      <c r="AC756" s="1067"/>
      <c r="AD756" s="1067"/>
      <c r="AE756" s="1067"/>
      <c r="AF756" s="1067"/>
      <c r="AG756" s="1387">
        <v>50</v>
      </c>
      <c r="AH756" s="1387"/>
      <c r="AI756" s="1387"/>
      <c r="AJ756" s="138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64" t="str">
        <f>IF(G753&lt;&gt;AG440,"! Total Low-Income Units in the Unit Mix Table above does not match the number of Total Low-Income Units on row #"&amp;TEXT(ROW(D440),"#"),"")</f>
        <v/>
      </c>
      <c r="D757" s="1464"/>
      <c r="E757" s="1464"/>
      <c r="F757" s="1464"/>
      <c r="G757" s="1464"/>
      <c r="H757" s="1464"/>
      <c r="I757" s="1464"/>
      <c r="J757" s="1464"/>
      <c r="K757" s="1464"/>
      <c r="L757" s="1464"/>
      <c r="M757" s="1464"/>
      <c r="N757" s="1464"/>
      <c r="O757" s="1464"/>
      <c r="P757" s="1464"/>
      <c r="Q757" s="1464"/>
      <c r="R757" s="1464"/>
      <c r="S757" s="1464"/>
      <c r="T757" s="1464"/>
      <c r="U757" s="1464"/>
      <c r="V757" s="1464"/>
      <c r="W757" s="1464"/>
      <c r="X757" s="1464"/>
      <c r="Y757" s="1464"/>
      <c r="Z757" s="1464"/>
      <c r="AA757" s="1464"/>
      <c r="AB757" s="1464"/>
      <c r="AC757" s="1464"/>
      <c r="AD757" s="1464"/>
      <c r="AE757" s="1464"/>
      <c r="AF757" s="1464"/>
      <c r="AG757" s="1464"/>
      <c r="AH757" s="1464"/>
      <c r="AI757" s="1464"/>
      <c r="AJ757" s="1464"/>
      <c r="AK757" s="1464"/>
      <c r="AL757" s="1464"/>
      <c r="AM757" s="14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64"/>
      <c r="D758" s="1464"/>
      <c r="E758" s="1464"/>
      <c r="F758" s="1464"/>
      <c r="G758" s="1464"/>
      <c r="H758" s="1464"/>
      <c r="I758" s="1464"/>
      <c r="J758" s="1464"/>
      <c r="K758" s="1464"/>
      <c r="L758" s="1464"/>
      <c r="M758" s="1464"/>
      <c r="N758" s="1464"/>
      <c r="O758" s="1464"/>
      <c r="P758" s="1464"/>
      <c r="Q758" s="1464"/>
      <c r="R758" s="1464"/>
      <c r="S758" s="1464"/>
      <c r="T758" s="1464"/>
      <c r="U758" s="1464"/>
      <c r="V758" s="1464"/>
      <c r="W758" s="1464"/>
      <c r="X758" s="1464"/>
      <c r="Y758" s="1464"/>
      <c r="Z758" s="1464"/>
      <c r="AA758" s="1464"/>
      <c r="AB758" s="1464"/>
      <c r="AC758" s="1464"/>
      <c r="AD758" s="1464"/>
      <c r="AE758" s="1464"/>
      <c r="AF758" s="1464"/>
      <c r="AG758" s="1464"/>
      <c r="AH758" s="1464"/>
      <c r="AI758" s="1464"/>
      <c r="AJ758" s="1464"/>
      <c r="AK758" s="1464"/>
      <c r="AL758" s="1464"/>
      <c r="AM758" s="14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388" t="s">
        <v>599</v>
      </c>
      <c r="AE759" s="1388"/>
      <c r="AF759" s="138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7" t="s">
        <v>2405</v>
      </c>
      <c r="D763" s="1277"/>
      <c r="E763" s="1277"/>
      <c r="F763" s="1277"/>
      <c r="G763" s="1277"/>
      <c r="H763" s="1277"/>
      <c r="I763" s="1277"/>
      <c r="J763" s="1277"/>
      <c r="K763" s="1277"/>
      <c r="L763" s="1277"/>
      <c r="M763" s="1277"/>
      <c r="N763" s="1277"/>
      <c r="O763" s="1277"/>
      <c r="P763" s="1277"/>
      <c r="Q763" s="1277"/>
      <c r="R763" s="1277"/>
      <c r="S763" s="1277"/>
      <c r="T763" s="1277"/>
      <c r="U763" s="1277"/>
      <c r="V763" s="1277"/>
      <c r="W763" s="1277"/>
      <c r="X763" s="1277"/>
      <c r="Y763" s="1277"/>
      <c r="Z763" s="1277"/>
      <c r="AA763" s="1277"/>
      <c r="AB763" s="1277"/>
      <c r="AC763" s="1277"/>
      <c r="AD763" s="1277"/>
      <c r="AE763" s="1277"/>
      <c r="AF763" s="1277"/>
      <c r="AG763" s="1277"/>
      <c r="AH763" s="1277"/>
      <c r="AI763" s="1277"/>
      <c r="AJ763" s="1277"/>
      <c r="AK763" s="1277"/>
      <c r="AL763" s="1277"/>
      <c r="AM763" s="1277"/>
      <c r="AN763" s="1277"/>
      <c r="AO763" s="1277"/>
      <c r="AP763" s="1277"/>
      <c r="AQ763" s="1277"/>
      <c r="AR763" s="127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7"/>
      <c r="D764" s="1277"/>
      <c r="E764" s="1277"/>
      <c r="F764" s="1277"/>
      <c r="G764" s="1277"/>
      <c r="H764" s="1277"/>
      <c r="I764" s="1277"/>
      <c r="J764" s="1277"/>
      <c r="K764" s="1277"/>
      <c r="L764" s="1277"/>
      <c r="M764" s="1277"/>
      <c r="N764" s="1277"/>
      <c r="O764" s="1277"/>
      <c r="P764" s="1277"/>
      <c r="Q764" s="1277"/>
      <c r="R764" s="1277"/>
      <c r="S764" s="1277"/>
      <c r="T764" s="1277"/>
      <c r="U764" s="1277"/>
      <c r="V764" s="1277"/>
      <c r="W764" s="1277"/>
      <c r="X764" s="1277"/>
      <c r="Y764" s="1277"/>
      <c r="Z764" s="1277"/>
      <c r="AA764" s="1277"/>
      <c r="AB764" s="1277"/>
      <c r="AC764" s="1277"/>
      <c r="AD764" s="1277"/>
      <c r="AE764" s="1277"/>
      <c r="AF764" s="1277"/>
      <c r="AG764" s="1277"/>
      <c r="AH764" s="1277"/>
      <c r="AI764" s="1277"/>
      <c r="AJ764" s="1277"/>
      <c r="AK764" s="1277"/>
      <c r="AL764" s="1277"/>
      <c r="AM764" s="1277"/>
      <c r="AN764" s="1277"/>
      <c r="AO764" s="1277"/>
      <c r="AP764" s="1277"/>
      <c r="AQ764" s="1277"/>
      <c r="AR764" s="127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7"/>
      <c r="D765" s="1277"/>
      <c r="E765" s="1277"/>
      <c r="F765" s="1277"/>
      <c r="G765" s="1277"/>
      <c r="H765" s="1277"/>
      <c r="I765" s="1277"/>
      <c r="J765" s="1277"/>
      <c r="K765" s="1277"/>
      <c r="L765" s="1277"/>
      <c r="M765" s="1277"/>
      <c r="N765" s="1277"/>
      <c r="O765" s="1277"/>
      <c r="P765" s="1277"/>
      <c r="Q765" s="1277"/>
      <c r="R765" s="1277"/>
      <c r="S765" s="1277"/>
      <c r="T765" s="1277"/>
      <c r="U765" s="1277"/>
      <c r="V765" s="1277"/>
      <c r="W765" s="1277"/>
      <c r="X765" s="1277"/>
      <c r="Y765" s="1277"/>
      <c r="Z765" s="1277"/>
      <c r="AA765" s="1277"/>
      <c r="AB765" s="1277"/>
      <c r="AC765" s="1277"/>
      <c r="AD765" s="1277"/>
      <c r="AE765" s="1277"/>
      <c r="AF765" s="1277"/>
      <c r="AG765" s="1277"/>
      <c r="AH765" s="1277"/>
      <c r="AI765" s="1277"/>
      <c r="AJ765" s="1277"/>
      <c r="AK765" s="1277"/>
      <c r="AL765" s="1277"/>
      <c r="AM765" s="1277"/>
      <c r="AN765" s="1277"/>
      <c r="AO765" s="1277"/>
      <c r="AP765" s="1277"/>
      <c r="AQ765" s="1277"/>
      <c r="AR765" s="127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7" t="s">
        <v>2406</v>
      </c>
      <c r="D766" s="1277"/>
      <c r="E766" s="1277"/>
      <c r="F766" s="1277"/>
      <c r="G766" s="1277"/>
      <c r="H766" s="1277"/>
      <c r="I766" s="1277"/>
      <c r="J766" s="1277"/>
      <c r="K766" s="1277"/>
      <c r="L766" s="1277"/>
      <c r="M766" s="1277"/>
      <c r="N766" s="1277"/>
      <c r="O766" s="1277"/>
      <c r="P766" s="1277"/>
      <c r="Q766" s="1277"/>
      <c r="R766" s="1277"/>
      <c r="S766" s="1277"/>
      <c r="T766" s="1277"/>
      <c r="U766" s="1277"/>
      <c r="V766" s="1277"/>
      <c r="W766" s="1277"/>
      <c r="X766" s="1277"/>
      <c r="Y766" s="1277"/>
      <c r="Z766" s="1277"/>
      <c r="AA766" s="1277"/>
      <c r="AB766" s="1277"/>
      <c r="AC766" s="1277"/>
      <c r="AD766" s="1277"/>
      <c r="AE766" s="1277"/>
      <c r="AF766" s="1277"/>
      <c r="AG766" s="1277"/>
      <c r="AH766" s="1277"/>
      <c r="AI766" s="1277"/>
      <c r="AJ766" s="1277"/>
      <c r="AK766" s="1277"/>
      <c r="AL766" s="1277"/>
      <c r="AM766" s="1277"/>
      <c r="AN766" s="1277"/>
      <c r="AO766" s="1277"/>
      <c r="AP766" s="1277"/>
      <c r="AQ766" s="1277"/>
      <c r="AR766" s="127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7"/>
      <c r="D767" s="1277"/>
      <c r="E767" s="1277"/>
      <c r="F767" s="1277"/>
      <c r="G767" s="1277"/>
      <c r="H767" s="1277"/>
      <c r="I767" s="1277"/>
      <c r="J767" s="1277"/>
      <c r="K767" s="1277"/>
      <c r="L767" s="1277"/>
      <c r="M767" s="1277"/>
      <c r="N767" s="1277"/>
      <c r="O767" s="1277"/>
      <c r="P767" s="1277"/>
      <c r="Q767" s="1277"/>
      <c r="R767" s="1277"/>
      <c r="S767" s="1277"/>
      <c r="T767" s="1277"/>
      <c r="U767" s="1277"/>
      <c r="V767" s="1277"/>
      <c r="W767" s="1277"/>
      <c r="X767" s="1277"/>
      <c r="Y767" s="1277"/>
      <c r="Z767" s="1277"/>
      <c r="AA767" s="1277"/>
      <c r="AB767" s="1277"/>
      <c r="AC767" s="1277"/>
      <c r="AD767" s="1277"/>
      <c r="AE767" s="1277"/>
      <c r="AF767" s="1277"/>
      <c r="AG767" s="1277"/>
      <c r="AH767" s="1277"/>
      <c r="AI767" s="1277"/>
      <c r="AJ767" s="1277"/>
      <c r="AK767" s="1277"/>
      <c r="AL767" s="1277"/>
      <c r="AM767" s="1277"/>
      <c r="AN767" s="1277"/>
      <c r="AO767" s="1277"/>
      <c r="AP767" s="1277"/>
      <c r="AQ767" s="1277"/>
      <c r="AR767" s="127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7"/>
      <c r="D768" s="1277"/>
      <c r="E768" s="1277"/>
      <c r="F768" s="1277"/>
      <c r="G768" s="1277"/>
      <c r="H768" s="1277"/>
      <c r="I768" s="1277"/>
      <c r="J768" s="1277"/>
      <c r="K768" s="1277"/>
      <c r="L768" s="1277"/>
      <c r="M768" s="1277"/>
      <c r="N768" s="1277"/>
      <c r="O768" s="1277"/>
      <c r="P768" s="1277"/>
      <c r="Q768" s="1277"/>
      <c r="R768" s="1277"/>
      <c r="S768" s="1277"/>
      <c r="T768" s="1277"/>
      <c r="U768" s="1277"/>
      <c r="V768" s="1277"/>
      <c r="W768" s="1277"/>
      <c r="X768" s="1277"/>
      <c r="Y768" s="1277"/>
      <c r="Z768" s="1277"/>
      <c r="AA768" s="1277"/>
      <c r="AB768" s="1277"/>
      <c r="AC768" s="1277"/>
      <c r="AD768" s="1277"/>
      <c r="AE768" s="1277"/>
      <c r="AF768" s="1277"/>
      <c r="AG768" s="1277"/>
      <c r="AH768" s="1277"/>
      <c r="AI768" s="1277"/>
      <c r="AJ768" s="1277"/>
      <c r="AK768" s="1277"/>
      <c r="AL768" s="1277"/>
      <c r="AM768" s="1277"/>
      <c r="AN768" s="1277"/>
      <c r="AO768" s="1277"/>
      <c r="AP768" s="1277"/>
      <c r="AQ768" s="1277"/>
      <c r="AR768" s="127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6" t="s">
        <v>390</v>
      </c>
      <c r="K769" s="1507"/>
      <c r="L769" s="1507"/>
      <c r="M769" s="1507"/>
      <c r="N769" s="1508"/>
      <c r="O769" s="1385" t="s">
        <v>286</v>
      </c>
      <c r="P769" s="1385"/>
      <c r="Q769" s="1385"/>
      <c r="R769" s="1385"/>
      <c r="S769" s="1385"/>
      <c r="T769" s="1638" t="s">
        <v>1867</v>
      </c>
      <c r="U769" s="1639"/>
      <c r="V769" s="1639"/>
      <c r="W769" s="1640"/>
      <c r="X769" s="1506" t="s">
        <v>455</v>
      </c>
      <c r="Y769" s="1507"/>
      <c r="Z769" s="1507"/>
      <c r="AA769" s="1507"/>
      <c r="AB769" s="1508"/>
      <c r="AC769" s="1506" t="s">
        <v>287</v>
      </c>
      <c r="AD769" s="1507"/>
      <c r="AE769" s="1507"/>
      <c r="AF769" s="1507"/>
      <c r="AG769" s="150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09"/>
      <c r="K770" s="1510"/>
      <c r="L770" s="1510"/>
      <c r="M770" s="1510"/>
      <c r="N770" s="1511"/>
      <c r="O770" s="1385"/>
      <c r="P770" s="1385"/>
      <c r="Q770" s="1385"/>
      <c r="R770" s="1385"/>
      <c r="S770" s="1385"/>
      <c r="T770" s="1641"/>
      <c r="U770" s="1642"/>
      <c r="V770" s="1642"/>
      <c r="W770" s="1643"/>
      <c r="X770" s="1509"/>
      <c r="Y770" s="1510"/>
      <c r="Z770" s="1510"/>
      <c r="AA770" s="1510"/>
      <c r="AB770" s="1511"/>
      <c r="AC770" s="1509"/>
      <c r="AD770" s="1510"/>
      <c r="AE770" s="1510"/>
      <c r="AF770" s="1510"/>
      <c r="AG770" s="151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09"/>
      <c r="K771" s="1510"/>
      <c r="L771" s="1510"/>
      <c r="M771" s="1510"/>
      <c r="N771" s="1511"/>
      <c r="O771" s="1385"/>
      <c r="P771" s="1385"/>
      <c r="Q771" s="1385"/>
      <c r="R771" s="1385"/>
      <c r="S771" s="1385"/>
      <c r="T771" s="1641"/>
      <c r="U771" s="1642"/>
      <c r="V771" s="1642"/>
      <c r="W771" s="1643"/>
      <c r="X771" s="1509"/>
      <c r="Y771" s="1510"/>
      <c r="Z771" s="1510"/>
      <c r="AA771" s="1510"/>
      <c r="AB771" s="1511"/>
      <c r="AC771" s="1509"/>
      <c r="AD771" s="1510"/>
      <c r="AE771" s="1510"/>
      <c r="AF771" s="1510"/>
      <c r="AG771" s="151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12"/>
      <c r="K772" s="1513"/>
      <c r="L772" s="1513"/>
      <c r="M772" s="1513"/>
      <c r="N772" s="1514"/>
      <c r="O772" s="1385"/>
      <c r="P772" s="1385"/>
      <c r="Q772" s="1385"/>
      <c r="R772" s="1385"/>
      <c r="S772" s="1385"/>
      <c r="T772" s="1644"/>
      <c r="U772" s="1645"/>
      <c r="V772" s="1645"/>
      <c r="W772" s="1646"/>
      <c r="X772" s="1512"/>
      <c r="Y772" s="1513"/>
      <c r="Z772" s="1513"/>
      <c r="AA772" s="1513"/>
      <c r="AB772" s="1514"/>
      <c r="AC772" s="1512"/>
      <c r="AD772" s="1513"/>
      <c r="AE772" s="1513"/>
      <c r="AF772" s="1513"/>
      <c r="AG772" s="151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6" t="s">
        <v>164</v>
      </c>
      <c r="K773" s="1367"/>
      <c r="L773" s="1367"/>
      <c r="M773" s="1367"/>
      <c r="N773" s="1368"/>
      <c r="O773" s="1408">
        <v>2</v>
      </c>
      <c r="P773" s="1408"/>
      <c r="Q773" s="1408"/>
      <c r="R773" s="1408"/>
      <c r="S773" s="1408"/>
      <c r="T773" s="1372">
        <v>1087</v>
      </c>
      <c r="U773" s="1373"/>
      <c r="V773" s="1373"/>
      <c r="W773" s="1374"/>
      <c r="X773" s="1369">
        <v>0</v>
      </c>
      <c r="Y773" s="1370"/>
      <c r="Z773" s="1370"/>
      <c r="AA773" s="1370"/>
      <c r="AB773" s="1371"/>
      <c r="AC773" s="1389">
        <f>X773*O773</f>
        <v>0</v>
      </c>
      <c r="AD773" s="1390"/>
      <c r="AE773" s="1390"/>
      <c r="AF773" s="1390"/>
      <c r="AG773" s="139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6"/>
      <c r="K774" s="1367"/>
      <c r="L774" s="1367"/>
      <c r="M774" s="1367"/>
      <c r="N774" s="1368"/>
      <c r="O774" s="1408"/>
      <c r="P774" s="1408"/>
      <c r="Q774" s="1408"/>
      <c r="R774" s="1408"/>
      <c r="S774" s="1408"/>
      <c r="T774" s="1372"/>
      <c r="U774" s="1373"/>
      <c r="V774" s="1373"/>
      <c r="W774" s="1374"/>
      <c r="X774" s="1369"/>
      <c r="Y774" s="1370"/>
      <c r="Z774" s="1370"/>
      <c r="AA774" s="1370"/>
      <c r="AB774" s="1371"/>
      <c r="AC774" s="1389">
        <f>X774*O774</f>
        <v>0</v>
      </c>
      <c r="AD774" s="1390"/>
      <c r="AE774" s="1390"/>
      <c r="AF774" s="1390"/>
      <c r="AG774" s="139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6"/>
      <c r="K775" s="1367"/>
      <c r="L775" s="1367"/>
      <c r="M775" s="1367"/>
      <c r="N775" s="1368"/>
      <c r="O775" s="1408"/>
      <c r="P775" s="1408"/>
      <c r="Q775" s="1408"/>
      <c r="R775" s="1408"/>
      <c r="S775" s="1408"/>
      <c r="T775" s="1372"/>
      <c r="U775" s="1373"/>
      <c r="V775" s="1373"/>
      <c r="W775" s="1374"/>
      <c r="X775" s="1369"/>
      <c r="Y775" s="1370"/>
      <c r="Z775" s="1370"/>
      <c r="AA775" s="1370"/>
      <c r="AB775" s="1371"/>
      <c r="AC775" s="1389">
        <f>X775*O775</f>
        <v>0</v>
      </c>
      <c r="AD775" s="1390"/>
      <c r="AE775" s="1390"/>
      <c r="AF775" s="1390"/>
      <c r="AG775" s="139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6"/>
      <c r="K776" s="1367"/>
      <c r="L776" s="1367"/>
      <c r="M776" s="1367"/>
      <c r="N776" s="1368"/>
      <c r="O776" s="1408"/>
      <c r="P776" s="1408"/>
      <c r="Q776" s="1408"/>
      <c r="R776" s="1408"/>
      <c r="S776" s="1408"/>
      <c r="T776" s="1372"/>
      <c r="U776" s="1373"/>
      <c r="V776" s="1373"/>
      <c r="W776" s="1374"/>
      <c r="X776" s="1369"/>
      <c r="Y776" s="1370"/>
      <c r="Z776" s="1370"/>
      <c r="AA776" s="1370"/>
      <c r="AB776" s="1371"/>
      <c r="AC776" s="1389">
        <f>X776*O776</f>
        <v>0</v>
      </c>
      <c r="AD776" s="1390"/>
      <c r="AE776" s="1390"/>
      <c r="AF776" s="1390"/>
      <c r="AG776" s="139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9" t="s">
        <v>125</v>
      </c>
      <c r="K777" s="1450"/>
      <c r="L777" s="1450"/>
      <c r="M777" s="1450"/>
      <c r="N777" s="1451"/>
      <c r="O777" s="1558">
        <f>SUM(O773:S776)</f>
        <v>2</v>
      </c>
      <c r="P777" s="1559"/>
      <c r="Q777" s="1559"/>
      <c r="R777" s="1559"/>
      <c r="S777" s="1560"/>
      <c r="X777" s="1449" t="s">
        <v>124</v>
      </c>
      <c r="Y777" s="1450"/>
      <c r="Z777" s="1450"/>
      <c r="AA777" s="1450"/>
      <c r="AB777" s="1451"/>
      <c r="AC777" s="1389">
        <f>SUM(AC773:AG776)</f>
        <v>0</v>
      </c>
      <c r="AD777" s="1390"/>
      <c r="AE777" s="1390"/>
      <c r="AF777" s="1390"/>
      <c r="AG777" s="139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62" t="s">
        <v>677</v>
      </c>
      <c r="K779" s="1662"/>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6" t="s">
        <v>390</v>
      </c>
      <c r="K783" s="1507"/>
      <c r="L783" s="1507"/>
      <c r="M783" s="1507"/>
      <c r="N783" s="1508"/>
      <c r="O783" s="1385" t="s">
        <v>286</v>
      </c>
      <c r="P783" s="1385"/>
      <c r="Q783" s="1385"/>
      <c r="R783" s="1385"/>
      <c r="S783" s="1385"/>
      <c r="T783" s="1638" t="s">
        <v>1867</v>
      </c>
      <c r="U783" s="1639"/>
      <c r="V783" s="1639"/>
      <c r="W783" s="1640"/>
      <c r="X783" s="1506" t="s">
        <v>455</v>
      </c>
      <c r="Y783" s="1507"/>
      <c r="Z783" s="1507"/>
      <c r="AA783" s="1507"/>
      <c r="AB783" s="1508"/>
      <c r="AC783" s="1506" t="s">
        <v>287</v>
      </c>
      <c r="AD783" s="1507"/>
      <c r="AE783" s="1507"/>
      <c r="AF783" s="1507"/>
      <c r="AG783" s="150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09"/>
      <c r="K784" s="1510"/>
      <c r="L784" s="1510"/>
      <c r="M784" s="1510"/>
      <c r="N784" s="1511"/>
      <c r="O784" s="1385"/>
      <c r="P784" s="1385"/>
      <c r="Q784" s="1385"/>
      <c r="R784" s="1385"/>
      <c r="S784" s="1385"/>
      <c r="T784" s="1641"/>
      <c r="U784" s="1642"/>
      <c r="V784" s="1642"/>
      <c r="W784" s="1643"/>
      <c r="X784" s="1509"/>
      <c r="Y784" s="1510"/>
      <c r="Z784" s="1510"/>
      <c r="AA784" s="1510"/>
      <c r="AB784" s="1511"/>
      <c r="AC784" s="1509"/>
      <c r="AD784" s="1510"/>
      <c r="AE784" s="1510"/>
      <c r="AF784" s="1510"/>
      <c r="AG784" s="151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09"/>
      <c r="K785" s="1510"/>
      <c r="L785" s="1510"/>
      <c r="M785" s="1510"/>
      <c r="N785" s="1511"/>
      <c r="O785" s="1385"/>
      <c r="P785" s="1385"/>
      <c r="Q785" s="1385"/>
      <c r="R785" s="1385"/>
      <c r="S785" s="1385"/>
      <c r="T785" s="1641"/>
      <c r="U785" s="1642"/>
      <c r="V785" s="1642"/>
      <c r="W785" s="1643"/>
      <c r="X785" s="1509"/>
      <c r="Y785" s="1510"/>
      <c r="Z785" s="1510"/>
      <c r="AA785" s="1510"/>
      <c r="AB785" s="1511"/>
      <c r="AC785" s="1509"/>
      <c r="AD785" s="1510"/>
      <c r="AE785" s="1510"/>
      <c r="AF785" s="1510"/>
      <c r="AG785" s="151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12"/>
      <c r="K786" s="1513"/>
      <c r="L786" s="1513"/>
      <c r="M786" s="1513"/>
      <c r="N786" s="1514"/>
      <c r="O786" s="1385"/>
      <c r="P786" s="1385"/>
      <c r="Q786" s="1385"/>
      <c r="R786" s="1385"/>
      <c r="S786" s="1385"/>
      <c r="T786" s="1644"/>
      <c r="U786" s="1645"/>
      <c r="V786" s="1645"/>
      <c r="W786" s="1646"/>
      <c r="X786" s="1512"/>
      <c r="Y786" s="1513"/>
      <c r="Z786" s="1513"/>
      <c r="AA786" s="1513"/>
      <c r="AB786" s="1514"/>
      <c r="AC786" s="1512"/>
      <c r="AD786" s="1513"/>
      <c r="AE786" s="1513"/>
      <c r="AF786" s="1513"/>
      <c r="AG786" s="151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6"/>
      <c r="K787" s="1367"/>
      <c r="L787" s="1367"/>
      <c r="M787" s="1367"/>
      <c r="N787" s="1368"/>
      <c r="O787" s="1408"/>
      <c r="P787" s="1408"/>
      <c r="Q787" s="1408"/>
      <c r="R787" s="1408"/>
      <c r="S787" s="1408"/>
      <c r="T787" s="1372"/>
      <c r="U787" s="1373"/>
      <c r="V787" s="1373"/>
      <c r="W787" s="1374"/>
      <c r="X787" s="1369"/>
      <c r="Y787" s="1370"/>
      <c r="Z787" s="1370"/>
      <c r="AA787" s="1370"/>
      <c r="AB787" s="1371"/>
      <c r="AC787" s="1389">
        <f t="shared" ref="AC787:AC796" si="59">X787*O787</f>
        <v>0</v>
      </c>
      <c r="AD787" s="1390"/>
      <c r="AE787" s="1390"/>
      <c r="AF787" s="1390"/>
      <c r="AG787" s="139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6"/>
      <c r="K788" s="1367"/>
      <c r="L788" s="1367"/>
      <c r="M788" s="1367"/>
      <c r="N788" s="1368"/>
      <c r="O788" s="1408"/>
      <c r="P788" s="1408"/>
      <c r="Q788" s="1408"/>
      <c r="R788" s="1408"/>
      <c r="S788" s="1408"/>
      <c r="T788" s="1372"/>
      <c r="U788" s="1373"/>
      <c r="V788" s="1373"/>
      <c r="W788" s="1374"/>
      <c r="X788" s="1369"/>
      <c r="Y788" s="1370"/>
      <c r="Z788" s="1370"/>
      <c r="AA788" s="1370"/>
      <c r="AB788" s="1371"/>
      <c r="AC788" s="1389">
        <f t="shared" si="59"/>
        <v>0</v>
      </c>
      <c r="AD788" s="1390"/>
      <c r="AE788" s="1390"/>
      <c r="AF788" s="1390"/>
      <c r="AG788" s="139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6"/>
      <c r="K789" s="1367"/>
      <c r="L789" s="1367"/>
      <c r="M789" s="1367"/>
      <c r="N789" s="1368"/>
      <c r="O789" s="1408"/>
      <c r="P789" s="1408"/>
      <c r="Q789" s="1408"/>
      <c r="R789" s="1408"/>
      <c r="S789" s="1408"/>
      <c r="T789" s="1372"/>
      <c r="U789" s="1373"/>
      <c r="V789" s="1373"/>
      <c r="W789" s="1374"/>
      <c r="X789" s="1369"/>
      <c r="Y789" s="1370"/>
      <c r="Z789" s="1370"/>
      <c r="AA789" s="1370"/>
      <c r="AB789" s="1371"/>
      <c r="AC789" s="1389">
        <f t="shared" si="59"/>
        <v>0</v>
      </c>
      <c r="AD789" s="1390"/>
      <c r="AE789" s="1390"/>
      <c r="AF789" s="1390"/>
      <c r="AG789" s="139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6"/>
      <c r="K790" s="1367"/>
      <c r="L790" s="1367"/>
      <c r="M790" s="1367"/>
      <c r="N790" s="1368"/>
      <c r="O790" s="1408"/>
      <c r="P790" s="1408"/>
      <c r="Q790" s="1408"/>
      <c r="R790" s="1408"/>
      <c r="S790" s="1408"/>
      <c r="T790" s="1372"/>
      <c r="U790" s="1373"/>
      <c r="V790" s="1373"/>
      <c r="W790" s="1374"/>
      <c r="X790" s="1369"/>
      <c r="Y790" s="1370"/>
      <c r="Z790" s="1370"/>
      <c r="AA790" s="1370"/>
      <c r="AB790" s="1371"/>
      <c r="AC790" s="1389">
        <f t="shared" si="59"/>
        <v>0</v>
      </c>
      <c r="AD790" s="1390"/>
      <c r="AE790" s="1390"/>
      <c r="AF790" s="1390"/>
      <c r="AG790" s="139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6"/>
      <c r="K791" s="1367"/>
      <c r="L791" s="1367"/>
      <c r="M791" s="1367"/>
      <c r="N791" s="1368"/>
      <c r="O791" s="1408"/>
      <c r="P791" s="1408"/>
      <c r="Q791" s="1408"/>
      <c r="R791" s="1408"/>
      <c r="S791" s="1408"/>
      <c r="T791" s="1372"/>
      <c r="U791" s="1373"/>
      <c r="V791" s="1373"/>
      <c r="W791" s="1374"/>
      <c r="X791" s="1369"/>
      <c r="Y791" s="1370"/>
      <c r="Z791" s="1370"/>
      <c r="AA791" s="1370"/>
      <c r="AB791" s="1371"/>
      <c r="AC791" s="1389">
        <f t="shared" si="59"/>
        <v>0</v>
      </c>
      <c r="AD791" s="1390"/>
      <c r="AE791" s="1390"/>
      <c r="AF791" s="1390"/>
      <c r="AG791" s="139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6"/>
      <c r="K792" s="1367"/>
      <c r="L792" s="1367"/>
      <c r="M792" s="1367"/>
      <c r="N792" s="1368"/>
      <c r="O792" s="1408"/>
      <c r="P792" s="1408"/>
      <c r="Q792" s="1408"/>
      <c r="R792" s="1408"/>
      <c r="S792" s="1408"/>
      <c r="T792" s="1372"/>
      <c r="U792" s="1373"/>
      <c r="V792" s="1373"/>
      <c r="W792" s="1374"/>
      <c r="X792" s="1369"/>
      <c r="Y792" s="1370"/>
      <c r="Z792" s="1370"/>
      <c r="AA792" s="1370"/>
      <c r="AB792" s="1371"/>
      <c r="AC792" s="1389">
        <f t="shared" si="59"/>
        <v>0</v>
      </c>
      <c r="AD792" s="1390"/>
      <c r="AE792" s="1390"/>
      <c r="AF792" s="1390"/>
      <c r="AG792" s="139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6"/>
      <c r="K793" s="1367"/>
      <c r="L793" s="1367"/>
      <c r="M793" s="1367"/>
      <c r="N793" s="1368"/>
      <c r="O793" s="1408"/>
      <c r="P793" s="1408"/>
      <c r="Q793" s="1408"/>
      <c r="R793" s="1408"/>
      <c r="S793" s="1408"/>
      <c r="T793" s="1372"/>
      <c r="U793" s="1373"/>
      <c r="V793" s="1373"/>
      <c r="W793" s="1374"/>
      <c r="X793" s="1369"/>
      <c r="Y793" s="1370"/>
      <c r="Z793" s="1370"/>
      <c r="AA793" s="1370"/>
      <c r="AB793" s="1371"/>
      <c r="AC793" s="1389">
        <f t="shared" si="59"/>
        <v>0</v>
      </c>
      <c r="AD793" s="1390"/>
      <c r="AE793" s="1390"/>
      <c r="AF793" s="1390"/>
      <c r="AG793" s="139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6"/>
      <c r="K794" s="1367"/>
      <c r="L794" s="1367"/>
      <c r="M794" s="1367"/>
      <c r="N794" s="1368"/>
      <c r="O794" s="1408"/>
      <c r="P794" s="1408"/>
      <c r="Q794" s="1408"/>
      <c r="R794" s="1408"/>
      <c r="S794" s="1408"/>
      <c r="T794" s="1372"/>
      <c r="U794" s="1373"/>
      <c r="V794" s="1373"/>
      <c r="W794" s="1374"/>
      <c r="X794" s="1369"/>
      <c r="Y794" s="1370"/>
      <c r="Z794" s="1370"/>
      <c r="AA794" s="1370"/>
      <c r="AB794" s="1371"/>
      <c r="AC794" s="1389">
        <f t="shared" si="59"/>
        <v>0</v>
      </c>
      <c r="AD794" s="1390"/>
      <c r="AE794" s="1390"/>
      <c r="AF794" s="1390"/>
      <c r="AG794" s="139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6"/>
      <c r="K795" s="1367"/>
      <c r="L795" s="1367"/>
      <c r="M795" s="1367"/>
      <c r="N795" s="1368"/>
      <c r="O795" s="1408"/>
      <c r="P795" s="1408"/>
      <c r="Q795" s="1408"/>
      <c r="R795" s="1408"/>
      <c r="S795" s="1408"/>
      <c r="T795" s="1372"/>
      <c r="U795" s="1373"/>
      <c r="V795" s="1373"/>
      <c r="W795" s="1374"/>
      <c r="X795" s="1369"/>
      <c r="Y795" s="1370"/>
      <c r="Z795" s="1370"/>
      <c r="AA795" s="1370"/>
      <c r="AB795" s="1371"/>
      <c r="AC795" s="1389">
        <f t="shared" si="59"/>
        <v>0</v>
      </c>
      <c r="AD795" s="1390"/>
      <c r="AE795" s="1390"/>
      <c r="AF795" s="1390"/>
      <c r="AG795" s="139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6"/>
      <c r="K796" s="1367"/>
      <c r="L796" s="1367"/>
      <c r="M796" s="1367"/>
      <c r="N796" s="1368"/>
      <c r="O796" s="1408"/>
      <c r="P796" s="1408"/>
      <c r="Q796" s="1408"/>
      <c r="R796" s="1408"/>
      <c r="S796" s="1408"/>
      <c r="T796" s="1372"/>
      <c r="U796" s="1373"/>
      <c r="V796" s="1373"/>
      <c r="W796" s="1374"/>
      <c r="X796" s="1369"/>
      <c r="Y796" s="1370"/>
      <c r="Z796" s="1370"/>
      <c r="AA796" s="1370"/>
      <c r="AB796" s="1371"/>
      <c r="AC796" s="1389">
        <f t="shared" si="59"/>
        <v>0</v>
      </c>
      <c r="AD796" s="1390"/>
      <c r="AE796" s="1390"/>
      <c r="AF796" s="1390"/>
      <c r="AG796" s="139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0" t="s">
        <v>477</v>
      </c>
      <c r="BO796" s="1671"/>
      <c r="BP796" s="3"/>
      <c r="BQ796" s="3"/>
      <c r="BR796" s="3"/>
      <c r="BS796" s="14" t="s">
        <v>642</v>
      </c>
      <c r="BT796" s="14"/>
      <c r="BU796" s="14"/>
      <c r="BV796" s="14"/>
      <c r="BW796" s="14"/>
      <c r="BX796" s="14"/>
      <c r="BY796" s="14"/>
      <c r="BZ796" s="14"/>
      <c r="CA796" s="14"/>
      <c r="CB796" s="1667" t="str">
        <f>T189</f>
        <v>Santa Clara</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9" t="s">
        <v>125</v>
      </c>
      <c r="K797" s="1450"/>
      <c r="L797" s="1450"/>
      <c r="M797" s="1450"/>
      <c r="N797" s="1451"/>
      <c r="O797" s="1540">
        <f>SUM(O787:S796)</f>
        <v>0</v>
      </c>
      <c r="P797" s="1540"/>
      <c r="Q797" s="1540"/>
      <c r="R797" s="1540"/>
      <c r="S797" s="1540"/>
      <c r="T797"/>
      <c r="U797"/>
      <c r="V797"/>
      <c r="W797"/>
      <c r="X797" s="937" t="s">
        <v>124</v>
      </c>
      <c r="Y797" s="11"/>
      <c r="Z797" s="11"/>
      <c r="AA797" s="11"/>
      <c r="AB797" s="944"/>
      <c r="AC797" s="1389">
        <f>SUM(AC787:AG796)</f>
        <v>0</v>
      </c>
      <c r="AD797" s="1390"/>
      <c r="AE797" s="1390"/>
      <c r="AF797" s="1390"/>
      <c r="AG797" s="139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98" t="str">
        <f>IF(O797&lt;&gt;AG438,"! Total market rate units in the Unit Mix Table above does not match the number of  market rate units on row #"&amp;TEXT(ROW(D438),"#"),"")</f>
        <v/>
      </c>
      <c r="D798" s="1398"/>
      <c r="E798" s="1398"/>
      <c r="F798" s="1398"/>
      <c r="G798" s="1398"/>
      <c r="H798" s="1398"/>
      <c r="I798" s="1398"/>
      <c r="J798" s="1398"/>
      <c r="K798" s="1398"/>
      <c r="L798" s="1398"/>
      <c r="M798" s="1398"/>
      <c r="N798" s="1398"/>
      <c r="O798" s="1398"/>
      <c r="P798" s="1398"/>
      <c r="Q798" s="1398"/>
      <c r="R798" s="1398"/>
      <c r="S798" s="1398"/>
      <c r="T798" s="1398"/>
      <c r="U798" s="1398"/>
      <c r="V798" s="1398"/>
      <c r="W798" s="1398"/>
      <c r="X798" s="1398"/>
      <c r="Y798" s="1398"/>
      <c r="Z798" s="1398"/>
      <c r="AA798" s="1398"/>
      <c r="AB798" s="1398"/>
      <c r="AC798" s="1398"/>
      <c r="AD798" s="1398"/>
      <c r="AE798" s="1398"/>
      <c r="AF798" s="1398"/>
      <c r="AG798" s="1398"/>
      <c r="AH798" s="1398"/>
      <c r="AI798" s="1398"/>
      <c r="AJ798" s="1398"/>
      <c r="AK798" s="1398"/>
      <c r="AL798" s="1398"/>
      <c r="AM798" s="1398"/>
      <c r="AN798" s="139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98"/>
      <c r="D799" s="1398"/>
      <c r="E799" s="1398"/>
      <c r="F799" s="1398"/>
      <c r="G799" s="1398"/>
      <c r="H799" s="1398"/>
      <c r="I799" s="1398"/>
      <c r="J799" s="1398"/>
      <c r="K799" s="1398"/>
      <c r="L799" s="1398"/>
      <c r="M799" s="1398"/>
      <c r="N799" s="1398"/>
      <c r="O799" s="1398"/>
      <c r="P799" s="1398"/>
      <c r="Q799" s="1398"/>
      <c r="R799" s="1398"/>
      <c r="S799" s="1398"/>
      <c r="T799" s="1398"/>
      <c r="U799" s="1398"/>
      <c r="V799" s="1398"/>
      <c r="W799" s="1398"/>
      <c r="X799" s="1398"/>
      <c r="Y799" s="1398"/>
      <c r="Z799" s="1398"/>
      <c r="AA799" s="1398"/>
      <c r="AB799" s="1398"/>
      <c r="AC799" s="1398"/>
      <c r="AD799" s="1398"/>
      <c r="AE799" s="1398"/>
      <c r="AF799" s="1398"/>
      <c r="AG799" s="1398"/>
      <c r="AH799" s="1398"/>
      <c r="AI799" s="1398"/>
      <c r="AJ799" s="1398"/>
      <c r="AK799" s="1398"/>
      <c r="AL799" s="1398"/>
      <c r="AM799" s="1398"/>
      <c r="AN799" s="139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8">
        <f>O753+AC777+AC797</f>
        <v>336204</v>
      </c>
      <c r="Z800" s="1648"/>
      <c r="AA800" s="1648"/>
      <c r="AB800" s="1648"/>
      <c r="AC800" s="164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8">
        <f>(O753+AC777+AC797)*12</f>
        <v>4034448</v>
      </c>
      <c r="Z801" s="1648"/>
      <c r="AA801" s="1648"/>
      <c r="AB801" s="1648"/>
      <c r="AC801" s="164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35">
        <v>30</v>
      </c>
      <c r="AA806" s="1636"/>
      <c r="AB806" s="1636"/>
      <c r="AC806" s="1636"/>
      <c r="AD806" s="1636"/>
      <c r="AE806" s="163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50">
        <v>20</v>
      </c>
      <c r="AA807" s="1636"/>
      <c r="AB807" s="1636"/>
      <c r="AC807" s="1636"/>
      <c r="AD807" s="1636"/>
      <c r="AE807" s="163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1">
        <v>52977</v>
      </c>
      <c r="AA808" s="1618"/>
      <c r="AB808" s="1618"/>
      <c r="AC808" s="1618"/>
      <c r="AD808" s="1618"/>
      <c r="AE808" s="161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52">
        <f>'Subsidy Contract Calculation'!J40</f>
        <v>846840</v>
      </c>
      <c r="AA809" s="1553"/>
      <c r="AB809" s="1553"/>
      <c r="AC809" s="1553"/>
      <c r="AD809" s="1553"/>
      <c r="AE809" s="155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5">
        <v>22920</v>
      </c>
      <c r="AA813" s="1393"/>
      <c r="AB813" s="1393"/>
      <c r="AC813" s="1393"/>
      <c r="AD813" s="1393"/>
      <c r="AE813" s="13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5"/>
      <c r="AA814" s="1393"/>
      <c r="AB814" s="1393"/>
      <c r="AC814" s="1393"/>
      <c r="AD814" s="1393"/>
      <c r="AE814" s="13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5"/>
      <c r="AA815" s="1393"/>
      <c r="AB815" s="1393"/>
      <c r="AC815" s="1393"/>
      <c r="AD815" s="1393"/>
      <c r="AE815" s="13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468" t="s">
        <v>2720</v>
      </c>
      <c r="Q816" s="1652"/>
      <c r="R816" s="1652"/>
      <c r="S816" s="1652"/>
      <c r="T816" s="1652"/>
      <c r="U816" s="1652"/>
      <c r="V816" s="1652"/>
      <c r="W816" s="1652"/>
      <c r="X816" s="1652"/>
      <c r="Y816" s="1653"/>
      <c r="Z816" s="1395">
        <v>25000</v>
      </c>
      <c r="AA816" s="1393"/>
      <c r="AB816" s="1393"/>
      <c r="AC816" s="1393"/>
      <c r="AD816" s="1393"/>
      <c r="AE816" s="13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52">
        <f>SUM(Z813:AE816)</f>
        <v>47920</v>
      </c>
      <c r="AA817" s="1553"/>
      <c r="AB817" s="1553"/>
      <c r="AC817" s="1553"/>
      <c r="AD817" s="1553"/>
      <c r="AE817" s="155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52">
        <f>Z817+Y801+Z809</f>
        <v>4929208</v>
      </c>
      <c r="AA818" s="1553"/>
      <c r="AB818" s="1553"/>
      <c r="AC818" s="1553"/>
      <c r="AD818" s="1553"/>
      <c r="AE818" s="155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56" t="s">
        <v>126</v>
      </c>
      <c r="N823" s="1756"/>
      <c r="O823" s="1756"/>
      <c r="P823" s="1777"/>
      <c r="Q823" s="1634" t="s">
        <v>291</v>
      </c>
      <c r="R823" s="1634"/>
      <c r="S823" s="1634"/>
      <c r="T823" s="1634"/>
      <c r="U823" s="1634" t="s">
        <v>292</v>
      </c>
      <c r="V823" s="1634"/>
      <c r="W823" s="1634"/>
      <c r="X823" s="1634"/>
      <c r="Y823" s="1634" t="s">
        <v>293</v>
      </c>
      <c r="Z823" s="1634"/>
      <c r="AA823" s="1634"/>
      <c r="AB823" s="1634"/>
      <c r="AC823" s="1634" t="s">
        <v>362</v>
      </c>
      <c r="AD823" s="1634"/>
      <c r="AE823" s="1634"/>
      <c r="AF823" s="1634"/>
      <c r="AG823" s="1783" t="s">
        <v>336</v>
      </c>
      <c r="AH823" s="1783"/>
      <c r="AI823" s="1783"/>
      <c r="AJ823" s="178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26"/>
      <c r="Q824" s="1634"/>
      <c r="R824" s="1634"/>
      <c r="S824" s="1634"/>
      <c r="T824" s="1634"/>
      <c r="U824" s="1634"/>
      <c r="V824" s="1634"/>
      <c r="W824" s="1634"/>
      <c r="X824" s="1634"/>
      <c r="Y824" s="1634"/>
      <c r="Z824" s="1634"/>
      <c r="AA824" s="1634"/>
      <c r="AB824" s="1634"/>
      <c r="AC824" s="1634"/>
      <c r="AD824" s="1634"/>
      <c r="AE824" s="1634"/>
      <c r="AF824" s="1634"/>
      <c r="AG824" s="1783"/>
      <c r="AH824" s="1783"/>
      <c r="AI824" s="1783"/>
      <c r="AJ824" s="178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49" t="s">
        <v>40</v>
      </c>
      <c r="D825" s="1481"/>
      <c r="E825" s="1481"/>
      <c r="F825" s="1481"/>
      <c r="G825" s="1481"/>
      <c r="H825" s="1481"/>
      <c r="I825" s="48"/>
      <c r="J825" s="48"/>
      <c r="K825" s="48"/>
      <c r="L825" s="49"/>
      <c r="M825" s="1633">
        <v>14</v>
      </c>
      <c r="N825" s="1633"/>
      <c r="O825" s="1633"/>
      <c r="P825" s="1633"/>
      <c r="Q825" s="1633">
        <v>16</v>
      </c>
      <c r="R825" s="1633"/>
      <c r="S825" s="1633"/>
      <c r="T825" s="1633"/>
      <c r="U825" s="1633">
        <v>20</v>
      </c>
      <c r="V825" s="1633"/>
      <c r="W825" s="1633"/>
      <c r="X825" s="1633"/>
      <c r="Y825" s="1633">
        <v>24</v>
      </c>
      <c r="Z825" s="1633"/>
      <c r="AA825" s="1633"/>
      <c r="AB825" s="1633"/>
      <c r="AC825" s="1382"/>
      <c r="AD825" s="1383"/>
      <c r="AE825" s="1383"/>
      <c r="AF825" s="1384"/>
      <c r="AG825" s="1382"/>
      <c r="AH825" s="1383"/>
      <c r="AI825" s="1383"/>
      <c r="AJ825" s="138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7" t="s">
        <v>41</v>
      </c>
      <c r="D826" s="1448"/>
      <c r="E826" s="1448"/>
      <c r="F826" s="1448"/>
      <c r="G826" s="1448"/>
      <c r="H826" s="1448"/>
      <c r="I826" s="5"/>
      <c r="J826" s="5"/>
      <c r="K826" s="5"/>
      <c r="L826" s="46"/>
      <c r="M826" s="1633"/>
      <c r="N826" s="1633"/>
      <c r="O826" s="1633"/>
      <c r="P826" s="1633"/>
      <c r="Q826" s="1633"/>
      <c r="R826" s="1633"/>
      <c r="S826" s="1633"/>
      <c r="T826" s="1633"/>
      <c r="U826" s="1633"/>
      <c r="V826" s="1633"/>
      <c r="W826" s="1633"/>
      <c r="X826" s="1633"/>
      <c r="Y826" s="1633"/>
      <c r="Z826" s="1633"/>
      <c r="AA826" s="1633"/>
      <c r="AB826" s="1633"/>
      <c r="AC826" s="1382"/>
      <c r="AD826" s="1383"/>
      <c r="AE826" s="1383"/>
      <c r="AF826" s="1384"/>
      <c r="AG826" s="1382"/>
      <c r="AH826" s="1383"/>
      <c r="AI826" s="1383"/>
      <c r="AJ826" s="138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7" t="s">
        <v>42</v>
      </c>
      <c r="D827" s="1448"/>
      <c r="E827" s="1448"/>
      <c r="F827" s="1448"/>
      <c r="G827" s="1448"/>
      <c r="H827" s="1448"/>
      <c r="I827" s="60"/>
      <c r="J827" s="60"/>
      <c r="K827" s="60"/>
      <c r="L827" s="61"/>
      <c r="M827" s="1633">
        <v>7</v>
      </c>
      <c r="N827" s="1633"/>
      <c r="O827" s="1633"/>
      <c r="P827" s="1633"/>
      <c r="Q827" s="1633">
        <v>8</v>
      </c>
      <c r="R827" s="1633"/>
      <c r="S827" s="1633"/>
      <c r="T827" s="1633"/>
      <c r="U827" s="1633">
        <v>12</v>
      </c>
      <c r="V827" s="1633"/>
      <c r="W827" s="1633"/>
      <c r="X827" s="1633"/>
      <c r="Y827" s="1633">
        <v>15</v>
      </c>
      <c r="Z827" s="1633"/>
      <c r="AA827" s="1633"/>
      <c r="AB827" s="1633"/>
      <c r="AC827" s="1382"/>
      <c r="AD827" s="1383"/>
      <c r="AE827" s="1383"/>
      <c r="AF827" s="1384"/>
      <c r="AG827" s="1382"/>
      <c r="AH827" s="1383"/>
      <c r="AI827" s="1383"/>
      <c r="AJ827" s="138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7" t="s">
        <v>771</v>
      </c>
      <c r="D828" s="1448"/>
      <c r="E828" s="1448"/>
      <c r="F828" s="1448"/>
      <c r="G828" s="1448"/>
      <c r="H828" s="1448"/>
      <c r="I828" s="60"/>
      <c r="J828" s="60"/>
      <c r="K828" s="60"/>
      <c r="L828" s="61"/>
      <c r="M828" s="1633"/>
      <c r="N828" s="1633"/>
      <c r="O828" s="1633"/>
      <c r="P828" s="1633"/>
      <c r="Q828" s="1633"/>
      <c r="R828" s="1633"/>
      <c r="S828" s="1633"/>
      <c r="T828" s="1633"/>
      <c r="U828" s="1633"/>
      <c r="V828" s="1633"/>
      <c r="W828" s="1633"/>
      <c r="X828" s="1633"/>
      <c r="Y828" s="1633"/>
      <c r="Z828" s="1633"/>
      <c r="AA828" s="1633"/>
      <c r="AB828" s="1633"/>
      <c r="AC828" s="1382"/>
      <c r="AD828" s="1383"/>
      <c r="AE828" s="1383"/>
      <c r="AF828" s="1384"/>
      <c r="AG828" s="1382"/>
      <c r="AH828" s="1383"/>
      <c r="AI828" s="1383"/>
      <c r="AJ828" s="138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7" t="s">
        <v>467</v>
      </c>
      <c r="D829" s="1448"/>
      <c r="E829" s="1448"/>
      <c r="F829" s="1448"/>
      <c r="G829" s="1448"/>
      <c r="H829" s="1448"/>
      <c r="I829" s="60"/>
      <c r="J829" s="60"/>
      <c r="K829" s="60"/>
      <c r="L829" s="61"/>
      <c r="M829" s="1633">
        <v>25</v>
      </c>
      <c r="N829" s="1633"/>
      <c r="O829" s="1633"/>
      <c r="P829" s="1633"/>
      <c r="Q829" s="1633">
        <v>29</v>
      </c>
      <c r="R829" s="1633"/>
      <c r="S829" s="1633"/>
      <c r="T829" s="1633"/>
      <c r="U829" s="1633">
        <v>41</v>
      </c>
      <c r="V829" s="1633"/>
      <c r="W829" s="1633"/>
      <c r="X829" s="1633"/>
      <c r="Y829" s="1633">
        <v>53</v>
      </c>
      <c r="Z829" s="1633"/>
      <c r="AA829" s="1633"/>
      <c r="AB829" s="1633"/>
      <c r="AC829" s="1382"/>
      <c r="AD829" s="1383"/>
      <c r="AE829" s="1383"/>
      <c r="AF829" s="1384"/>
      <c r="AG829" s="1382"/>
      <c r="AH829" s="1383"/>
      <c r="AI829" s="1383"/>
      <c r="AJ829" s="138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792</v>
      </c>
      <c r="D830" s="1448"/>
      <c r="E830" s="1448"/>
      <c r="F830" s="1448"/>
      <c r="G830" s="1448"/>
      <c r="H830" s="1448"/>
      <c r="I830" s="60"/>
      <c r="J830" s="60"/>
      <c r="K830" s="60"/>
      <c r="L830" s="61"/>
      <c r="M830" s="1633"/>
      <c r="N830" s="1633"/>
      <c r="O830" s="1633"/>
      <c r="P830" s="1633"/>
      <c r="Q830" s="1633"/>
      <c r="R830" s="1633"/>
      <c r="S830" s="1633"/>
      <c r="T830" s="1633"/>
      <c r="U830" s="1633"/>
      <c r="V830" s="1633"/>
      <c r="W830" s="1633"/>
      <c r="X830" s="1633"/>
      <c r="Y830" s="1633"/>
      <c r="Z830" s="1633"/>
      <c r="AA830" s="1633"/>
      <c r="AB830" s="1633"/>
      <c r="AC830" s="1382"/>
      <c r="AD830" s="1383"/>
      <c r="AE830" s="1383"/>
      <c r="AF830" s="1384"/>
      <c r="AG830" s="1382"/>
      <c r="AH830" s="1383"/>
      <c r="AI830" s="1383"/>
      <c r="AJ830" s="138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468" t="s">
        <v>335</v>
      </c>
      <c r="G831" s="1652"/>
      <c r="H831" s="1652"/>
      <c r="I831" s="1652"/>
      <c r="J831" s="1652"/>
      <c r="K831" s="1652"/>
      <c r="L831" s="1652"/>
      <c r="M831" s="1633"/>
      <c r="N831" s="1633"/>
      <c r="O831" s="1633"/>
      <c r="P831" s="1633"/>
      <c r="Q831" s="1633"/>
      <c r="R831" s="1633"/>
      <c r="S831" s="1633"/>
      <c r="T831" s="1633"/>
      <c r="U831" s="1633"/>
      <c r="V831" s="1633"/>
      <c r="W831" s="1633"/>
      <c r="X831" s="1633"/>
      <c r="Y831" s="1633"/>
      <c r="Z831" s="1633"/>
      <c r="AA831" s="1633"/>
      <c r="AB831" s="1633"/>
      <c r="AC831" s="1382"/>
      <c r="AD831" s="1383"/>
      <c r="AE831" s="1383"/>
      <c r="AF831" s="1384"/>
      <c r="AG831" s="1382"/>
      <c r="AH831" s="1383"/>
      <c r="AI831" s="1383"/>
      <c r="AJ831" s="138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49" t="s">
        <v>124</v>
      </c>
      <c r="D832" s="1450"/>
      <c r="E832" s="1450"/>
      <c r="F832" s="1450"/>
      <c r="G832" s="1450"/>
      <c r="H832" s="1450"/>
      <c r="I832" s="1450"/>
      <c r="J832" s="1450"/>
      <c r="K832" s="1450"/>
      <c r="L832" s="1451"/>
      <c r="M832" s="1742">
        <f>SUM(M825:P831)</f>
        <v>46</v>
      </c>
      <c r="N832" s="1742"/>
      <c r="O832" s="1742"/>
      <c r="P832" s="1742"/>
      <c r="Q832" s="1742">
        <f>SUM(Q825:T831)</f>
        <v>53</v>
      </c>
      <c r="R832" s="1742"/>
      <c r="S832" s="1742"/>
      <c r="T832" s="1742"/>
      <c r="U832" s="1742">
        <f>SUM(U825:X831)</f>
        <v>73</v>
      </c>
      <c r="V832" s="1742"/>
      <c r="W832" s="1742"/>
      <c r="X832" s="1742"/>
      <c r="Y832" s="1742">
        <f>SUM(Y825:AB831)</f>
        <v>92</v>
      </c>
      <c r="Z832" s="1742"/>
      <c r="AA832" s="1742"/>
      <c r="AB832" s="1742"/>
      <c r="AC832" s="1742">
        <f>SUM(AC825:AF831)</f>
        <v>0</v>
      </c>
      <c r="AD832" s="1742"/>
      <c r="AE832" s="1742"/>
      <c r="AF832" s="1742"/>
      <c r="AG832" s="1742">
        <f>SUM(AG825:AJ831)</f>
        <v>0</v>
      </c>
      <c r="AH832" s="1742"/>
      <c r="AI832" s="1742"/>
      <c r="AJ832" s="174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3" t="s">
        <v>2721</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396">
        <v>6000</v>
      </c>
      <c r="X842" s="1396"/>
      <c r="Y842" s="1396"/>
      <c r="Z842" s="1396"/>
      <c r="AA842" s="1396"/>
      <c r="AB842" s="1396"/>
      <c r="AC842" s="139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396">
        <v>18000</v>
      </c>
      <c r="X843" s="1396"/>
      <c r="Y843" s="1396"/>
      <c r="Z843" s="1396"/>
      <c r="AA843" s="1396"/>
      <c r="AB843" s="1396"/>
      <c r="AC843" s="139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396">
        <v>24000</v>
      </c>
      <c r="X844" s="1396"/>
      <c r="Y844" s="1396"/>
      <c r="Z844" s="1396"/>
      <c r="AA844" s="1396"/>
      <c r="AB844" s="1396"/>
      <c r="AC844" s="139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396">
        <v>182000</v>
      </c>
      <c r="X845" s="1396"/>
      <c r="Y845" s="1396"/>
      <c r="Z845" s="1396"/>
      <c r="AA845" s="1396"/>
      <c r="AB845" s="1396"/>
      <c r="AC845" s="139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468" t="s">
        <v>2722</v>
      </c>
      <c r="N846" s="1652"/>
      <c r="O846" s="1652"/>
      <c r="P846" s="1652"/>
      <c r="Q846" s="1652"/>
      <c r="R846" s="1652"/>
      <c r="S846" s="1652"/>
      <c r="T846" s="1652"/>
      <c r="U846" s="1652"/>
      <c r="V846" s="1653"/>
      <c r="W846" s="1396">
        <v>43200</v>
      </c>
      <c r="X846" s="1396"/>
      <c r="Y846" s="1396"/>
      <c r="Z846" s="1396"/>
      <c r="AA846" s="1396"/>
      <c r="AB846" s="1396"/>
      <c r="AC846" s="139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52">
        <f>SUM(W842:AC846)</f>
        <v>273200</v>
      </c>
      <c r="X847" s="1553"/>
      <c r="Y847" s="1553"/>
      <c r="Z847" s="1553"/>
      <c r="AA847" s="1553"/>
      <c r="AB847" s="1553"/>
      <c r="AC847" s="155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3"/>
      <c r="BH848" s="1663"/>
      <c r="BI848" s="1663"/>
      <c r="BJ848" s="1663"/>
      <c r="BK848" s="1663"/>
      <c r="BL848" s="166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49" t="s">
        <v>346</v>
      </c>
      <c r="K849" s="1450"/>
      <c r="L849" s="1450"/>
      <c r="M849" s="1450"/>
      <c r="N849" s="1450"/>
      <c r="O849" s="1450"/>
      <c r="P849" s="1450"/>
      <c r="Q849" s="1450"/>
      <c r="R849" s="1450"/>
      <c r="S849" s="1450"/>
      <c r="T849" s="1450"/>
      <c r="U849" s="1450"/>
      <c r="V849" s="1451"/>
      <c r="W849" s="1395">
        <v>185285</v>
      </c>
      <c r="X849" s="1393"/>
      <c r="Y849" s="1393"/>
      <c r="Z849" s="1393"/>
      <c r="AA849" s="1393"/>
      <c r="AB849" s="1393"/>
      <c r="AC849" s="1394"/>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74"/>
      <c r="X851" s="1774"/>
      <c r="Y851" s="1774"/>
      <c r="Z851" s="1774"/>
      <c r="AA851" s="1774"/>
      <c r="AB851" s="1774"/>
      <c r="AC851" s="1774"/>
      <c r="AZ851" s="1782">
        <f>SUM(AZ818:AZ846)</f>
        <v>7.5000000000000011E-2</v>
      </c>
      <c r="BA851" s="178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74"/>
      <c r="X852" s="1774"/>
      <c r="Y852" s="1774"/>
      <c r="Z852" s="1774"/>
      <c r="AA852" s="1774"/>
      <c r="AB852" s="1774"/>
      <c r="AC852" s="177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74">
        <v>134000</v>
      </c>
      <c r="X853" s="1774"/>
      <c r="Y853" s="1774"/>
      <c r="Z853" s="1774"/>
      <c r="AA853" s="1774"/>
      <c r="AB853" s="1774"/>
      <c r="AC853" s="177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74">
        <v>50000</v>
      </c>
      <c r="X854" s="1774"/>
      <c r="Y854" s="1774"/>
      <c r="Z854" s="1774"/>
      <c r="AA854" s="1774"/>
      <c r="AB854" s="1774"/>
      <c r="AC854" s="177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2">
        <f>SUM(W851:AC854)</f>
        <v>184000</v>
      </c>
      <c r="X855" s="1772"/>
      <c r="Y855" s="1772"/>
      <c r="Z855" s="1772"/>
      <c r="AA855" s="1772"/>
      <c r="AB855" s="1772"/>
      <c r="AC855" s="177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64">
        <v>189300</v>
      </c>
      <c r="X857" s="1665"/>
      <c r="Y857" s="1665"/>
      <c r="Z857" s="1665"/>
      <c r="AA857" s="1665"/>
      <c r="AB857" s="1665"/>
      <c r="AC857" s="166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5">
        <v>2</v>
      </c>
      <c r="U858" s="1746"/>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64">
        <v>66560</v>
      </c>
      <c r="X859" s="1665"/>
      <c r="Y859" s="1665"/>
      <c r="Z859" s="1665"/>
      <c r="AA859" s="1665"/>
      <c r="AB859" s="1665"/>
      <c r="AC859" s="166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5">
        <v>2</v>
      </c>
      <c r="U860" s="1746"/>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468" t="s">
        <v>2723</v>
      </c>
      <c r="N861" s="1652"/>
      <c r="O861" s="1652"/>
      <c r="P861" s="1652"/>
      <c r="Q861" s="1652"/>
      <c r="R861" s="1652"/>
      <c r="S861" s="1652"/>
      <c r="T861" s="1652"/>
      <c r="U861" s="1652"/>
      <c r="V861" s="1653"/>
      <c r="W861" s="1664">
        <v>76758</v>
      </c>
      <c r="X861" s="1665"/>
      <c r="Y861" s="1665"/>
      <c r="Z861" s="1665"/>
      <c r="AA861" s="1665"/>
      <c r="AB861" s="1665"/>
      <c r="AC861" s="166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78">
        <f>SUM(W857:AC861)</f>
        <v>332618</v>
      </c>
      <c r="X862" s="1779"/>
      <c r="Y862" s="1779"/>
      <c r="Z862" s="1779"/>
      <c r="AA862" s="1779"/>
      <c r="AB862" s="1779"/>
      <c r="AC862" s="178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4">
        <v>210100</v>
      </c>
      <c r="X863" s="1665"/>
      <c r="Y863" s="1665"/>
      <c r="Z863" s="1665"/>
      <c r="AA863" s="1665"/>
      <c r="AB863" s="1665"/>
      <c r="AC863" s="166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396">
        <v>30000</v>
      </c>
      <c r="X865" s="1396"/>
      <c r="Y865" s="1396"/>
      <c r="Z865" s="1396"/>
      <c r="AA865" s="1396"/>
      <c r="AB865" s="1396"/>
      <c r="AC865" s="139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396">
        <v>55250</v>
      </c>
      <c r="X866" s="1396"/>
      <c r="Y866" s="1396"/>
      <c r="Z866" s="1396"/>
      <c r="AA866" s="1396"/>
      <c r="AB866" s="1396"/>
      <c r="AC866" s="139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396">
        <v>48000</v>
      </c>
      <c r="X867" s="1396"/>
      <c r="Y867" s="1396"/>
      <c r="Z867" s="1396"/>
      <c r="AA867" s="1396"/>
      <c r="AB867" s="1396"/>
      <c r="AC867" s="139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396">
        <v>14000</v>
      </c>
      <c r="X868" s="1396"/>
      <c r="Y868" s="1396"/>
      <c r="Z868" s="1396"/>
      <c r="AA868" s="1396"/>
      <c r="AB868" s="1396"/>
      <c r="AC868" s="139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396">
        <v>30000</v>
      </c>
      <c r="X869" s="1396"/>
      <c r="Y869" s="1396"/>
      <c r="Z869" s="1396"/>
      <c r="AA869" s="1396"/>
      <c r="AB869" s="1396"/>
      <c r="AC869" s="139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396">
        <v>20000</v>
      </c>
      <c r="X870" s="1396"/>
      <c r="Y870" s="1396"/>
      <c r="Z870" s="1396"/>
      <c r="AA870" s="1396"/>
      <c r="AB870" s="1396"/>
      <c r="AC870" s="139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468" t="s">
        <v>2724</v>
      </c>
      <c r="N871" s="1652"/>
      <c r="O871" s="1652"/>
      <c r="P871" s="1652"/>
      <c r="Q871" s="1652"/>
      <c r="R871" s="1652"/>
      <c r="S871" s="1652"/>
      <c r="T871" s="1652"/>
      <c r="U871" s="1652"/>
      <c r="V871" s="1653"/>
      <c r="W871" s="1396">
        <v>17000</v>
      </c>
      <c r="X871" s="1396"/>
      <c r="Y871" s="1396"/>
      <c r="Z871" s="1396"/>
      <c r="AA871" s="1396"/>
      <c r="AB871" s="1396"/>
      <c r="AC871" s="139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8">
        <f>SUM(W865:AC871)</f>
        <v>214250</v>
      </c>
      <c r="X872" s="1648"/>
      <c r="Y872" s="1648"/>
      <c r="Z872" s="1648"/>
      <c r="AA872" s="1648"/>
      <c r="AB872" s="1648"/>
      <c r="AC872" s="164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468" t="s">
        <v>2725</v>
      </c>
      <c r="N874" s="1652"/>
      <c r="O874" s="1652"/>
      <c r="P874" s="1652"/>
      <c r="Q874" s="1652"/>
      <c r="R874" s="1652"/>
      <c r="S874" s="1652"/>
      <c r="T874" s="1652"/>
      <c r="U874" s="1652"/>
      <c r="V874" s="1653"/>
      <c r="W874" s="1395">
        <v>18000</v>
      </c>
      <c r="X874" s="1393"/>
      <c r="Y874" s="1393"/>
      <c r="Z874" s="1393"/>
      <c r="AA874" s="1393"/>
      <c r="AB874" s="1393"/>
      <c r="AC874" s="13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468" t="s">
        <v>2746</v>
      </c>
      <c r="N875" s="1652"/>
      <c r="O875" s="1652"/>
      <c r="P875" s="1652"/>
      <c r="Q875" s="1652"/>
      <c r="R875" s="1652"/>
      <c r="S875" s="1652"/>
      <c r="T875" s="1652"/>
      <c r="U875" s="1652"/>
      <c r="V875" s="1653"/>
      <c r="W875" s="1395">
        <v>1</v>
      </c>
      <c r="X875" s="1393"/>
      <c r="Y875" s="1393"/>
      <c r="Z875" s="1393"/>
      <c r="AA875" s="1393"/>
      <c r="AB875" s="1393"/>
      <c r="AC875" s="13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468" t="s">
        <v>335</v>
      </c>
      <c r="N876" s="1652"/>
      <c r="O876" s="1652"/>
      <c r="P876" s="1652"/>
      <c r="Q876" s="1652"/>
      <c r="R876" s="1652"/>
      <c r="S876" s="1652"/>
      <c r="T876" s="1652"/>
      <c r="U876" s="1652"/>
      <c r="V876" s="1653"/>
      <c r="W876" s="1395"/>
      <c r="X876" s="1393"/>
      <c r="Y876" s="1393"/>
      <c r="Z876" s="1393"/>
      <c r="AA876" s="1393"/>
      <c r="AB876" s="1393"/>
      <c r="AC876" s="13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468" t="s">
        <v>335</v>
      </c>
      <c r="N877" s="1652"/>
      <c r="O877" s="1652"/>
      <c r="P877" s="1652"/>
      <c r="Q877" s="1652"/>
      <c r="R877" s="1652"/>
      <c r="S877" s="1652"/>
      <c r="T877" s="1652"/>
      <c r="U877" s="1652"/>
      <c r="V877" s="1653"/>
      <c r="W877" s="1395"/>
      <c r="X877" s="1393"/>
      <c r="Y877" s="1393"/>
      <c r="Z877" s="1393"/>
      <c r="AA877" s="1393"/>
      <c r="AB877" s="1393"/>
      <c r="AC877" s="13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468" t="s">
        <v>335</v>
      </c>
      <c r="N878" s="1652"/>
      <c r="O878" s="1652"/>
      <c r="P878" s="1652"/>
      <c r="Q878" s="1652"/>
      <c r="R878" s="1652"/>
      <c r="S878" s="1652"/>
      <c r="T878" s="1652"/>
      <c r="U878" s="1652"/>
      <c r="V878" s="1653"/>
      <c r="W878" s="1395"/>
      <c r="X878" s="1393"/>
      <c r="Y878" s="1393"/>
      <c r="Z878" s="1393"/>
      <c r="AA878" s="1393"/>
      <c r="AB878" s="1393"/>
      <c r="AC878" s="13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52">
        <f>SUM(W874:AC878)</f>
        <v>18001</v>
      </c>
      <c r="X879" s="1553"/>
      <c r="Y879" s="1553"/>
      <c r="Z879" s="1553"/>
      <c r="AA879" s="1553"/>
      <c r="AB879" s="1553"/>
      <c r="AC879" s="155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53">
        <f>W847+W855+W862+W863+W872+W879+W849</f>
        <v>1417454</v>
      </c>
      <c r="AD883" s="1553"/>
      <c r="AE883" s="1553"/>
      <c r="AF883" s="1553"/>
      <c r="AG883" s="1553"/>
      <c r="AH883" s="155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43">
        <f>O797+O777+G753</f>
        <v>191</v>
      </c>
      <c r="AD884" s="1743"/>
      <c r="AE884" s="1743"/>
      <c r="AF884" s="1743"/>
      <c r="AG884" s="1743"/>
      <c r="AH884" s="174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0" t="s">
        <v>32</v>
      </c>
      <c r="F885" s="1660"/>
      <c r="G885" s="1660"/>
      <c r="H885" s="1660"/>
      <c r="I885" s="1660"/>
      <c r="J885" s="1660"/>
      <c r="K885" s="1660"/>
      <c r="L885" s="1660"/>
      <c r="M885" s="1660"/>
      <c r="N885" s="1660"/>
      <c r="O885" s="1660"/>
      <c r="P885" s="1660"/>
      <c r="Q885" s="1660"/>
      <c r="R885" s="1660"/>
      <c r="S885" s="1660"/>
      <c r="T885" s="1660"/>
      <c r="U885" s="1660"/>
      <c r="V885" s="1660"/>
      <c r="W885" s="1660"/>
      <c r="X885" s="1660"/>
      <c r="Y885" s="1660"/>
      <c r="Z885" s="1660"/>
      <c r="AA885" s="1660"/>
      <c r="AB885" s="1661"/>
      <c r="AC885" s="1648">
        <f>IF(ISERROR((ROUNDDOWN(AC883/AC884,0))),0,(ROUNDDOWN(AC883/AC884,0)))</f>
        <v>7421</v>
      </c>
      <c r="AD885" s="1648"/>
      <c r="AE885" s="1648"/>
      <c r="AF885" s="1648"/>
      <c r="AG885" s="1648"/>
      <c r="AH885" s="164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75">
        <v>1033000</v>
      </c>
      <c r="AD886" s="1776"/>
      <c r="AE886" s="1776"/>
      <c r="AF886" s="1776"/>
      <c r="AG886" s="1776"/>
      <c r="AH886" s="177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394">
        <v>22000</v>
      </c>
      <c r="AD887" s="1396"/>
      <c r="AE887" s="1396"/>
      <c r="AF887" s="1396"/>
      <c r="AG887" s="1396"/>
      <c r="AH887" s="139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3">
        <v>95000</v>
      </c>
      <c r="AD888" s="1393"/>
      <c r="AE888" s="1393"/>
      <c r="AF888" s="1393"/>
      <c r="AG888" s="1393"/>
      <c r="AH888" s="13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3">
        <v>57300</v>
      </c>
      <c r="AD889" s="1393"/>
      <c r="AE889" s="1393"/>
      <c r="AF889" s="1393"/>
      <c r="AG889" s="1393"/>
      <c r="AH889" s="13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2">
        <v>93010</v>
      </c>
      <c r="AD890" s="1383"/>
      <c r="AE890" s="1383"/>
      <c r="AF890" s="1383"/>
      <c r="AG890" s="1383"/>
      <c r="AH890" s="13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3">
        <v>25000</v>
      </c>
      <c r="AD891" s="1393"/>
      <c r="AE891" s="1393"/>
      <c r="AF891" s="1393"/>
      <c r="AG891" s="1393"/>
      <c r="AH891" s="13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393"/>
      <c r="AD892" s="1393"/>
      <c r="AE892" s="1393"/>
      <c r="AF892" s="1393"/>
      <c r="AG892" s="1393"/>
      <c r="AH892" s="13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39"/>
      <c r="D893" s="1740"/>
      <c r="E893" s="1740"/>
      <c r="F893" s="1740"/>
      <c r="G893" s="1740"/>
      <c r="H893" s="1740"/>
      <c r="I893" s="1740"/>
      <c r="J893" s="1740"/>
      <c r="K893" s="1740"/>
      <c r="L893" s="1740"/>
      <c r="M893" s="1740"/>
      <c r="N893" s="1740"/>
      <c r="O893" s="1740"/>
      <c r="P893" s="1740"/>
      <c r="Q893" s="1740"/>
      <c r="R893" s="1740"/>
      <c r="S893" s="1740"/>
      <c r="T893" s="1740"/>
      <c r="U893" s="1740"/>
      <c r="V893" s="1740"/>
      <c r="W893" s="1740"/>
      <c r="X893" s="1740"/>
      <c r="Y893" s="1740"/>
      <c r="Z893" s="1740"/>
      <c r="AA893" s="1740"/>
      <c r="AB893" s="1741"/>
      <c r="AC893" s="1396"/>
      <c r="AD893" s="1396"/>
      <c r="AE893" s="1396"/>
      <c r="AF893" s="1396"/>
      <c r="AG893" s="1396"/>
      <c r="AH893" s="139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39" t="s">
        <v>975</v>
      </c>
      <c r="D894" s="1740"/>
      <c r="E894" s="1740"/>
      <c r="F894" s="1740"/>
      <c r="G894" s="1740"/>
      <c r="H894" s="1740"/>
      <c r="I894" s="1740"/>
      <c r="J894" s="1740"/>
      <c r="K894" s="1740"/>
      <c r="L894" s="1740"/>
      <c r="M894" s="1740"/>
      <c r="N894" s="1740"/>
      <c r="O894" s="1740"/>
      <c r="P894" s="1740"/>
      <c r="Q894" s="1740"/>
      <c r="R894" s="1740"/>
      <c r="S894" s="1740"/>
      <c r="T894" s="1740"/>
      <c r="U894" s="1740"/>
      <c r="V894" s="1740"/>
      <c r="W894" s="1740"/>
      <c r="X894" s="1740"/>
      <c r="Y894" s="1740"/>
      <c r="Z894" s="1740"/>
      <c r="AA894" s="1740"/>
      <c r="AB894" s="1741"/>
      <c r="AC894" s="1396"/>
      <c r="AD894" s="1396"/>
      <c r="AE894" s="1396"/>
      <c r="AF894" s="1396"/>
      <c r="AG894" s="1396"/>
      <c r="AH894" s="139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5"/>
      <c r="AA898" s="1393"/>
      <c r="AB898" s="1393"/>
      <c r="AC898" s="1393"/>
      <c r="AD898" s="1393"/>
      <c r="AE898" s="1394"/>
      <c r="AF898" s="567"/>
      <c r="AZ898" s="34"/>
      <c r="BB898" s="30"/>
      <c r="BC898" s="850"/>
      <c r="BD898" s="1768"/>
      <c r="BE898" s="176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5"/>
      <c r="AA899" s="1393"/>
      <c r="AB899" s="1393"/>
      <c r="AC899" s="1393"/>
      <c r="AD899" s="1393"/>
      <c r="AE899" s="1394"/>
      <c r="AZ899" s="34"/>
      <c r="BB899" s="30"/>
      <c r="BC899" s="850"/>
      <c r="BD899" s="1768"/>
      <c r="BE899" s="176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5"/>
      <c r="AA900" s="1393"/>
      <c r="AB900" s="1393"/>
      <c r="AC900" s="1393"/>
      <c r="AD900" s="1393"/>
      <c r="AE900" s="1394"/>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52">
        <f>Z898-(Z899+Z900)</f>
        <v>0</v>
      </c>
      <c r="AA901" s="1553"/>
      <c r="AB901" s="1553"/>
      <c r="AC901" s="1553"/>
      <c r="AD901" s="1553"/>
      <c r="AE901" s="1554"/>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68"/>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73"/>
      <c r="BE904" s="1773"/>
      <c r="BF904" s="177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68"/>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1" t="s">
        <v>96</v>
      </c>
      <c r="B909" s="1651"/>
      <c r="C909" s="1651"/>
      <c r="D909" s="1651"/>
      <c r="E909" s="1651"/>
      <c r="F909" s="1651"/>
      <c r="G909" s="1651"/>
      <c r="H909" s="1651"/>
      <c r="I909" s="1651"/>
      <c r="J909" s="1651"/>
      <c r="K909" s="1651"/>
      <c r="L909" s="1651"/>
      <c r="M909" s="1651"/>
      <c r="N909" s="1651"/>
      <c r="O909" s="1651"/>
      <c r="P909" s="1651"/>
      <c r="Q909" s="1651"/>
      <c r="R909" s="1651"/>
      <c r="S909" s="1651"/>
      <c r="T909" s="1651"/>
      <c r="U909" s="1651"/>
      <c r="V909" s="1651"/>
      <c r="W909" s="1651"/>
      <c r="X909" s="1651"/>
      <c r="Y909" s="1651"/>
      <c r="Z909" s="1651"/>
      <c r="AA909" s="1651"/>
      <c r="AB909" s="1651"/>
      <c r="AC909" s="1651"/>
      <c r="AD909" s="1651"/>
      <c r="AE909" s="1651"/>
      <c r="AF909" s="1651"/>
      <c r="AG909" s="1651"/>
      <c r="AH909" s="1651"/>
      <c r="AI909" s="1651"/>
      <c r="AJ909" s="1651"/>
      <c r="AK909" s="1651"/>
      <c r="AL909" s="1651"/>
      <c r="AM909" s="1651"/>
      <c r="AN909" s="1651"/>
      <c r="AO909" s="1651"/>
      <c r="AP909" s="1651"/>
      <c r="AQ909" s="1651"/>
      <c r="AR909" s="1651"/>
      <c r="AS909" s="1651"/>
      <c r="AT909" s="1651"/>
      <c r="AZ909" s="34"/>
      <c r="BA909" s="34"/>
      <c r="BB909" s="30"/>
      <c r="BC909" s="30"/>
      <c r="BD909" s="1768"/>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1"/>
      <c r="B910" s="1651"/>
      <c r="C910" s="1651"/>
      <c r="D910" s="1651"/>
      <c r="E910" s="1651"/>
      <c r="F910" s="1651"/>
      <c r="G910" s="1651"/>
      <c r="H910" s="1651"/>
      <c r="I910" s="1651"/>
      <c r="J910" s="1651"/>
      <c r="K910" s="1651"/>
      <c r="L910" s="1651"/>
      <c r="M910" s="1651"/>
      <c r="N910" s="1651"/>
      <c r="O910" s="1651"/>
      <c r="P910" s="1651"/>
      <c r="Q910" s="1651"/>
      <c r="R910" s="1651"/>
      <c r="S910" s="1651"/>
      <c r="T910" s="1651"/>
      <c r="U910" s="1651"/>
      <c r="V910" s="1651"/>
      <c r="W910" s="1651"/>
      <c r="X910" s="1651"/>
      <c r="Y910" s="1651"/>
      <c r="Z910" s="1651"/>
      <c r="AA910" s="1651"/>
      <c r="AB910" s="1651"/>
      <c r="AC910" s="1651"/>
      <c r="AD910" s="1651"/>
      <c r="AE910" s="1651"/>
      <c r="AF910" s="1651"/>
      <c r="AG910" s="1651"/>
      <c r="AH910" s="1651"/>
      <c r="AI910" s="1651"/>
      <c r="AJ910" s="1651"/>
      <c r="AK910" s="1651"/>
      <c r="AL910" s="1651"/>
      <c r="AM910" s="1651"/>
      <c r="AN910" s="1651"/>
      <c r="AO910" s="1651"/>
      <c r="AP910" s="1651"/>
      <c r="AQ910" s="1651"/>
      <c r="AR910" s="1651"/>
      <c r="AS910" s="1651"/>
      <c r="AT910" s="165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87" t="s">
        <v>801</v>
      </c>
      <c r="G914" s="1588"/>
      <c r="H914" s="1588"/>
      <c r="I914" s="1588"/>
      <c r="J914" s="1588"/>
      <c r="K914" s="1588"/>
      <c r="L914" s="1588"/>
      <c r="M914" s="1588"/>
      <c r="N914" s="1588"/>
      <c r="O914" s="1588"/>
      <c r="P914" s="1588"/>
      <c r="Q914" s="1588"/>
      <c r="R914" s="1588"/>
      <c r="S914" s="1588"/>
      <c r="T914" s="1589"/>
      <c r="U914" s="1755" t="s">
        <v>31</v>
      </c>
      <c r="V914" s="1756"/>
      <c r="W914" s="1756"/>
      <c r="X914" s="1756"/>
      <c r="Y914" s="1756"/>
      <c r="Z914" s="175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1" t="s">
        <v>827</v>
      </c>
      <c r="G915" s="1622"/>
      <c r="H915" s="1622"/>
      <c r="I915" s="1622"/>
      <c r="J915" s="1622"/>
      <c r="K915" s="1622"/>
      <c r="L915" s="1622"/>
      <c r="M915" s="1622"/>
      <c r="N915" s="1622"/>
      <c r="O915" s="1622"/>
      <c r="P915" s="1622"/>
      <c r="Q915" s="1622"/>
      <c r="R915" s="1622"/>
      <c r="S915" s="1622"/>
      <c r="T915" s="1623"/>
      <c r="U915" s="1621"/>
      <c r="V915" s="1622"/>
      <c r="W915" s="1622"/>
      <c r="X915" s="1622"/>
      <c r="Y915" s="1622"/>
      <c r="Z915" s="162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4"/>
      <c r="G916" s="1625"/>
      <c r="H916" s="1625"/>
      <c r="I916" s="1625"/>
      <c r="J916" s="1625"/>
      <c r="K916" s="1625"/>
      <c r="L916" s="1625"/>
      <c r="M916" s="1625"/>
      <c r="N916" s="1625"/>
      <c r="O916" s="1625"/>
      <c r="P916" s="1625"/>
      <c r="Q916" s="1625"/>
      <c r="R916" s="1625"/>
      <c r="S916" s="1625"/>
      <c r="T916" s="1626"/>
      <c r="U916" s="1624"/>
      <c r="V916" s="1625"/>
      <c r="W916" s="1625"/>
      <c r="X916" s="1625"/>
      <c r="Y916" s="1625"/>
      <c r="Z916" s="1625"/>
      <c r="AA916" s="108"/>
      <c r="AB916" s="1378" t="s">
        <v>392</v>
      </c>
      <c r="AC916" s="1378"/>
      <c r="AD916" s="1378"/>
      <c r="AE916" s="137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79" t="s">
        <v>553</v>
      </c>
      <c r="V917" s="1380"/>
      <c r="W917" s="1380"/>
      <c r="X917" s="1380"/>
      <c r="Y917" s="1380"/>
      <c r="Z917" s="1381"/>
      <c r="AA917" s="1375">
        <f>Application!AM554</f>
        <v>73085743</v>
      </c>
      <c r="AB917" s="1376"/>
      <c r="AC917" s="1376"/>
      <c r="AD917" s="1376"/>
      <c r="AE917" s="1376"/>
      <c r="AF917" s="137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79" t="s">
        <v>553</v>
      </c>
      <c r="V918" s="1380"/>
      <c r="W918" s="1380"/>
      <c r="X918" s="1380"/>
      <c r="Y918" s="1380"/>
      <c r="Z918" s="1381"/>
      <c r="AA918" s="1375">
        <f>AM555</f>
        <v>22783594</v>
      </c>
      <c r="AB918" s="1376"/>
      <c r="AC918" s="1376"/>
      <c r="AD918" s="1376"/>
      <c r="AE918" s="1376"/>
      <c r="AF918" s="137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79" t="s">
        <v>599</v>
      </c>
      <c r="V919" s="1380"/>
      <c r="W919" s="1380"/>
      <c r="X919" s="1380"/>
      <c r="Y919" s="1380"/>
      <c r="Z919" s="1381"/>
      <c r="AA919" s="1375"/>
      <c r="AB919" s="1376"/>
      <c r="AC919" s="1376"/>
      <c r="AD919" s="1376"/>
      <c r="AE919" s="1376"/>
      <c r="AF919" s="137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79" t="s">
        <v>599</v>
      </c>
      <c r="V920" s="1380"/>
      <c r="W920" s="1380"/>
      <c r="X920" s="1380"/>
      <c r="Y920" s="1380"/>
      <c r="Z920" s="1381"/>
      <c r="AA920" s="1375"/>
      <c r="AB920" s="1376"/>
      <c r="AC920" s="1376"/>
      <c r="AD920" s="1376"/>
      <c r="AE920" s="1376"/>
      <c r="AF920" s="137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79" t="s">
        <v>599</v>
      </c>
      <c r="V921" s="1380"/>
      <c r="W921" s="1380"/>
      <c r="X921" s="1380"/>
      <c r="Y921" s="1380"/>
      <c r="Z921" s="1381"/>
      <c r="AA921" s="1375"/>
      <c r="AB921" s="1376"/>
      <c r="AC921" s="1376"/>
      <c r="AD921" s="1376"/>
      <c r="AE921" s="1376"/>
      <c r="AF921" s="137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79" t="s">
        <v>599</v>
      </c>
      <c r="V922" s="1380"/>
      <c r="W922" s="1380"/>
      <c r="X922" s="1380"/>
      <c r="Y922" s="1380"/>
      <c r="Z922" s="1381"/>
      <c r="AA922" s="1375"/>
      <c r="AB922" s="1376"/>
      <c r="AC922" s="1376"/>
      <c r="AD922" s="1376"/>
      <c r="AE922" s="1376"/>
      <c r="AF922" s="137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79" t="s">
        <v>599</v>
      </c>
      <c r="V923" s="1380"/>
      <c r="W923" s="1380"/>
      <c r="X923" s="1380"/>
      <c r="Y923" s="1380"/>
      <c r="Z923" s="1381"/>
      <c r="AA923" s="1375"/>
      <c r="AB923" s="1376"/>
      <c r="AC923" s="1376"/>
      <c r="AD923" s="1376"/>
      <c r="AE923" s="1376"/>
      <c r="AF923" s="137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79" t="s">
        <v>599</v>
      </c>
      <c r="V924" s="1380"/>
      <c r="W924" s="1380"/>
      <c r="X924" s="1380"/>
      <c r="Y924" s="1380"/>
      <c r="Z924" s="1381"/>
      <c r="AA924" s="1375"/>
      <c r="AB924" s="1376"/>
      <c r="AC924" s="1376"/>
      <c r="AD924" s="1376"/>
      <c r="AE924" s="1376"/>
      <c r="AF924" s="137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7" t="s">
        <v>2556</v>
      </c>
      <c r="G925" s="1628"/>
      <c r="H925" s="1628"/>
      <c r="I925" s="1628"/>
      <c r="J925" s="1628"/>
      <c r="K925" s="1628"/>
      <c r="L925" s="1628"/>
      <c r="M925" s="1628"/>
      <c r="N925" s="1628"/>
      <c r="O925" s="1628"/>
      <c r="P925" s="1628"/>
      <c r="Q925" s="1628"/>
      <c r="R925" s="1628"/>
      <c r="S925" s="1628"/>
      <c r="T925" s="1629"/>
      <c r="U925" s="1379" t="s">
        <v>599</v>
      </c>
      <c r="V925" s="1380"/>
      <c r="W925" s="1380"/>
      <c r="X925" s="1380"/>
      <c r="Y925" s="1380"/>
      <c r="Z925" s="1381"/>
      <c r="AA925" s="1375"/>
      <c r="AB925" s="1376"/>
      <c r="AC925" s="1376"/>
      <c r="AD925" s="1376"/>
      <c r="AE925" s="1376"/>
      <c r="AF925" s="137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7" t="s">
        <v>687</v>
      </c>
      <c r="G926" s="1628"/>
      <c r="H926" s="1628"/>
      <c r="I926" s="1628"/>
      <c r="J926" s="1628"/>
      <c r="K926" s="1628"/>
      <c r="L926" s="1628"/>
      <c r="M926" s="1628"/>
      <c r="N926" s="1628"/>
      <c r="O926" s="1628"/>
      <c r="P926" s="1628"/>
      <c r="Q926" s="1628"/>
      <c r="R926" s="1628"/>
      <c r="S926" s="1628"/>
      <c r="T926" s="1629"/>
      <c r="U926" s="1379" t="s">
        <v>599</v>
      </c>
      <c r="V926" s="1380"/>
      <c r="W926" s="1380"/>
      <c r="X926" s="1380"/>
      <c r="Y926" s="1380"/>
      <c r="Z926" s="1381"/>
      <c r="AA926" s="1375"/>
      <c r="AB926" s="1376"/>
      <c r="AC926" s="1376"/>
      <c r="AD926" s="1376"/>
      <c r="AE926" s="1376"/>
      <c r="AF926" s="137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7" t="s">
        <v>2557</v>
      </c>
      <c r="G927" s="1628"/>
      <c r="H927" s="1628"/>
      <c r="I927" s="1628"/>
      <c r="J927" s="1628"/>
      <c r="K927" s="1628"/>
      <c r="L927" s="1628"/>
      <c r="M927" s="1628"/>
      <c r="N927" s="1628"/>
      <c r="O927" s="1628"/>
      <c r="P927" s="1628"/>
      <c r="Q927" s="1628"/>
      <c r="R927" s="1628"/>
      <c r="S927" s="1628"/>
      <c r="T927" s="1629"/>
      <c r="U927" s="1379" t="s">
        <v>599</v>
      </c>
      <c r="V927" s="1380"/>
      <c r="W927" s="1380"/>
      <c r="X927" s="1380"/>
      <c r="Y927" s="1380"/>
      <c r="Z927" s="1381"/>
      <c r="AA927" s="1375"/>
      <c r="AB927" s="1376"/>
      <c r="AC927" s="1376"/>
      <c r="AD927" s="1376"/>
      <c r="AE927" s="1376"/>
      <c r="AF927" s="137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7" t="s">
        <v>2558</v>
      </c>
      <c r="G928" s="1628"/>
      <c r="H928" s="1628"/>
      <c r="I928" s="1628"/>
      <c r="J928" s="1628"/>
      <c r="K928" s="1628"/>
      <c r="L928" s="1628"/>
      <c r="M928" s="1628"/>
      <c r="N928" s="1628"/>
      <c r="O928" s="1628"/>
      <c r="P928" s="1628"/>
      <c r="Q928" s="1628"/>
      <c r="R928" s="1628"/>
      <c r="S928" s="1628"/>
      <c r="T928" s="1629"/>
      <c r="U928" s="1379" t="s">
        <v>599</v>
      </c>
      <c r="V928" s="1380"/>
      <c r="W928" s="1380"/>
      <c r="X928" s="1380"/>
      <c r="Y928" s="1380"/>
      <c r="Z928" s="1381"/>
      <c r="AA928" s="1375"/>
      <c r="AB928" s="1376"/>
      <c r="AC928" s="1376"/>
      <c r="AD928" s="1376"/>
      <c r="AE928" s="1376"/>
      <c r="AF928" s="137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7" t="s">
        <v>2559</v>
      </c>
      <c r="G929" s="1628"/>
      <c r="H929" s="1628"/>
      <c r="I929" s="1628"/>
      <c r="J929" s="1628"/>
      <c r="K929" s="1628"/>
      <c r="L929" s="1628"/>
      <c r="M929" s="1628"/>
      <c r="N929" s="1628"/>
      <c r="O929" s="1628"/>
      <c r="P929" s="1628"/>
      <c r="Q929" s="1628"/>
      <c r="R929" s="1628"/>
      <c r="S929" s="1628"/>
      <c r="T929" s="1629"/>
      <c r="U929" s="1379" t="s">
        <v>599</v>
      </c>
      <c r="V929" s="1380"/>
      <c r="W929" s="1380"/>
      <c r="X929" s="1380"/>
      <c r="Y929" s="1380"/>
      <c r="Z929" s="1381"/>
      <c r="AA929" s="1375"/>
      <c r="AB929" s="1376"/>
      <c r="AC929" s="1376"/>
      <c r="AD929" s="1376"/>
      <c r="AE929" s="1376"/>
      <c r="AF929" s="137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7" t="s">
        <v>2560</v>
      </c>
      <c r="G930" s="1628"/>
      <c r="H930" s="1628"/>
      <c r="I930" s="1628"/>
      <c r="J930" s="1628"/>
      <c r="K930" s="1628"/>
      <c r="L930" s="1628"/>
      <c r="M930" s="1628"/>
      <c r="N930" s="1628"/>
      <c r="O930" s="1628"/>
      <c r="P930" s="1628"/>
      <c r="Q930" s="1628"/>
      <c r="R930" s="1628"/>
      <c r="S930" s="1628"/>
      <c r="T930" s="1629"/>
      <c r="U930" s="1379" t="s">
        <v>599</v>
      </c>
      <c r="V930" s="1380"/>
      <c r="W930" s="1380"/>
      <c r="X930" s="1380"/>
      <c r="Y930" s="1380"/>
      <c r="Z930" s="1381"/>
      <c r="AA930" s="1375"/>
      <c r="AB930" s="1376"/>
      <c r="AC930" s="1376"/>
      <c r="AD930" s="1376"/>
      <c r="AE930" s="1376"/>
      <c r="AF930" s="137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7" t="s">
        <v>2561</v>
      </c>
      <c r="G931" s="1628"/>
      <c r="H931" s="1628"/>
      <c r="I931" s="1628"/>
      <c r="J931" s="1628"/>
      <c r="K931" s="1628"/>
      <c r="L931" s="1628"/>
      <c r="M931" s="1628"/>
      <c r="N931" s="1628"/>
      <c r="O931" s="1628"/>
      <c r="P931" s="1628"/>
      <c r="Q931" s="1628"/>
      <c r="R931" s="1628"/>
      <c r="S931" s="1628"/>
      <c r="T931" s="1629"/>
      <c r="U931" s="1379" t="s">
        <v>599</v>
      </c>
      <c r="V931" s="1380"/>
      <c r="W931" s="1380"/>
      <c r="X931" s="1380"/>
      <c r="Y931" s="1380"/>
      <c r="Z931" s="1381"/>
      <c r="AA931" s="1375"/>
      <c r="AB931" s="1376"/>
      <c r="AC931" s="1376"/>
      <c r="AD931" s="1376"/>
      <c r="AE931" s="1376"/>
      <c r="AF931" s="137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79" t="s">
        <v>599</v>
      </c>
      <c r="V932" s="1380"/>
      <c r="W932" s="1380"/>
      <c r="X932" s="1380"/>
      <c r="Y932" s="1380"/>
      <c r="Z932" s="1381"/>
      <c r="AA932" s="1375"/>
      <c r="AB932" s="1376"/>
      <c r="AC932" s="1376"/>
      <c r="AD932" s="1376"/>
      <c r="AE932" s="1376"/>
      <c r="AF932" s="137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379" t="s">
        <v>599</v>
      </c>
      <c r="V933" s="1380"/>
      <c r="W933" s="1380"/>
      <c r="X933" s="1380"/>
      <c r="Y933" s="1380"/>
      <c r="Z933" s="1381"/>
      <c r="AA933" s="1375"/>
      <c r="AB933" s="1376"/>
      <c r="AC933" s="1376"/>
      <c r="AD933" s="1376"/>
      <c r="AE933" s="1376"/>
      <c r="AF933" s="137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79" t="s">
        <v>599</v>
      </c>
      <c r="V934" s="1380"/>
      <c r="W934" s="1380"/>
      <c r="X934" s="1380"/>
      <c r="Y934" s="1380"/>
      <c r="Z934" s="1381"/>
      <c r="AA934" s="1375"/>
      <c r="AB934" s="1376"/>
      <c r="AC934" s="1376"/>
      <c r="AD934" s="1376"/>
      <c r="AE934" s="1376"/>
      <c r="AF934" s="137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360" t="s">
        <v>2565</v>
      </c>
      <c r="G935" s="1361"/>
      <c r="H935" s="1361"/>
      <c r="I935" s="1361"/>
      <c r="J935" s="1361"/>
      <c r="K935" s="1361"/>
      <c r="L935" s="1361"/>
      <c r="M935" s="1361"/>
      <c r="N935" s="1361"/>
      <c r="O935" s="1361"/>
      <c r="P935" s="1361"/>
      <c r="Q935" s="1361"/>
      <c r="R935" s="1361"/>
      <c r="S935" s="1361"/>
      <c r="T935" s="1362"/>
      <c r="U935" s="1379" t="s">
        <v>599</v>
      </c>
      <c r="V935" s="1380"/>
      <c r="W935" s="1380"/>
      <c r="X935" s="1380"/>
      <c r="Y935" s="1380"/>
      <c r="Z935" s="1381"/>
      <c r="AA935" s="1375"/>
      <c r="AB935" s="1376"/>
      <c r="AC935" s="1376"/>
      <c r="AD935" s="1376"/>
      <c r="AE935" s="1376"/>
      <c r="AF935" s="137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360" t="s">
        <v>2566</v>
      </c>
      <c r="G936" s="1361"/>
      <c r="H936" s="1361"/>
      <c r="I936" s="1361"/>
      <c r="J936" s="1361"/>
      <c r="K936" s="1361"/>
      <c r="L936" s="1361"/>
      <c r="M936" s="1361"/>
      <c r="N936" s="1361"/>
      <c r="O936" s="1361"/>
      <c r="P936" s="1361"/>
      <c r="Q936" s="1361"/>
      <c r="R936" s="1361"/>
      <c r="S936" s="1361"/>
      <c r="T936" s="1362"/>
      <c r="U936" s="1379" t="s">
        <v>599</v>
      </c>
      <c r="V936" s="1380"/>
      <c r="W936" s="1380"/>
      <c r="X936" s="1380"/>
      <c r="Y936" s="1380"/>
      <c r="Z936" s="1381"/>
      <c r="AA936" s="1375"/>
      <c r="AB936" s="1376"/>
      <c r="AC936" s="1376"/>
      <c r="AD936" s="1376"/>
      <c r="AE936" s="1376"/>
      <c r="AF936" s="137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7" t="s">
        <v>2562</v>
      </c>
      <c r="G937" s="1628"/>
      <c r="H937" s="1628"/>
      <c r="I937" s="1628"/>
      <c r="J937" s="1628"/>
      <c r="K937" s="1628"/>
      <c r="L937" s="1628"/>
      <c r="M937" s="1628"/>
      <c r="N937" s="1628"/>
      <c r="O937" s="1628"/>
      <c r="P937" s="1628"/>
      <c r="Q937" s="1628"/>
      <c r="R937" s="1628"/>
      <c r="S937" s="1628"/>
      <c r="T937" s="1629"/>
      <c r="U937" s="1379" t="s">
        <v>599</v>
      </c>
      <c r="V937" s="1380"/>
      <c r="W937" s="1380"/>
      <c r="X937" s="1380"/>
      <c r="Y937" s="1380"/>
      <c r="Z937" s="1381"/>
      <c r="AA937" s="1375"/>
      <c r="AB937" s="1376"/>
      <c r="AC937" s="1376"/>
      <c r="AD937" s="1376"/>
      <c r="AE937" s="1376"/>
      <c r="AF937" s="137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7" t="s">
        <v>2563</v>
      </c>
      <c r="G938" s="1628"/>
      <c r="H938" s="1628"/>
      <c r="I938" s="1628"/>
      <c r="J938" s="1628"/>
      <c r="K938" s="1628"/>
      <c r="L938" s="1628"/>
      <c r="M938" s="1628"/>
      <c r="N938" s="1628"/>
      <c r="O938" s="1628"/>
      <c r="P938" s="1628"/>
      <c r="Q938" s="1628"/>
      <c r="R938" s="1628"/>
      <c r="S938" s="1628"/>
      <c r="T938" s="1629"/>
      <c r="U938" s="1379" t="s">
        <v>599</v>
      </c>
      <c r="V938" s="1380"/>
      <c r="W938" s="1380"/>
      <c r="X938" s="1380"/>
      <c r="Y938" s="1380"/>
      <c r="Z938" s="138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7" t="s">
        <v>2564</v>
      </c>
      <c r="G939" s="1628"/>
      <c r="H939" s="1628"/>
      <c r="I939" s="1628"/>
      <c r="J939" s="1628"/>
      <c r="K939" s="1628"/>
      <c r="L939" s="1628"/>
      <c r="M939" s="1628"/>
      <c r="N939" s="1628"/>
      <c r="O939" s="1628"/>
      <c r="P939" s="1628"/>
      <c r="Q939" s="1628"/>
      <c r="R939" s="1628"/>
      <c r="S939" s="1628"/>
      <c r="T939" s="1629"/>
      <c r="U939" s="1379" t="s">
        <v>599</v>
      </c>
      <c r="V939" s="1380"/>
      <c r="W939" s="1380"/>
      <c r="X939" s="1380"/>
      <c r="Y939" s="1380"/>
      <c r="Z939" s="138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379" t="s">
        <v>599</v>
      </c>
      <c r="V940" s="1380"/>
      <c r="W940" s="1380"/>
      <c r="X940" s="1380"/>
      <c r="Y940" s="1380"/>
      <c r="Z940" s="1381"/>
      <c r="AA940" s="1375"/>
      <c r="AB940" s="1376"/>
      <c r="AC940" s="1376"/>
      <c r="AD940" s="1376"/>
      <c r="AE940" s="1376"/>
      <c r="AF940" s="137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360" t="s">
        <v>2567</v>
      </c>
      <c r="G941" s="1361"/>
      <c r="H941" s="1361"/>
      <c r="I941" s="1361"/>
      <c r="J941" s="1361"/>
      <c r="K941" s="1361"/>
      <c r="L941" s="1361"/>
      <c r="M941" s="1361"/>
      <c r="N941" s="1361"/>
      <c r="O941" s="1361"/>
      <c r="P941" s="1361"/>
      <c r="Q941" s="1361"/>
      <c r="R941" s="1361"/>
      <c r="S941" s="1361"/>
      <c r="T941" s="1362"/>
      <c r="U941" s="1379" t="s">
        <v>599</v>
      </c>
      <c r="V941" s="1380"/>
      <c r="W941" s="1380"/>
      <c r="X941" s="1380"/>
      <c r="Y941" s="1380"/>
      <c r="Z941" s="1381"/>
      <c r="AA941" s="1375"/>
      <c r="AB941" s="1376"/>
      <c r="AC941" s="1376"/>
      <c r="AD941" s="1376"/>
      <c r="AE941" s="1376"/>
      <c r="AF941" s="137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379" t="s">
        <v>599</v>
      </c>
      <c r="V942" s="1380"/>
      <c r="W942" s="1380"/>
      <c r="X942" s="1380"/>
      <c r="Y942" s="1380"/>
      <c r="Z942" s="1381"/>
      <c r="AA942" s="1375"/>
      <c r="AB942" s="1376"/>
      <c r="AC942" s="1376"/>
      <c r="AD942" s="1376"/>
      <c r="AE942" s="1376"/>
      <c r="AF942" s="137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360" t="s">
        <v>2568</v>
      </c>
      <c r="G943" s="1361"/>
      <c r="H943" s="1361"/>
      <c r="I943" s="1361"/>
      <c r="J943" s="1361"/>
      <c r="K943" s="1361"/>
      <c r="L943" s="1361"/>
      <c r="M943" s="1361"/>
      <c r="N943" s="1361"/>
      <c r="O943" s="1361"/>
      <c r="P943" s="1361"/>
      <c r="Q943" s="1361"/>
      <c r="R943" s="1361"/>
      <c r="S943" s="1361"/>
      <c r="T943" s="1362"/>
      <c r="U943" s="1379" t="s">
        <v>599</v>
      </c>
      <c r="V943" s="1380"/>
      <c r="W943" s="1380"/>
      <c r="X943" s="1380"/>
      <c r="Y943" s="1380"/>
      <c r="Z943" s="1381"/>
      <c r="AA943" s="1375"/>
      <c r="AB943" s="1376"/>
      <c r="AC943" s="1376"/>
      <c r="AD943" s="1376"/>
      <c r="AE943" s="1376"/>
      <c r="AF943" s="137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79" t="s">
        <v>677</v>
      </c>
      <c r="Q944" s="1380"/>
      <c r="R944" s="1380"/>
      <c r="S944" s="1380"/>
      <c r="T944" s="1381"/>
      <c r="U944" s="1379" t="s">
        <v>599</v>
      </c>
      <c r="V944" s="1380"/>
      <c r="W944" s="1380"/>
      <c r="X944" s="1380"/>
      <c r="Y944" s="1380"/>
      <c r="Z944" s="1381"/>
      <c r="AA944" s="1375"/>
      <c r="AB944" s="1376"/>
      <c r="AC944" s="1376"/>
      <c r="AD944" s="1376"/>
      <c r="AE944" s="1376"/>
      <c r="AF944" s="137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7" t="s">
        <v>2555</v>
      </c>
      <c r="G945" s="1628"/>
      <c r="H945" s="1629"/>
      <c r="I945" s="1468" t="s">
        <v>335</v>
      </c>
      <c r="J945" s="1652"/>
      <c r="K945" s="1652"/>
      <c r="L945" s="1652"/>
      <c r="M945" s="1652"/>
      <c r="N945" s="1652"/>
      <c r="O945" s="1652"/>
      <c r="P945" s="1652"/>
      <c r="Q945" s="1652"/>
      <c r="R945" s="1652"/>
      <c r="S945" s="1652"/>
      <c r="T945" s="1653"/>
      <c r="U945" s="1379" t="s">
        <v>599</v>
      </c>
      <c r="V945" s="1380"/>
      <c r="W945" s="1380"/>
      <c r="X945" s="1380"/>
      <c r="Y945" s="1380"/>
      <c r="Z945" s="1381"/>
      <c r="AA945" s="1375"/>
      <c r="AB945" s="1376"/>
      <c r="AC945" s="1376"/>
      <c r="AD945" s="1376"/>
      <c r="AE945" s="1376"/>
      <c r="AF945" s="137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468" t="s">
        <v>335</v>
      </c>
      <c r="J946" s="1652"/>
      <c r="K946" s="1652"/>
      <c r="L946" s="1652"/>
      <c r="M946" s="1652"/>
      <c r="N946" s="1652"/>
      <c r="O946" s="1652"/>
      <c r="P946" s="1652"/>
      <c r="Q946" s="1652"/>
      <c r="R946" s="1652"/>
      <c r="S946" s="1652"/>
      <c r="T946" s="1653"/>
      <c r="U946" s="1379" t="s">
        <v>599</v>
      </c>
      <c r="V946" s="1380"/>
      <c r="W946" s="1380"/>
      <c r="X946" s="1380"/>
      <c r="Y946" s="1380"/>
      <c r="Z946" s="1381"/>
      <c r="AA946" s="1375"/>
      <c r="AB946" s="1376"/>
      <c r="AC946" s="1376"/>
      <c r="AD946" s="1376"/>
      <c r="AE946" s="1376"/>
      <c r="AF946" s="137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468" t="str">
        <f>C628</f>
        <v>County of Santa Clara</v>
      </c>
      <c r="J947" s="1469"/>
      <c r="K947" s="1469"/>
      <c r="L947" s="1469"/>
      <c r="M947" s="1469"/>
      <c r="N947" s="1469"/>
      <c r="O947" s="1469"/>
      <c r="P947" s="1469"/>
      <c r="Q947" s="1469"/>
      <c r="R947" s="1469"/>
      <c r="S947" s="1469"/>
      <c r="T947" s="1470"/>
      <c r="U947" s="1379" t="s">
        <v>553</v>
      </c>
      <c r="V947" s="1380"/>
      <c r="W947" s="1380"/>
      <c r="X947" s="1380"/>
      <c r="Y947" s="1380"/>
      <c r="Z947" s="1381"/>
      <c r="AA947" s="1375">
        <f>AO628</f>
        <v>2000000</v>
      </c>
      <c r="AB947" s="1376"/>
      <c r="AC947" s="1376"/>
      <c r="AD947" s="1376"/>
      <c r="AE947" s="1376"/>
      <c r="AF947" s="137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468" t="str">
        <f>C629</f>
        <v>City of San José</v>
      </c>
      <c r="J948" s="1469"/>
      <c r="K948" s="1469"/>
      <c r="L948" s="1469"/>
      <c r="M948" s="1469"/>
      <c r="N948" s="1469"/>
      <c r="O948" s="1469"/>
      <c r="P948" s="1469"/>
      <c r="Q948" s="1469"/>
      <c r="R948" s="1469"/>
      <c r="S948" s="1469"/>
      <c r="T948" s="1470"/>
      <c r="U948" s="1379" t="s">
        <v>553</v>
      </c>
      <c r="V948" s="1380"/>
      <c r="W948" s="1380"/>
      <c r="X948" s="1380"/>
      <c r="Y948" s="1380"/>
      <c r="Z948" s="1381"/>
      <c r="AA948" s="1375">
        <v>19062289</v>
      </c>
      <c r="AB948" s="1376"/>
      <c r="AC948" s="1376"/>
      <c r="AD948" s="1376"/>
      <c r="AE948" s="1376"/>
      <c r="AF948" s="137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20" t="s">
        <v>2775</v>
      </c>
      <c r="J949" s="1469"/>
      <c r="K949" s="1469"/>
      <c r="L949" s="1469"/>
      <c r="M949" s="1469"/>
      <c r="N949" s="1469"/>
      <c r="O949" s="1469"/>
      <c r="P949" s="1469"/>
      <c r="Q949" s="1469"/>
      <c r="R949" s="1469"/>
      <c r="S949" s="1469"/>
      <c r="T949" s="1470"/>
      <c r="U949" s="1379" t="s">
        <v>553</v>
      </c>
      <c r="V949" s="1380"/>
      <c r="W949" s="1380"/>
      <c r="X949" s="1380"/>
      <c r="Y949" s="1380"/>
      <c r="Z949" s="1381"/>
      <c r="AA949" s="1375">
        <f>'Sources and Uses Budget'!S93</f>
        <v>6788356</v>
      </c>
      <c r="AB949" s="1376"/>
      <c r="AC949" s="1376"/>
      <c r="AD949" s="1376"/>
      <c r="AE949" s="1376"/>
      <c r="AF949" s="137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57">
        <v>45397</v>
      </c>
      <c r="N954" s="1618"/>
      <c r="O954" s="1618"/>
      <c r="P954" s="1618"/>
      <c r="Q954" s="1618"/>
      <c r="R954" s="1618"/>
      <c r="S954" s="1619"/>
      <c r="U954" s="66" t="s">
        <v>11</v>
      </c>
      <c r="V954" s="5"/>
      <c r="W954" s="5"/>
      <c r="X954" s="5"/>
      <c r="Y954" s="5"/>
      <c r="Z954" s="5"/>
      <c r="AA954" s="5"/>
      <c r="AB954" s="5"/>
      <c r="AC954" s="5"/>
      <c r="AD954" s="46"/>
      <c r="AE954" s="1617"/>
      <c r="AF954" s="1618"/>
      <c r="AG954" s="1618"/>
      <c r="AH954" s="1618"/>
      <c r="AI954" s="1618"/>
      <c r="AJ954" s="1618"/>
      <c r="AK954" s="161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05" t="s">
        <v>2726</v>
      </c>
      <c r="N955" s="1406"/>
      <c r="O955" s="1406"/>
      <c r="P955" s="1406"/>
      <c r="Q955" s="1406"/>
      <c r="R955" s="1406"/>
      <c r="S955" s="1407"/>
      <c r="U955" s="66" t="s">
        <v>12</v>
      </c>
      <c r="V955" s="5"/>
      <c r="W955" s="5"/>
      <c r="X955" s="5"/>
      <c r="Y955" s="5"/>
      <c r="Z955" s="5"/>
      <c r="AA955" s="5"/>
      <c r="AB955" s="5"/>
      <c r="AC955" s="5"/>
      <c r="AD955" s="46"/>
      <c r="AE955" s="1405"/>
      <c r="AF955" s="1406"/>
      <c r="AG955" s="1406"/>
      <c r="AH955" s="1406"/>
      <c r="AI955" s="1406"/>
      <c r="AJ955" s="1406"/>
      <c r="AK955" s="14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402" t="s">
        <v>2727</v>
      </c>
      <c r="K956" s="1403"/>
      <c r="L956" s="1403"/>
      <c r="M956" s="1403"/>
      <c r="N956" s="1403"/>
      <c r="O956" s="1403"/>
      <c r="P956" s="1403"/>
      <c r="Q956" s="1403"/>
      <c r="R956" s="1403"/>
      <c r="S956" s="1404"/>
      <c r="U956" s="66" t="s">
        <v>892</v>
      </c>
      <c r="V956" s="5"/>
      <c r="W956" s="5"/>
      <c r="AB956" s="1402" t="s">
        <v>308</v>
      </c>
      <c r="AC956" s="1403"/>
      <c r="AD956" s="1403"/>
      <c r="AE956" s="1403"/>
      <c r="AF956" s="1403"/>
      <c r="AG956" s="1403"/>
      <c r="AH956" s="1403"/>
      <c r="AI956" s="1403"/>
      <c r="AJ956" s="1403"/>
      <c r="AK956" s="140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444">
        <v>0.158</v>
      </c>
      <c r="N957" s="1445"/>
      <c r="O957" s="1445"/>
      <c r="P957" s="1445"/>
      <c r="Q957" s="1445"/>
      <c r="R957" s="1445"/>
      <c r="S957" s="1446"/>
      <c r="U957" s="66" t="s">
        <v>13</v>
      </c>
      <c r="V957" s="5"/>
      <c r="W957" s="5"/>
      <c r="X957" s="5"/>
      <c r="Y957" s="5"/>
      <c r="Z957" s="5"/>
      <c r="AA957" s="5"/>
      <c r="AB957" s="5"/>
      <c r="AC957" s="5"/>
      <c r="AD957" s="46"/>
      <c r="AE957" s="1748"/>
      <c r="AF957" s="1445"/>
      <c r="AG957" s="1445"/>
      <c r="AH957" s="1445"/>
      <c r="AI957" s="1445"/>
      <c r="AJ957" s="1445"/>
      <c r="AK957" s="144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5">
        <v>30</v>
      </c>
      <c r="N958" s="1636"/>
      <c r="O958" s="1636"/>
      <c r="P958" s="1636"/>
      <c r="Q958" s="1636"/>
      <c r="R958" s="1636"/>
      <c r="S958" s="1637"/>
      <c r="U958" s="66" t="s">
        <v>14</v>
      </c>
      <c r="V958" s="5"/>
      <c r="W958" s="5"/>
      <c r="X958" s="5"/>
      <c r="Y958" s="5"/>
      <c r="Z958" s="5"/>
      <c r="AA958" s="5"/>
      <c r="AB958" s="5"/>
      <c r="AC958" s="5"/>
      <c r="AD958" s="46"/>
      <c r="AE958" s="1635"/>
      <c r="AF958" s="1636"/>
      <c r="AG958" s="1636"/>
      <c r="AH958" s="1636"/>
      <c r="AI958" s="1636"/>
      <c r="AJ958" s="1636"/>
      <c r="AK958" s="163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75">
        <v>846840</v>
      </c>
      <c r="N959" s="1376"/>
      <c r="O959" s="1376"/>
      <c r="P959" s="1376"/>
      <c r="Q959" s="1376"/>
      <c r="R959" s="1376"/>
      <c r="S959" s="1377"/>
      <c r="U959" s="66" t="s">
        <v>15</v>
      </c>
      <c r="V959" s="5"/>
      <c r="W959" s="5"/>
      <c r="X959" s="5"/>
      <c r="Y959" s="5"/>
      <c r="Z959" s="5"/>
      <c r="AA959" s="5"/>
      <c r="AB959" s="5"/>
      <c r="AC959" s="5"/>
      <c r="AD959" s="46"/>
      <c r="AE959" s="1375"/>
      <c r="AF959" s="1376"/>
      <c r="AG959" s="1376"/>
      <c r="AH959" s="1376"/>
      <c r="AI959" s="1376"/>
      <c r="AJ959" s="1376"/>
      <c r="AK959" s="137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75">
        <v>17192880</v>
      </c>
      <c r="N960" s="1376"/>
      <c r="O960" s="1376"/>
      <c r="P960" s="1376"/>
      <c r="Q960" s="1376"/>
      <c r="R960" s="1376"/>
      <c r="S960" s="1377"/>
      <c r="U960" s="66" t="s">
        <v>16</v>
      </c>
      <c r="V960" s="5"/>
      <c r="W960" s="5"/>
      <c r="X960" s="5"/>
      <c r="Y960" s="5"/>
      <c r="Z960" s="5"/>
      <c r="AA960" s="5"/>
      <c r="AB960" s="5"/>
      <c r="AC960" s="5"/>
      <c r="AD960" s="46"/>
      <c r="AE960" s="1375"/>
      <c r="AF960" s="1376"/>
      <c r="AG960" s="1376"/>
      <c r="AH960" s="1376"/>
      <c r="AI960" s="1376"/>
      <c r="AJ960" s="1376"/>
      <c r="AK960" s="137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36">
        <v>20</v>
      </c>
      <c r="N961" s="1737"/>
      <c r="O961" s="1737"/>
      <c r="P961" s="1737"/>
      <c r="Q961" s="1737"/>
      <c r="R961" s="1737"/>
      <c r="S961" s="1738"/>
      <c r="U961" s="121" t="s">
        <v>1774</v>
      </c>
      <c r="V961" s="5"/>
      <c r="W961" s="5"/>
      <c r="X961" s="5"/>
      <c r="Y961" s="5"/>
      <c r="Z961" s="5"/>
      <c r="AA961" s="5"/>
      <c r="AB961" s="5"/>
      <c r="AC961" s="5"/>
      <c r="AD961" s="46"/>
      <c r="AE961" s="1736"/>
      <c r="AF961" s="1737"/>
      <c r="AG961" s="1737"/>
      <c r="AH961" s="1737"/>
      <c r="AI961" s="1737"/>
      <c r="AJ961" s="1737"/>
      <c r="AK961" s="1738"/>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399"/>
      <c r="N966" s="1400"/>
      <c r="O966" s="1400"/>
      <c r="P966" s="1400"/>
      <c r="Q966" s="1400"/>
      <c r="R966" s="1400"/>
      <c r="S966" s="1401"/>
      <c r="T966" s="66" t="s">
        <v>799</v>
      </c>
      <c r="U966" s="5"/>
      <c r="V966" s="5"/>
      <c r="W966" s="5"/>
      <c r="X966" s="5"/>
      <c r="Y966" s="5"/>
      <c r="Z966" s="46"/>
      <c r="AA966" s="1399"/>
      <c r="AB966" s="1400"/>
      <c r="AC966" s="1400"/>
      <c r="AD966" s="1400"/>
      <c r="AE966" s="1400"/>
      <c r="AF966" s="1400"/>
      <c r="AG966" s="140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399"/>
      <c r="N967" s="1400"/>
      <c r="O967" s="1400"/>
      <c r="P967" s="1400"/>
      <c r="Q967" s="1400"/>
      <c r="R967" s="1400"/>
      <c r="S967" s="1401"/>
      <c r="T967" s="66" t="s">
        <v>798</v>
      </c>
      <c r="U967" s="5"/>
      <c r="V967" s="5"/>
      <c r="W967" s="5"/>
      <c r="X967" s="5"/>
      <c r="Y967" s="5"/>
      <c r="Z967" s="46"/>
      <c r="AA967" s="1399"/>
      <c r="AB967" s="1400"/>
      <c r="AC967" s="1400"/>
      <c r="AD967" s="1400"/>
      <c r="AE967" s="1400"/>
      <c r="AF967" s="1400"/>
      <c r="AG967" s="140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2" t="s">
        <v>599</v>
      </c>
      <c r="N968" s="1763"/>
      <c r="O968" s="1763"/>
      <c r="P968" s="1763"/>
      <c r="Q968" s="1763"/>
      <c r="R968" s="1763"/>
      <c r="S968" s="1764"/>
      <c r="T968" s="45" t="s">
        <v>338</v>
      </c>
      <c r="U968" s="5"/>
      <c r="V968" s="5"/>
      <c r="W968" s="5"/>
      <c r="X968" s="5"/>
      <c r="Y968" s="5"/>
      <c r="Z968" s="46"/>
      <c r="AA968" s="1399"/>
      <c r="AB968" s="1400"/>
      <c r="AC968" s="1400"/>
      <c r="AD968" s="1400"/>
      <c r="AE968" s="1400"/>
      <c r="AF968" s="1400"/>
      <c r="AG968" s="140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399"/>
      <c r="N969" s="1400"/>
      <c r="O969" s="1400"/>
      <c r="P969" s="1400"/>
      <c r="Q969" s="1400"/>
      <c r="R969" s="1400"/>
      <c r="S969" s="1401"/>
      <c r="T969" s="45" t="s">
        <v>339</v>
      </c>
      <c r="U969" s="5"/>
      <c r="V969" s="5"/>
      <c r="W969" s="5"/>
      <c r="X969" s="5"/>
      <c r="Y969" s="5"/>
      <c r="Z969" s="46"/>
      <c r="AA969" s="1399"/>
      <c r="AB969" s="1400"/>
      <c r="AC969" s="1400"/>
      <c r="AD969" s="1400"/>
      <c r="AE969" s="1400"/>
      <c r="AF969" s="1400"/>
      <c r="AG969" s="140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399"/>
      <c r="N970" s="1400"/>
      <c r="O970" s="1400"/>
      <c r="P970" s="1400"/>
      <c r="Q970" s="1400"/>
      <c r="R970" s="1400"/>
      <c r="S970" s="1401"/>
      <c r="T970" s="45" t="s">
        <v>377</v>
      </c>
      <c r="U970" s="5"/>
      <c r="V970" s="5"/>
      <c r="W970" s="5"/>
      <c r="X970" s="5"/>
      <c r="Y970" s="5"/>
      <c r="Z970" s="46"/>
      <c r="AA970" s="1399"/>
      <c r="AB970" s="1400"/>
      <c r="AC970" s="1400"/>
      <c r="AD970" s="1400"/>
      <c r="AE970" s="1400"/>
      <c r="AF970" s="1400"/>
      <c r="AG970" s="140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7" t="s">
        <v>308</v>
      </c>
      <c r="N971" s="1658"/>
      <c r="O971" s="1658"/>
      <c r="P971" s="1658"/>
      <c r="Q971" s="1658"/>
      <c r="R971" s="1658"/>
      <c r="S971" s="1659"/>
      <c r="T971" s="1769"/>
      <c r="U971" s="1770"/>
      <c r="V971" s="1770"/>
      <c r="W971" s="1770"/>
      <c r="X971" s="1770"/>
      <c r="Y971" s="1770"/>
      <c r="Z971" s="1771"/>
      <c r="AA971" s="1399"/>
      <c r="AB971" s="1400"/>
      <c r="AC971" s="1400"/>
      <c r="AD971" s="1400"/>
      <c r="AE971" s="1400"/>
      <c r="AF971" s="1400"/>
      <c r="AG971" s="140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399"/>
      <c r="N972" s="1400"/>
      <c r="O972" s="1400"/>
      <c r="P972" s="1400"/>
      <c r="Q972" s="1400"/>
      <c r="R972" s="1400"/>
      <c r="S972" s="1401"/>
      <c r="T972" s="1769"/>
      <c r="U972" s="1770"/>
      <c r="V972" s="1770"/>
      <c r="W972" s="1770"/>
      <c r="X972" s="1770"/>
      <c r="Y972" s="1770"/>
      <c r="Z972" s="1771"/>
      <c r="AA972" s="1399"/>
      <c r="AB972" s="1400"/>
      <c r="AC972" s="1400"/>
      <c r="AD972" s="1400"/>
      <c r="AE972" s="1400"/>
      <c r="AF972" s="1400"/>
      <c r="AG972" s="140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58" t="s">
        <v>677</v>
      </c>
      <c r="P973" s="1691"/>
      <c r="Q973" s="92"/>
      <c r="R973" s="92"/>
      <c r="S973" s="93"/>
      <c r="T973" s="41" t="s">
        <v>170</v>
      </c>
      <c r="U973" s="42"/>
      <c r="V973" s="42"/>
      <c r="W973" s="1654" t="s">
        <v>335</v>
      </c>
      <c r="X973" s="1655"/>
      <c r="Y973" s="1655"/>
      <c r="Z973" s="1655"/>
      <c r="AA973" s="1655"/>
      <c r="AB973" s="1655"/>
      <c r="AC973" s="1655"/>
      <c r="AD973" s="1655"/>
      <c r="AE973" s="1655"/>
      <c r="AF973" s="1655"/>
      <c r="AG973" s="16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49" t="s">
        <v>33</v>
      </c>
      <c r="G974" s="1481"/>
      <c r="H974" s="1481"/>
      <c r="I974" s="1481"/>
      <c r="J974" s="1481"/>
      <c r="K974" s="1481"/>
      <c r="L974" s="1481"/>
      <c r="M974" s="1399"/>
      <c r="N974" s="1400"/>
      <c r="O974" s="1400"/>
      <c r="P974" s="1400"/>
      <c r="Q974" s="1400"/>
      <c r="R974" s="1400"/>
      <c r="S974" s="1401"/>
      <c r="T974" s="47"/>
      <c r="U974" s="48"/>
      <c r="V974" s="48"/>
      <c r="W974" s="48"/>
      <c r="X974" s="48"/>
      <c r="Y974" s="48"/>
      <c r="Z974" s="124" t="s">
        <v>134</v>
      </c>
      <c r="AA974" s="1765"/>
      <c r="AB974" s="1766"/>
      <c r="AC974" s="1766"/>
      <c r="AD974" s="1766"/>
      <c r="AE974" s="1766"/>
      <c r="AF974" s="1766"/>
      <c r="AG974" s="176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1" t="s">
        <v>556</v>
      </c>
      <c r="B978" s="1651"/>
      <c r="C978" s="1651"/>
      <c r="D978" s="1651"/>
      <c r="E978" s="1651"/>
      <c r="F978" s="1651"/>
      <c r="G978" s="1651"/>
      <c r="H978" s="1651"/>
      <c r="I978" s="1651"/>
      <c r="J978" s="1651"/>
      <c r="K978" s="1651"/>
      <c r="L978" s="1651"/>
      <c r="M978" s="1651"/>
      <c r="N978" s="1651"/>
      <c r="O978" s="1651"/>
      <c r="P978" s="1651"/>
      <c r="Q978" s="1651"/>
      <c r="R978" s="1651"/>
      <c r="S978" s="1651"/>
      <c r="T978" s="1651"/>
      <c r="U978" s="1651"/>
      <c r="V978" s="1651"/>
      <c r="W978" s="1651"/>
      <c r="X978" s="1651"/>
      <c r="Y978" s="1651"/>
      <c r="Z978" s="1651"/>
      <c r="AA978" s="1651"/>
      <c r="AB978" s="1651"/>
      <c r="AC978" s="1651"/>
      <c r="AD978" s="1651"/>
      <c r="AE978" s="1651"/>
      <c r="AF978" s="1651"/>
      <c r="AG978" s="1651"/>
      <c r="AH978" s="1651"/>
      <c r="AI978" s="1651"/>
      <c r="AJ978" s="1651"/>
      <c r="AK978" s="1651"/>
      <c r="AL978" s="1651"/>
      <c r="AM978" s="1651"/>
      <c r="AN978" s="1651"/>
      <c r="AO978" s="1651"/>
      <c r="AP978" s="1651"/>
      <c r="AQ978" s="1651"/>
      <c r="AR978" s="1651"/>
      <c r="AS978" s="1651"/>
      <c r="AT978" s="165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1"/>
      <c r="B979" s="1651"/>
      <c r="C979" s="1651"/>
      <c r="D979" s="1651"/>
      <c r="E979" s="1651"/>
      <c r="F979" s="1651"/>
      <c r="G979" s="1651"/>
      <c r="H979" s="1651"/>
      <c r="I979" s="1651"/>
      <c r="J979" s="1651"/>
      <c r="K979" s="1651"/>
      <c r="L979" s="1651"/>
      <c r="M979" s="1651"/>
      <c r="N979" s="1651"/>
      <c r="O979" s="1651"/>
      <c r="P979" s="1651"/>
      <c r="Q979" s="1651"/>
      <c r="R979" s="1651"/>
      <c r="S979" s="1651"/>
      <c r="T979" s="1651"/>
      <c r="U979" s="1651"/>
      <c r="V979" s="1651"/>
      <c r="W979" s="1651"/>
      <c r="X979" s="1651"/>
      <c r="Y979" s="1651"/>
      <c r="Z979" s="1651"/>
      <c r="AA979" s="1651"/>
      <c r="AB979" s="1651"/>
      <c r="AC979" s="1651"/>
      <c r="AD979" s="1651"/>
      <c r="AE979" s="1651"/>
      <c r="AF979" s="1651"/>
      <c r="AG979" s="1651"/>
      <c r="AH979" s="1651"/>
      <c r="AI979" s="1651"/>
      <c r="AJ979" s="1651"/>
      <c r="AK979" s="1651"/>
      <c r="AL979" s="1651"/>
      <c r="AM979" s="1651"/>
      <c r="AN979" s="1651"/>
      <c r="AO979" s="1651"/>
      <c r="AP979" s="1651"/>
      <c r="AQ979" s="1651"/>
      <c r="AR979" s="1651"/>
      <c r="AS979" s="1651"/>
      <c r="AT979" s="165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1"/>
      <c r="B980" s="1651"/>
      <c r="C980" s="1651"/>
      <c r="D980" s="1651"/>
      <c r="E980" s="1651"/>
      <c r="F980" s="1651"/>
      <c r="G980" s="1651"/>
      <c r="H980" s="1651"/>
      <c r="I980" s="1651"/>
      <c r="J980" s="1651"/>
      <c r="K980" s="1651"/>
      <c r="L980" s="1651"/>
      <c r="M980" s="1651"/>
      <c r="N980" s="1651"/>
      <c r="O980" s="1651"/>
      <c r="P980" s="1651"/>
      <c r="Q980" s="1651"/>
      <c r="R980" s="1651"/>
      <c r="S980" s="1651"/>
      <c r="T980" s="1651"/>
      <c r="U980" s="1651"/>
      <c r="V980" s="1651"/>
      <c r="W980" s="1651"/>
      <c r="X980" s="1651"/>
      <c r="Y980" s="1651"/>
      <c r="Z980" s="1651"/>
      <c r="AA980" s="1651"/>
      <c r="AB980" s="1651"/>
      <c r="AC980" s="1651"/>
      <c r="AD980" s="1651"/>
      <c r="AE980" s="1651"/>
      <c r="AF980" s="1651"/>
      <c r="AG980" s="1651"/>
      <c r="AH980" s="1651"/>
      <c r="AI980" s="1651"/>
      <c r="AJ980" s="1651"/>
      <c r="AK980" s="1651"/>
      <c r="AL980" s="1651"/>
      <c r="AM980" s="1651"/>
      <c r="AN980" s="1651"/>
      <c r="AO980" s="1651"/>
      <c r="AP980" s="1651"/>
      <c r="AQ980" s="1651"/>
      <c r="AR980" s="1651"/>
      <c r="AS980" s="1651"/>
      <c r="AT980" s="165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425" t="s">
        <v>646</v>
      </c>
      <c r="E984" s="1426"/>
      <c r="F984" s="1426"/>
      <c r="G984" s="1426"/>
      <c r="H984" s="1426"/>
      <c r="I984" s="1426"/>
      <c r="J984" s="1426"/>
      <c r="K984" s="1426"/>
      <c r="L984" s="1426"/>
      <c r="M984" s="1426"/>
      <c r="N984" s="1426"/>
      <c r="O984" s="1426"/>
      <c r="P984" s="1426"/>
      <c r="Q984" s="1427"/>
      <c r="R984" s="1425" t="s">
        <v>647</v>
      </c>
      <c r="S984" s="1426"/>
      <c r="T984" s="1426"/>
      <c r="U984" s="1426"/>
      <c r="V984" s="1426"/>
      <c r="W984" s="1426"/>
      <c r="X984" s="1426"/>
      <c r="Y984" s="1426"/>
      <c r="Z984" s="1426"/>
      <c r="AA984" s="1427"/>
      <c r="AB984" s="1425" t="s">
        <v>648</v>
      </c>
      <c r="AC984" s="1426"/>
      <c r="AD984" s="1426"/>
      <c r="AE984" s="1426"/>
      <c r="AF984" s="1426"/>
      <c r="AG984" s="1426"/>
      <c r="AH984" s="1426"/>
      <c r="AI984" s="1427"/>
      <c r="AJ984" s="1425" t="s">
        <v>649</v>
      </c>
      <c r="AK984" s="1426"/>
      <c r="AL984" s="1426"/>
      <c r="AM984" s="1426"/>
      <c r="AN984" s="1426"/>
      <c r="AO984" s="1426"/>
      <c r="AP984" s="1426"/>
      <c r="AQ984" s="142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1" t="s">
        <v>641</v>
      </c>
      <c r="E985" s="1432"/>
      <c r="F985" s="1432"/>
      <c r="G985" s="1432"/>
      <c r="H985" s="1432"/>
      <c r="I985" s="1432"/>
      <c r="J985" s="1432"/>
      <c r="K985" s="1432"/>
      <c r="L985" s="1432"/>
      <c r="M985" s="1432"/>
      <c r="N985" s="1432"/>
      <c r="O985" s="1432"/>
      <c r="P985" s="1432"/>
      <c r="Q985" s="1433"/>
      <c r="R985" s="1424">
        <f>IF(ISNA(IF($BN$796="4%",(INDEX($BP$806:$BT$863,MATCH($CB$796,$BO$806:$BO$863,0),MATCH(D985,$BP$805:$BT$805,0))),(INDEX($BW$806:$CA$863,MATCH($CB$796,$BV$806:$BV$863,0),MATCH(D985,$BW$805:$CA$805,0))))),0,IF($BN$796="4%",(INDEX($BP$806:$BT$863,MATCH($CB$796,$BO$806:$BO$863,0),MATCH(D985,$BP$805:$BT$805,0))),(INDEX($BW$806:$CA$863,MATCH($CB$796,$BV$806:$BV$863,0),MATCH(D985,$BW$805:$CA$805,0)))))</f>
        <v>532060</v>
      </c>
      <c r="S985" s="1424"/>
      <c r="T985" s="1424"/>
      <c r="U985" s="1424"/>
      <c r="V985" s="1424"/>
      <c r="W985" s="1424"/>
      <c r="X985" s="1424"/>
      <c r="Y985" s="1424"/>
      <c r="Z985" s="1424"/>
      <c r="AA985" s="1424"/>
      <c r="AB985" s="1428">
        <f>BN660</f>
        <v>75</v>
      </c>
      <c r="AC985" s="1429"/>
      <c r="AD985" s="1429"/>
      <c r="AE985" s="1429"/>
      <c r="AF985" s="1429"/>
      <c r="AG985" s="1429"/>
      <c r="AH985" s="1429"/>
      <c r="AI985" s="1430"/>
      <c r="AJ985" s="1418">
        <f>IF(ISERROR((R985*AB985)),0,(R985*AB985))</f>
        <v>39904500</v>
      </c>
      <c r="AK985" s="1419"/>
      <c r="AL985" s="1419"/>
      <c r="AM985" s="1419"/>
      <c r="AN985" s="1419"/>
      <c r="AO985" s="1419"/>
      <c r="AP985" s="1419"/>
      <c r="AQ985" s="142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1" t="s">
        <v>326</v>
      </c>
      <c r="E986" s="1432"/>
      <c r="F986" s="1432"/>
      <c r="G986" s="1432"/>
      <c r="H986" s="1432"/>
      <c r="I986" s="1432"/>
      <c r="J986" s="1432"/>
      <c r="K986" s="1432"/>
      <c r="L986" s="1432"/>
      <c r="M986" s="1432"/>
      <c r="N986" s="1432"/>
      <c r="O986" s="1432"/>
      <c r="P986" s="1432"/>
      <c r="Q986" s="1433"/>
      <c r="R986" s="1424">
        <f>IF(ISNA(IF($BN$796="4%",(INDEX($BP$806:$BT$863,MATCH($CB$796,$BO$806:$BO$863,0),MATCH(D986,$BP$805:$BT$805,0))),(INDEX($BW$806:$CA$863,MATCH($CB$796,$BV$806:$BV$863,0),MATCH(D986,$BW$805:$CA$805,0))))),0,IF($BN$796="4%",(INDEX($BP$806:$BT$863,MATCH($CB$796,$BO$806:$BO$863,0),MATCH(D986,$BP$805:$BT$805,0))),(INDEX($BW$806:$CA$863,MATCH($CB$796,$BV$806:$BV$863,0),MATCH(D986,$BW$805:$CA$805,0)))))</f>
        <v>613460</v>
      </c>
      <c r="S986" s="1424"/>
      <c r="T986" s="1424"/>
      <c r="U986" s="1424"/>
      <c r="V986" s="1424"/>
      <c r="W986" s="1424"/>
      <c r="X986" s="1424"/>
      <c r="Y986" s="1424"/>
      <c r="Z986" s="1424"/>
      <c r="AA986" s="1424"/>
      <c r="AB986" s="1428">
        <f>BS660</f>
        <v>18</v>
      </c>
      <c r="AC986" s="1429"/>
      <c r="AD986" s="1429"/>
      <c r="AE986" s="1429"/>
      <c r="AF986" s="1429"/>
      <c r="AG986" s="1429"/>
      <c r="AH986" s="1429"/>
      <c r="AI986" s="1430"/>
      <c r="AJ986" s="1418">
        <f>IF(ISERROR((R986*AB986)),0,(R986*AB986))</f>
        <v>11042280</v>
      </c>
      <c r="AK986" s="1419"/>
      <c r="AL986" s="1419"/>
      <c r="AM986" s="1419"/>
      <c r="AN986" s="1419"/>
      <c r="AO986" s="1419"/>
      <c r="AP986" s="1419"/>
      <c r="AQ986" s="142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1" t="s">
        <v>163</v>
      </c>
      <c r="E987" s="1432"/>
      <c r="F987" s="1432"/>
      <c r="G987" s="1432"/>
      <c r="H987" s="1432"/>
      <c r="I987" s="1432"/>
      <c r="J987" s="1432"/>
      <c r="K987" s="1432"/>
      <c r="L987" s="1432"/>
      <c r="M987" s="1432"/>
      <c r="N987" s="1432"/>
      <c r="O987" s="1432"/>
      <c r="P987" s="1432"/>
      <c r="Q987" s="1433"/>
      <c r="R987" s="1424">
        <f>IF(ISNA(IF($BN$796="4%",(INDEX($BP$806:$BT$863,MATCH($CB$796,$BO$806:$BO$863,0),MATCH(D987,$BP$805:$BT$805,0))),(INDEX($BW$806:$CA$863,MATCH($CB$796,$BV$806:$BV$863,0),MATCH(D987,$BW$805:$CA$805,0))))),0,IF($BN$796="4%",(INDEX($BP$806:$BT$863,MATCH($CB$796,$BO$806:$BO$863,0),MATCH(D987,$BP$805:$BT$805,0))),(INDEX($BW$806:$CA$863,MATCH($CB$796,$BV$806:$BV$863,0),MATCH(D987,$BW$805:$CA$805,0)))))</f>
        <v>740000</v>
      </c>
      <c r="S987" s="1424"/>
      <c r="T987" s="1424"/>
      <c r="U987" s="1424"/>
      <c r="V987" s="1424"/>
      <c r="W987" s="1424"/>
      <c r="X987" s="1424"/>
      <c r="Y987" s="1424"/>
      <c r="Z987" s="1424"/>
      <c r="AA987" s="1424"/>
      <c r="AB987" s="1428">
        <f>BX660</f>
        <v>48</v>
      </c>
      <c r="AC987" s="1429"/>
      <c r="AD987" s="1429"/>
      <c r="AE987" s="1429"/>
      <c r="AF987" s="1429"/>
      <c r="AG987" s="1429"/>
      <c r="AH987" s="1429"/>
      <c r="AI987" s="1430"/>
      <c r="AJ987" s="1418">
        <f>IF(ISERROR((R987*AB987)),0,(R987*AB987))</f>
        <v>35520000</v>
      </c>
      <c r="AK987" s="1419"/>
      <c r="AL987" s="1419"/>
      <c r="AM987" s="1419"/>
      <c r="AN987" s="1419"/>
      <c r="AO987" s="1419"/>
      <c r="AP987" s="1419"/>
      <c r="AQ987" s="142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1" t="s">
        <v>164</v>
      </c>
      <c r="E988" s="1432"/>
      <c r="F988" s="1432"/>
      <c r="G988" s="1432"/>
      <c r="H988" s="1432"/>
      <c r="I988" s="1432"/>
      <c r="J988" s="1432"/>
      <c r="K988" s="1432"/>
      <c r="L988" s="1432"/>
      <c r="M988" s="1432"/>
      <c r="N988" s="1432"/>
      <c r="O988" s="1432"/>
      <c r="P988" s="1432"/>
      <c r="Q988" s="1433"/>
      <c r="R988" s="1424">
        <f>IF(ISNA(IF($BN$796="4%",(INDEX($BP$806:$BT$863,MATCH($CB$796,$BO$806:$BO$863,0),MATCH(D988,$BP$805:$BT$805,0))),(INDEX($BW$806:$CA$863,MATCH($CB$796,$BV$806:$BV$863,0),MATCH(D988,$BW$805:$CA$805,0))))),0,IF($BN$796="4%",(INDEX($BP$806:$BT$863,MATCH($CB$796,$BO$806:$BO$863,0),MATCH(D988,$BP$805:$BT$805,0))),(INDEX($BW$806:$CA$863,MATCH($CB$796,$BV$806:$BV$863,0),MATCH(D988,$BW$805:$CA$805,0)))))</f>
        <v>947200</v>
      </c>
      <c r="S988" s="1424"/>
      <c r="T988" s="1424"/>
      <c r="U988" s="1424"/>
      <c r="V988" s="1424"/>
      <c r="W988" s="1424"/>
      <c r="X988" s="1424"/>
      <c r="Y988" s="1424"/>
      <c r="Z988" s="1424"/>
      <c r="AA988" s="1424"/>
      <c r="AB988" s="1428">
        <f>CC660</f>
        <v>50</v>
      </c>
      <c r="AC988" s="1429"/>
      <c r="AD988" s="1429"/>
      <c r="AE988" s="1429"/>
      <c r="AF988" s="1429"/>
      <c r="AG988" s="1429"/>
      <c r="AH988" s="1429"/>
      <c r="AI988" s="1430"/>
      <c r="AJ988" s="1418">
        <f>IF(ISERROR((R988*AB988)),0,(R988*AB988))</f>
        <v>47360000</v>
      </c>
      <c r="AK988" s="1419"/>
      <c r="AL988" s="1419"/>
      <c r="AM988" s="1419"/>
      <c r="AN988" s="1419"/>
      <c r="AO988" s="1419"/>
      <c r="AP988" s="1419"/>
      <c r="AQ988" s="142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1" t="s">
        <v>468</v>
      </c>
      <c r="E989" s="1432"/>
      <c r="F989" s="1432"/>
      <c r="G989" s="1432"/>
      <c r="H989" s="1432"/>
      <c r="I989" s="1432"/>
      <c r="J989" s="1432"/>
      <c r="K989" s="1432"/>
      <c r="L989" s="1432"/>
      <c r="M989" s="1432"/>
      <c r="N989" s="1432"/>
      <c r="O989" s="1432"/>
      <c r="P989" s="1432"/>
      <c r="Q989" s="1433"/>
      <c r="R989" s="1424">
        <f>IF(ISNA(IF($BN$796="4%",(INDEX($BP$806:$BT$863,MATCH($CB$796,$BO$806:$BO$863,0),MATCH(D989,$BP$805:$BT$805,0))),(INDEX($BW$806:$CA$863,MATCH($CB$796,$BV$806:$BV$863,0),MATCH(D989,$BW$805:$CA$805,0))))),0,IF($BN$796="4%",(INDEX($BP$806:$BT$863,MATCH($CB$796,$BO$806:$BO$863,0),MATCH(D989,$BP$805:$BT$805,0))),(INDEX($BW$806:$CA$863,MATCH($CB$796,$BV$806:$BV$863,0),MATCH(D989,$BW$805:$CA$805,0)))))</f>
        <v>1055240</v>
      </c>
      <c r="S989" s="1424"/>
      <c r="T989" s="1424"/>
      <c r="U989" s="1424"/>
      <c r="V989" s="1424"/>
      <c r="W989" s="1424"/>
      <c r="X989" s="1424"/>
      <c r="Y989" s="1424"/>
      <c r="Z989" s="1424"/>
      <c r="AA989" s="1424"/>
      <c r="AB989" s="1428">
        <f>CM660+CH660</f>
        <v>0</v>
      </c>
      <c r="AC989" s="1429"/>
      <c r="AD989" s="1429"/>
      <c r="AE989" s="1429"/>
      <c r="AF989" s="1429"/>
      <c r="AG989" s="1429"/>
      <c r="AH989" s="1429"/>
      <c r="AI989" s="1430"/>
      <c r="AJ989" s="1418">
        <f>IF(ISERROR((R989*AB989)),0,(R989*AB989))</f>
        <v>0</v>
      </c>
      <c r="AK989" s="1419"/>
      <c r="AL989" s="1419"/>
      <c r="AM989" s="1419"/>
      <c r="AN989" s="1419"/>
      <c r="AO989" s="1419"/>
      <c r="AP989" s="1419"/>
      <c r="AQ989" s="142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3" t="s">
        <v>800</v>
      </c>
      <c r="C990" s="1604"/>
      <c r="D990" s="1604"/>
      <c r="E990" s="1604"/>
      <c r="F990" s="1604"/>
      <c r="G990" s="1604"/>
      <c r="H990" s="1604"/>
      <c r="I990" s="1604"/>
      <c r="J990" s="1604"/>
      <c r="K990" s="1604"/>
      <c r="L990" s="1604"/>
      <c r="M990" s="1604"/>
      <c r="N990" s="1604"/>
      <c r="O990" s="1604"/>
      <c r="P990" s="1604"/>
      <c r="Q990" s="1604"/>
      <c r="R990" s="1604"/>
      <c r="S990" s="1604"/>
      <c r="T990" s="1604"/>
      <c r="U990" s="1604"/>
      <c r="V990" s="1604"/>
      <c r="W990" s="1604"/>
      <c r="X990" s="1604"/>
      <c r="Y990" s="1604"/>
      <c r="Z990" s="1604"/>
      <c r="AA990" s="1605"/>
      <c r="AB990" s="1428">
        <f>SUM(AB985:AI989)</f>
        <v>191</v>
      </c>
      <c r="AC990" s="1429"/>
      <c r="AD990" s="1429"/>
      <c r="AE990" s="1429"/>
      <c r="AF990" s="1429"/>
      <c r="AG990" s="1429"/>
      <c r="AH990" s="1429"/>
      <c r="AI990" s="1430"/>
      <c r="AJ990" s="1418"/>
      <c r="AK990" s="1419"/>
      <c r="AL990" s="1419"/>
      <c r="AM990" s="1419"/>
      <c r="AN990" s="1419"/>
      <c r="AO990" s="1419"/>
      <c r="AP990" s="1419"/>
      <c r="AQ990" s="142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421" t="s">
        <v>520</v>
      </c>
      <c r="C991" s="1422"/>
      <c r="D991" s="1422"/>
      <c r="E991" s="1422"/>
      <c r="F991" s="1422"/>
      <c r="G991" s="1422"/>
      <c r="H991" s="1422"/>
      <c r="I991" s="1422"/>
      <c r="J991" s="1422"/>
      <c r="K991" s="1422"/>
      <c r="L991" s="1422"/>
      <c r="M991" s="1422"/>
      <c r="N991" s="1422"/>
      <c r="O991" s="1422"/>
      <c r="P991" s="1422"/>
      <c r="Q991" s="1422"/>
      <c r="R991" s="1422"/>
      <c r="S991" s="1422"/>
      <c r="T991" s="1422"/>
      <c r="U991" s="1422"/>
      <c r="V991" s="1422"/>
      <c r="W991" s="1422"/>
      <c r="X991" s="1422"/>
      <c r="Y991" s="1422"/>
      <c r="Z991" s="1422"/>
      <c r="AA991" s="1422"/>
      <c r="AB991" s="1422"/>
      <c r="AC991" s="1422"/>
      <c r="AD991" s="1422"/>
      <c r="AE991" s="1422"/>
      <c r="AF991" s="1422"/>
      <c r="AG991" s="1422"/>
      <c r="AH991" s="1422"/>
      <c r="AI991" s="1423"/>
      <c r="AJ991" s="1418">
        <f>SUM(AJ985:AQ989)</f>
        <v>133826780</v>
      </c>
      <c r="AK991" s="1419"/>
      <c r="AL991" s="1419"/>
      <c r="AM991" s="1419"/>
      <c r="AN991" s="1419"/>
      <c r="AO991" s="1419"/>
      <c r="AP991" s="1419"/>
      <c r="AQ991" s="142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68"/>
      <c r="C992" s="1569"/>
      <c r="D992" s="1569"/>
      <c r="E992" s="1569"/>
      <c r="F992" s="1569"/>
      <c r="G992" s="1569"/>
      <c r="H992" s="1569"/>
      <c r="I992" s="1569"/>
      <c r="J992" s="1569"/>
      <c r="K992" s="1569"/>
      <c r="L992" s="1569"/>
      <c r="M992" s="1569"/>
      <c r="N992" s="1569"/>
      <c r="O992" s="1569"/>
      <c r="P992" s="1569"/>
      <c r="Q992" s="1569"/>
      <c r="R992" s="1569"/>
      <c r="S992" s="1569"/>
      <c r="T992" s="1569"/>
      <c r="U992" s="1569"/>
      <c r="V992" s="1569"/>
      <c r="W992" s="1569"/>
      <c r="X992" s="1569"/>
      <c r="Y992" s="1569"/>
      <c r="Z992" s="1569"/>
      <c r="AA992" s="1569"/>
      <c r="AB992" s="1569"/>
      <c r="AC992" s="1569"/>
      <c r="AD992" s="1569"/>
      <c r="AE992" s="1570"/>
      <c r="AF992" s="1571" t="s">
        <v>674</v>
      </c>
      <c r="AG992" s="1572"/>
      <c r="AH992" s="1572"/>
      <c r="AI992" s="1573"/>
      <c r="AJ992" s="1568"/>
      <c r="AK992" s="1569"/>
      <c r="AL992" s="1569"/>
      <c r="AM992" s="1569"/>
      <c r="AN992" s="1569"/>
      <c r="AO992" s="1569"/>
      <c r="AP992" s="1569"/>
      <c r="AQ992" s="157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78" t="s">
        <v>1325</v>
      </c>
      <c r="E993" s="1579"/>
      <c r="F993" s="1579"/>
      <c r="G993" s="1579"/>
      <c r="H993" s="1579"/>
      <c r="I993" s="1579"/>
      <c r="J993" s="1579"/>
      <c r="K993" s="1579"/>
      <c r="L993" s="1579"/>
      <c r="M993" s="1579"/>
      <c r="N993" s="1579"/>
      <c r="O993" s="1579"/>
      <c r="P993" s="1579"/>
      <c r="Q993" s="1579"/>
      <c r="R993" s="1579"/>
      <c r="S993" s="1579"/>
      <c r="T993" s="1579"/>
      <c r="U993" s="1579"/>
      <c r="V993" s="1579"/>
      <c r="W993" s="1579"/>
      <c r="X993" s="1579"/>
      <c r="Y993" s="1579"/>
      <c r="Z993" s="1579"/>
      <c r="AA993" s="1579"/>
      <c r="AB993" s="1579"/>
      <c r="AC993" s="1579"/>
      <c r="AD993" s="1579"/>
      <c r="AE993" s="1580"/>
      <c r="AF993" s="79"/>
      <c r="AG993" s="1574" t="s">
        <v>553</v>
      </c>
      <c r="AH993" s="1575"/>
      <c r="AI993" s="87"/>
      <c r="AJ993" s="1409">
        <f>ROUND(IF(AND(AG993="yes",D999&gt;0),AJ991*0.2,0),0)</f>
        <v>26765356</v>
      </c>
      <c r="AK993" s="1410"/>
      <c r="AL993" s="1410"/>
      <c r="AM993" s="1410"/>
      <c r="AN993" s="1410"/>
      <c r="AO993" s="1410"/>
      <c r="AP993" s="1410"/>
      <c r="AQ993" s="141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3" t="s">
        <v>2569</v>
      </c>
      <c r="E994" s="1594"/>
      <c r="F994" s="1594"/>
      <c r="G994" s="1594"/>
      <c r="H994" s="1594"/>
      <c r="I994" s="1594"/>
      <c r="J994" s="1594"/>
      <c r="K994" s="1594"/>
      <c r="L994" s="1594"/>
      <c r="M994" s="1594"/>
      <c r="N994" s="1594"/>
      <c r="O994" s="1594"/>
      <c r="P994" s="1594"/>
      <c r="Q994" s="1594"/>
      <c r="R994" s="1594"/>
      <c r="S994" s="1594"/>
      <c r="T994" s="1594"/>
      <c r="U994" s="1594"/>
      <c r="V994" s="1594"/>
      <c r="W994" s="1594"/>
      <c r="X994" s="1594"/>
      <c r="Y994" s="1594"/>
      <c r="Z994" s="1594"/>
      <c r="AA994" s="1594"/>
      <c r="AB994" s="1594"/>
      <c r="AC994" s="1594"/>
      <c r="AD994" s="1594"/>
      <c r="AE994" s="1595"/>
      <c r="AF994" s="73"/>
      <c r="AG994" s="14"/>
      <c r="AH994" s="14"/>
      <c r="AI994" s="83"/>
      <c r="AJ994" s="1412"/>
      <c r="AK994" s="1413"/>
      <c r="AL994" s="1413"/>
      <c r="AM994" s="1413"/>
      <c r="AN994" s="1413"/>
      <c r="AO994" s="1413"/>
      <c r="AP994" s="1413"/>
      <c r="AQ994" s="141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3"/>
      <c r="E995" s="1594"/>
      <c r="F995" s="1594"/>
      <c r="G995" s="1594"/>
      <c r="H995" s="1594"/>
      <c r="I995" s="1594"/>
      <c r="J995" s="1594"/>
      <c r="K995" s="1594"/>
      <c r="L995" s="1594"/>
      <c r="M995" s="1594"/>
      <c r="N995" s="1594"/>
      <c r="O995" s="1594"/>
      <c r="P995" s="1594"/>
      <c r="Q995" s="1594"/>
      <c r="R995" s="1594"/>
      <c r="S995" s="1594"/>
      <c r="T995" s="1594"/>
      <c r="U995" s="1594"/>
      <c r="V995" s="1594"/>
      <c r="W995" s="1594"/>
      <c r="X995" s="1594"/>
      <c r="Y995" s="1594"/>
      <c r="Z995" s="1594"/>
      <c r="AA995" s="1594"/>
      <c r="AB995" s="1594"/>
      <c r="AC995" s="1594"/>
      <c r="AD995" s="1594"/>
      <c r="AE995" s="1595"/>
      <c r="AF995" s="73"/>
      <c r="AG995" s="14"/>
      <c r="AH995" s="14"/>
      <c r="AI995" s="83"/>
      <c r="AJ995" s="1412"/>
      <c r="AK995" s="1413"/>
      <c r="AL995" s="1413"/>
      <c r="AM995" s="1413"/>
      <c r="AN995" s="1413"/>
      <c r="AO995" s="1413"/>
      <c r="AP995" s="1413"/>
      <c r="AQ995" s="141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3"/>
      <c r="E996" s="1594"/>
      <c r="F996" s="1594"/>
      <c r="G996" s="1594"/>
      <c r="H996" s="1594"/>
      <c r="I996" s="1594"/>
      <c r="J996" s="1594"/>
      <c r="K996" s="1594"/>
      <c r="L996" s="1594"/>
      <c r="M996" s="1594"/>
      <c r="N996" s="1594"/>
      <c r="O996" s="1594"/>
      <c r="P996" s="1594"/>
      <c r="Q996" s="1594"/>
      <c r="R996" s="1594"/>
      <c r="S996" s="1594"/>
      <c r="T996" s="1594"/>
      <c r="U996" s="1594"/>
      <c r="V996" s="1594"/>
      <c r="W996" s="1594"/>
      <c r="X996" s="1594"/>
      <c r="Y996" s="1594"/>
      <c r="Z996" s="1594"/>
      <c r="AA996" s="1594"/>
      <c r="AB996" s="1594"/>
      <c r="AC996" s="1594"/>
      <c r="AD996" s="1594"/>
      <c r="AE996" s="1595"/>
      <c r="AF996" s="73"/>
      <c r="AG996" s="14"/>
      <c r="AH996" s="14"/>
      <c r="AI996" s="83"/>
      <c r="AJ996" s="1412"/>
      <c r="AK996" s="1413"/>
      <c r="AL996" s="1413"/>
      <c r="AM996" s="1413"/>
      <c r="AN996" s="1413"/>
      <c r="AO996" s="1413"/>
      <c r="AP996" s="1413"/>
      <c r="AQ996" s="141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3"/>
      <c r="E997" s="1594"/>
      <c r="F997" s="1594"/>
      <c r="G997" s="1594"/>
      <c r="H997" s="1594"/>
      <c r="I997" s="1594"/>
      <c r="J997" s="1594"/>
      <c r="K997" s="1594"/>
      <c r="L997" s="1594"/>
      <c r="M997" s="1594"/>
      <c r="N997" s="1594"/>
      <c r="O997" s="1594"/>
      <c r="P997" s="1594"/>
      <c r="Q997" s="1594"/>
      <c r="R997" s="1594"/>
      <c r="S997" s="1594"/>
      <c r="T997" s="1594"/>
      <c r="U997" s="1594"/>
      <c r="V997" s="1594"/>
      <c r="W997" s="1594"/>
      <c r="X997" s="1594"/>
      <c r="Y997" s="1594"/>
      <c r="Z997" s="1594"/>
      <c r="AA997" s="1594"/>
      <c r="AB997" s="1594"/>
      <c r="AC997" s="1594"/>
      <c r="AD997" s="1594"/>
      <c r="AE997" s="1595"/>
      <c r="AF997" s="73"/>
      <c r="AG997" s="14"/>
      <c r="AH997" s="14"/>
      <c r="AI997" s="83"/>
      <c r="AJ997" s="1412"/>
      <c r="AK997" s="1413"/>
      <c r="AL997" s="1413"/>
      <c r="AM997" s="1413"/>
      <c r="AN997" s="1413"/>
      <c r="AO997" s="1413"/>
      <c r="AP997" s="1413"/>
      <c r="AQ997" s="141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96" t="s">
        <v>2570</v>
      </c>
      <c r="E998" s="1597"/>
      <c r="F998" s="1597"/>
      <c r="G998" s="1597"/>
      <c r="H998" s="1597"/>
      <c r="I998" s="1597"/>
      <c r="J998" s="1597"/>
      <c r="K998" s="1597"/>
      <c r="L998" s="1597"/>
      <c r="M998" s="1597"/>
      <c r="N998" s="1597"/>
      <c r="O998" s="1597"/>
      <c r="P998" s="1597"/>
      <c r="Q998" s="1597"/>
      <c r="R998" s="1597"/>
      <c r="S998" s="1597"/>
      <c r="T998" s="1597"/>
      <c r="U998" s="1597"/>
      <c r="V998" s="1597"/>
      <c r="W998" s="1597"/>
      <c r="X998" s="1597"/>
      <c r="Y998" s="1597"/>
      <c r="Z998" s="1597"/>
      <c r="AA998" s="1597"/>
      <c r="AB998" s="1597"/>
      <c r="AC998" s="1597"/>
      <c r="AD998" s="1597"/>
      <c r="AE998" s="1598"/>
      <c r="AF998" s="73"/>
      <c r="AG998" s="14"/>
      <c r="AH998" s="14"/>
      <c r="AI998" s="83"/>
      <c r="AJ998" s="1412"/>
      <c r="AK998" s="1413"/>
      <c r="AL998" s="1413"/>
      <c r="AM998" s="1413"/>
      <c r="AN998" s="1413"/>
      <c r="AO998" s="1413"/>
      <c r="AP998" s="1413"/>
      <c r="AQ998" s="141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6" t="s">
        <v>2638</v>
      </c>
      <c r="E999" s="1607"/>
      <c r="F999" s="1607"/>
      <c r="G999" s="1607"/>
      <c r="H999" s="1607"/>
      <c r="I999" s="1607"/>
      <c r="J999" s="1607"/>
      <c r="K999" s="1607"/>
      <c r="L999" s="1607"/>
      <c r="M999" s="1607"/>
      <c r="N999" s="1607"/>
      <c r="O999" s="1607"/>
      <c r="P999" s="1607"/>
      <c r="Q999" s="1607"/>
      <c r="R999" s="1607"/>
      <c r="S999" s="1607"/>
      <c r="T999" s="1607"/>
      <c r="U999" s="1607"/>
      <c r="V999" s="1607"/>
      <c r="W999" s="1607"/>
      <c r="X999" s="1607"/>
      <c r="Y999" s="1607"/>
      <c r="Z999" s="1607"/>
      <c r="AA999" s="1607"/>
      <c r="AB999" s="1607"/>
      <c r="AC999" s="1607"/>
      <c r="AD999" s="1607"/>
      <c r="AE999" s="1608"/>
      <c r="AF999" s="77"/>
      <c r="AG999" s="7"/>
      <c r="AH999" s="7"/>
      <c r="AI999" s="78"/>
      <c r="AJ999" s="1415"/>
      <c r="AK999" s="1416"/>
      <c r="AL999" s="1416"/>
      <c r="AM999" s="1416"/>
      <c r="AN999" s="1416"/>
      <c r="AO999" s="1416"/>
      <c r="AP999" s="1416"/>
      <c r="AQ999" s="141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41" t="s">
        <v>1395</v>
      </c>
      <c r="E1000" s="1442"/>
      <c r="F1000" s="1442"/>
      <c r="G1000" s="1442"/>
      <c r="H1000" s="1442"/>
      <c r="I1000" s="1442"/>
      <c r="J1000" s="1442"/>
      <c r="K1000" s="1442"/>
      <c r="L1000" s="1442"/>
      <c r="M1000" s="1442"/>
      <c r="N1000" s="1442"/>
      <c r="O1000" s="1442"/>
      <c r="P1000" s="1442"/>
      <c r="Q1000" s="1442"/>
      <c r="R1000" s="1442"/>
      <c r="S1000" s="1442"/>
      <c r="T1000" s="1442"/>
      <c r="U1000" s="1442"/>
      <c r="V1000" s="1442"/>
      <c r="W1000" s="1442"/>
      <c r="X1000" s="1442"/>
      <c r="Y1000" s="1442"/>
      <c r="Z1000" s="1442"/>
      <c r="AA1000" s="1442"/>
      <c r="AB1000" s="1442"/>
      <c r="AC1000" s="1442"/>
      <c r="AD1000" s="1442"/>
      <c r="AE1000" s="1443"/>
      <c r="AF1000" s="79"/>
      <c r="AG1000" s="1576" t="s">
        <v>677</v>
      </c>
      <c r="AH1000" s="1577"/>
      <c r="AI1000" s="87"/>
      <c r="AJ1000" s="1409">
        <f>ROUND(IF(AG1000="yes",AJ991*0.05,0),0)</f>
        <v>0</v>
      </c>
      <c r="AK1000" s="1410"/>
      <c r="AL1000" s="1410"/>
      <c r="AM1000" s="1410"/>
      <c r="AN1000" s="1410"/>
      <c r="AO1000" s="1410"/>
      <c r="AP1000" s="1410"/>
      <c r="AQ1000" s="141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3" t="s">
        <v>1393</v>
      </c>
      <c r="E1001" s="1594"/>
      <c r="F1001" s="1594"/>
      <c r="G1001" s="1594"/>
      <c r="H1001" s="1594"/>
      <c r="I1001" s="1594"/>
      <c r="J1001" s="1594"/>
      <c r="K1001" s="1594"/>
      <c r="L1001" s="1594"/>
      <c r="M1001" s="1594"/>
      <c r="N1001" s="1594"/>
      <c r="O1001" s="1594"/>
      <c r="P1001" s="1594"/>
      <c r="Q1001" s="1594"/>
      <c r="R1001" s="1594"/>
      <c r="S1001" s="1594"/>
      <c r="T1001" s="1594"/>
      <c r="U1001" s="1594"/>
      <c r="V1001" s="1594"/>
      <c r="W1001" s="1594"/>
      <c r="X1001" s="1594"/>
      <c r="Y1001" s="1594"/>
      <c r="Z1001" s="1594"/>
      <c r="AA1001" s="1594"/>
      <c r="AB1001" s="1594"/>
      <c r="AC1001" s="1594"/>
      <c r="AD1001" s="1594"/>
      <c r="AE1001" s="1595"/>
      <c r="AF1001" s="73"/>
      <c r="AG1001" s="14"/>
      <c r="AH1001" s="14"/>
      <c r="AI1001" s="83"/>
      <c r="AJ1001" s="1412"/>
      <c r="AK1001" s="1413"/>
      <c r="AL1001" s="1413"/>
      <c r="AM1001" s="1413"/>
      <c r="AN1001" s="1413"/>
      <c r="AO1001" s="1413"/>
      <c r="AP1001" s="1413"/>
      <c r="AQ1001" s="141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3"/>
      <c r="E1002" s="1594"/>
      <c r="F1002" s="1594"/>
      <c r="G1002" s="1594"/>
      <c r="H1002" s="1594"/>
      <c r="I1002" s="1594"/>
      <c r="J1002" s="1594"/>
      <c r="K1002" s="1594"/>
      <c r="L1002" s="1594"/>
      <c r="M1002" s="1594"/>
      <c r="N1002" s="1594"/>
      <c r="O1002" s="1594"/>
      <c r="P1002" s="1594"/>
      <c r="Q1002" s="1594"/>
      <c r="R1002" s="1594"/>
      <c r="S1002" s="1594"/>
      <c r="T1002" s="1594"/>
      <c r="U1002" s="1594"/>
      <c r="V1002" s="1594"/>
      <c r="W1002" s="1594"/>
      <c r="X1002" s="1594"/>
      <c r="Y1002" s="1594"/>
      <c r="Z1002" s="1594"/>
      <c r="AA1002" s="1594"/>
      <c r="AB1002" s="1594"/>
      <c r="AC1002" s="1594"/>
      <c r="AD1002" s="1594"/>
      <c r="AE1002" s="1595"/>
      <c r="AF1002" s="73"/>
      <c r="AG1002" s="14"/>
      <c r="AH1002" s="14"/>
      <c r="AI1002" s="83"/>
      <c r="AJ1002" s="1412"/>
      <c r="AK1002" s="1413"/>
      <c r="AL1002" s="1413"/>
      <c r="AM1002" s="1413"/>
      <c r="AN1002" s="1413"/>
      <c r="AO1002" s="1413"/>
      <c r="AP1002" s="1413"/>
      <c r="AQ1002" s="1414"/>
      <c r="AR1002" s="68"/>
      <c r="AS1002" s="68"/>
      <c r="AT1002" s="68"/>
      <c r="AU1002" s="68"/>
      <c r="AV1002" s="68"/>
      <c r="AW1002" s="68"/>
      <c r="AX1002" s="68"/>
      <c r="AY1002" s="949">
        <f>G753+O797</f>
        <v>189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3"/>
      <c r="E1003" s="1594"/>
      <c r="F1003" s="1594"/>
      <c r="G1003" s="1594"/>
      <c r="H1003" s="1594"/>
      <c r="I1003" s="1594"/>
      <c r="J1003" s="1594"/>
      <c r="K1003" s="1594"/>
      <c r="L1003" s="1594"/>
      <c r="M1003" s="1594"/>
      <c r="N1003" s="1594"/>
      <c r="O1003" s="1594"/>
      <c r="P1003" s="1594"/>
      <c r="Q1003" s="1594"/>
      <c r="R1003" s="1594"/>
      <c r="S1003" s="1594"/>
      <c r="T1003" s="1594"/>
      <c r="U1003" s="1594"/>
      <c r="V1003" s="1594"/>
      <c r="W1003" s="1594"/>
      <c r="X1003" s="1594"/>
      <c r="Y1003" s="1594"/>
      <c r="Z1003" s="1594"/>
      <c r="AA1003" s="1594"/>
      <c r="AB1003" s="1594"/>
      <c r="AC1003" s="1594"/>
      <c r="AD1003" s="1594"/>
      <c r="AE1003" s="1595"/>
      <c r="AF1003" s="73"/>
      <c r="AG1003" s="14"/>
      <c r="AH1003" s="14"/>
      <c r="AI1003" s="83"/>
      <c r="AJ1003" s="1412"/>
      <c r="AK1003" s="1413"/>
      <c r="AL1003" s="1413"/>
      <c r="AM1003" s="1413"/>
      <c r="AN1003" s="1413"/>
      <c r="AO1003" s="1413"/>
      <c r="AP1003" s="1413"/>
      <c r="AQ1003" s="141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3"/>
      <c r="E1004" s="1594"/>
      <c r="F1004" s="1594"/>
      <c r="G1004" s="1594"/>
      <c r="H1004" s="1594"/>
      <c r="I1004" s="1594"/>
      <c r="J1004" s="1594"/>
      <c r="K1004" s="1594"/>
      <c r="L1004" s="1594"/>
      <c r="M1004" s="1594"/>
      <c r="N1004" s="1594"/>
      <c r="O1004" s="1594"/>
      <c r="P1004" s="1594"/>
      <c r="Q1004" s="1594"/>
      <c r="R1004" s="1594"/>
      <c r="S1004" s="1594"/>
      <c r="T1004" s="1594"/>
      <c r="U1004" s="1594"/>
      <c r="V1004" s="1594"/>
      <c r="W1004" s="1594"/>
      <c r="X1004" s="1594"/>
      <c r="Y1004" s="1594"/>
      <c r="Z1004" s="1594"/>
      <c r="AA1004" s="1594"/>
      <c r="AB1004" s="1594"/>
      <c r="AC1004" s="1594"/>
      <c r="AD1004" s="1594"/>
      <c r="AE1004" s="1595"/>
      <c r="AF1004" s="73"/>
      <c r="AG1004" s="14"/>
      <c r="AH1004" s="14"/>
      <c r="AI1004" s="83"/>
      <c r="AJ1004" s="1412"/>
      <c r="AK1004" s="1413"/>
      <c r="AL1004" s="1413"/>
      <c r="AM1004" s="1413"/>
      <c r="AN1004" s="1413"/>
      <c r="AO1004" s="1413"/>
      <c r="AP1004" s="1413"/>
      <c r="AQ1004" s="1414"/>
      <c r="AR1004" s="68"/>
      <c r="AS1004" s="68"/>
      <c r="AT1004" s="68"/>
      <c r="AU1004" s="68"/>
      <c r="AV1004" s="68"/>
      <c r="AW1004" s="68"/>
      <c r="AX1004" s="68"/>
      <c r="AY1004" s="948">
        <f>ROUNDDOWN(X1047/I1047,2)</f>
        <v>0.34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96"/>
      <c r="E1005" s="1597"/>
      <c r="F1005" s="1597"/>
      <c r="G1005" s="1597"/>
      <c r="H1005" s="1597"/>
      <c r="I1005" s="1597"/>
      <c r="J1005" s="1597"/>
      <c r="K1005" s="1597"/>
      <c r="L1005" s="1597"/>
      <c r="M1005" s="1597"/>
      <c r="N1005" s="1597"/>
      <c r="O1005" s="1597"/>
      <c r="P1005" s="1597"/>
      <c r="Q1005" s="1597"/>
      <c r="R1005" s="1597"/>
      <c r="S1005" s="1597"/>
      <c r="T1005" s="1597"/>
      <c r="U1005" s="1597"/>
      <c r="V1005" s="1597"/>
      <c r="W1005" s="1597"/>
      <c r="X1005" s="1597"/>
      <c r="Y1005" s="1597"/>
      <c r="Z1005" s="1597"/>
      <c r="AA1005" s="1597"/>
      <c r="AB1005" s="1597"/>
      <c r="AC1005" s="1597"/>
      <c r="AD1005" s="1597"/>
      <c r="AE1005" s="1598"/>
      <c r="AF1005" s="77"/>
      <c r="AG1005" s="7"/>
      <c r="AH1005" s="7"/>
      <c r="AI1005" s="78"/>
      <c r="AJ1005" s="1415"/>
      <c r="AK1005" s="1416"/>
      <c r="AL1005" s="1416"/>
      <c r="AM1005" s="1416"/>
      <c r="AN1005" s="1416"/>
      <c r="AO1005" s="1416"/>
      <c r="AP1005" s="1416"/>
      <c r="AQ1005" s="1417"/>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41" t="s">
        <v>1872</v>
      </c>
      <c r="E1006" s="1442"/>
      <c r="F1006" s="1442"/>
      <c r="G1006" s="1442"/>
      <c r="H1006" s="1442"/>
      <c r="I1006" s="1442"/>
      <c r="J1006" s="1442"/>
      <c r="K1006" s="1442"/>
      <c r="L1006" s="1442"/>
      <c r="M1006" s="1442"/>
      <c r="N1006" s="1442"/>
      <c r="O1006" s="1442"/>
      <c r="P1006" s="1442"/>
      <c r="Q1006" s="1442"/>
      <c r="R1006" s="1442"/>
      <c r="S1006" s="1442"/>
      <c r="T1006" s="1442"/>
      <c r="U1006" s="1442"/>
      <c r="V1006" s="1442"/>
      <c r="W1006" s="1442"/>
      <c r="X1006" s="1442"/>
      <c r="Y1006" s="1442"/>
      <c r="Z1006" s="1442"/>
      <c r="AA1006" s="1442"/>
      <c r="AB1006" s="1442"/>
      <c r="AC1006" s="1442"/>
      <c r="AD1006" s="1442"/>
      <c r="AE1006" s="1443"/>
      <c r="AF1006" s="86"/>
      <c r="AG1006" s="1576" t="s">
        <v>553</v>
      </c>
      <c r="AH1006" s="1577"/>
      <c r="AI1006" s="87"/>
      <c r="AJ1006" s="1409">
        <f>ROUND(IF(AG1006="yes",AJ991*0.1,0),0)</f>
        <v>13382678</v>
      </c>
      <c r="AK1006" s="1410"/>
      <c r="AL1006" s="1410"/>
      <c r="AM1006" s="1410"/>
      <c r="AN1006" s="1410"/>
      <c r="AO1006" s="1410"/>
      <c r="AP1006" s="1410"/>
      <c r="AQ1006" s="1411"/>
      <c r="AR1006" s="68"/>
      <c r="AS1006" s="68"/>
      <c r="AT1006" s="68"/>
      <c r="AU1006" s="68"/>
      <c r="AV1006" s="68"/>
      <c r="AW1006" s="68"/>
      <c r="AX1006" s="68"/>
      <c r="BB1006" s="34"/>
      <c r="BD1006" s="34"/>
      <c r="BE1006" s="34"/>
      <c r="BF1006" s="34"/>
    </row>
    <row r="1007" spans="1:157" ht="12.95" customHeight="1">
      <c r="A1007" s="14"/>
      <c r="B1007" s="73"/>
      <c r="C1007" s="74"/>
      <c r="D1007" s="1562" t="s">
        <v>1394</v>
      </c>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I1007" s="83"/>
      <c r="AJ1007" s="1412"/>
      <c r="AK1007" s="1413"/>
      <c r="AL1007" s="1413"/>
      <c r="AM1007" s="1413"/>
      <c r="AN1007" s="1413"/>
      <c r="AO1007" s="1413"/>
      <c r="AP1007" s="1413"/>
      <c r="AQ1007" s="1414"/>
      <c r="AR1007" s="68"/>
      <c r="AS1007" s="68"/>
      <c r="AT1007" s="68"/>
      <c r="AU1007" s="68"/>
      <c r="AV1007" s="68"/>
      <c r="AW1007" s="68"/>
      <c r="AX1007" s="68"/>
    </row>
    <row r="1008" spans="1:157" ht="12.95" customHeight="1">
      <c r="A1008" s="14"/>
      <c r="B1008" s="73"/>
      <c r="C1008" s="74"/>
      <c r="D1008" s="1562"/>
      <c r="E1008" s="1563"/>
      <c r="F1008" s="1563"/>
      <c r="G1008" s="1563"/>
      <c r="H1008" s="1563"/>
      <c r="I1008" s="1563"/>
      <c r="J1008" s="1563"/>
      <c r="K1008" s="1563"/>
      <c r="L1008" s="1563"/>
      <c r="M1008" s="1563"/>
      <c r="N1008" s="1563"/>
      <c r="O1008" s="1563"/>
      <c r="P1008" s="1563"/>
      <c r="Q1008" s="1563"/>
      <c r="R1008" s="1563"/>
      <c r="S1008" s="1563"/>
      <c r="T1008" s="1563"/>
      <c r="U1008" s="1563"/>
      <c r="V1008" s="1563"/>
      <c r="W1008" s="1563"/>
      <c r="X1008" s="1563"/>
      <c r="Y1008" s="1563"/>
      <c r="Z1008" s="1563"/>
      <c r="AA1008" s="1563"/>
      <c r="AB1008" s="1563"/>
      <c r="AC1008" s="1563"/>
      <c r="AD1008" s="1563"/>
      <c r="AE1008" s="1564"/>
      <c r="AF1008" s="73"/>
      <c r="AG1008" s="14"/>
      <c r="AH1008" s="14"/>
      <c r="AI1008" s="83"/>
      <c r="AJ1008" s="1412"/>
      <c r="AK1008" s="1413"/>
      <c r="AL1008" s="1413"/>
      <c r="AM1008" s="1413"/>
      <c r="AN1008" s="1413"/>
      <c r="AO1008" s="1413"/>
      <c r="AP1008" s="1413"/>
      <c r="AQ1008" s="1414"/>
      <c r="AR1008" s="68"/>
      <c r="AS1008" s="68"/>
      <c r="AT1008" s="68"/>
      <c r="AU1008" s="68"/>
      <c r="AV1008" s="68"/>
      <c r="AW1008" s="68"/>
      <c r="AX1008" s="68"/>
    </row>
    <row r="1009" spans="1:51" ht="12.95" customHeight="1">
      <c r="A1009" s="14"/>
      <c r="B1009" s="85"/>
      <c r="C1009" s="76"/>
      <c r="D1009" s="1581"/>
      <c r="E1009" s="1582"/>
      <c r="F1009" s="1582"/>
      <c r="G1009" s="1582"/>
      <c r="H1009" s="1582"/>
      <c r="I1009" s="1582"/>
      <c r="J1009" s="1582"/>
      <c r="K1009" s="1582"/>
      <c r="L1009" s="1582"/>
      <c r="M1009" s="1582"/>
      <c r="N1009" s="1582"/>
      <c r="O1009" s="1582"/>
      <c r="P1009" s="1582"/>
      <c r="Q1009" s="1582"/>
      <c r="R1009" s="1582"/>
      <c r="S1009" s="1582"/>
      <c r="T1009" s="1582"/>
      <c r="U1009" s="1582"/>
      <c r="V1009" s="1582"/>
      <c r="W1009" s="1582"/>
      <c r="X1009" s="1582"/>
      <c r="Y1009" s="1582"/>
      <c r="Z1009" s="1582"/>
      <c r="AA1009" s="1582"/>
      <c r="AB1009" s="1582"/>
      <c r="AC1009" s="1582"/>
      <c r="AD1009" s="1582"/>
      <c r="AE1009" s="1583"/>
      <c r="AF1009" s="77"/>
      <c r="AG1009" s="7"/>
      <c r="AH1009" s="7"/>
      <c r="AI1009" s="78"/>
      <c r="AJ1009" s="1415"/>
      <c r="AK1009" s="1416"/>
      <c r="AL1009" s="1416"/>
      <c r="AM1009" s="1416"/>
      <c r="AN1009" s="1416"/>
      <c r="AO1009" s="1416"/>
      <c r="AP1009" s="1416"/>
      <c r="AQ1009" s="1417"/>
      <c r="AR1009" s="68"/>
      <c r="AS1009" s="68"/>
      <c r="AT1009" s="68"/>
      <c r="AU1009" s="68"/>
      <c r="AV1009" s="68"/>
      <c r="AW1009" s="68"/>
      <c r="AX1009" s="68"/>
    </row>
    <row r="1010" spans="1:51" ht="12.95" customHeight="1">
      <c r="A1010" s="14"/>
      <c r="B1010" s="79"/>
      <c r="C1010" s="80" t="s">
        <v>213</v>
      </c>
      <c r="D1010" s="1441" t="s">
        <v>1396</v>
      </c>
      <c r="E1010" s="1442"/>
      <c r="F1010" s="1442"/>
      <c r="G1010" s="1442"/>
      <c r="H1010" s="1442"/>
      <c r="I1010" s="1442"/>
      <c r="J1010" s="1442"/>
      <c r="K1010" s="1442"/>
      <c r="L1010" s="1442"/>
      <c r="M1010" s="1442"/>
      <c r="N1010" s="1442"/>
      <c r="O1010" s="1442"/>
      <c r="P1010" s="1442"/>
      <c r="Q1010" s="1442"/>
      <c r="R1010" s="1442"/>
      <c r="S1010" s="1442"/>
      <c r="T1010" s="1442"/>
      <c r="U1010" s="1442"/>
      <c r="V1010" s="1442"/>
      <c r="W1010" s="1442"/>
      <c r="X1010" s="1442"/>
      <c r="Y1010" s="1442"/>
      <c r="Z1010" s="1442"/>
      <c r="AA1010" s="1442"/>
      <c r="AB1010" s="1442"/>
      <c r="AC1010" s="1442"/>
      <c r="AD1010" s="1442"/>
      <c r="AE1010" s="1443"/>
      <c r="AF1010" s="79"/>
      <c r="AG1010" s="1576" t="s">
        <v>677</v>
      </c>
      <c r="AH1010" s="1577"/>
      <c r="AI1010" s="87"/>
      <c r="AJ1010" s="1409">
        <f>ROUND(IF(AG1010="yes",AJ991*0.02,0),0)</f>
        <v>0</v>
      </c>
      <c r="AK1010" s="1410"/>
      <c r="AL1010" s="1410"/>
      <c r="AM1010" s="1410"/>
      <c r="AN1010" s="1410"/>
      <c r="AO1010" s="1410"/>
      <c r="AP1010" s="1410"/>
      <c r="AQ1010" s="1411"/>
      <c r="AR1010" s="68"/>
      <c r="AS1010" s="68"/>
      <c r="AT1010" s="68"/>
      <c r="AU1010" s="68"/>
      <c r="AV1010" s="68"/>
      <c r="AW1010" s="68"/>
      <c r="AX1010" s="68"/>
      <c r="AY1010" s="215">
        <f>IF(SUM(AY1012:AY1020)&lt;=0.1,SUM(AY1012:AY1020),0.1)</f>
        <v>0</v>
      </c>
    </row>
    <row r="1011" spans="1:51" ht="14.25" customHeight="1">
      <c r="A1011" s="14"/>
      <c r="B1011" s="73"/>
      <c r="C1011" s="74"/>
      <c r="D1011" s="1581" t="s">
        <v>1397</v>
      </c>
      <c r="E1011" s="1582"/>
      <c r="F1011" s="1582"/>
      <c r="G1011" s="1582"/>
      <c r="H1011" s="1582"/>
      <c r="I1011" s="1582"/>
      <c r="J1011" s="1582"/>
      <c r="K1011" s="1582"/>
      <c r="L1011" s="1582"/>
      <c r="M1011" s="1582"/>
      <c r="N1011" s="1582"/>
      <c r="O1011" s="1582"/>
      <c r="P1011" s="1582"/>
      <c r="Q1011" s="1582"/>
      <c r="R1011" s="1582"/>
      <c r="S1011" s="1582"/>
      <c r="T1011" s="1582"/>
      <c r="U1011" s="1582"/>
      <c r="V1011" s="1582"/>
      <c r="W1011" s="1582"/>
      <c r="X1011" s="1582"/>
      <c r="Y1011" s="1582"/>
      <c r="Z1011" s="1582"/>
      <c r="AA1011" s="1582"/>
      <c r="AB1011" s="1582"/>
      <c r="AC1011" s="1582"/>
      <c r="AD1011" s="1582"/>
      <c r="AE1011" s="1583"/>
      <c r="AF1011" s="77"/>
      <c r="AG1011" s="7"/>
      <c r="AH1011" s="7"/>
      <c r="AI1011" s="78"/>
      <c r="AJ1011" s="1415"/>
      <c r="AK1011" s="1416"/>
      <c r="AL1011" s="1416"/>
      <c r="AM1011" s="1416"/>
      <c r="AN1011" s="1416"/>
      <c r="AO1011" s="1416"/>
      <c r="AP1011" s="1416"/>
      <c r="AQ1011" s="1417"/>
      <c r="AR1011" s="68"/>
      <c r="AS1011" s="68"/>
      <c r="AT1011" s="68"/>
      <c r="AU1011" s="68"/>
      <c r="AV1011" s="68"/>
      <c r="AW1011" s="68"/>
      <c r="AX1011" s="68"/>
    </row>
    <row r="1012" spans="1:51" ht="12.95" customHeight="1">
      <c r="A1012" s="14"/>
      <c r="B1012" s="79"/>
      <c r="C1012" s="80" t="s">
        <v>216</v>
      </c>
      <c r="D1012" s="1441" t="s">
        <v>1398</v>
      </c>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9"/>
      <c r="AG1012" s="1576" t="s">
        <v>677</v>
      </c>
      <c r="AH1012" s="1577"/>
      <c r="AI1012" s="79"/>
      <c r="AJ1012" s="1409">
        <f>ROUND(IF(AG1012="yes",AJ991*0.02,0),0)</f>
        <v>0</v>
      </c>
      <c r="AK1012" s="1410"/>
      <c r="AL1012" s="1410"/>
      <c r="AM1012" s="1410"/>
      <c r="AN1012" s="1410"/>
      <c r="AO1012" s="1410"/>
      <c r="AP1012" s="1410"/>
      <c r="AQ1012" s="1411"/>
      <c r="AR1012" s="68"/>
      <c r="AS1012" s="68"/>
      <c r="AT1012" s="68"/>
      <c r="AU1012" s="68"/>
      <c r="AV1012" s="68"/>
      <c r="AW1012" s="68"/>
      <c r="AX1012" s="68"/>
      <c r="AY1012" s="213">
        <f>IF(A1064="Yes",0.05,0)</f>
        <v>0</v>
      </c>
    </row>
    <row r="1013" spans="1:51" ht="12.95" customHeight="1">
      <c r="A1013" s="14"/>
      <c r="B1013" s="73"/>
      <c r="C1013" s="74"/>
      <c r="D1013" s="1562" t="s">
        <v>1399</v>
      </c>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1458" t="str">
        <f>IF(AND(AG1012="yes",AB212&lt;&gt;1),"The project may not be eligible for this boost","")</f>
        <v/>
      </c>
      <c r="AG1013" s="1459"/>
      <c r="AH1013" s="1459"/>
      <c r="AI1013" s="1460"/>
      <c r="AJ1013" s="1412"/>
      <c r="AK1013" s="1413"/>
      <c r="AL1013" s="1413"/>
      <c r="AM1013" s="1413"/>
      <c r="AN1013" s="1413"/>
      <c r="AO1013" s="1413"/>
      <c r="AP1013" s="1413"/>
      <c r="AQ1013" s="1414"/>
      <c r="AR1013" s="68"/>
      <c r="AS1013" s="68"/>
      <c r="AT1013" s="68"/>
      <c r="AU1013" s="68"/>
      <c r="AV1013" s="68"/>
      <c r="AW1013" s="68"/>
      <c r="AX1013" s="68"/>
      <c r="AY1013" s="213">
        <f>IF(A1070="Yes",0.02,0)</f>
        <v>0</v>
      </c>
    </row>
    <row r="1014" spans="1:51" ht="12.95" customHeight="1">
      <c r="A1014" s="14"/>
      <c r="B1014" s="75"/>
      <c r="C1014" s="76"/>
      <c r="D1014" s="1581"/>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3"/>
      <c r="AF1014" s="1461"/>
      <c r="AG1014" s="1462"/>
      <c r="AH1014" s="1462"/>
      <c r="AI1014" s="1463"/>
      <c r="AJ1014" s="1415"/>
      <c r="AK1014" s="1416"/>
      <c r="AL1014" s="1416"/>
      <c r="AM1014" s="1416"/>
      <c r="AN1014" s="1416"/>
      <c r="AO1014" s="1416"/>
      <c r="AP1014" s="1416"/>
      <c r="AQ1014" s="1417"/>
      <c r="AR1014" s="68"/>
      <c r="AS1014" s="68"/>
      <c r="AT1014" s="68"/>
      <c r="AU1014" s="68"/>
      <c r="AV1014" s="68"/>
      <c r="AW1014" s="68"/>
      <c r="AX1014" s="68"/>
      <c r="AY1014" s="213">
        <f>IF(A1076="Yes",0.04,0)</f>
        <v>0</v>
      </c>
    </row>
    <row r="1015" spans="1:51" ht="12.95" customHeight="1">
      <c r="A1015" s="14"/>
      <c r="B1015" s="79"/>
      <c r="C1015" s="80" t="s">
        <v>219</v>
      </c>
      <c r="D1015" s="1578" t="s">
        <v>1400</v>
      </c>
      <c r="E1015" s="1579"/>
      <c r="F1015" s="1579"/>
      <c r="G1015" s="1579"/>
      <c r="H1015" s="1579"/>
      <c r="I1015" s="1579"/>
      <c r="J1015" s="1579"/>
      <c r="K1015" s="1579"/>
      <c r="L1015" s="1579"/>
      <c r="M1015" s="1579"/>
      <c r="N1015" s="1579"/>
      <c r="O1015" s="1579"/>
      <c r="P1015" s="1579"/>
      <c r="Q1015" s="1579"/>
      <c r="R1015" s="1579"/>
      <c r="S1015" s="1579"/>
      <c r="T1015" s="1579"/>
      <c r="U1015" s="1579"/>
      <c r="V1015" s="1579"/>
      <c r="W1015" s="1579"/>
      <c r="X1015" s="1579"/>
      <c r="Y1015" s="1579"/>
      <c r="Z1015" s="1579"/>
      <c r="AA1015" s="1579"/>
      <c r="AB1015" s="1579"/>
      <c r="AC1015" s="1579"/>
      <c r="AD1015" s="1579"/>
      <c r="AE1015" s="1580"/>
      <c r="AF1015" s="79"/>
      <c r="AG1015" s="1576" t="s">
        <v>677</v>
      </c>
      <c r="AH1015" s="1577"/>
      <c r="AI1015" s="87"/>
      <c r="AJ1015" s="1409">
        <f>IF(AG1015="yes",AJ991*AY1010,0)</f>
        <v>0</v>
      </c>
      <c r="AK1015" s="1410"/>
      <c r="AL1015" s="1410"/>
      <c r="AM1015" s="1410"/>
      <c r="AN1015" s="1410"/>
      <c r="AO1015" s="1410"/>
      <c r="AP1015" s="1410"/>
      <c r="AQ1015" s="1411"/>
      <c r="AR1015" s="68"/>
      <c r="AS1015" s="68"/>
      <c r="AT1015" s="68"/>
      <c r="AU1015" s="68"/>
      <c r="AV1015" s="68"/>
      <c r="AW1015" s="68"/>
      <c r="AX1015" s="68"/>
      <c r="AY1015" s="213">
        <f>IF(A1083="Yes",0.04,0)</f>
        <v>0</v>
      </c>
    </row>
    <row r="1016" spans="1:51" ht="12.95" customHeight="1">
      <c r="A1016" s="14"/>
      <c r="B1016" s="73"/>
      <c r="C1016" s="74"/>
      <c r="D1016" s="1562" t="s">
        <v>1401</v>
      </c>
      <c r="E1016" s="1563"/>
      <c r="F1016" s="1563"/>
      <c r="G1016" s="1563"/>
      <c r="H1016" s="1563"/>
      <c r="I1016" s="1563"/>
      <c r="J1016" s="1563"/>
      <c r="K1016" s="1563"/>
      <c r="L1016" s="1563"/>
      <c r="M1016" s="1563"/>
      <c r="N1016" s="1563"/>
      <c r="O1016" s="1563"/>
      <c r="P1016" s="1563"/>
      <c r="Q1016" s="1563"/>
      <c r="R1016" s="1563"/>
      <c r="S1016" s="1563"/>
      <c r="T1016" s="1563"/>
      <c r="U1016" s="1563"/>
      <c r="V1016" s="1563"/>
      <c r="W1016" s="1563"/>
      <c r="X1016" s="1563"/>
      <c r="Y1016" s="1563"/>
      <c r="Z1016" s="1563"/>
      <c r="AA1016" s="1563"/>
      <c r="AB1016" s="1563"/>
      <c r="AC1016" s="1563"/>
      <c r="AD1016" s="1563"/>
      <c r="AE1016" s="1564"/>
      <c r="AF1016" s="1452" t="str">
        <f>IF(AND(AG1015="Yes",AY1010=0),AY1022,"")</f>
        <v/>
      </c>
      <c r="AG1016" s="1453"/>
      <c r="AH1016" s="1453"/>
      <c r="AI1016" s="1454"/>
      <c r="AJ1016" s="1412"/>
      <c r="AK1016" s="1413"/>
      <c r="AL1016" s="1413"/>
      <c r="AM1016" s="1413"/>
      <c r="AN1016" s="1413"/>
      <c r="AO1016" s="1413"/>
      <c r="AP1016" s="1413"/>
      <c r="AQ1016" s="1414"/>
      <c r="AR1016" s="68"/>
      <c r="AS1016" s="68"/>
      <c r="AT1016" s="68"/>
      <c r="AU1016" s="68"/>
      <c r="AV1016" s="68"/>
      <c r="AW1016" s="68"/>
      <c r="AX1016" s="68"/>
      <c r="AY1016" s="213">
        <f>IF(A1086="Yes",0.01,0)</f>
        <v>0</v>
      </c>
    </row>
    <row r="1017" spans="1:51" ht="12.95" customHeight="1">
      <c r="A1017" s="14"/>
      <c r="B1017" s="73"/>
      <c r="C1017" s="74"/>
      <c r="D1017" s="1562"/>
      <c r="E1017" s="1563"/>
      <c r="F1017" s="1563"/>
      <c r="G1017" s="1563"/>
      <c r="H1017" s="1563"/>
      <c r="I1017" s="1563"/>
      <c r="J1017" s="1563"/>
      <c r="K1017" s="1563"/>
      <c r="L1017" s="1563"/>
      <c r="M1017" s="1563"/>
      <c r="N1017" s="1563"/>
      <c r="O1017" s="1563"/>
      <c r="P1017" s="1563"/>
      <c r="Q1017" s="1563"/>
      <c r="R1017" s="1563"/>
      <c r="S1017" s="1563"/>
      <c r="T1017" s="1563"/>
      <c r="U1017" s="1563"/>
      <c r="V1017" s="1563"/>
      <c r="W1017" s="1563"/>
      <c r="X1017" s="1563"/>
      <c r="Y1017" s="1563"/>
      <c r="Z1017" s="1563"/>
      <c r="AA1017" s="1563"/>
      <c r="AB1017" s="1563"/>
      <c r="AC1017" s="1563"/>
      <c r="AD1017" s="1563"/>
      <c r="AE1017" s="1564"/>
      <c r="AF1017" s="1452"/>
      <c r="AG1017" s="1453"/>
      <c r="AH1017" s="1453"/>
      <c r="AI1017" s="1454"/>
      <c r="AJ1017" s="1412"/>
      <c r="AK1017" s="1413"/>
      <c r="AL1017" s="1413"/>
      <c r="AM1017" s="1413"/>
      <c r="AN1017" s="1413"/>
      <c r="AO1017" s="1413"/>
      <c r="AP1017" s="1413"/>
      <c r="AQ1017" s="1414"/>
      <c r="AR1017" s="68"/>
      <c r="AS1017" s="68"/>
      <c r="AT1017" s="68"/>
      <c r="AU1017" s="68"/>
      <c r="AV1017" s="68"/>
      <c r="AW1017" s="68"/>
      <c r="AX1017" s="68"/>
      <c r="AY1017" s="213">
        <f>IF(A1091="Yes",0.01,0)</f>
        <v>0</v>
      </c>
    </row>
    <row r="1018" spans="1:51" ht="12.95" customHeight="1">
      <c r="A1018" s="14"/>
      <c r="B1018" s="81"/>
      <c r="C1018" s="82"/>
      <c r="D1018" s="1581"/>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3"/>
      <c r="AF1018" s="1455"/>
      <c r="AG1018" s="1456"/>
      <c r="AH1018" s="1456"/>
      <c r="AI1018" s="1457"/>
      <c r="AJ1018" s="1415"/>
      <c r="AK1018" s="1416"/>
      <c r="AL1018" s="1416"/>
      <c r="AM1018" s="1416"/>
      <c r="AN1018" s="1416"/>
      <c r="AO1018" s="1416"/>
      <c r="AP1018" s="1416"/>
      <c r="AQ1018" s="1417"/>
      <c r="AR1018" s="68"/>
      <c r="AS1018" s="68"/>
      <c r="AT1018" s="68"/>
      <c r="AU1018" s="68"/>
      <c r="AV1018" s="68"/>
      <c r="AW1018" s="68"/>
      <c r="AX1018" s="68"/>
      <c r="AY1018" s="213">
        <f>IF(A1094="Yes",0.01,0)</f>
        <v>0</v>
      </c>
    </row>
    <row r="1019" spans="1:51" ht="12.95" customHeight="1">
      <c r="A1019" s="14"/>
      <c r="B1019" s="79"/>
      <c r="C1019" s="80" t="s">
        <v>224</v>
      </c>
      <c r="D1019" s="1435" t="s">
        <v>1402</v>
      </c>
      <c r="E1019" s="1436"/>
      <c r="F1019" s="1436"/>
      <c r="G1019" s="1436"/>
      <c r="H1019" s="1436"/>
      <c r="I1019" s="1436"/>
      <c r="J1019" s="1436"/>
      <c r="K1019" s="1436"/>
      <c r="L1019" s="1436"/>
      <c r="M1019" s="1436"/>
      <c r="N1019" s="1436"/>
      <c r="O1019" s="1436"/>
      <c r="P1019" s="1436"/>
      <c r="Q1019" s="1436"/>
      <c r="R1019" s="1436"/>
      <c r="S1019" s="1436"/>
      <c r="T1019" s="1436"/>
      <c r="U1019" s="1436"/>
      <c r="V1019" s="1436"/>
      <c r="W1019" s="1436"/>
      <c r="X1019" s="1436"/>
      <c r="Y1019" s="1436"/>
      <c r="Z1019" s="1436"/>
      <c r="AA1019" s="1436"/>
      <c r="AB1019" s="1436"/>
      <c r="AC1019" s="1436"/>
      <c r="AD1019" s="1436"/>
      <c r="AE1019" s="1437"/>
      <c r="AF1019" s="79"/>
      <c r="AG1019" s="1576" t="s">
        <v>677</v>
      </c>
      <c r="AH1019" s="1577"/>
      <c r="AI1019" s="87"/>
      <c r="AJ1019" s="1409">
        <f>ROUND(IF(AND(AG1019="Yes",J1023&lt;&gt;"N/A",AF1022&lt;&gt;""),MIN(AF1022,(0.15*AJ991)),0),0)</f>
        <v>0</v>
      </c>
      <c r="AK1019" s="1410"/>
      <c r="AL1019" s="1410"/>
      <c r="AM1019" s="1410"/>
      <c r="AN1019" s="1410"/>
      <c r="AO1019" s="1410"/>
      <c r="AP1019" s="1410"/>
      <c r="AQ1019" s="1411"/>
      <c r="AR1019" s="68"/>
      <c r="AS1019" s="68"/>
      <c r="AT1019" s="68"/>
      <c r="AU1019" s="68"/>
      <c r="AV1019" s="68"/>
      <c r="AW1019" s="68"/>
      <c r="AX1019" s="68"/>
      <c r="AY1019" s="213">
        <f>IF(A1098="Yes",0.02,0)</f>
        <v>0</v>
      </c>
    </row>
    <row r="1020" spans="1:51" ht="12.95" customHeight="1">
      <c r="A1020" s="14"/>
      <c r="B1020" s="81"/>
      <c r="C1020" s="84"/>
      <c r="D1020" s="1438"/>
      <c r="E1020" s="1439"/>
      <c r="F1020" s="1439"/>
      <c r="G1020" s="1439"/>
      <c r="H1020" s="1439"/>
      <c r="I1020" s="1439"/>
      <c r="J1020" s="1439"/>
      <c r="K1020" s="1439"/>
      <c r="L1020" s="1439"/>
      <c r="M1020" s="1439"/>
      <c r="N1020" s="1439"/>
      <c r="O1020" s="1439"/>
      <c r="P1020" s="1439"/>
      <c r="Q1020" s="1439"/>
      <c r="R1020" s="1439"/>
      <c r="S1020" s="1439"/>
      <c r="T1020" s="1439"/>
      <c r="U1020" s="1439"/>
      <c r="V1020" s="1439"/>
      <c r="W1020" s="1439"/>
      <c r="X1020" s="1439"/>
      <c r="Y1020" s="1439"/>
      <c r="Z1020" s="1439"/>
      <c r="AA1020" s="1439"/>
      <c r="AB1020" s="1439"/>
      <c r="AC1020" s="1439"/>
      <c r="AD1020" s="1439"/>
      <c r="AE1020" s="1440"/>
      <c r="AF1020" s="1584" t="str">
        <f>IF(AG1019="yes","Please Select Type and Enter Amount:","")</f>
        <v/>
      </c>
      <c r="AG1020" s="1585"/>
      <c r="AH1020" s="1585"/>
      <c r="AI1020" s="1586"/>
      <c r="AJ1020" s="1412"/>
      <c r="AK1020" s="1413"/>
      <c r="AL1020" s="1413"/>
      <c r="AM1020" s="1413"/>
      <c r="AN1020" s="1413"/>
      <c r="AO1020" s="1413"/>
      <c r="AP1020" s="1413"/>
      <c r="AQ1020" s="1414"/>
      <c r="AR1020" s="68"/>
      <c r="AS1020" s="68"/>
      <c r="AT1020" s="68"/>
      <c r="AU1020" s="68"/>
      <c r="AV1020" s="68"/>
      <c r="AW1020" s="68"/>
      <c r="AX1020" s="68"/>
      <c r="AY1020" s="214">
        <f>IF(A1103="Yes",0.02,0)</f>
        <v>0</v>
      </c>
    </row>
    <row r="1021" spans="1:51" ht="12.95" customHeight="1">
      <c r="A1021" s="14"/>
      <c r="B1021" s="81"/>
      <c r="C1021" s="84"/>
      <c r="D1021" s="1562" t="s">
        <v>1403</v>
      </c>
      <c r="E1021" s="1563"/>
      <c r="F1021" s="1563"/>
      <c r="G1021" s="1563"/>
      <c r="H1021" s="1563"/>
      <c r="I1021" s="1563"/>
      <c r="J1021" s="1563"/>
      <c r="K1021" s="1563"/>
      <c r="L1021" s="1563"/>
      <c r="M1021" s="1563"/>
      <c r="N1021" s="1563"/>
      <c r="O1021" s="1563"/>
      <c r="P1021" s="1563"/>
      <c r="Q1021" s="1563"/>
      <c r="R1021" s="1563"/>
      <c r="S1021" s="1563"/>
      <c r="T1021" s="1563"/>
      <c r="U1021" s="1563"/>
      <c r="V1021" s="1563"/>
      <c r="W1021" s="1563"/>
      <c r="X1021" s="1563"/>
      <c r="Y1021" s="1563"/>
      <c r="Z1021" s="1563"/>
      <c r="AA1021" s="1563"/>
      <c r="AB1021" s="1563"/>
      <c r="AC1021" s="1563"/>
      <c r="AD1021" s="1563"/>
      <c r="AE1021" s="1564"/>
      <c r="AF1021" s="1584"/>
      <c r="AG1021" s="1585"/>
      <c r="AH1021" s="1585"/>
      <c r="AI1021" s="1586"/>
      <c r="AJ1021" s="1412"/>
      <c r="AK1021" s="1413"/>
      <c r="AL1021" s="1413"/>
      <c r="AM1021" s="1413"/>
      <c r="AN1021" s="1413"/>
      <c r="AO1021" s="1413"/>
      <c r="AP1021" s="1413"/>
      <c r="AQ1021" s="1414"/>
      <c r="AR1021" s="68"/>
      <c r="AS1021" s="68"/>
      <c r="AT1021" s="68"/>
      <c r="AU1021" s="68"/>
      <c r="AV1021" s="68"/>
      <c r="AW1021" s="68"/>
      <c r="AX1021" s="68"/>
      <c r="AY1021" s="68"/>
    </row>
    <row r="1022" spans="1:51" ht="12.95" customHeight="1">
      <c r="A1022" s="14"/>
      <c r="B1022" s="81"/>
      <c r="C1022" s="84"/>
      <c r="D1022" s="1562"/>
      <c r="E1022" s="1563"/>
      <c r="F1022" s="1563"/>
      <c r="G1022" s="1563"/>
      <c r="H1022" s="1563"/>
      <c r="I1022" s="1563"/>
      <c r="J1022" s="1563"/>
      <c r="K1022" s="1563"/>
      <c r="L1022" s="1563"/>
      <c r="M1022" s="1563"/>
      <c r="N1022" s="1563"/>
      <c r="O1022" s="1563"/>
      <c r="P1022" s="1563"/>
      <c r="Q1022" s="1563"/>
      <c r="R1022" s="1563"/>
      <c r="S1022" s="1563"/>
      <c r="T1022" s="1563"/>
      <c r="U1022" s="1563"/>
      <c r="V1022" s="1563"/>
      <c r="W1022" s="1563"/>
      <c r="X1022" s="1563"/>
      <c r="Y1022" s="1563"/>
      <c r="Z1022" s="1563"/>
      <c r="AA1022" s="1563"/>
      <c r="AB1022" s="1563"/>
      <c r="AC1022" s="1563"/>
      <c r="AD1022" s="1563"/>
      <c r="AE1022" s="1564"/>
      <c r="AF1022" s="1434"/>
      <c r="AG1022" s="1434"/>
      <c r="AH1022" s="1434"/>
      <c r="AI1022" s="1434"/>
      <c r="AJ1022" s="1412"/>
      <c r="AK1022" s="1413"/>
      <c r="AL1022" s="1413"/>
      <c r="AM1022" s="1413"/>
      <c r="AN1022" s="1413"/>
      <c r="AO1022" s="1413"/>
      <c r="AP1022" s="1413"/>
      <c r="AQ1022" s="141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65" t="s">
        <v>599</v>
      </c>
      <c r="K1023" s="1566"/>
      <c r="L1023" s="1566"/>
      <c r="M1023" s="1566"/>
      <c r="N1023" s="1566"/>
      <c r="O1023" s="1566"/>
      <c r="P1023" s="1566"/>
      <c r="Q1023" s="1566"/>
      <c r="R1023" s="1566"/>
      <c r="S1023" s="1566"/>
      <c r="T1023" s="1566"/>
      <c r="U1023" s="1566"/>
      <c r="V1023" s="1566"/>
      <c r="W1023" s="1566"/>
      <c r="X1023" s="1566"/>
      <c r="Y1023" s="1566"/>
      <c r="Z1023" s="1566"/>
      <c r="AA1023" s="1566"/>
      <c r="AB1023" s="1566"/>
      <c r="AC1023" s="1566"/>
      <c r="AD1023" s="1566"/>
      <c r="AE1023" s="1567"/>
      <c r="AF1023" s="1434"/>
      <c r="AG1023" s="1434"/>
      <c r="AH1023" s="1434"/>
      <c r="AI1023" s="1434"/>
      <c r="AJ1023" s="1415"/>
      <c r="AK1023" s="1416"/>
      <c r="AL1023" s="1416"/>
      <c r="AM1023" s="1416"/>
      <c r="AN1023" s="1416"/>
      <c r="AO1023" s="1416"/>
      <c r="AP1023" s="1416"/>
      <c r="AQ1023" s="1417"/>
      <c r="AR1023" s="68"/>
      <c r="AS1023" s="68"/>
      <c r="AT1023" s="68"/>
      <c r="AU1023" s="68"/>
      <c r="AV1023" s="68"/>
      <c r="AW1023" s="68"/>
      <c r="AX1023" s="68"/>
      <c r="AY1023" s="68"/>
    </row>
    <row r="1024" spans="1:51" ht="12.95" customHeight="1">
      <c r="A1024" s="14"/>
      <c r="B1024" s="79"/>
      <c r="C1024" s="80" t="s">
        <v>230</v>
      </c>
      <c r="D1024" s="1441" t="s">
        <v>1404</v>
      </c>
      <c r="E1024" s="1442"/>
      <c r="F1024" s="1442"/>
      <c r="G1024" s="1442"/>
      <c r="H1024" s="1442"/>
      <c r="I1024" s="1442"/>
      <c r="J1024" s="1442"/>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3"/>
      <c r="AF1024" s="79"/>
      <c r="AG1024" s="1576" t="s">
        <v>677</v>
      </c>
      <c r="AH1024" s="1577"/>
      <c r="AI1024" s="87"/>
      <c r="AJ1024" s="1409">
        <f>ROUND(IF(AG1024="Yes",AF1026,0),0)</f>
        <v>0</v>
      </c>
      <c r="AK1024" s="1410"/>
      <c r="AL1024" s="1410"/>
      <c r="AM1024" s="1410"/>
      <c r="AN1024" s="1410"/>
      <c r="AO1024" s="1410"/>
      <c r="AP1024" s="1410"/>
      <c r="AQ1024" s="1411"/>
      <c r="AR1024" s="68"/>
      <c r="AS1024" s="68"/>
      <c r="AT1024" s="68"/>
      <c r="AU1024" s="68"/>
      <c r="AV1024" s="68"/>
      <c r="AW1024" s="68"/>
      <c r="AX1024" s="68"/>
      <c r="AY1024" s="68"/>
    </row>
    <row r="1025" spans="1:51" ht="12.95" customHeight="1">
      <c r="A1025" s="14"/>
      <c r="B1025" s="73"/>
      <c r="C1025" s="74"/>
      <c r="D1025" s="1562" t="s">
        <v>1879</v>
      </c>
      <c r="E1025" s="1563"/>
      <c r="F1025" s="1563"/>
      <c r="G1025" s="1563"/>
      <c r="H1025" s="1563"/>
      <c r="I1025" s="1563"/>
      <c r="J1025" s="1563"/>
      <c r="K1025" s="1563"/>
      <c r="L1025" s="1563"/>
      <c r="M1025" s="1563"/>
      <c r="N1025" s="1563"/>
      <c r="O1025" s="1563"/>
      <c r="P1025" s="1563"/>
      <c r="Q1025" s="1563"/>
      <c r="R1025" s="1563"/>
      <c r="S1025" s="1563"/>
      <c r="T1025" s="1563"/>
      <c r="U1025" s="1563"/>
      <c r="V1025" s="1563"/>
      <c r="W1025" s="1563"/>
      <c r="X1025" s="1563"/>
      <c r="Y1025" s="1563"/>
      <c r="Z1025" s="1563"/>
      <c r="AA1025" s="1563"/>
      <c r="AB1025" s="1563"/>
      <c r="AC1025" s="1563"/>
      <c r="AD1025" s="1563"/>
      <c r="AE1025" s="1564"/>
      <c r="AF1025" s="1609" t="str">
        <f>IF(AG1024="yes","Enter Amount:","")</f>
        <v/>
      </c>
      <c r="AG1025" s="1610"/>
      <c r="AH1025" s="1610"/>
      <c r="AI1025" s="1611"/>
      <c r="AJ1025" s="1412"/>
      <c r="AK1025" s="1413"/>
      <c r="AL1025" s="1413"/>
      <c r="AM1025" s="1413"/>
      <c r="AN1025" s="1413"/>
      <c r="AO1025" s="1413"/>
      <c r="AP1025" s="1413"/>
      <c r="AQ1025" s="1414"/>
      <c r="AR1025" s="68"/>
      <c r="AS1025" s="68"/>
      <c r="AT1025" s="68"/>
      <c r="AU1025" s="68"/>
      <c r="AV1025" s="68"/>
      <c r="AW1025" s="68"/>
      <c r="AX1025" s="68"/>
      <c r="AY1025" s="68"/>
    </row>
    <row r="1026" spans="1:51" ht="12.95" customHeight="1">
      <c r="A1026" s="14"/>
      <c r="B1026" s="73"/>
      <c r="C1026" s="74"/>
      <c r="D1026" s="1562"/>
      <c r="E1026" s="1563"/>
      <c r="F1026" s="1563"/>
      <c r="G1026" s="1563"/>
      <c r="H1026" s="1563"/>
      <c r="I1026" s="1563"/>
      <c r="J1026" s="1563"/>
      <c r="K1026" s="1563"/>
      <c r="L1026" s="1563"/>
      <c r="M1026" s="1563"/>
      <c r="N1026" s="1563"/>
      <c r="O1026" s="1563"/>
      <c r="P1026" s="1563"/>
      <c r="Q1026" s="1563"/>
      <c r="R1026" s="1563"/>
      <c r="S1026" s="1563"/>
      <c r="T1026" s="1563"/>
      <c r="U1026" s="1563"/>
      <c r="V1026" s="1563"/>
      <c r="W1026" s="1563"/>
      <c r="X1026" s="1563"/>
      <c r="Y1026" s="1563"/>
      <c r="Z1026" s="1563"/>
      <c r="AA1026" s="1563"/>
      <c r="AB1026" s="1563"/>
      <c r="AC1026" s="1563"/>
      <c r="AD1026" s="1563"/>
      <c r="AE1026" s="1564"/>
      <c r="AF1026" s="1434"/>
      <c r="AG1026" s="1434"/>
      <c r="AH1026" s="1434"/>
      <c r="AI1026" s="1434"/>
      <c r="AJ1026" s="1412"/>
      <c r="AK1026" s="1413"/>
      <c r="AL1026" s="1413"/>
      <c r="AM1026" s="1413"/>
      <c r="AN1026" s="1413"/>
      <c r="AO1026" s="1413"/>
      <c r="AP1026" s="1413"/>
      <c r="AQ1026" s="1414"/>
      <c r="AR1026" s="68"/>
      <c r="AS1026" s="68"/>
      <c r="AT1026" s="68"/>
      <c r="AU1026" s="68"/>
      <c r="AV1026" s="68"/>
      <c r="AW1026" s="68"/>
      <c r="AX1026" s="68"/>
      <c r="AY1026" s="68"/>
    </row>
    <row r="1027" spans="1:51" ht="12.95" customHeight="1">
      <c r="A1027" s="14"/>
      <c r="B1027" s="85"/>
      <c r="C1027" s="84"/>
      <c r="D1027" s="1581"/>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3"/>
      <c r="AF1027" s="1434"/>
      <c r="AG1027" s="1434"/>
      <c r="AH1027" s="1434"/>
      <c r="AI1027" s="1434"/>
      <c r="AJ1027" s="1415"/>
      <c r="AK1027" s="1416"/>
      <c r="AL1027" s="1416"/>
      <c r="AM1027" s="1416"/>
      <c r="AN1027" s="1416"/>
      <c r="AO1027" s="1416"/>
      <c r="AP1027" s="1416"/>
      <c r="AQ1027" s="1417"/>
      <c r="AR1027" s="68"/>
      <c r="AS1027" s="68"/>
      <c r="AT1027" s="68"/>
      <c r="AU1027" s="68"/>
      <c r="AV1027" s="68"/>
      <c r="AW1027" s="68"/>
      <c r="AX1027" s="68"/>
      <c r="AY1027" s="68"/>
    </row>
    <row r="1028" spans="1:51" ht="12.95" customHeight="1">
      <c r="A1028" s="14"/>
      <c r="B1028" s="79"/>
      <c r="C1028" s="80" t="s">
        <v>235</v>
      </c>
      <c r="D1028" s="1578" t="s">
        <v>1405</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80"/>
      <c r="AF1028" s="79"/>
      <c r="AG1028" s="1576" t="s">
        <v>553</v>
      </c>
      <c r="AH1028" s="1577"/>
      <c r="AI1028" s="87"/>
      <c r="AJ1028" s="1409">
        <f>ROUND(IF(AG1028="yes",(AJ991*0.1),0),0)</f>
        <v>13382678</v>
      </c>
      <c r="AK1028" s="1410"/>
      <c r="AL1028" s="1410"/>
      <c r="AM1028" s="1410"/>
      <c r="AN1028" s="1410"/>
      <c r="AO1028" s="1410"/>
      <c r="AP1028" s="1410"/>
      <c r="AQ1028" s="1411"/>
      <c r="AR1028" s="68"/>
      <c r="AS1028" s="68"/>
      <c r="AT1028" s="68"/>
      <c r="AU1028" s="68"/>
      <c r="AV1028" s="68"/>
      <c r="AW1028" s="68"/>
      <c r="AX1028" s="68"/>
      <c r="AY1028" s="68"/>
    </row>
    <row r="1029" spans="1:51" ht="12.95" customHeight="1">
      <c r="A1029" s="14"/>
      <c r="B1029" s="73"/>
      <c r="C1029" s="74"/>
      <c r="D1029" s="1562" t="s">
        <v>1406</v>
      </c>
      <c r="E1029" s="1563"/>
      <c r="F1029" s="1563"/>
      <c r="G1029" s="1563"/>
      <c r="H1029" s="1563"/>
      <c r="I1029" s="1563"/>
      <c r="J1029" s="1563"/>
      <c r="K1029" s="1563"/>
      <c r="L1029" s="1563"/>
      <c r="M1029" s="1563"/>
      <c r="N1029" s="1563"/>
      <c r="O1029" s="1563"/>
      <c r="P1029" s="1563"/>
      <c r="Q1029" s="1563"/>
      <c r="R1029" s="1563"/>
      <c r="S1029" s="1563"/>
      <c r="T1029" s="1563"/>
      <c r="U1029" s="1563"/>
      <c r="V1029" s="1563"/>
      <c r="W1029" s="1563"/>
      <c r="X1029" s="1563"/>
      <c r="Y1029" s="1563"/>
      <c r="Z1029" s="1563"/>
      <c r="AA1029" s="1563"/>
      <c r="AB1029" s="1563"/>
      <c r="AC1029" s="1563"/>
      <c r="AD1029" s="1563"/>
      <c r="AE1029" s="1564"/>
      <c r="AF1029" s="73"/>
      <c r="AG1029" s="14"/>
      <c r="AH1029" s="14"/>
      <c r="AI1029" s="83"/>
      <c r="AJ1029" s="1412"/>
      <c r="AK1029" s="1413"/>
      <c r="AL1029" s="1413"/>
      <c r="AM1029" s="1413"/>
      <c r="AN1029" s="1413"/>
      <c r="AO1029" s="1413"/>
      <c r="AP1029" s="1413"/>
      <c r="AQ1029" s="1414"/>
      <c r="AR1029" s="68"/>
      <c r="AS1029" s="68"/>
      <c r="AT1029" s="68"/>
      <c r="AU1029" s="68"/>
      <c r="AV1029" s="68"/>
      <c r="AW1029" s="68"/>
      <c r="AX1029" s="68"/>
      <c r="AY1029" s="68"/>
    </row>
    <row r="1030" spans="1:51" ht="12.95" customHeight="1">
      <c r="A1030" s="14"/>
      <c r="B1030" s="77"/>
      <c r="C1030" s="74"/>
      <c r="D1030" s="1581"/>
      <c r="E1030" s="1582"/>
      <c r="F1030" s="1582"/>
      <c r="G1030" s="1582"/>
      <c r="H1030" s="1582"/>
      <c r="I1030" s="1582"/>
      <c r="J1030" s="1582"/>
      <c r="K1030" s="1582"/>
      <c r="L1030" s="1582"/>
      <c r="M1030" s="1582"/>
      <c r="N1030" s="1582"/>
      <c r="O1030" s="1582"/>
      <c r="P1030" s="1582"/>
      <c r="Q1030" s="1582"/>
      <c r="R1030" s="1582"/>
      <c r="S1030" s="1582"/>
      <c r="T1030" s="1582"/>
      <c r="U1030" s="1582"/>
      <c r="V1030" s="1582"/>
      <c r="W1030" s="1582"/>
      <c r="X1030" s="1582"/>
      <c r="Y1030" s="1582"/>
      <c r="Z1030" s="1582"/>
      <c r="AA1030" s="1582"/>
      <c r="AB1030" s="1582"/>
      <c r="AC1030" s="1582"/>
      <c r="AD1030" s="1582"/>
      <c r="AE1030" s="1583"/>
      <c r="AF1030" s="73"/>
      <c r="AG1030" s="14"/>
      <c r="AH1030" s="14"/>
      <c r="AI1030" s="83"/>
      <c r="AJ1030" s="1415"/>
      <c r="AK1030" s="1416"/>
      <c r="AL1030" s="1416"/>
      <c r="AM1030" s="1416"/>
      <c r="AN1030" s="1416"/>
      <c r="AO1030" s="1416"/>
      <c r="AP1030" s="1416"/>
      <c r="AQ1030" s="1417"/>
      <c r="AR1030" s="68"/>
      <c r="AS1030" s="68"/>
      <c r="AT1030" s="68"/>
      <c r="AU1030" s="68"/>
      <c r="AV1030" s="68"/>
      <c r="AW1030" s="68"/>
      <c r="AX1030" s="68"/>
      <c r="AY1030" s="68"/>
    </row>
    <row r="1031" spans="1:51" ht="12.95" customHeight="1">
      <c r="A1031" s="14"/>
      <c r="B1031" s="73"/>
      <c r="C1031" s="367" t="s">
        <v>696</v>
      </c>
      <c r="D1031" s="1441" t="s">
        <v>1875</v>
      </c>
      <c r="E1031" s="1442"/>
      <c r="F1031" s="1442"/>
      <c r="G1031" s="1442"/>
      <c r="H1031" s="1442"/>
      <c r="I1031" s="1442"/>
      <c r="J1031" s="1442"/>
      <c r="K1031" s="1442"/>
      <c r="L1031" s="1442"/>
      <c r="M1031" s="1442"/>
      <c r="N1031" s="1442"/>
      <c r="O1031" s="1442"/>
      <c r="P1031" s="1442"/>
      <c r="Q1031" s="1442"/>
      <c r="R1031" s="1442"/>
      <c r="S1031" s="1442"/>
      <c r="T1031" s="1442"/>
      <c r="U1031" s="1442"/>
      <c r="V1031" s="1442"/>
      <c r="W1031" s="1442"/>
      <c r="X1031" s="1442"/>
      <c r="Y1031" s="1442"/>
      <c r="Z1031" s="1442"/>
      <c r="AA1031" s="1442"/>
      <c r="AB1031" s="1442"/>
      <c r="AC1031" s="1442"/>
      <c r="AD1031" s="1442"/>
      <c r="AE1031" s="1443"/>
      <c r="AF1031" s="79"/>
      <c r="AG1031" s="1576" t="s">
        <v>677</v>
      </c>
      <c r="AH1031" s="1577"/>
      <c r="AI1031" s="87"/>
      <c r="AJ1031" s="1409">
        <f>ROUND(IF(AG1031="yes",(AJ991*0.15),0),0)</f>
        <v>0</v>
      </c>
      <c r="AK1031" s="1410"/>
      <c r="AL1031" s="1410"/>
      <c r="AM1031" s="1410"/>
      <c r="AN1031" s="1410"/>
      <c r="AO1031" s="1410"/>
      <c r="AP1031" s="1410"/>
      <c r="AQ1031" s="1411"/>
      <c r="AR1031" s="68"/>
      <c r="AS1031" s="68"/>
      <c r="AT1031" s="68"/>
      <c r="AU1031" s="68"/>
      <c r="AV1031" s="68"/>
      <c r="AW1031" s="68"/>
      <c r="AX1031" s="68"/>
      <c r="AY1031" s="68"/>
    </row>
    <row r="1032" spans="1:51" ht="12.95" customHeight="1">
      <c r="A1032" s="14"/>
      <c r="B1032" s="73"/>
      <c r="C1032" s="74"/>
      <c r="D1032" s="1612" t="s">
        <v>1876</v>
      </c>
      <c r="E1032" s="1277"/>
      <c r="F1032" s="1277"/>
      <c r="G1032" s="1277"/>
      <c r="H1032" s="1277"/>
      <c r="I1032" s="1277"/>
      <c r="J1032" s="1277"/>
      <c r="K1032" s="1277"/>
      <c r="L1032" s="1277"/>
      <c r="M1032" s="1277"/>
      <c r="N1032" s="1277"/>
      <c r="O1032" s="1277"/>
      <c r="P1032" s="1277"/>
      <c r="Q1032" s="1277"/>
      <c r="R1032" s="1277"/>
      <c r="S1032" s="1277"/>
      <c r="T1032" s="1277"/>
      <c r="U1032" s="1277"/>
      <c r="V1032" s="1277"/>
      <c r="W1032" s="1277"/>
      <c r="X1032" s="1277"/>
      <c r="Y1032" s="1277"/>
      <c r="Z1032" s="1277"/>
      <c r="AA1032" s="1277"/>
      <c r="AB1032" s="1277"/>
      <c r="AC1032" s="1277"/>
      <c r="AD1032" s="1277"/>
      <c r="AE1032" s="1613"/>
      <c r="AF1032" s="950"/>
      <c r="AG1032" s="951"/>
      <c r="AH1032" s="951"/>
      <c r="AI1032" s="952"/>
      <c r="AJ1032" s="1412"/>
      <c r="AK1032" s="1413"/>
      <c r="AL1032" s="1413"/>
      <c r="AM1032" s="1413"/>
      <c r="AN1032" s="1413"/>
      <c r="AO1032" s="1413"/>
      <c r="AP1032" s="1413"/>
      <c r="AQ1032" s="1414"/>
      <c r="AR1032" s="68"/>
      <c r="AS1032" s="68"/>
      <c r="AT1032" s="68"/>
      <c r="AU1032" s="68"/>
      <c r="AV1032" s="68"/>
      <c r="AW1032" s="68"/>
      <c r="AX1032" s="68"/>
      <c r="AY1032" s="68"/>
    </row>
    <row r="1033" spans="1:51" ht="12.95" customHeight="1">
      <c r="A1033" s="14"/>
      <c r="B1033" s="73"/>
      <c r="C1033" s="74"/>
      <c r="D1033" s="1612"/>
      <c r="E1033" s="1277"/>
      <c r="F1033" s="1277"/>
      <c r="G1033" s="1277"/>
      <c r="H1033" s="1277"/>
      <c r="I1033" s="1277"/>
      <c r="J1033" s="1277"/>
      <c r="K1033" s="1277"/>
      <c r="L1033" s="1277"/>
      <c r="M1033" s="1277"/>
      <c r="N1033" s="1277"/>
      <c r="O1033" s="1277"/>
      <c r="P1033" s="1277"/>
      <c r="Q1033" s="1277"/>
      <c r="R1033" s="1277"/>
      <c r="S1033" s="1277"/>
      <c r="T1033" s="1277"/>
      <c r="U1033" s="1277"/>
      <c r="V1033" s="1277"/>
      <c r="W1033" s="1277"/>
      <c r="X1033" s="1277"/>
      <c r="Y1033" s="1277"/>
      <c r="Z1033" s="1277"/>
      <c r="AA1033" s="1277"/>
      <c r="AB1033" s="1277"/>
      <c r="AC1033" s="1277"/>
      <c r="AD1033" s="1277"/>
      <c r="AE1033" s="1613"/>
      <c r="AF1033" s="950"/>
      <c r="AG1033" s="951"/>
      <c r="AH1033" s="951"/>
      <c r="AI1033" s="952"/>
      <c r="AJ1033" s="1412"/>
      <c r="AK1033" s="1413"/>
      <c r="AL1033" s="1413"/>
      <c r="AM1033" s="1413"/>
      <c r="AN1033" s="1413"/>
      <c r="AO1033" s="1413"/>
      <c r="AP1033" s="1413"/>
      <c r="AQ1033" s="1414"/>
      <c r="AR1033" s="68"/>
      <c r="AS1033" s="68"/>
      <c r="AT1033" s="68"/>
      <c r="AU1033" s="68"/>
      <c r="AV1033" s="68"/>
      <c r="AW1033" s="68"/>
      <c r="AX1033" s="68"/>
      <c r="AY1033" s="68"/>
    </row>
    <row r="1034" spans="1:51" ht="12.95" customHeight="1">
      <c r="A1034" s="14"/>
      <c r="B1034" s="73"/>
      <c r="C1034" s="74"/>
      <c r="D1034" s="1614"/>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6"/>
      <c r="AF1034" s="953"/>
      <c r="AG1034" s="954"/>
      <c r="AH1034" s="954"/>
      <c r="AI1034" s="955"/>
      <c r="AJ1034" s="1415"/>
      <c r="AK1034" s="1416"/>
      <c r="AL1034" s="1416"/>
      <c r="AM1034" s="1416"/>
      <c r="AN1034" s="1416"/>
      <c r="AO1034" s="1416"/>
      <c r="AP1034" s="1416"/>
      <c r="AQ1034" s="1417"/>
      <c r="AR1034" s="68"/>
      <c r="AS1034" s="68"/>
      <c r="AT1034" s="68"/>
      <c r="AU1034" s="68"/>
      <c r="AV1034" s="68"/>
      <c r="AW1034" s="68"/>
      <c r="AX1034" s="68"/>
      <c r="AY1034" s="68"/>
    </row>
    <row r="1035" spans="1:51" ht="12.95" customHeight="1">
      <c r="A1035" s="14"/>
      <c r="B1035" s="73"/>
      <c r="C1035" s="367" t="s">
        <v>696</v>
      </c>
      <c r="D1035" s="1578" t="s">
        <v>1877</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73"/>
      <c r="AG1035" s="1753" t="s">
        <v>553</v>
      </c>
      <c r="AH1035" s="1754"/>
      <c r="AI1035" s="83"/>
      <c r="AJ1035" s="1409">
        <f>ROUND(IF(AND(AG1035="yes",AJ1031=0),(AJ991*0.1),0),0)</f>
        <v>13382678</v>
      </c>
      <c r="AK1035" s="1410"/>
      <c r="AL1035" s="1410"/>
      <c r="AM1035" s="1410"/>
      <c r="AN1035" s="1410"/>
      <c r="AO1035" s="1410"/>
      <c r="AP1035" s="1410"/>
      <c r="AQ1035" s="1411"/>
      <c r="AR1035" s="68"/>
      <c r="AS1035" s="68"/>
      <c r="AT1035" s="68"/>
      <c r="AU1035" s="68"/>
      <c r="AV1035" s="68"/>
      <c r="AW1035" s="68"/>
      <c r="AX1035" s="68"/>
      <c r="AY1035" s="68"/>
    </row>
    <row r="1036" spans="1:51" ht="12.95" customHeight="1">
      <c r="A1036" s="14"/>
      <c r="B1036" s="73"/>
      <c r="C1036" s="74"/>
      <c r="D1036" s="1612" t="s">
        <v>1878</v>
      </c>
      <c r="E1036" s="1277"/>
      <c r="F1036" s="1277"/>
      <c r="G1036" s="1277"/>
      <c r="H1036" s="1277"/>
      <c r="I1036" s="1277"/>
      <c r="J1036" s="1277"/>
      <c r="K1036" s="1277"/>
      <c r="L1036" s="1277"/>
      <c r="M1036" s="1277"/>
      <c r="N1036" s="1277"/>
      <c r="O1036" s="1277"/>
      <c r="P1036" s="1277"/>
      <c r="Q1036" s="1277"/>
      <c r="R1036" s="1277"/>
      <c r="S1036" s="1277"/>
      <c r="T1036" s="1277"/>
      <c r="U1036" s="1277"/>
      <c r="V1036" s="1277"/>
      <c r="W1036" s="1277"/>
      <c r="X1036" s="1277"/>
      <c r="Y1036" s="1277"/>
      <c r="Z1036" s="1277"/>
      <c r="AA1036" s="1277"/>
      <c r="AB1036" s="1277"/>
      <c r="AC1036" s="1277"/>
      <c r="AD1036" s="1277"/>
      <c r="AE1036" s="1613"/>
      <c r="AF1036" s="73"/>
      <c r="AG1036" s="14"/>
      <c r="AH1036" s="14"/>
      <c r="AI1036" s="83"/>
      <c r="AJ1036" s="1412"/>
      <c r="AK1036" s="1413"/>
      <c r="AL1036" s="1413"/>
      <c r="AM1036" s="1413"/>
      <c r="AN1036" s="1413"/>
      <c r="AO1036" s="1413"/>
      <c r="AP1036" s="1413"/>
      <c r="AQ1036" s="1414"/>
      <c r="AR1036" s="68"/>
      <c r="AS1036" s="68"/>
      <c r="AT1036" s="68"/>
      <c r="AU1036" s="68"/>
      <c r="AV1036" s="68"/>
      <c r="AW1036" s="68"/>
      <c r="AX1036" s="68"/>
      <c r="AY1036" s="68"/>
    </row>
    <row r="1037" spans="1:51" ht="12.95" customHeight="1">
      <c r="A1037" s="14"/>
      <c r="B1037" s="73"/>
      <c r="C1037" s="74"/>
      <c r="D1037" s="1612"/>
      <c r="E1037" s="1277"/>
      <c r="F1037" s="1277"/>
      <c r="G1037" s="1277"/>
      <c r="H1037" s="1277"/>
      <c r="I1037" s="1277"/>
      <c r="J1037" s="1277"/>
      <c r="K1037" s="1277"/>
      <c r="L1037" s="1277"/>
      <c r="M1037" s="1277"/>
      <c r="N1037" s="1277"/>
      <c r="O1037" s="1277"/>
      <c r="P1037" s="1277"/>
      <c r="Q1037" s="1277"/>
      <c r="R1037" s="1277"/>
      <c r="S1037" s="1277"/>
      <c r="T1037" s="1277"/>
      <c r="U1037" s="1277"/>
      <c r="V1037" s="1277"/>
      <c r="W1037" s="1277"/>
      <c r="X1037" s="1277"/>
      <c r="Y1037" s="1277"/>
      <c r="Z1037" s="1277"/>
      <c r="AA1037" s="1277"/>
      <c r="AB1037" s="1277"/>
      <c r="AC1037" s="1277"/>
      <c r="AD1037" s="1277"/>
      <c r="AE1037" s="1613"/>
      <c r="AF1037" s="73"/>
      <c r="AG1037" s="14"/>
      <c r="AH1037" s="14"/>
      <c r="AI1037" s="83"/>
      <c r="AJ1037" s="1412"/>
      <c r="AK1037" s="1413"/>
      <c r="AL1037" s="1413"/>
      <c r="AM1037" s="1413"/>
      <c r="AN1037" s="1413"/>
      <c r="AO1037" s="1413"/>
      <c r="AP1037" s="1413"/>
      <c r="AQ1037" s="1414"/>
      <c r="AR1037" s="68"/>
      <c r="AS1037" s="68"/>
      <c r="AT1037" s="68"/>
      <c r="AU1037" s="68"/>
      <c r="AV1037" s="68"/>
      <c r="AW1037" s="68"/>
      <c r="AX1037" s="68"/>
      <c r="AY1037" s="68"/>
    </row>
    <row r="1038" spans="1:51" ht="12.95" customHeight="1">
      <c r="A1038" s="14"/>
      <c r="B1038" s="73"/>
      <c r="C1038" s="74"/>
      <c r="D1038" s="1612"/>
      <c r="E1038" s="1277"/>
      <c r="F1038" s="1277"/>
      <c r="G1038" s="1277"/>
      <c r="H1038" s="1277"/>
      <c r="I1038" s="1277"/>
      <c r="J1038" s="1277"/>
      <c r="K1038" s="1277"/>
      <c r="L1038" s="1277"/>
      <c r="M1038" s="1277"/>
      <c r="N1038" s="1277"/>
      <c r="O1038" s="1277"/>
      <c r="P1038" s="1277"/>
      <c r="Q1038" s="1277"/>
      <c r="R1038" s="1277"/>
      <c r="S1038" s="1277"/>
      <c r="T1038" s="1277"/>
      <c r="U1038" s="1277"/>
      <c r="V1038" s="1277"/>
      <c r="W1038" s="1277"/>
      <c r="X1038" s="1277"/>
      <c r="Y1038" s="1277"/>
      <c r="Z1038" s="1277"/>
      <c r="AA1038" s="1277"/>
      <c r="AB1038" s="1277"/>
      <c r="AC1038" s="1277"/>
      <c r="AD1038" s="1277"/>
      <c r="AE1038" s="1613"/>
      <c r="AF1038" s="73"/>
      <c r="AG1038" s="14"/>
      <c r="AH1038" s="14"/>
      <c r="AI1038" s="83"/>
      <c r="AJ1038" s="1412"/>
      <c r="AK1038" s="1413"/>
      <c r="AL1038" s="1413"/>
      <c r="AM1038" s="1413"/>
      <c r="AN1038" s="1413"/>
      <c r="AO1038" s="1413"/>
      <c r="AP1038" s="1413"/>
      <c r="AQ1038" s="1414"/>
      <c r="AR1038" s="68"/>
      <c r="AS1038" s="68"/>
      <c r="AT1038" s="68"/>
      <c r="AU1038" s="68"/>
      <c r="AV1038" s="68"/>
      <c r="AW1038" s="68"/>
      <c r="AX1038" s="68"/>
      <c r="AY1038" s="68"/>
    </row>
    <row r="1039" spans="1:51" ht="12.95" customHeight="1">
      <c r="A1039" s="14"/>
      <c r="B1039" s="73"/>
      <c r="C1039" s="74"/>
      <c r="D1039" s="1614"/>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6"/>
      <c r="AF1039" s="73"/>
      <c r="AG1039" s="14"/>
      <c r="AH1039" s="14"/>
      <c r="AI1039" s="83"/>
      <c r="AJ1039" s="1412"/>
      <c r="AK1039" s="1413"/>
      <c r="AL1039" s="1413"/>
      <c r="AM1039" s="1413"/>
      <c r="AN1039" s="1413"/>
      <c r="AO1039" s="1413"/>
      <c r="AP1039" s="1413"/>
      <c r="AQ1039" s="1414"/>
      <c r="AR1039" s="68"/>
      <c r="AS1039" s="68"/>
      <c r="AT1039" s="68"/>
      <c r="AU1039" s="68"/>
      <c r="AV1039" s="68"/>
      <c r="AW1039" s="68"/>
      <c r="AX1039" s="68"/>
      <c r="AY1039" s="68"/>
    </row>
    <row r="1040" spans="1:51" ht="12.95" customHeight="1">
      <c r="A1040" s="14"/>
      <c r="B1040" s="79"/>
      <c r="C1040" s="131" t="s">
        <v>1033</v>
      </c>
      <c r="D1040" s="1441" t="s">
        <v>1407</v>
      </c>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3"/>
      <c r="AF1040" s="79"/>
      <c r="AG1040" s="1576" t="s">
        <v>677</v>
      </c>
      <c r="AH1040" s="1577"/>
      <c r="AI1040" s="87"/>
      <c r="AJ1040" s="1409">
        <f>ROUND(IF(AG1040="yes",(AJ991*0.1),0),0)</f>
        <v>0</v>
      </c>
      <c r="AK1040" s="1410"/>
      <c r="AL1040" s="1410"/>
      <c r="AM1040" s="1410"/>
      <c r="AN1040" s="1410"/>
      <c r="AO1040" s="1410"/>
      <c r="AP1040" s="1410"/>
      <c r="AQ1040" s="1411"/>
      <c r="AR1040" s="68"/>
      <c r="AS1040" s="68"/>
      <c r="AT1040" s="68"/>
      <c r="AU1040" s="68"/>
      <c r="AV1040" s="68"/>
      <c r="AW1040" s="68"/>
      <c r="AX1040" s="68"/>
      <c r="AY1040" s="68"/>
    </row>
    <row r="1041" spans="1:51" ht="12.95" customHeight="1">
      <c r="A1041" s="14"/>
      <c r="B1041" s="73"/>
      <c r="C1041" s="74"/>
      <c r="D1041" s="1562" t="s">
        <v>2503</v>
      </c>
      <c r="E1041" s="1563"/>
      <c r="F1041" s="1563"/>
      <c r="G1041" s="1563"/>
      <c r="H1041" s="1563"/>
      <c r="I1041" s="1563"/>
      <c r="J1041" s="1563"/>
      <c r="K1041" s="1563"/>
      <c r="L1041" s="1563"/>
      <c r="M1041" s="1563"/>
      <c r="N1041" s="1563"/>
      <c r="O1041" s="1563"/>
      <c r="P1041" s="1563"/>
      <c r="Q1041" s="1563"/>
      <c r="R1041" s="1563"/>
      <c r="S1041" s="1563"/>
      <c r="T1041" s="1563"/>
      <c r="U1041" s="1563"/>
      <c r="V1041" s="1563"/>
      <c r="W1041" s="1563"/>
      <c r="X1041" s="1563"/>
      <c r="Y1041" s="1563"/>
      <c r="Z1041" s="1563"/>
      <c r="AA1041" s="1563"/>
      <c r="AB1041" s="1563"/>
      <c r="AC1041" s="1563"/>
      <c r="AD1041" s="1563"/>
      <c r="AE1041" s="1564"/>
      <c r="AF1041" s="73"/>
      <c r="AG1041" s="14"/>
      <c r="AH1041" s="14"/>
      <c r="AI1041" s="83"/>
      <c r="AJ1041" s="1412"/>
      <c r="AK1041" s="1413"/>
      <c r="AL1041" s="1413"/>
      <c r="AM1041" s="1413"/>
      <c r="AN1041" s="1413"/>
      <c r="AO1041" s="1413"/>
      <c r="AP1041" s="1413"/>
      <c r="AQ1041" s="1414"/>
      <c r="AR1041" s="68"/>
      <c r="AS1041" s="68"/>
      <c r="AT1041" s="68"/>
      <c r="AU1041" s="68"/>
      <c r="AV1041" s="68"/>
      <c r="AW1041" s="68"/>
      <c r="AX1041" s="68"/>
      <c r="AY1041" s="68"/>
    </row>
    <row r="1042" spans="1:51" ht="12.95" customHeight="1">
      <c r="A1042" s="14"/>
      <c r="B1042" s="73"/>
      <c r="C1042" s="74"/>
      <c r="D1042" s="1562"/>
      <c r="E1042" s="1563"/>
      <c r="F1042" s="1563"/>
      <c r="G1042" s="1563"/>
      <c r="H1042" s="1563"/>
      <c r="I1042" s="1563"/>
      <c r="J1042" s="1563"/>
      <c r="K1042" s="1563"/>
      <c r="L1042" s="1563"/>
      <c r="M1042" s="1563"/>
      <c r="N1042" s="1563"/>
      <c r="O1042" s="1563"/>
      <c r="P1042" s="1563"/>
      <c r="Q1042" s="1563"/>
      <c r="R1042" s="1563"/>
      <c r="S1042" s="1563"/>
      <c r="T1042" s="1563"/>
      <c r="U1042" s="1563"/>
      <c r="V1042" s="1563"/>
      <c r="W1042" s="1563"/>
      <c r="X1042" s="1563"/>
      <c r="Y1042" s="1563"/>
      <c r="Z1042" s="1563"/>
      <c r="AA1042" s="1563"/>
      <c r="AB1042" s="1563"/>
      <c r="AC1042" s="1563"/>
      <c r="AD1042" s="1563"/>
      <c r="AE1042" s="1564"/>
      <c r="AF1042" s="73"/>
      <c r="AG1042" s="14"/>
      <c r="AH1042" s="14"/>
      <c r="AI1042" s="83"/>
      <c r="AJ1042" s="1412"/>
      <c r="AK1042" s="1413"/>
      <c r="AL1042" s="1413"/>
      <c r="AM1042" s="1413"/>
      <c r="AN1042" s="1413"/>
      <c r="AO1042" s="1413"/>
      <c r="AP1042" s="1413"/>
      <c r="AQ1042" s="1414"/>
      <c r="AR1042" s="68"/>
      <c r="AS1042" s="68"/>
      <c r="AT1042" s="68"/>
      <c r="AU1042" s="68"/>
      <c r="AV1042" s="68"/>
      <c r="AW1042" s="68"/>
      <c r="AX1042" s="68"/>
      <c r="AY1042" s="68"/>
    </row>
    <row r="1043" spans="1:51" ht="12.95" customHeight="1">
      <c r="A1043" s="14"/>
      <c r="B1043" s="73"/>
      <c r="C1043" s="74"/>
      <c r="D1043" s="1581"/>
      <c r="E1043" s="1582"/>
      <c r="F1043" s="1582"/>
      <c r="G1043" s="1582"/>
      <c r="H1043" s="1582"/>
      <c r="I1043" s="1582"/>
      <c r="J1043" s="1582"/>
      <c r="K1043" s="1582"/>
      <c r="L1043" s="1582"/>
      <c r="M1043" s="1582"/>
      <c r="N1043" s="1582"/>
      <c r="O1043" s="1582"/>
      <c r="P1043" s="1582"/>
      <c r="Q1043" s="1582"/>
      <c r="R1043" s="1582"/>
      <c r="S1043" s="1582"/>
      <c r="T1043" s="1582"/>
      <c r="U1043" s="1582"/>
      <c r="V1043" s="1582"/>
      <c r="W1043" s="1582"/>
      <c r="X1043" s="1582"/>
      <c r="Y1043" s="1582"/>
      <c r="Z1043" s="1582"/>
      <c r="AA1043" s="1582"/>
      <c r="AB1043" s="1582"/>
      <c r="AC1043" s="1582"/>
      <c r="AD1043" s="1582"/>
      <c r="AE1043" s="1583"/>
      <c r="AF1043" s="73"/>
      <c r="AG1043" s="14"/>
      <c r="AH1043" s="14"/>
      <c r="AI1043" s="83"/>
      <c r="AJ1043" s="1415"/>
      <c r="AK1043" s="1416"/>
      <c r="AL1043" s="1416"/>
      <c r="AM1043" s="1416"/>
      <c r="AN1043" s="1416"/>
      <c r="AO1043" s="1416"/>
      <c r="AP1043" s="1416"/>
      <c r="AQ1043" s="1417"/>
      <c r="AR1043" s="68"/>
      <c r="AS1043" s="68"/>
      <c r="AT1043" s="68"/>
      <c r="AU1043" s="68"/>
      <c r="AV1043" s="68"/>
      <c r="AW1043" s="68"/>
      <c r="AX1043" s="68"/>
      <c r="AY1043" s="68"/>
    </row>
    <row r="1044" spans="1:51" ht="12.95" customHeight="1">
      <c r="A1044" s="14"/>
      <c r="B1044" s="79"/>
      <c r="C1044" s="131" t="s">
        <v>1873</v>
      </c>
      <c r="D1044" s="1578" t="s">
        <v>2055</v>
      </c>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80"/>
      <c r="AF1044" s="79"/>
      <c r="AG1044" s="1601" t="str">
        <f>IF(X1047&gt;0,"Yes","No")</f>
        <v>Yes</v>
      </c>
      <c r="AH1044" s="1602"/>
      <c r="AI1044" s="87"/>
      <c r="AJ1044" s="1409">
        <f>IF((X1047=0),0,AY1004*AJ991)</f>
        <v>45501105.200000003</v>
      </c>
      <c r="AK1044" s="1410"/>
      <c r="AL1044" s="1410"/>
      <c r="AM1044" s="1410"/>
      <c r="AN1044" s="1410"/>
      <c r="AO1044" s="1410"/>
      <c r="AP1044" s="1410"/>
      <c r="AQ1044" s="1411"/>
      <c r="AR1044" s="68"/>
      <c r="AS1044" s="68"/>
      <c r="AT1044" s="68"/>
      <c r="AU1044" s="68"/>
      <c r="AV1044" s="68"/>
      <c r="AW1044" s="68"/>
      <c r="AX1044" s="68"/>
      <c r="AY1044" s="68"/>
    </row>
    <row r="1045" spans="1:51" ht="12.95" customHeight="1">
      <c r="A1045" s="14"/>
      <c r="B1045" s="73"/>
      <c r="C1045" s="476"/>
      <c r="D1045" s="1562" t="s">
        <v>1409</v>
      </c>
      <c r="E1045" s="1563"/>
      <c r="F1045" s="1563"/>
      <c r="G1045" s="1563"/>
      <c r="H1045" s="1563"/>
      <c r="I1045" s="1563"/>
      <c r="J1045" s="1563"/>
      <c r="K1045" s="1563"/>
      <c r="L1045" s="1563"/>
      <c r="M1045" s="1563"/>
      <c r="N1045" s="1563"/>
      <c r="O1045" s="1563"/>
      <c r="P1045" s="1563"/>
      <c r="Q1045" s="1563"/>
      <c r="R1045" s="1563"/>
      <c r="S1045" s="1563"/>
      <c r="T1045" s="1563"/>
      <c r="U1045" s="1563"/>
      <c r="V1045" s="1563"/>
      <c r="W1045" s="1563"/>
      <c r="X1045" s="1563"/>
      <c r="Y1045" s="1563"/>
      <c r="Z1045" s="1563"/>
      <c r="AA1045" s="1563"/>
      <c r="AB1045" s="1563"/>
      <c r="AC1045" s="1563"/>
      <c r="AD1045" s="1563"/>
      <c r="AE1045" s="1564"/>
      <c r="AF1045" s="73"/>
      <c r="AG1045" s="477"/>
      <c r="AH1045" s="477"/>
      <c r="AI1045" s="83"/>
      <c r="AJ1045" s="1412"/>
      <c r="AK1045" s="1413"/>
      <c r="AL1045" s="1413"/>
      <c r="AM1045" s="1413"/>
      <c r="AN1045" s="1413"/>
      <c r="AO1045" s="1413"/>
      <c r="AP1045" s="1413"/>
      <c r="AQ1045" s="1414"/>
      <c r="AR1045" s="68"/>
      <c r="AS1045" s="68"/>
      <c r="AT1045" s="68"/>
      <c r="AU1045" s="13"/>
      <c r="AV1045" s="68"/>
      <c r="AW1045" s="68"/>
      <c r="AX1045" s="68"/>
      <c r="AY1045" s="68"/>
    </row>
    <row r="1046" spans="1:51" ht="12.95" customHeight="1">
      <c r="A1046" s="14"/>
      <c r="B1046" s="73"/>
      <c r="C1046" s="476"/>
      <c r="D1046" s="1562"/>
      <c r="E1046" s="1563"/>
      <c r="F1046" s="1563"/>
      <c r="G1046" s="1563"/>
      <c r="H1046" s="1563"/>
      <c r="I1046" s="1563"/>
      <c r="J1046" s="1563"/>
      <c r="K1046" s="1563"/>
      <c r="L1046" s="1563"/>
      <c r="M1046" s="1563"/>
      <c r="N1046" s="1563"/>
      <c r="O1046" s="1563"/>
      <c r="P1046" s="1563"/>
      <c r="Q1046" s="1563"/>
      <c r="R1046" s="1563"/>
      <c r="S1046" s="1563"/>
      <c r="T1046" s="1563"/>
      <c r="U1046" s="1563"/>
      <c r="V1046" s="1563"/>
      <c r="W1046" s="1563"/>
      <c r="X1046" s="1563"/>
      <c r="Y1046" s="1563"/>
      <c r="Z1046" s="1563"/>
      <c r="AA1046" s="1563"/>
      <c r="AB1046" s="1563"/>
      <c r="AC1046" s="1563"/>
      <c r="AD1046" s="1563"/>
      <c r="AE1046" s="1564"/>
      <c r="AF1046" s="73"/>
      <c r="AG1046" s="477"/>
      <c r="AH1046" s="477"/>
      <c r="AI1046" s="83"/>
      <c r="AJ1046" s="1412"/>
      <c r="AK1046" s="1413"/>
      <c r="AL1046" s="1413"/>
      <c r="AM1046" s="1413"/>
      <c r="AN1046" s="1413"/>
      <c r="AO1046" s="1413"/>
      <c r="AP1046" s="1413"/>
      <c r="AQ1046" s="1414"/>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51">
        <f>AY1002</f>
        <v>189</v>
      </c>
      <c r="J1047" s="1752"/>
      <c r="K1047" s="7"/>
      <c r="L1047" s="133"/>
      <c r="M1047" s="133"/>
      <c r="N1047" s="133"/>
      <c r="O1047" s="133"/>
      <c r="P1047" s="133"/>
      <c r="Q1047" s="133"/>
      <c r="R1047" s="133"/>
      <c r="S1047" s="133"/>
      <c r="T1047" s="133"/>
      <c r="U1047" s="133"/>
      <c r="V1047" s="134" t="s">
        <v>991</v>
      </c>
      <c r="W1047" s="48"/>
      <c r="X1047" s="1749">
        <f>BG632</f>
        <v>65</v>
      </c>
      <c r="Y1047" s="1750"/>
      <c r="Z1047" s="48"/>
      <c r="AA1047" s="48"/>
      <c r="AB1047" s="48"/>
      <c r="AC1047" s="48"/>
      <c r="AD1047" s="48"/>
      <c r="AE1047" s="49"/>
      <c r="AF1047" s="959"/>
      <c r="AG1047" s="960"/>
      <c r="AH1047" s="960"/>
      <c r="AI1047" s="961"/>
      <c r="AJ1047" s="1415"/>
      <c r="AK1047" s="1416"/>
      <c r="AL1047" s="1416"/>
      <c r="AM1047" s="1416"/>
      <c r="AN1047" s="1416"/>
      <c r="AO1047" s="1416"/>
      <c r="AP1047" s="1416"/>
      <c r="AQ1047" s="1417"/>
      <c r="AR1047" s="68"/>
      <c r="AS1047" s="68"/>
      <c r="AT1047" s="68"/>
      <c r="AU1047" s="14"/>
      <c r="AV1047" s="68"/>
      <c r="AW1047" s="68"/>
      <c r="AX1047" s="68"/>
      <c r="AY1047" s="68"/>
    </row>
    <row r="1048" spans="1:51" ht="12.95" customHeight="1">
      <c r="A1048" s="14"/>
      <c r="B1048" s="79"/>
      <c r="C1048" s="131" t="s">
        <v>1874</v>
      </c>
      <c r="D1048" s="1441" t="s">
        <v>2534</v>
      </c>
      <c r="E1048" s="1442"/>
      <c r="F1048" s="1442"/>
      <c r="G1048" s="1442"/>
      <c r="H1048" s="1442"/>
      <c r="I1048" s="1442"/>
      <c r="J1048" s="1442"/>
      <c r="K1048" s="1442"/>
      <c r="L1048" s="1442"/>
      <c r="M1048" s="1442"/>
      <c r="N1048" s="1442"/>
      <c r="O1048" s="1442"/>
      <c r="P1048" s="1442"/>
      <c r="Q1048" s="1442"/>
      <c r="R1048" s="1442"/>
      <c r="S1048" s="1442"/>
      <c r="T1048" s="1442"/>
      <c r="U1048" s="1442"/>
      <c r="V1048" s="1442"/>
      <c r="W1048" s="1442"/>
      <c r="X1048" s="1442"/>
      <c r="Y1048" s="1442"/>
      <c r="Z1048" s="1442"/>
      <c r="AA1048" s="1442"/>
      <c r="AB1048" s="1442"/>
      <c r="AC1048" s="1442"/>
      <c r="AD1048" s="1442"/>
      <c r="AE1048" s="1443"/>
      <c r="AF1048" s="73"/>
      <c r="AG1048" s="1601" t="str">
        <f>IF(X1051&gt;0,"Yes","No")</f>
        <v>Yes</v>
      </c>
      <c r="AH1048" s="1602"/>
      <c r="AI1048" s="83"/>
      <c r="AJ1048" s="1409">
        <f>IF((X1051=0),0,(2*AY1005)*AJ991)</f>
        <v>69589925.600000009</v>
      </c>
      <c r="AK1048" s="1410"/>
      <c r="AL1048" s="1410"/>
      <c r="AM1048" s="1410"/>
      <c r="AN1048" s="1410"/>
      <c r="AO1048" s="1410"/>
      <c r="AP1048" s="1410"/>
      <c r="AQ1048" s="1411"/>
      <c r="AR1048" s="68"/>
      <c r="AS1048" s="68"/>
      <c r="AT1048" s="68"/>
      <c r="AU1048" s="14"/>
      <c r="AV1048" s="68"/>
      <c r="AW1048" s="68"/>
      <c r="AX1048" s="68"/>
      <c r="AY1048" s="68"/>
    </row>
    <row r="1049" spans="1:51" ht="12.95" customHeight="1">
      <c r="A1049" s="14"/>
      <c r="B1049" s="73"/>
      <c r="C1049" s="476"/>
      <c r="D1049" s="1562" t="s">
        <v>1408</v>
      </c>
      <c r="E1049" s="1563"/>
      <c r="F1049" s="1563"/>
      <c r="G1049" s="1563"/>
      <c r="H1049" s="1563"/>
      <c r="I1049" s="1563"/>
      <c r="J1049" s="1563"/>
      <c r="K1049" s="1563"/>
      <c r="L1049" s="1563"/>
      <c r="M1049" s="1563"/>
      <c r="N1049" s="1563"/>
      <c r="O1049" s="1563"/>
      <c r="P1049" s="1563"/>
      <c r="Q1049" s="1563"/>
      <c r="R1049" s="1563"/>
      <c r="S1049" s="1563"/>
      <c r="T1049" s="1563"/>
      <c r="U1049" s="1563"/>
      <c r="V1049" s="1563"/>
      <c r="W1049" s="1563"/>
      <c r="X1049" s="1563"/>
      <c r="Y1049" s="1563"/>
      <c r="Z1049" s="1563"/>
      <c r="AA1049" s="1563"/>
      <c r="AB1049" s="1563"/>
      <c r="AC1049" s="1563"/>
      <c r="AD1049" s="1563"/>
      <c r="AE1049" s="1564"/>
      <c r="AF1049" s="73"/>
      <c r="AG1049" s="477"/>
      <c r="AH1049" s="477"/>
      <c r="AI1049" s="83"/>
      <c r="AJ1049" s="1412"/>
      <c r="AK1049" s="1413"/>
      <c r="AL1049" s="1413"/>
      <c r="AM1049" s="1413"/>
      <c r="AN1049" s="1413"/>
      <c r="AO1049" s="1413"/>
      <c r="AP1049" s="1413"/>
      <c r="AQ1049" s="1414"/>
      <c r="AR1049" s="68"/>
      <c r="AS1049" s="68"/>
      <c r="AT1049" s="68"/>
      <c r="AU1049" s="68"/>
      <c r="AV1049" s="68"/>
      <c r="AW1049" s="68"/>
      <c r="AX1049" s="68"/>
      <c r="AY1049" s="68"/>
    </row>
    <row r="1050" spans="1:51" ht="12.95" customHeight="1">
      <c r="A1050" s="14"/>
      <c r="B1050" s="73"/>
      <c r="C1050" s="83"/>
      <c r="D1050" s="1562"/>
      <c r="E1050" s="1563"/>
      <c r="F1050" s="1563"/>
      <c r="G1050" s="1563"/>
      <c r="H1050" s="1563"/>
      <c r="I1050" s="1563"/>
      <c r="J1050" s="1563"/>
      <c r="K1050" s="1563"/>
      <c r="L1050" s="1563"/>
      <c r="M1050" s="1563"/>
      <c r="N1050" s="1563"/>
      <c r="O1050" s="1563"/>
      <c r="P1050" s="1563"/>
      <c r="Q1050" s="1563"/>
      <c r="R1050" s="1563"/>
      <c r="S1050" s="1563"/>
      <c r="T1050" s="1563"/>
      <c r="U1050" s="1563"/>
      <c r="V1050" s="1563"/>
      <c r="W1050" s="1563"/>
      <c r="X1050" s="1563"/>
      <c r="Y1050" s="1563"/>
      <c r="Z1050" s="1563"/>
      <c r="AA1050" s="1563"/>
      <c r="AB1050" s="1563"/>
      <c r="AC1050" s="1563"/>
      <c r="AD1050" s="1563"/>
      <c r="AE1050" s="1564"/>
      <c r="AF1050" s="956"/>
      <c r="AG1050" s="957"/>
      <c r="AH1050" s="957"/>
      <c r="AI1050" s="958"/>
      <c r="AJ1050" s="1412"/>
      <c r="AK1050" s="1413"/>
      <c r="AL1050" s="1413"/>
      <c r="AM1050" s="1413"/>
      <c r="AN1050" s="1413"/>
      <c r="AO1050" s="1413"/>
      <c r="AP1050" s="1413"/>
      <c r="AQ1050" s="1414"/>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51">
        <f>AY1002</f>
        <v>189</v>
      </c>
      <c r="J1051" s="1752"/>
      <c r="K1051" s="14"/>
      <c r="L1051" s="133"/>
      <c r="M1051" s="133"/>
      <c r="N1051" s="133"/>
      <c r="O1051" s="133"/>
      <c r="P1051" s="133"/>
      <c r="Q1051" s="133"/>
      <c r="R1051" s="133"/>
      <c r="S1051" s="133"/>
      <c r="T1051" s="133"/>
      <c r="U1051" s="133"/>
      <c r="V1051" s="134" t="s">
        <v>992</v>
      </c>
      <c r="X1051" s="1749">
        <f>BK632</f>
        <v>50</v>
      </c>
      <c r="Y1051" s="1750"/>
      <c r="AF1051" s="959"/>
      <c r="AG1051" s="960"/>
      <c r="AH1051" s="960"/>
      <c r="AI1051" s="961"/>
      <c r="AJ1051" s="1415"/>
      <c r="AK1051" s="1416"/>
      <c r="AL1051" s="1416"/>
      <c r="AM1051" s="1416"/>
      <c r="AN1051" s="1416"/>
      <c r="AO1051" s="1416"/>
      <c r="AP1051" s="1416"/>
      <c r="AQ1051" s="1417"/>
      <c r="AR1051" s="68"/>
      <c r="AS1051" s="68"/>
      <c r="AT1051" s="68"/>
      <c r="AU1051" s="68"/>
      <c r="AV1051" s="68"/>
      <c r="AW1051" s="68"/>
      <c r="AX1051" s="68"/>
      <c r="AY1051" s="68"/>
    </row>
    <row r="1052" spans="1:51" ht="12.95" customHeight="1">
      <c r="A1052" s="14"/>
      <c r="B1052" s="102"/>
      <c r="C1052" s="103"/>
      <c r="D1052" s="1599" t="s">
        <v>521</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59">
        <f>SUM(AJ991:AQ1051)</f>
        <v>315831200.80000001</v>
      </c>
      <c r="AK1052" s="1760"/>
      <c r="AL1052" s="1760"/>
      <c r="AM1052" s="1760"/>
      <c r="AN1052" s="1760"/>
      <c r="AO1052" s="1760"/>
      <c r="AP1052" s="1760"/>
      <c r="AQ1052" s="1761"/>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97">
        <f>IF(ISNA(IF((AJ1019&gt;(AJ991*0.15)),"(f) cannot be greater than 15% of unadjusted eligible basis.",0)),"",(IF((AJ1019&gt;(AJ991*0.15)),"(f) cannot be greater than 15% of unadjusted eligible basis.",0)))</f>
        <v>0</v>
      </c>
      <c r="C1059" s="1397"/>
      <c r="D1059" s="1397"/>
      <c r="E1059" s="1397"/>
      <c r="F1059" s="1397"/>
      <c r="G1059" s="1397"/>
      <c r="H1059" s="1397"/>
      <c r="I1059" s="1397"/>
      <c r="J1059" s="1397"/>
      <c r="K1059" s="1397"/>
      <c r="L1059" s="1397"/>
      <c r="M1059" s="1397"/>
      <c r="N1059" s="1397"/>
      <c r="O1059" s="1397"/>
      <c r="P1059" s="1397"/>
      <c r="Q1059" s="1397"/>
      <c r="R1059" s="1397"/>
      <c r="S1059" s="1397"/>
      <c r="T1059" s="1397"/>
      <c r="U1059" s="1397"/>
      <c r="V1059" s="1397"/>
      <c r="W1059" s="1397"/>
      <c r="X1059" s="1397"/>
      <c r="Y1059" s="1397"/>
      <c r="Z1059" s="1397"/>
      <c r="AA1059" s="1397"/>
      <c r="AB1059" s="1397"/>
      <c r="AC1059" s="1397"/>
      <c r="AD1059" s="1397"/>
      <c r="AE1059" s="1397"/>
      <c r="AF1059" s="1397"/>
      <c r="AG1059" s="1397"/>
      <c r="AH1059" s="1397"/>
      <c r="AI1059" s="1397"/>
      <c r="AJ1059" s="1397"/>
      <c r="AK1059" s="1397"/>
      <c r="AL1059" s="1397"/>
      <c r="AM1059" s="1397"/>
      <c r="AN1059" s="1397"/>
      <c r="AO1059" s="1397"/>
      <c r="AP1059" s="1397"/>
      <c r="AQ1059" s="68"/>
      <c r="AR1059" s="68"/>
      <c r="AS1059" s="68"/>
      <c r="AT1059" s="68"/>
      <c r="AU1059" s="68"/>
      <c r="AV1059" s="68"/>
      <c r="AW1059" s="68"/>
      <c r="AX1059" s="68"/>
      <c r="AY1059" s="68"/>
    </row>
    <row r="1060" spans="1:51" ht="12.95" customHeight="1">
      <c r="A1060" s="1309" t="s">
        <v>803</v>
      </c>
      <c r="B1060" s="1309"/>
      <c r="C1060" s="1309"/>
      <c r="D1060" s="1309"/>
      <c r="E1060" s="1309"/>
      <c r="F1060" s="1309"/>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309"/>
      <c r="AP1060" s="1309"/>
      <c r="AQ1060" s="1309"/>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79" t="s">
        <v>599</v>
      </c>
      <c r="B1064" s="1479"/>
      <c r="C1064" s="8">
        <v>1</v>
      </c>
      <c r="D1064" s="1273" t="s">
        <v>1132</v>
      </c>
      <c r="E1064" s="1273"/>
      <c r="F1064" s="1273"/>
      <c r="G1064" s="1273"/>
      <c r="H1064" s="1273"/>
      <c r="I1064" s="1273"/>
      <c r="J1064" s="1273"/>
      <c r="K1064" s="1273"/>
      <c r="L1064" s="1273"/>
      <c r="M1064" s="1273"/>
      <c r="N1064" s="1273"/>
      <c r="O1064" s="1273"/>
      <c r="P1064" s="1273"/>
      <c r="Q1064" s="1273"/>
      <c r="R1064" s="1273"/>
      <c r="S1064" s="1273"/>
      <c r="T1064" s="1273"/>
      <c r="U1064" s="1273"/>
      <c r="V1064" s="1273"/>
      <c r="W1064" s="1273"/>
      <c r="X1064" s="1273"/>
      <c r="Y1064" s="1273"/>
      <c r="Z1064" s="1273"/>
      <c r="AA1064" s="1273"/>
      <c r="AB1064" s="1273"/>
      <c r="AC1064" s="1273"/>
      <c r="AD1064" s="1273"/>
      <c r="AE1064" s="1273"/>
      <c r="AF1064" s="1273"/>
      <c r="AG1064" s="1273"/>
      <c r="AH1064" s="1273"/>
      <c r="AI1064" s="1273"/>
      <c r="AJ1064" s="1273"/>
      <c r="AK1064" s="1273"/>
      <c r="AL1064" s="68"/>
      <c r="AM1064" s="68"/>
      <c r="AN1064" s="68"/>
      <c r="AO1064" s="68"/>
      <c r="AP1064" s="68"/>
      <c r="AQ1064" s="68"/>
      <c r="AR1064" s="68"/>
      <c r="AS1064" s="68"/>
      <c r="AT1064" s="68"/>
      <c r="AV1064" s="68"/>
      <c r="AW1064" s="68"/>
      <c r="AX1064" s="68"/>
      <c r="AY1064" s="68"/>
    </row>
    <row r="1065" spans="1:51" ht="12.95" customHeight="1">
      <c r="A1065" s="1"/>
      <c r="B1065" s="1"/>
      <c r="C1065" s="8"/>
      <c r="D1065" s="1273"/>
      <c r="E1065" s="1273"/>
      <c r="F1065" s="1273"/>
      <c r="G1065" s="1273"/>
      <c r="H1065" s="1273"/>
      <c r="I1065" s="1273"/>
      <c r="J1065" s="1273"/>
      <c r="K1065" s="1273"/>
      <c r="L1065" s="1273"/>
      <c r="M1065" s="1273"/>
      <c r="N1065" s="1273"/>
      <c r="O1065" s="1273"/>
      <c r="P1065" s="1273"/>
      <c r="Q1065" s="1273"/>
      <c r="R1065" s="1273"/>
      <c r="S1065" s="1273"/>
      <c r="T1065" s="1273"/>
      <c r="U1065" s="1273"/>
      <c r="V1065" s="1273"/>
      <c r="W1065" s="1273"/>
      <c r="X1065" s="1273"/>
      <c r="Y1065" s="1273"/>
      <c r="Z1065" s="1273"/>
      <c r="AA1065" s="1273"/>
      <c r="AB1065" s="1273"/>
      <c r="AC1065" s="1273"/>
      <c r="AD1065" s="1273"/>
      <c r="AE1065" s="1273"/>
      <c r="AF1065" s="1273"/>
      <c r="AG1065" s="1273"/>
      <c r="AH1065" s="1273"/>
      <c r="AI1065" s="1273"/>
      <c r="AJ1065" s="1273"/>
      <c r="AK1065" s="1273"/>
      <c r="AL1065" s="68"/>
      <c r="AM1065" s="68"/>
      <c r="AN1065" s="68"/>
      <c r="AO1065" s="68"/>
      <c r="AP1065" s="68"/>
      <c r="AQ1065" s="68"/>
      <c r="AR1065" s="68"/>
      <c r="AS1065" s="68"/>
      <c r="AT1065" s="68"/>
      <c r="AV1065" s="68"/>
      <c r="AW1065" s="68"/>
      <c r="AX1065" s="68"/>
      <c r="AY1065" s="68"/>
    </row>
    <row r="1066" spans="1:51" ht="12.95" customHeight="1">
      <c r="A1066" s="1"/>
      <c r="B1066" s="1"/>
      <c r="C1066" s="8"/>
      <c r="D1066" s="1273"/>
      <c r="E1066" s="1273"/>
      <c r="F1066" s="1273"/>
      <c r="G1066" s="1273"/>
      <c r="H1066" s="1273"/>
      <c r="I1066" s="1273"/>
      <c r="J1066" s="1273"/>
      <c r="K1066" s="1273"/>
      <c r="L1066" s="1273"/>
      <c r="M1066" s="1273"/>
      <c r="N1066" s="1273"/>
      <c r="O1066" s="1273"/>
      <c r="P1066" s="1273"/>
      <c r="Q1066" s="1273"/>
      <c r="R1066" s="1273"/>
      <c r="S1066" s="1273"/>
      <c r="T1066" s="1273"/>
      <c r="U1066" s="1273"/>
      <c r="V1066" s="1273"/>
      <c r="W1066" s="1273"/>
      <c r="X1066" s="1273"/>
      <c r="Y1066" s="1273"/>
      <c r="Z1066" s="1273"/>
      <c r="AA1066" s="1273"/>
      <c r="AB1066" s="1273"/>
      <c r="AC1066" s="1273"/>
      <c r="AD1066" s="1273"/>
      <c r="AE1066" s="1273"/>
      <c r="AF1066" s="1273"/>
      <c r="AG1066" s="1273"/>
      <c r="AH1066" s="1273"/>
      <c r="AI1066" s="1273"/>
      <c r="AJ1066" s="1273"/>
      <c r="AK1066" s="1273"/>
      <c r="AL1066" s="68"/>
      <c r="AM1066" s="68"/>
      <c r="AN1066" s="68"/>
      <c r="AO1066" s="68"/>
      <c r="AP1066" s="68"/>
      <c r="AQ1066" s="68"/>
      <c r="AR1066" s="68"/>
      <c r="AS1066" s="68"/>
      <c r="AT1066" s="68"/>
      <c r="AV1066" s="68"/>
      <c r="AW1066" s="68"/>
      <c r="AX1066" s="68"/>
      <c r="AY1066" s="68"/>
    </row>
    <row r="1067" spans="1:51" ht="12.95" customHeight="1">
      <c r="A1067" s="1"/>
      <c r="B1067" s="1"/>
      <c r="C1067" s="8"/>
      <c r="D1067" s="1273"/>
      <c r="E1067" s="1273"/>
      <c r="F1067" s="1273"/>
      <c r="G1067" s="1273"/>
      <c r="H1067" s="1273"/>
      <c r="I1067" s="1273"/>
      <c r="J1067" s="1273"/>
      <c r="K1067" s="1273"/>
      <c r="L1067" s="1273"/>
      <c r="M1067" s="1273"/>
      <c r="N1067" s="1273"/>
      <c r="O1067" s="1273"/>
      <c r="P1067" s="1273"/>
      <c r="Q1067" s="1273"/>
      <c r="R1067" s="1273"/>
      <c r="S1067" s="1273"/>
      <c r="T1067" s="1273"/>
      <c r="U1067" s="1273"/>
      <c r="V1067" s="1273"/>
      <c r="W1067" s="1273"/>
      <c r="X1067" s="1273"/>
      <c r="Y1067" s="1273"/>
      <c r="Z1067" s="1273"/>
      <c r="AA1067" s="1273"/>
      <c r="AB1067" s="1273"/>
      <c r="AC1067" s="1273"/>
      <c r="AD1067" s="1273"/>
      <c r="AE1067" s="1273"/>
      <c r="AF1067" s="1273"/>
      <c r="AG1067" s="1273"/>
      <c r="AH1067" s="1273"/>
      <c r="AI1067" s="1273"/>
      <c r="AJ1067" s="1273"/>
      <c r="AK1067" s="1273"/>
      <c r="AL1067" s="68"/>
      <c r="AM1067" s="68"/>
      <c r="AN1067" s="68"/>
      <c r="AO1067" s="68"/>
      <c r="AP1067" s="68"/>
      <c r="AQ1067" s="68"/>
      <c r="AR1067" s="68"/>
      <c r="AS1067" s="68"/>
      <c r="AT1067" s="68"/>
      <c r="AV1067" s="68"/>
      <c r="AW1067" s="68"/>
      <c r="AX1067" s="68"/>
      <c r="AY1067" s="68"/>
    </row>
    <row r="1068" spans="1:51" ht="12.95" customHeight="1">
      <c r="A1068" s="1"/>
      <c r="B1068" s="1"/>
      <c r="C1068" s="8"/>
      <c r="D1068" s="1273"/>
      <c r="E1068" s="1273"/>
      <c r="F1068" s="1273"/>
      <c r="G1068" s="1273"/>
      <c r="H1068" s="1273"/>
      <c r="I1068" s="1273"/>
      <c r="J1068" s="1273"/>
      <c r="K1068" s="1273"/>
      <c r="L1068" s="1273"/>
      <c r="M1068" s="1273"/>
      <c r="N1068" s="1273"/>
      <c r="O1068" s="1273"/>
      <c r="P1068" s="1273"/>
      <c r="Q1068" s="1273"/>
      <c r="R1068" s="1273"/>
      <c r="S1068" s="1273"/>
      <c r="T1068" s="1273"/>
      <c r="U1068" s="1273"/>
      <c r="V1068" s="1273"/>
      <c r="W1068" s="1273"/>
      <c r="X1068" s="1273"/>
      <c r="Y1068" s="1273"/>
      <c r="Z1068" s="1273"/>
      <c r="AA1068" s="1273"/>
      <c r="AB1068" s="1273"/>
      <c r="AC1068" s="1273"/>
      <c r="AD1068" s="1273"/>
      <c r="AE1068" s="1273"/>
      <c r="AF1068" s="1273"/>
      <c r="AG1068" s="1273"/>
      <c r="AH1068" s="1273"/>
      <c r="AI1068" s="1273"/>
      <c r="AJ1068" s="1273"/>
      <c r="AK1068" s="1273"/>
      <c r="AL1068" s="68"/>
      <c r="AM1068" s="68"/>
      <c r="AN1068" s="68"/>
      <c r="AO1068" s="68"/>
      <c r="AP1068" s="68"/>
      <c r="AQ1068" s="68"/>
      <c r="AR1068" s="68"/>
      <c r="AS1068" s="68"/>
      <c r="AT1068" s="68"/>
      <c r="AV1068" s="68"/>
      <c r="AW1068" s="68"/>
      <c r="AX1068" s="68"/>
      <c r="AY1068" s="68"/>
    </row>
    <row r="1069" spans="1:51" ht="12.95" customHeight="1">
      <c r="A1069" s="2"/>
      <c r="B1069" s="25"/>
      <c r="C1069" s="8"/>
      <c r="D1069" s="1273"/>
      <c r="E1069" s="1273"/>
      <c r="F1069" s="1273"/>
      <c r="G1069" s="1273"/>
      <c r="H1069" s="1273"/>
      <c r="I1069" s="1273"/>
      <c r="J1069" s="1273"/>
      <c r="K1069" s="1273"/>
      <c r="L1069" s="1273"/>
      <c r="M1069" s="1273"/>
      <c r="N1069" s="1273"/>
      <c r="O1069" s="1273"/>
      <c r="P1069" s="1273"/>
      <c r="Q1069" s="1273"/>
      <c r="R1069" s="1273"/>
      <c r="S1069" s="1273"/>
      <c r="T1069" s="1273"/>
      <c r="U1069" s="1273"/>
      <c r="V1069" s="1273"/>
      <c r="W1069" s="1273"/>
      <c r="X1069" s="1273"/>
      <c r="Y1069" s="1273"/>
      <c r="Z1069" s="1273"/>
      <c r="AA1069" s="1273"/>
      <c r="AB1069" s="1273"/>
      <c r="AC1069" s="1273"/>
      <c r="AD1069" s="1273"/>
      <c r="AE1069" s="1273"/>
      <c r="AF1069" s="1273"/>
      <c r="AG1069" s="1273"/>
      <c r="AH1069" s="1273"/>
      <c r="AI1069" s="1273"/>
      <c r="AJ1069" s="1273"/>
      <c r="AK1069" s="1273"/>
      <c r="AL1069" s="68"/>
      <c r="AM1069" s="68"/>
      <c r="AN1069" s="68"/>
      <c r="AO1069" s="68"/>
      <c r="AP1069" s="68"/>
      <c r="AQ1069" s="68"/>
      <c r="AR1069" s="68"/>
      <c r="AS1069" s="68"/>
      <c r="AT1069" s="68"/>
      <c r="AV1069" s="68"/>
      <c r="AW1069" s="68"/>
      <c r="AX1069" s="68"/>
      <c r="AY1069" s="68"/>
    </row>
    <row r="1070" spans="1:51" ht="12.95" customHeight="1">
      <c r="A1070" s="1479" t="s">
        <v>599</v>
      </c>
      <c r="B1070" s="1479"/>
      <c r="C1070" s="8">
        <v>2</v>
      </c>
      <c r="D1070" s="1273" t="s">
        <v>1131</v>
      </c>
      <c r="E1070" s="1273"/>
      <c r="F1070" s="1273"/>
      <c r="G1070" s="1273"/>
      <c r="H1070" s="1273"/>
      <c r="I1070" s="1273"/>
      <c r="J1070" s="1273"/>
      <c r="K1070" s="1273"/>
      <c r="L1070" s="1273"/>
      <c r="M1070" s="1273"/>
      <c r="N1070" s="1273"/>
      <c r="O1070" s="1273"/>
      <c r="P1070" s="1273"/>
      <c r="Q1070" s="1273"/>
      <c r="R1070" s="1273"/>
      <c r="S1070" s="1273"/>
      <c r="T1070" s="1273"/>
      <c r="U1070" s="1273"/>
      <c r="V1070" s="1273"/>
      <c r="W1070" s="1273"/>
      <c r="X1070" s="1273"/>
      <c r="Y1070" s="1273"/>
      <c r="Z1070" s="1273"/>
      <c r="AA1070" s="1273"/>
      <c r="AB1070" s="1273"/>
      <c r="AC1070" s="1273"/>
      <c r="AD1070" s="1273"/>
      <c r="AE1070" s="1273"/>
      <c r="AF1070" s="1273"/>
      <c r="AG1070" s="1273"/>
      <c r="AH1070" s="1273"/>
      <c r="AI1070" s="1273"/>
      <c r="AJ1070" s="1273"/>
      <c r="AK1070" s="1273"/>
      <c r="AL1070" s="68"/>
      <c r="AM1070" s="68"/>
      <c r="AN1070" s="68"/>
      <c r="AO1070" s="68"/>
      <c r="AP1070" s="68"/>
      <c r="AQ1070" s="68"/>
      <c r="AR1070" s="68"/>
      <c r="AS1070" s="68"/>
      <c r="AT1070" s="68"/>
    </row>
    <row r="1071" spans="1:51" ht="12.95" customHeight="1">
      <c r="A1071" s="1"/>
      <c r="B1071" s="1"/>
      <c r="C1071" s="8"/>
      <c r="D1071" s="1273"/>
      <c r="E1071" s="1273"/>
      <c r="F1071" s="1273"/>
      <c r="G1071" s="1273"/>
      <c r="H1071" s="1273"/>
      <c r="I1071" s="1273"/>
      <c r="J1071" s="1273"/>
      <c r="K1071" s="1273"/>
      <c r="L1071" s="1273"/>
      <c r="M1071" s="1273"/>
      <c r="N1071" s="1273"/>
      <c r="O1071" s="1273"/>
      <c r="P1071" s="1273"/>
      <c r="Q1071" s="1273"/>
      <c r="R1071" s="1273"/>
      <c r="S1071" s="1273"/>
      <c r="T1071" s="1273"/>
      <c r="U1071" s="1273"/>
      <c r="V1071" s="1273"/>
      <c r="W1071" s="1273"/>
      <c r="X1071" s="1273"/>
      <c r="Y1071" s="1273"/>
      <c r="Z1071" s="1273"/>
      <c r="AA1071" s="1273"/>
      <c r="AB1071" s="1273"/>
      <c r="AC1071" s="1273"/>
      <c r="AD1071" s="1273"/>
      <c r="AE1071" s="1273"/>
      <c r="AF1071" s="1273"/>
      <c r="AG1071" s="1273"/>
      <c r="AH1071" s="1273"/>
      <c r="AI1071" s="1273"/>
      <c r="AJ1071" s="1273"/>
      <c r="AK1071" s="1273"/>
      <c r="AL1071" s="68"/>
      <c r="AM1071" s="68"/>
      <c r="AN1071" s="68"/>
      <c r="AO1071" s="68"/>
      <c r="AP1071" s="68"/>
      <c r="AQ1071" s="68"/>
      <c r="AR1071" s="68"/>
      <c r="AS1071" s="68"/>
      <c r="AT1071" s="68"/>
    </row>
    <row r="1072" spans="1:51" ht="12.95" customHeight="1">
      <c r="A1072" s="1"/>
      <c r="B1072" s="1"/>
      <c r="C1072" s="8"/>
      <c r="D1072" s="1273"/>
      <c r="E1072" s="1273"/>
      <c r="F1072" s="1273"/>
      <c r="G1072" s="1273"/>
      <c r="H1072" s="1273"/>
      <c r="I1072" s="1273"/>
      <c r="J1072" s="1273"/>
      <c r="K1072" s="1273"/>
      <c r="L1072" s="1273"/>
      <c r="M1072" s="1273"/>
      <c r="N1072" s="1273"/>
      <c r="O1072" s="1273"/>
      <c r="P1072" s="1273"/>
      <c r="Q1072" s="1273"/>
      <c r="R1072" s="1273"/>
      <c r="S1072" s="1273"/>
      <c r="T1072" s="1273"/>
      <c r="U1072" s="1273"/>
      <c r="V1072" s="1273"/>
      <c r="W1072" s="1273"/>
      <c r="X1072" s="1273"/>
      <c r="Y1072" s="1273"/>
      <c r="Z1072" s="1273"/>
      <c r="AA1072" s="1273"/>
      <c r="AB1072" s="1273"/>
      <c r="AC1072" s="1273"/>
      <c r="AD1072" s="1273"/>
      <c r="AE1072" s="1273"/>
      <c r="AF1072" s="1273"/>
      <c r="AG1072" s="1273"/>
      <c r="AH1072" s="1273"/>
      <c r="AI1072" s="1273"/>
      <c r="AJ1072" s="1273"/>
      <c r="AK1072" s="1273"/>
      <c r="AL1072" s="68"/>
      <c r="AM1072" s="68"/>
      <c r="AN1072" s="68"/>
      <c r="AO1072" s="68"/>
      <c r="AP1072" s="68"/>
      <c r="AQ1072" s="68"/>
      <c r="AR1072" s="68"/>
      <c r="AS1072" s="68"/>
      <c r="AT1072" s="68"/>
    </row>
    <row r="1073" spans="1:46" ht="12.95" customHeight="1">
      <c r="A1073" s="1"/>
      <c r="B1073" s="1"/>
      <c r="C1073" s="8"/>
      <c r="D1073" s="1273"/>
      <c r="E1073" s="1273"/>
      <c r="F1073" s="1273"/>
      <c r="G1073" s="1273"/>
      <c r="H1073" s="1273"/>
      <c r="I1073" s="1273"/>
      <c r="J1073" s="1273"/>
      <c r="K1073" s="1273"/>
      <c r="L1073" s="1273"/>
      <c r="M1073" s="1273"/>
      <c r="N1073" s="1273"/>
      <c r="O1073" s="1273"/>
      <c r="P1073" s="1273"/>
      <c r="Q1073" s="1273"/>
      <c r="R1073" s="1273"/>
      <c r="S1073" s="1273"/>
      <c r="T1073" s="1273"/>
      <c r="U1073" s="1273"/>
      <c r="V1073" s="1273"/>
      <c r="W1073" s="1273"/>
      <c r="X1073" s="1273"/>
      <c r="Y1073" s="1273"/>
      <c r="Z1073" s="1273"/>
      <c r="AA1073" s="1273"/>
      <c r="AB1073" s="1273"/>
      <c r="AC1073" s="1273"/>
      <c r="AD1073" s="1273"/>
      <c r="AE1073" s="1273"/>
      <c r="AF1073" s="1273"/>
      <c r="AG1073" s="1273"/>
      <c r="AH1073" s="1273"/>
      <c r="AI1073" s="1273"/>
      <c r="AJ1073" s="1273"/>
      <c r="AK1073" s="1273"/>
      <c r="AL1073" s="68"/>
      <c r="AM1073" s="68"/>
      <c r="AN1073" s="68"/>
      <c r="AO1073" s="68"/>
      <c r="AP1073" s="68"/>
      <c r="AQ1073" s="68"/>
      <c r="AR1073" s="68"/>
      <c r="AS1073" s="68"/>
      <c r="AT1073" s="68"/>
    </row>
    <row r="1074" spans="1:46" ht="12.95" hidden="1" customHeight="1">
      <c r="A1074" s="1"/>
      <c r="B1074" s="1"/>
      <c r="C1074" s="8"/>
      <c r="D1074" s="1273"/>
      <c r="E1074" s="1273"/>
      <c r="F1074" s="1273"/>
      <c r="G1074" s="1273"/>
      <c r="H1074" s="1273"/>
      <c r="I1074" s="1273"/>
      <c r="J1074" s="1273"/>
      <c r="K1074" s="1273"/>
      <c r="L1074" s="1273"/>
      <c r="M1074" s="1273"/>
      <c r="N1074" s="1273"/>
      <c r="O1074" s="1273"/>
      <c r="P1074" s="1273"/>
      <c r="Q1074" s="1273"/>
      <c r="R1074" s="1273"/>
      <c r="S1074" s="1273"/>
      <c r="T1074" s="1273"/>
      <c r="U1074" s="1273"/>
      <c r="V1074" s="1273"/>
      <c r="W1074" s="1273"/>
      <c r="X1074" s="1273"/>
      <c r="Y1074" s="1273"/>
      <c r="Z1074" s="1273"/>
      <c r="AA1074" s="1273"/>
      <c r="AB1074" s="1273"/>
      <c r="AC1074" s="1273"/>
      <c r="AD1074" s="1273"/>
      <c r="AE1074" s="1273"/>
      <c r="AF1074" s="1273"/>
      <c r="AG1074" s="1273"/>
      <c r="AH1074" s="1273"/>
      <c r="AI1074" s="1273"/>
      <c r="AJ1074" s="1273"/>
      <c r="AK1074" s="1273"/>
      <c r="AL1074" s="68"/>
      <c r="AM1074" s="68"/>
      <c r="AN1074" s="68"/>
      <c r="AO1074" s="68"/>
      <c r="AP1074" s="68"/>
      <c r="AQ1074" s="68"/>
      <c r="AR1074" s="68"/>
      <c r="AS1074" s="68"/>
      <c r="AT1074" s="68"/>
    </row>
    <row r="1075" spans="1:46" ht="12.95" customHeight="1">
      <c r="A1075" s="1"/>
      <c r="B1075" s="1"/>
      <c r="C1075" s="8"/>
      <c r="D1075" s="1273"/>
      <c r="E1075" s="1273"/>
      <c r="F1075" s="1273"/>
      <c r="G1075" s="1273"/>
      <c r="H1075" s="1273"/>
      <c r="I1075" s="1273"/>
      <c r="J1075" s="1273"/>
      <c r="K1075" s="1273"/>
      <c r="L1075" s="1273"/>
      <c r="M1075" s="1273"/>
      <c r="N1075" s="1273"/>
      <c r="O1075" s="1273"/>
      <c r="P1075" s="1273"/>
      <c r="Q1075" s="1273"/>
      <c r="R1075" s="1273"/>
      <c r="S1075" s="1273"/>
      <c r="T1075" s="1273"/>
      <c r="U1075" s="1273"/>
      <c r="V1075" s="1273"/>
      <c r="W1075" s="1273"/>
      <c r="X1075" s="1273"/>
      <c r="Y1075" s="1273"/>
      <c r="Z1075" s="1273"/>
      <c r="AA1075" s="1273"/>
      <c r="AB1075" s="1273"/>
      <c r="AC1075" s="1273"/>
      <c r="AD1075" s="1273"/>
      <c r="AE1075" s="1273"/>
      <c r="AF1075" s="1273"/>
      <c r="AG1075" s="1273"/>
      <c r="AH1075" s="1273"/>
      <c r="AI1075" s="1273"/>
      <c r="AJ1075" s="1273"/>
      <c r="AK1075" s="1273"/>
    </row>
    <row r="1076" spans="1:46" ht="12.95" customHeight="1">
      <c r="A1076" s="1479" t="s">
        <v>599</v>
      </c>
      <c r="B1076" s="1479"/>
      <c r="C1076" s="8">
        <v>3</v>
      </c>
      <c r="D1076" s="1273" t="s">
        <v>2457</v>
      </c>
      <c r="E1076" s="1273"/>
      <c r="F1076" s="1273"/>
      <c r="G1076" s="1273"/>
      <c r="H1076" s="1273"/>
      <c r="I1076" s="1273"/>
      <c r="J1076" s="1273"/>
      <c r="K1076" s="1273"/>
      <c r="L1076" s="1273"/>
      <c r="M1076" s="1273"/>
      <c r="N1076" s="1273"/>
      <c r="O1076" s="1273"/>
      <c r="P1076" s="1273"/>
      <c r="Q1076" s="1273"/>
      <c r="R1076" s="1273"/>
      <c r="S1076" s="1273"/>
      <c r="T1076" s="1273"/>
      <c r="U1076" s="1273"/>
      <c r="V1076" s="1273"/>
      <c r="W1076" s="1273"/>
      <c r="X1076" s="1273"/>
      <c r="Y1076" s="1273"/>
      <c r="Z1076" s="1273"/>
      <c r="AA1076" s="1273"/>
      <c r="AB1076" s="1273"/>
      <c r="AC1076" s="1273"/>
      <c r="AD1076" s="1273"/>
      <c r="AE1076" s="1273"/>
      <c r="AF1076" s="1273"/>
      <c r="AG1076" s="1273"/>
      <c r="AH1076" s="1273"/>
      <c r="AI1076" s="1273"/>
      <c r="AJ1076" s="1273"/>
      <c r="AK1076" s="1273"/>
    </row>
    <row r="1077" spans="1:46" ht="12.95" customHeight="1">
      <c r="A1077" s="4"/>
      <c r="B1077" s="4"/>
      <c r="C1077" s="8"/>
      <c r="D1077" s="1273"/>
      <c r="E1077" s="1273"/>
      <c r="F1077" s="1273"/>
      <c r="G1077" s="1273"/>
      <c r="H1077" s="1273"/>
      <c r="I1077" s="1273"/>
      <c r="J1077" s="1273"/>
      <c r="K1077" s="1273"/>
      <c r="L1077" s="1273"/>
      <c r="M1077" s="1273"/>
      <c r="N1077" s="1273"/>
      <c r="O1077" s="1273"/>
      <c r="P1077" s="1273"/>
      <c r="Q1077" s="1273"/>
      <c r="R1077" s="1273"/>
      <c r="S1077" s="1273"/>
      <c r="T1077" s="1273"/>
      <c r="U1077" s="1273"/>
      <c r="V1077" s="1273"/>
      <c r="W1077" s="1273"/>
      <c r="X1077" s="1273"/>
      <c r="Y1077" s="1273"/>
      <c r="Z1077" s="1273"/>
      <c r="AA1077" s="1273"/>
      <c r="AB1077" s="1273"/>
      <c r="AC1077" s="1273"/>
      <c r="AD1077" s="1273"/>
      <c r="AE1077" s="1273"/>
      <c r="AF1077" s="1273"/>
      <c r="AG1077" s="1273"/>
      <c r="AH1077" s="1273"/>
      <c r="AI1077" s="1273"/>
      <c r="AJ1077" s="1273"/>
      <c r="AK1077" s="1273"/>
    </row>
    <row r="1078" spans="1:46" ht="12.95" customHeight="1">
      <c r="A1078" s="4"/>
      <c r="B1078" s="4"/>
      <c r="C1078" s="8"/>
      <c r="D1078" s="1273"/>
      <c r="E1078" s="1273"/>
      <c r="F1078" s="1273"/>
      <c r="G1078" s="1273"/>
      <c r="H1078" s="1273"/>
      <c r="I1078" s="1273"/>
      <c r="J1078" s="1273"/>
      <c r="K1078" s="1273"/>
      <c r="L1078" s="1273"/>
      <c r="M1078" s="1273"/>
      <c r="N1078" s="1273"/>
      <c r="O1078" s="1273"/>
      <c r="P1078" s="1273"/>
      <c r="Q1078" s="1273"/>
      <c r="R1078" s="1273"/>
      <c r="S1078" s="1273"/>
      <c r="T1078" s="1273"/>
      <c r="U1078" s="1273"/>
      <c r="V1078" s="1273"/>
      <c r="W1078" s="1273"/>
      <c r="X1078" s="1273"/>
      <c r="Y1078" s="1273"/>
      <c r="Z1078" s="1273"/>
      <c r="AA1078" s="1273"/>
      <c r="AB1078" s="1273"/>
      <c r="AC1078" s="1273"/>
      <c r="AD1078" s="1273"/>
      <c r="AE1078" s="1273"/>
      <c r="AF1078" s="1273"/>
      <c r="AG1078" s="1273"/>
      <c r="AH1078" s="1273"/>
      <c r="AI1078" s="1273"/>
      <c r="AJ1078" s="1273"/>
      <c r="AK1078" s="1273"/>
    </row>
    <row r="1079" spans="1:46" ht="12.95" customHeight="1">
      <c r="A1079" s="35"/>
      <c r="B1079" s="25"/>
      <c r="C1079" s="8"/>
      <c r="D1079" s="1273"/>
      <c r="E1079" s="1273"/>
      <c r="F1079" s="1273"/>
      <c r="G1079" s="1273"/>
      <c r="H1079" s="1273"/>
      <c r="I1079" s="1273"/>
      <c r="J1079" s="1273"/>
      <c r="K1079" s="1273"/>
      <c r="L1079" s="1273"/>
      <c r="M1079" s="1273"/>
      <c r="N1079" s="1273"/>
      <c r="O1079" s="1273"/>
      <c r="P1079" s="1273"/>
      <c r="Q1079" s="1273"/>
      <c r="R1079" s="1273"/>
      <c r="S1079" s="1273"/>
      <c r="T1079" s="1273"/>
      <c r="U1079" s="1273"/>
      <c r="V1079" s="1273"/>
      <c r="W1079" s="1273"/>
      <c r="X1079" s="1273"/>
      <c r="Y1079" s="1273"/>
      <c r="Z1079" s="1273"/>
      <c r="AA1079" s="1273"/>
      <c r="AB1079" s="1273"/>
      <c r="AC1079" s="1273"/>
      <c r="AD1079" s="1273"/>
      <c r="AE1079" s="1273"/>
      <c r="AF1079" s="1273"/>
      <c r="AG1079" s="1273"/>
      <c r="AH1079" s="1273"/>
      <c r="AI1079" s="1273"/>
      <c r="AJ1079" s="1273"/>
      <c r="AK1079" s="1273"/>
    </row>
    <row r="1080" spans="1:46" ht="12.95" customHeight="1">
      <c r="A1080" s="35"/>
      <c r="B1080" s="25"/>
      <c r="C1080" s="8"/>
      <c r="D1080" s="1273"/>
      <c r="E1080" s="1273"/>
      <c r="F1080" s="1273"/>
      <c r="G1080" s="1273"/>
      <c r="H1080" s="1273"/>
      <c r="I1080" s="1273"/>
      <c r="J1080" s="1273"/>
      <c r="K1080" s="1273"/>
      <c r="L1080" s="1273"/>
      <c r="M1080" s="1273"/>
      <c r="N1080" s="1273"/>
      <c r="O1080" s="1273"/>
      <c r="P1080" s="1273"/>
      <c r="Q1080" s="1273"/>
      <c r="R1080" s="1273"/>
      <c r="S1080" s="1273"/>
      <c r="T1080" s="1273"/>
      <c r="U1080" s="1273"/>
      <c r="V1080" s="1273"/>
      <c r="W1080" s="1273"/>
      <c r="X1080" s="1273"/>
      <c r="Y1080" s="1273"/>
      <c r="Z1080" s="1273"/>
      <c r="AA1080" s="1273"/>
      <c r="AB1080" s="1273"/>
      <c r="AC1080" s="1273"/>
      <c r="AD1080" s="1273"/>
      <c r="AE1080" s="1273"/>
      <c r="AF1080" s="1273"/>
      <c r="AG1080" s="1273"/>
      <c r="AH1080" s="1273"/>
      <c r="AI1080" s="1273"/>
      <c r="AJ1080" s="1273"/>
      <c r="AK1080" s="1273"/>
    </row>
    <row r="1081" spans="1:46" ht="12.95" customHeight="1">
      <c r="A1081" s="35"/>
      <c r="B1081" s="25"/>
      <c r="C1081" s="8"/>
      <c r="D1081" s="1273"/>
      <c r="E1081" s="1273"/>
      <c r="F1081" s="1273"/>
      <c r="G1081" s="1273"/>
      <c r="H1081" s="1273"/>
      <c r="I1081" s="1273"/>
      <c r="J1081" s="1273"/>
      <c r="K1081" s="1273"/>
      <c r="L1081" s="1273"/>
      <c r="M1081" s="1273"/>
      <c r="N1081" s="1273"/>
      <c r="O1081" s="1273"/>
      <c r="P1081" s="1273"/>
      <c r="Q1081" s="1273"/>
      <c r="R1081" s="1273"/>
      <c r="S1081" s="1273"/>
      <c r="T1081" s="1273"/>
      <c r="U1081" s="1273"/>
      <c r="V1081" s="1273"/>
      <c r="W1081" s="1273"/>
      <c r="X1081" s="1273"/>
      <c r="Y1081" s="1273"/>
      <c r="Z1081" s="1273"/>
      <c r="AA1081" s="1273"/>
      <c r="AB1081" s="1273"/>
      <c r="AC1081" s="1273"/>
      <c r="AD1081" s="1273"/>
      <c r="AE1081" s="1273"/>
      <c r="AF1081" s="1273"/>
      <c r="AG1081" s="1273"/>
      <c r="AH1081" s="1273"/>
      <c r="AI1081" s="1273"/>
      <c r="AJ1081" s="1273"/>
      <c r="AK1081" s="1273"/>
    </row>
    <row r="1082" spans="1:46" ht="12.95" customHeight="1">
      <c r="A1082" s="35"/>
      <c r="B1082" s="25"/>
      <c r="C1082" s="8"/>
      <c r="D1082" s="1273"/>
      <c r="E1082" s="1273"/>
      <c r="F1082" s="1273"/>
      <c r="G1082" s="1273"/>
      <c r="H1082" s="1273"/>
      <c r="I1082" s="1273"/>
      <c r="J1082" s="1273"/>
      <c r="K1082" s="1273"/>
      <c r="L1082" s="1273"/>
      <c r="M1082" s="1273"/>
      <c r="N1082" s="1273"/>
      <c r="O1082" s="1273"/>
      <c r="P1082" s="1273"/>
      <c r="Q1082" s="1273"/>
      <c r="R1082" s="1273"/>
      <c r="S1082" s="1273"/>
      <c r="T1082" s="1273"/>
      <c r="U1082" s="1273"/>
      <c r="V1082" s="1273"/>
      <c r="W1082" s="1273"/>
      <c r="X1082" s="1273"/>
      <c r="Y1082" s="1273"/>
      <c r="Z1082" s="1273"/>
      <c r="AA1082" s="1273"/>
      <c r="AB1082" s="1273"/>
      <c r="AC1082" s="1273"/>
      <c r="AD1082" s="1273"/>
      <c r="AE1082" s="1273"/>
      <c r="AF1082" s="1273"/>
      <c r="AG1082" s="1273"/>
      <c r="AH1082" s="1273"/>
      <c r="AI1082" s="1273"/>
      <c r="AJ1082" s="1273"/>
      <c r="AK1082" s="1273"/>
    </row>
    <row r="1083" spans="1:46" ht="12.95" customHeight="1">
      <c r="A1083" s="1479" t="s">
        <v>599</v>
      </c>
      <c r="B1083" s="1479"/>
      <c r="C1083" s="8">
        <v>4</v>
      </c>
      <c r="D1083" s="1273" t="s">
        <v>1117</v>
      </c>
      <c r="E1083" s="1273"/>
      <c r="F1083" s="1273"/>
      <c r="G1083" s="1273"/>
      <c r="H1083" s="1273"/>
      <c r="I1083" s="1273"/>
      <c r="J1083" s="1273"/>
      <c r="K1083" s="1273"/>
      <c r="L1083" s="1273"/>
      <c r="M1083" s="1273"/>
      <c r="N1083" s="1273"/>
      <c r="O1083" s="1273"/>
      <c r="P1083" s="1273"/>
      <c r="Q1083" s="1273"/>
      <c r="R1083" s="1273"/>
      <c r="S1083" s="1273"/>
      <c r="T1083" s="1273"/>
      <c r="U1083" s="1273"/>
      <c r="V1083" s="1273"/>
      <c r="W1083" s="1273"/>
      <c r="X1083" s="1273"/>
      <c r="Y1083" s="1273"/>
      <c r="Z1083" s="1273"/>
      <c r="AA1083" s="1273"/>
      <c r="AB1083" s="1273"/>
      <c r="AC1083" s="1273"/>
      <c r="AD1083" s="1273"/>
      <c r="AE1083" s="1273"/>
      <c r="AF1083" s="1273"/>
      <c r="AG1083" s="1273"/>
      <c r="AH1083" s="1273"/>
      <c r="AI1083" s="1273"/>
      <c r="AJ1083" s="1273"/>
      <c r="AK1083" s="1273"/>
    </row>
    <row r="1084" spans="1:46" ht="12.95" customHeight="1">
      <c r="A1084" s="1"/>
      <c r="B1084" s="1"/>
      <c r="C1084" s="8"/>
      <c r="D1084" s="1273"/>
      <c r="E1084" s="1273"/>
      <c r="F1084" s="1273"/>
      <c r="G1084" s="1273"/>
      <c r="H1084" s="1273"/>
      <c r="I1084" s="1273"/>
      <c r="J1084" s="1273"/>
      <c r="K1084" s="1273"/>
      <c r="L1084" s="1273"/>
      <c r="M1084" s="1273"/>
      <c r="N1084" s="1273"/>
      <c r="O1084" s="1273"/>
      <c r="P1084" s="1273"/>
      <c r="Q1084" s="1273"/>
      <c r="R1084" s="1273"/>
      <c r="S1084" s="1273"/>
      <c r="T1084" s="1273"/>
      <c r="U1084" s="1273"/>
      <c r="V1084" s="1273"/>
      <c r="W1084" s="1273"/>
      <c r="X1084" s="1273"/>
      <c r="Y1084" s="1273"/>
      <c r="Z1084" s="1273"/>
      <c r="AA1084" s="1273"/>
      <c r="AB1084" s="1273"/>
      <c r="AC1084" s="1273"/>
      <c r="AD1084" s="1273"/>
      <c r="AE1084" s="1273"/>
      <c r="AF1084" s="1273"/>
      <c r="AG1084" s="1273"/>
      <c r="AH1084" s="1273"/>
      <c r="AI1084" s="1273"/>
      <c r="AJ1084" s="1273"/>
      <c r="AK1084" s="1273"/>
    </row>
    <row r="1085" spans="1:46" ht="12.95" customHeight="1">
      <c r="A1085" s="35"/>
      <c r="B1085" s="25"/>
      <c r="C1085" s="8"/>
      <c r="D1085" s="1273"/>
      <c r="E1085" s="1273"/>
      <c r="F1085" s="1273"/>
      <c r="G1085" s="1273"/>
      <c r="H1085" s="1273"/>
      <c r="I1085" s="1273"/>
      <c r="J1085" s="1273"/>
      <c r="K1085" s="1273"/>
      <c r="L1085" s="1273"/>
      <c r="M1085" s="1273"/>
      <c r="N1085" s="1273"/>
      <c r="O1085" s="1273"/>
      <c r="P1085" s="1273"/>
      <c r="Q1085" s="1273"/>
      <c r="R1085" s="1273"/>
      <c r="S1085" s="1273"/>
      <c r="T1085" s="1273"/>
      <c r="U1085" s="1273"/>
      <c r="V1085" s="1273"/>
      <c r="W1085" s="1273"/>
      <c r="X1085" s="1273"/>
      <c r="Y1085" s="1273"/>
      <c r="Z1085" s="1273"/>
      <c r="AA1085" s="1273"/>
      <c r="AB1085" s="1273"/>
      <c r="AC1085" s="1273"/>
      <c r="AD1085" s="1273"/>
      <c r="AE1085" s="1273"/>
      <c r="AF1085" s="1273"/>
      <c r="AG1085" s="1273"/>
      <c r="AH1085" s="1273"/>
      <c r="AI1085" s="1273"/>
      <c r="AJ1085" s="1273"/>
      <c r="AK1085" s="1273"/>
    </row>
    <row r="1086" spans="1:46" ht="12.95" customHeight="1">
      <c r="A1086" s="1479" t="s">
        <v>599</v>
      </c>
      <c r="B1086" s="1479"/>
      <c r="C1086" s="8">
        <v>5</v>
      </c>
      <c r="D1086" s="1273" t="s">
        <v>2458</v>
      </c>
      <c r="E1086" s="1273"/>
      <c r="F1086" s="1273"/>
      <c r="G1086" s="1273"/>
      <c r="H1086" s="1273"/>
      <c r="I1086" s="1273"/>
      <c r="J1086" s="1273"/>
      <c r="K1086" s="1273"/>
      <c r="L1086" s="1273"/>
      <c r="M1086" s="1273"/>
      <c r="N1086" s="1273"/>
      <c r="O1086" s="1273"/>
      <c r="P1086" s="1273"/>
      <c r="Q1086" s="1273"/>
      <c r="R1086" s="1273"/>
      <c r="S1086" s="1273"/>
      <c r="T1086" s="1273"/>
      <c r="U1086" s="1273"/>
      <c r="V1086" s="1273"/>
      <c r="W1086" s="1273"/>
      <c r="X1086" s="1273"/>
      <c r="Y1086" s="1273"/>
      <c r="Z1086" s="1273"/>
      <c r="AA1086" s="1273"/>
      <c r="AB1086" s="1273"/>
      <c r="AC1086" s="1273"/>
      <c r="AD1086" s="1273"/>
      <c r="AE1086" s="1273"/>
      <c r="AF1086" s="1273"/>
      <c r="AG1086" s="1273"/>
      <c r="AH1086" s="1273"/>
      <c r="AI1086" s="1273"/>
      <c r="AJ1086" s="1273"/>
      <c r="AK1086" s="1273"/>
    </row>
    <row r="1087" spans="1:46" ht="12.95" customHeight="1">
      <c r="A1087" s="1"/>
      <c r="B1087" s="1"/>
      <c r="C1087" s="8"/>
      <c r="D1087" s="1273"/>
      <c r="E1087" s="1273"/>
      <c r="F1087" s="1273"/>
      <c r="G1087" s="1273"/>
      <c r="H1087" s="1273"/>
      <c r="I1087" s="1273"/>
      <c r="J1087" s="1273"/>
      <c r="K1087" s="1273"/>
      <c r="L1087" s="1273"/>
      <c r="M1087" s="1273"/>
      <c r="N1087" s="1273"/>
      <c r="O1087" s="1273"/>
      <c r="P1087" s="1273"/>
      <c r="Q1087" s="1273"/>
      <c r="R1087" s="1273"/>
      <c r="S1087" s="1273"/>
      <c r="T1087" s="1273"/>
      <c r="U1087" s="1273"/>
      <c r="V1087" s="1273"/>
      <c r="W1087" s="1273"/>
      <c r="X1087" s="1273"/>
      <c r="Y1087" s="1273"/>
      <c r="Z1087" s="1273"/>
      <c r="AA1087" s="1273"/>
      <c r="AB1087" s="1273"/>
      <c r="AC1087" s="1273"/>
      <c r="AD1087" s="1273"/>
      <c r="AE1087" s="1273"/>
      <c r="AF1087" s="1273"/>
      <c r="AG1087" s="1273"/>
      <c r="AH1087" s="1273"/>
      <c r="AI1087" s="1273"/>
      <c r="AJ1087" s="1273"/>
      <c r="AK1087" s="1273"/>
    </row>
    <row r="1088" spans="1:46" ht="12.95" customHeight="1">
      <c r="A1088" s="1"/>
      <c r="B1088" s="1"/>
      <c r="C1088" s="8"/>
      <c r="D1088" s="1273"/>
      <c r="E1088" s="1273"/>
      <c r="F1088" s="1273"/>
      <c r="G1088" s="1273"/>
      <c r="H1088" s="1273"/>
      <c r="I1088" s="1273"/>
      <c r="J1088" s="1273"/>
      <c r="K1088" s="1273"/>
      <c r="L1088" s="1273"/>
      <c r="M1088" s="1273"/>
      <c r="N1088" s="1273"/>
      <c r="O1088" s="1273"/>
      <c r="P1088" s="1273"/>
      <c r="Q1088" s="1273"/>
      <c r="R1088" s="1273"/>
      <c r="S1088" s="1273"/>
      <c r="T1088" s="1273"/>
      <c r="U1088" s="1273"/>
      <c r="V1088" s="1273"/>
      <c r="W1088" s="1273"/>
      <c r="X1088" s="1273"/>
      <c r="Y1088" s="1273"/>
      <c r="Z1088" s="1273"/>
      <c r="AA1088" s="1273"/>
      <c r="AB1088" s="1273"/>
      <c r="AC1088" s="1273"/>
      <c r="AD1088" s="1273"/>
      <c r="AE1088" s="1273"/>
      <c r="AF1088" s="1273"/>
      <c r="AG1088" s="1273"/>
      <c r="AH1088" s="1273"/>
      <c r="AI1088" s="1273"/>
      <c r="AJ1088" s="1273"/>
      <c r="AK1088" s="1273"/>
    </row>
    <row r="1089" spans="1:37" ht="12.95" hidden="1" customHeight="1">
      <c r="A1089" s="1"/>
      <c r="B1089" s="1"/>
      <c r="C1089" s="8"/>
      <c r="D1089" s="1273"/>
      <c r="E1089" s="1273"/>
      <c r="F1089" s="1273"/>
      <c r="G1089" s="1273"/>
      <c r="H1089" s="1273"/>
      <c r="I1089" s="1273"/>
      <c r="J1089" s="1273"/>
      <c r="K1089" s="1273"/>
      <c r="L1089" s="1273"/>
      <c r="M1089" s="1273"/>
      <c r="N1089" s="1273"/>
      <c r="O1089" s="1273"/>
      <c r="P1089" s="1273"/>
      <c r="Q1089" s="1273"/>
      <c r="R1089" s="1273"/>
      <c r="S1089" s="1273"/>
      <c r="T1089" s="1273"/>
      <c r="U1089" s="1273"/>
      <c r="V1089" s="1273"/>
      <c r="W1089" s="1273"/>
      <c r="X1089" s="1273"/>
      <c r="Y1089" s="1273"/>
      <c r="Z1089" s="1273"/>
      <c r="AA1089" s="1273"/>
      <c r="AB1089" s="1273"/>
      <c r="AC1089" s="1273"/>
      <c r="AD1089" s="1273"/>
      <c r="AE1089" s="1273"/>
      <c r="AF1089" s="1273"/>
      <c r="AG1089" s="1273"/>
      <c r="AH1089" s="1273"/>
      <c r="AI1089" s="1273"/>
      <c r="AJ1089" s="1273"/>
      <c r="AK1089" s="1273"/>
    </row>
    <row r="1090" spans="1:37" ht="12.95" customHeight="1">
      <c r="A1090" s="35"/>
      <c r="B1090" s="25"/>
      <c r="C1090" s="8"/>
      <c r="D1090" s="1273"/>
      <c r="E1090" s="1273"/>
      <c r="F1090" s="1273"/>
      <c r="G1090" s="1273"/>
      <c r="H1090" s="1273"/>
      <c r="I1090" s="1273"/>
      <c r="J1090" s="1273"/>
      <c r="K1090" s="1273"/>
      <c r="L1090" s="1273"/>
      <c r="M1090" s="1273"/>
      <c r="N1090" s="1273"/>
      <c r="O1090" s="1273"/>
      <c r="P1090" s="1273"/>
      <c r="Q1090" s="1273"/>
      <c r="R1090" s="1273"/>
      <c r="S1090" s="1273"/>
      <c r="T1090" s="1273"/>
      <c r="U1090" s="1273"/>
      <c r="V1090" s="1273"/>
      <c r="W1090" s="1273"/>
      <c r="X1090" s="1273"/>
      <c r="Y1090" s="1273"/>
      <c r="Z1090" s="1273"/>
      <c r="AA1090" s="1273"/>
      <c r="AB1090" s="1273"/>
      <c r="AC1090" s="1273"/>
      <c r="AD1090" s="1273"/>
      <c r="AE1090" s="1273"/>
      <c r="AF1090" s="1273"/>
      <c r="AG1090" s="1273"/>
      <c r="AH1090" s="1273"/>
      <c r="AI1090" s="1273"/>
      <c r="AJ1090" s="1273"/>
      <c r="AK1090" s="1273"/>
    </row>
    <row r="1091" spans="1:37" ht="12.95" customHeight="1">
      <c r="A1091" s="1479" t="s">
        <v>599</v>
      </c>
      <c r="B1091" s="1479"/>
      <c r="C1091" s="8">
        <v>6</v>
      </c>
      <c r="D1091" s="1273" t="s">
        <v>1118</v>
      </c>
      <c r="E1091" s="1273"/>
      <c r="F1091" s="1273"/>
      <c r="G1091" s="1273"/>
      <c r="H1091" s="1273"/>
      <c r="I1091" s="1273"/>
      <c r="J1091" s="1273"/>
      <c r="K1091" s="1273"/>
      <c r="L1091" s="1273"/>
      <c r="M1091" s="1273"/>
      <c r="N1091" s="1273"/>
      <c r="O1091" s="1273"/>
      <c r="P1091" s="1273"/>
      <c r="Q1091" s="1273"/>
      <c r="R1091" s="1273"/>
      <c r="S1091" s="1273"/>
      <c r="T1091" s="1273"/>
      <c r="U1091" s="1273"/>
      <c r="V1091" s="1273"/>
      <c r="W1091" s="1273"/>
      <c r="X1091" s="1273"/>
      <c r="Y1091" s="1273"/>
      <c r="Z1091" s="1273"/>
      <c r="AA1091" s="1273"/>
      <c r="AB1091" s="1273"/>
      <c r="AC1091" s="1273"/>
      <c r="AD1091" s="1273"/>
      <c r="AE1091" s="1273"/>
      <c r="AF1091" s="1273"/>
      <c r="AG1091" s="1273"/>
      <c r="AH1091" s="1273"/>
      <c r="AI1091" s="1273"/>
      <c r="AJ1091" s="1273"/>
      <c r="AK1091" s="1273"/>
    </row>
    <row r="1092" spans="1:37" ht="12.95" customHeight="1">
      <c r="A1092" s="35"/>
      <c r="B1092" s="25"/>
      <c r="C1092" s="8"/>
      <c r="D1092" s="1273"/>
      <c r="E1092" s="1273"/>
      <c r="F1092" s="1273"/>
      <c r="G1092" s="1273"/>
      <c r="H1092" s="1273"/>
      <c r="I1092" s="1273"/>
      <c r="J1092" s="1273"/>
      <c r="K1092" s="1273"/>
      <c r="L1092" s="1273"/>
      <c r="M1092" s="1273"/>
      <c r="N1092" s="1273"/>
      <c r="O1092" s="1273"/>
      <c r="P1092" s="1273"/>
      <c r="Q1092" s="1273"/>
      <c r="R1092" s="1273"/>
      <c r="S1092" s="1273"/>
      <c r="T1092" s="1273"/>
      <c r="U1092" s="1273"/>
      <c r="V1092" s="1273"/>
      <c r="W1092" s="1273"/>
      <c r="X1092" s="1273"/>
      <c r="Y1092" s="1273"/>
      <c r="Z1092" s="1273"/>
      <c r="AA1092" s="1273"/>
      <c r="AB1092" s="1273"/>
      <c r="AC1092" s="1273"/>
      <c r="AD1092" s="1273"/>
      <c r="AE1092" s="1273"/>
      <c r="AF1092" s="1273"/>
      <c r="AG1092" s="1273"/>
      <c r="AH1092" s="1273"/>
      <c r="AI1092" s="1273"/>
      <c r="AJ1092" s="1273"/>
      <c r="AK1092" s="1273"/>
    </row>
    <row r="1093" spans="1:37" ht="12.95" customHeight="1">
      <c r="A1093" s="35"/>
      <c r="B1093" s="25"/>
      <c r="C1093" s="8"/>
      <c r="D1093" s="1273"/>
      <c r="E1093" s="1273"/>
      <c r="F1093" s="1273"/>
      <c r="G1093" s="1273"/>
      <c r="H1093" s="1273"/>
      <c r="I1093" s="1273"/>
      <c r="J1093" s="1273"/>
      <c r="K1093" s="1273"/>
      <c r="L1093" s="1273"/>
      <c r="M1093" s="1273"/>
      <c r="N1093" s="1273"/>
      <c r="O1093" s="1273"/>
      <c r="P1093" s="1273"/>
      <c r="Q1093" s="1273"/>
      <c r="R1093" s="1273"/>
      <c r="S1093" s="1273"/>
      <c r="T1093" s="1273"/>
      <c r="U1093" s="1273"/>
      <c r="V1093" s="1273"/>
      <c r="W1093" s="1273"/>
      <c r="X1093" s="1273"/>
      <c r="Y1093" s="1273"/>
      <c r="Z1093" s="1273"/>
      <c r="AA1093" s="1273"/>
      <c r="AB1093" s="1273"/>
      <c r="AC1093" s="1273"/>
      <c r="AD1093" s="1273"/>
      <c r="AE1093" s="1273"/>
      <c r="AF1093" s="1273"/>
      <c r="AG1093" s="1273"/>
      <c r="AH1093" s="1273"/>
      <c r="AI1093" s="1273"/>
      <c r="AJ1093" s="1273"/>
      <c r="AK1093" s="1273"/>
    </row>
    <row r="1094" spans="1:37" ht="12.95" customHeight="1">
      <c r="A1094" s="1479" t="s">
        <v>599</v>
      </c>
      <c r="B1094" s="1479"/>
      <c r="C1094" s="212">
        <v>7</v>
      </c>
      <c r="D1094" s="1273" t="s">
        <v>1120</v>
      </c>
      <c r="E1094" s="1273"/>
      <c r="F1094" s="1273"/>
      <c r="G1094" s="1273"/>
      <c r="H1094" s="1273"/>
      <c r="I1094" s="1273"/>
      <c r="J1094" s="1273"/>
      <c r="K1094" s="1273"/>
      <c r="L1094" s="1273"/>
      <c r="M1094" s="1273"/>
      <c r="N1094" s="1273"/>
      <c r="O1094" s="1273"/>
      <c r="P1094" s="1273"/>
      <c r="Q1094" s="1273"/>
      <c r="R1094" s="1273"/>
      <c r="S1094" s="1273"/>
      <c r="T1094" s="1273"/>
      <c r="U1094" s="1273"/>
      <c r="V1094" s="1273"/>
      <c r="W1094" s="1273"/>
      <c r="X1094" s="1273"/>
      <c r="Y1094" s="1273"/>
      <c r="Z1094" s="1273"/>
      <c r="AA1094" s="1273"/>
      <c r="AB1094" s="1273"/>
      <c r="AC1094" s="1273"/>
      <c r="AD1094" s="1273"/>
      <c r="AE1094" s="1273"/>
      <c r="AF1094" s="1273"/>
      <c r="AG1094" s="1273"/>
      <c r="AH1094" s="1273"/>
      <c r="AI1094" s="1273"/>
      <c r="AJ1094" s="1273"/>
      <c r="AK1094" s="1273"/>
    </row>
    <row r="1095" spans="1:37" ht="12.95" customHeight="1">
      <c r="A1095" s="1"/>
      <c r="B1095" s="1"/>
      <c r="C1095" s="212"/>
      <c r="D1095" s="1273"/>
      <c r="E1095" s="1273"/>
      <c r="F1095" s="1273"/>
      <c r="G1095" s="1273"/>
      <c r="H1095" s="1273"/>
      <c r="I1095" s="1273"/>
      <c r="J1095" s="1273"/>
      <c r="K1095" s="1273"/>
      <c r="L1095" s="1273"/>
      <c r="M1095" s="1273"/>
      <c r="N1095" s="1273"/>
      <c r="O1095" s="1273"/>
      <c r="P1095" s="1273"/>
      <c r="Q1095" s="1273"/>
      <c r="R1095" s="1273"/>
      <c r="S1095" s="1273"/>
      <c r="T1095" s="1273"/>
      <c r="U1095" s="1273"/>
      <c r="V1095" s="1273"/>
      <c r="W1095" s="1273"/>
      <c r="X1095" s="1273"/>
      <c r="Y1095" s="1273"/>
      <c r="Z1095" s="1273"/>
      <c r="AA1095" s="1273"/>
      <c r="AB1095" s="1273"/>
      <c r="AC1095" s="1273"/>
      <c r="AD1095" s="1273"/>
      <c r="AE1095" s="1273"/>
      <c r="AF1095" s="1273"/>
      <c r="AG1095" s="1273"/>
      <c r="AH1095" s="1273"/>
      <c r="AI1095" s="1273"/>
      <c r="AJ1095" s="1273"/>
      <c r="AK1095" s="1273"/>
    </row>
    <row r="1096" spans="1:37" ht="12.95" customHeight="1">
      <c r="A1096" s="1"/>
      <c r="B1096" s="1"/>
      <c r="C1096" s="212"/>
      <c r="D1096" s="1273"/>
      <c r="E1096" s="1273"/>
      <c r="F1096" s="1273"/>
      <c r="G1096" s="1273"/>
      <c r="H1096" s="1273"/>
      <c r="I1096" s="1273"/>
      <c r="J1096" s="1273"/>
      <c r="K1096" s="1273"/>
      <c r="L1096" s="1273"/>
      <c r="M1096" s="1273"/>
      <c r="N1096" s="1273"/>
      <c r="O1096" s="1273"/>
      <c r="P1096" s="1273"/>
      <c r="Q1096" s="1273"/>
      <c r="R1096" s="1273"/>
      <c r="S1096" s="1273"/>
      <c r="T1096" s="1273"/>
      <c r="U1096" s="1273"/>
      <c r="V1096" s="1273"/>
      <c r="W1096" s="1273"/>
      <c r="X1096" s="1273"/>
      <c r="Y1096" s="1273"/>
      <c r="Z1096" s="1273"/>
      <c r="AA1096" s="1273"/>
      <c r="AB1096" s="1273"/>
      <c r="AC1096" s="1273"/>
      <c r="AD1096" s="1273"/>
      <c r="AE1096" s="1273"/>
      <c r="AF1096" s="1273"/>
      <c r="AG1096" s="1273"/>
      <c r="AH1096" s="1273"/>
      <c r="AI1096" s="1273"/>
      <c r="AJ1096" s="1273"/>
      <c r="AK1096" s="1273"/>
    </row>
    <row r="1097" spans="1:37" ht="12.95" customHeight="1">
      <c r="A1097" s="35"/>
      <c r="B1097" s="25"/>
      <c r="C1097" s="212"/>
      <c r="D1097" s="1273"/>
      <c r="E1097" s="1273"/>
      <c r="F1097" s="1273"/>
      <c r="G1097" s="1273"/>
      <c r="H1097" s="1273"/>
      <c r="I1097" s="1273"/>
      <c r="J1097" s="1273"/>
      <c r="K1097" s="1273"/>
      <c r="L1097" s="1273"/>
      <c r="M1097" s="1273"/>
      <c r="N1097" s="1273"/>
      <c r="O1097" s="1273"/>
      <c r="P1097" s="1273"/>
      <c r="Q1097" s="1273"/>
      <c r="R1097" s="1273"/>
      <c r="S1097" s="1273"/>
      <c r="T1097" s="1273"/>
      <c r="U1097" s="1273"/>
      <c r="V1097" s="1273"/>
      <c r="W1097" s="1273"/>
      <c r="X1097" s="1273"/>
      <c r="Y1097" s="1273"/>
      <c r="Z1097" s="1273"/>
      <c r="AA1097" s="1273"/>
      <c r="AB1097" s="1273"/>
      <c r="AC1097" s="1273"/>
      <c r="AD1097" s="1273"/>
      <c r="AE1097" s="1273"/>
      <c r="AF1097" s="1273"/>
      <c r="AG1097" s="1273"/>
      <c r="AH1097" s="1273"/>
      <c r="AI1097" s="1273"/>
      <c r="AJ1097" s="1273"/>
      <c r="AK1097" s="1273"/>
    </row>
    <row r="1098" spans="1:37" ht="12.95" customHeight="1">
      <c r="A1098" s="1479" t="s">
        <v>599</v>
      </c>
      <c r="B1098" s="1479"/>
      <c r="C1098" s="212">
        <v>8</v>
      </c>
      <c r="D1098" s="1333" t="s">
        <v>1871</v>
      </c>
      <c r="E1098" s="1333"/>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row>
    <row r="1099" spans="1:37" ht="12.95" customHeight="1">
      <c r="A1099" s="1"/>
      <c r="B1099" s="1"/>
      <c r="C1099" s="212"/>
      <c r="D1099" s="1333"/>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row>
    <row r="1100" spans="1:37" ht="12.95" customHeight="1">
      <c r="A1100" s="1"/>
      <c r="B1100" s="1"/>
      <c r="C1100" s="212"/>
      <c r="D1100" s="1333"/>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row>
    <row r="1101" spans="1:37" ht="0" hidden="1" customHeight="1">
      <c r="A1101" s="1"/>
      <c r="B1101" s="1"/>
      <c r="C1101" s="212"/>
      <c r="D1101" s="133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row>
    <row r="1102" spans="1:37" ht="0" hidden="1" customHeight="1">
      <c r="A1102" s="35"/>
      <c r="B1102" s="25"/>
      <c r="C1102" s="212"/>
      <c r="D1102" s="1333"/>
      <c r="E1102" s="1333"/>
      <c r="F1102" s="1333"/>
      <c r="G1102" s="1333"/>
      <c r="H1102" s="1333"/>
      <c r="I1102" s="1333"/>
      <c r="J1102" s="1333"/>
      <c r="K1102" s="1333"/>
      <c r="L1102" s="1333"/>
      <c r="M1102" s="1333"/>
      <c r="N1102" s="1333"/>
      <c r="O1102" s="1333"/>
      <c r="P1102" s="1333"/>
      <c r="Q1102" s="1333"/>
      <c r="R1102" s="1333"/>
      <c r="S1102" s="1333"/>
      <c r="T1102" s="1333"/>
      <c r="U1102" s="1333"/>
      <c r="V1102" s="1333"/>
      <c r="W1102" s="1333"/>
      <c r="X1102" s="1333"/>
      <c r="Y1102" s="1333"/>
      <c r="Z1102" s="1333"/>
      <c r="AA1102" s="1333"/>
      <c r="AB1102" s="1333"/>
      <c r="AC1102" s="1333"/>
      <c r="AD1102" s="1333"/>
      <c r="AE1102" s="1333"/>
      <c r="AF1102" s="1333"/>
      <c r="AG1102" s="1333"/>
      <c r="AH1102" s="1333"/>
      <c r="AI1102" s="1333"/>
      <c r="AJ1102" s="1333"/>
      <c r="AK1102" s="1333"/>
    </row>
    <row r="1103" spans="1:37" ht="0" hidden="1" customHeight="1">
      <c r="A1103" s="1479" t="s">
        <v>599</v>
      </c>
      <c r="B1103" s="1479"/>
      <c r="C1103" s="212">
        <v>9</v>
      </c>
      <c r="D1103" s="1273" t="s">
        <v>1119</v>
      </c>
      <c r="E1103" s="1273"/>
      <c r="F1103" s="1273"/>
      <c r="G1103" s="1273"/>
      <c r="H1103" s="1273"/>
      <c r="I1103" s="1273"/>
      <c r="J1103" s="1273"/>
      <c r="K1103" s="1273"/>
      <c r="L1103" s="1273"/>
      <c r="M1103" s="1273"/>
      <c r="N1103" s="1273"/>
      <c r="O1103" s="1273"/>
      <c r="P1103" s="1273"/>
      <c r="Q1103" s="1273"/>
      <c r="R1103" s="1273"/>
      <c r="S1103" s="1273"/>
      <c r="T1103" s="1273"/>
      <c r="U1103" s="1273"/>
      <c r="V1103" s="1273"/>
      <c r="W1103" s="1273"/>
      <c r="X1103" s="1273"/>
      <c r="Y1103" s="1273"/>
      <c r="Z1103" s="1273"/>
      <c r="AA1103" s="1273"/>
      <c r="AB1103" s="1273"/>
      <c r="AC1103" s="1273"/>
      <c r="AD1103" s="1273"/>
      <c r="AE1103" s="1273"/>
      <c r="AF1103" s="1273"/>
      <c r="AG1103" s="1273"/>
      <c r="AH1103" s="1273"/>
      <c r="AI1103" s="1273"/>
      <c r="AJ1103" s="1273"/>
      <c r="AK1103" s="1273"/>
    </row>
    <row r="1104" spans="1:37" ht="0" hidden="1" customHeight="1">
      <c r="A1104" s="35"/>
      <c r="B1104" s="25"/>
      <c r="C1104" s="212"/>
      <c r="D1104" s="1273"/>
      <c r="E1104" s="1273"/>
      <c r="F1104" s="1273"/>
      <c r="G1104" s="1273"/>
      <c r="H1104" s="1273"/>
      <c r="I1104" s="1273"/>
      <c r="J1104" s="1273"/>
      <c r="K1104" s="1273"/>
      <c r="L1104" s="1273"/>
      <c r="M1104" s="1273"/>
      <c r="N1104" s="1273"/>
      <c r="O1104" s="1273"/>
      <c r="P1104" s="1273"/>
      <c r="Q1104" s="1273"/>
      <c r="R1104" s="1273"/>
      <c r="S1104" s="1273"/>
      <c r="T1104" s="1273"/>
      <c r="U1104" s="1273"/>
      <c r="V1104" s="1273"/>
      <c r="W1104" s="1273"/>
      <c r="X1104" s="1273"/>
      <c r="Y1104" s="1273"/>
      <c r="Z1104" s="1273"/>
      <c r="AA1104" s="1273"/>
      <c r="AB1104" s="1273"/>
      <c r="AC1104" s="1273"/>
      <c r="AD1104" s="1273"/>
      <c r="AE1104" s="1273"/>
      <c r="AF1104" s="1273"/>
      <c r="AG1104" s="1273"/>
      <c r="AH1104" s="1273"/>
      <c r="AI1104" s="1273"/>
      <c r="AJ1104" s="1273"/>
      <c r="AK1104" s="1273"/>
    </row>
    <row r="1105" spans="4:37" ht="0" hidden="1" customHeight="1">
      <c r="D1105" s="1273"/>
      <c r="E1105" s="1273"/>
      <c r="F1105" s="1273"/>
      <c r="G1105" s="1273"/>
      <c r="H1105" s="1273"/>
      <c r="I1105" s="1273"/>
      <c r="J1105" s="1273"/>
      <c r="K1105" s="1273"/>
      <c r="L1105" s="1273"/>
      <c r="M1105" s="1273"/>
      <c r="N1105" s="1273"/>
      <c r="O1105" s="1273"/>
      <c r="P1105" s="1273"/>
      <c r="Q1105" s="1273"/>
      <c r="R1105" s="1273"/>
      <c r="S1105" s="1273"/>
      <c r="T1105" s="1273"/>
      <c r="U1105" s="1273"/>
      <c r="V1105" s="1273"/>
      <c r="W1105" s="1273"/>
      <c r="X1105" s="1273"/>
      <c r="Y1105" s="1273"/>
      <c r="Z1105" s="1273"/>
      <c r="AA1105" s="1273"/>
      <c r="AB1105" s="1273"/>
      <c r="AC1105" s="1273"/>
      <c r="AD1105" s="1273"/>
      <c r="AE1105" s="1273"/>
      <c r="AF1105" s="1273"/>
      <c r="AG1105" s="1273"/>
      <c r="AH1105" s="1273"/>
      <c r="AI1105" s="1273"/>
      <c r="AJ1105" s="1273"/>
      <c r="AK1105" s="1273"/>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1">
    <mergeCell ref="H304:R304"/>
    <mergeCell ref="H303:R303"/>
    <mergeCell ref="H311:R311"/>
    <mergeCell ref="H312:R312"/>
    <mergeCell ref="H314:R314"/>
    <mergeCell ref="H313:R313"/>
    <mergeCell ref="H309:R309"/>
    <mergeCell ref="H317:R317"/>
    <mergeCell ref="AA305:AK305"/>
    <mergeCell ref="AA306:AK306"/>
    <mergeCell ref="AA303:AK303"/>
    <mergeCell ref="AA304:AK304"/>
    <mergeCell ref="AA308:AF308"/>
    <mergeCell ref="AA307:AF307"/>
    <mergeCell ref="AA309:AK309"/>
    <mergeCell ref="AA313:AK313"/>
    <mergeCell ref="AA301:AK301"/>
    <mergeCell ref="H301:R301"/>
    <mergeCell ref="AI307:AK307"/>
    <mergeCell ref="AK749:AO749"/>
    <mergeCell ref="AK750:AO750"/>
    <mergeCell ref="AK751:AO751"/>
    <mergeCell ref="AH745:AJ745"/>
    <mergeCell ref="AH746:AJ746"/>
    <mergeCell ref="AH747:AJ747"/>
    <mergeCell ref="AH748:AJ748"/>
    <mergeCell ref="EC662:EG662"/>
    <mergeCell ref="EH662:EL662"/>
    <mergeCell ref="DX659:EB659"/>
    <mergeCell ref="DX629:EB629"/>
    <mergeCell ref="EC629:EG629"/>
    <mergeCell ref="EH629:EL629"/>
    <mergeCell ref="BS640:BW640"/>
    <mergeCell ref="BX639:CB639"/>
    <mergeCell ref="BX640:CB640"/>
    <mergeCell ref="CC640:CG640"/>
    <mergeCell ref="AG649:AH649"/>
    <mergeCell ref="BN655:BR655"/>
    <mergeCell ref="BN660:BR660"/>
    <mergeCell ref="BN646:BR646"/>
    <mergeCell ref="AA664:AK664"/>
    <mergeCell ref="CM651:CQ651"/>
    <mergeCell ref="CS645:CW645"/>
    <mergeCell ref="CX645:DB645"/>
    <mergeCell ref="DR629:DV629"/>
    <mergeCell ref="CC629:CG629"/>
    <mergeCell ref="CH629:CL629"/>
    <mergeCell ref="CM629:CQ629"/>
    <mergeCell ref="BN629:BR629"/>
    <mergeCell ref="AC630:AE630"/>
    <mergeCell ref="AC631:AE631"/>
    <mergeCell ref="B727:F727"/>
    <mergeCell ref="X723:AB723"/>
    <mergeCell ref="T719:W719"/>
    <mergeCell ref="AA322:AK322"/>
    <mergeCell ref="AA319:AK319"/>
    <mergeCell ref="AA321:AK321"/>
    <mergeCell ref="AA320:AK320"/>
    <mergeCell ref="AA323:AF323"/>
    <mergeCell ref="AA324:AF324"/>
    <mergeCell ref="AA325:AK325"/>
    <mergeCell ref="W635:Y635"/>
    <mergeCell ref="H329:R329"/>
    <mergeCell ref="H330:R330"/>
    <mergeCell ref="H327:R327"/>
    <mergeCell ref="EC625:EG625"/>
    <mergeCell ref="EH625:EL625"/>
    <mergeCell ref="CS629:CW629"/>
    <mergeCell ref="CX629:DB629"/>
    <mergeCell ref="DC629:DG629"/>
    <mergeCell ref="DH629:DL629"/>
    <mergeCell ref="DR628:DV628"/>
    <mergeCell ref="DM629:DQ629"/>
    <mergeCell ref="CX627:DB627"/>
    <mergeCell ref="DH627:DL627"/>
    <mergeCell ref="DC627:DG627"/>
    <mergeCell ref="BX627:CB627"/>
    <mergeCell ref="BS626:BW626"/>
    <mergeCell ref="BX626:CB626"/>
    <mergeCell ref="BN623:BR623"/>
    <mergeCell ref="CH623:CL623"/>
    <mergeCell ref="DX626:EB626"/>
    <mergeCell ref="EC626:EG626"/>
    <mergeCell ref="DX639:EB639"/>
    <mergeCell ref="EC639:EG639"/>
    <mergeCell ref="EH639:EL639"/>
    <mergeCell ref="EM639:EQ639"/>
    <mergeCell ref="B728:F728"/>
    <mergeCell ref="X728:AB72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6:EB666"/>
    <mergeCell ref="EC666:EG666"/>
    <mergeCell ref="EH666:EL666"/>
    <mergeCell ref="EM666:EQ666"/>
    <mergeCell ref="B724:F724"/>
    <mergeCell ref="T720:W720"/>
    <mergeCell ref="BX648:CB648"/>
    <mergeCell ref="B721:F721"/>
    <mergeCell ref="EM628:EQ628"/>
    <mergeCell ref="CS628:CW628"/>
    <mergeCell ref="CS627:CW627"/>
    <mergeCell ref="ER636:EV636"/>
    <mergeCell ref="EH640:EL640"/>
    <mergeCell ref="ER639:EV639"/>
    <mergeCell ref="EW637:FA637"/>
    <mergeCell ref="EC645:EG645"/>
    <mergeCell ref="ER645:EV645"/>
    <mergeCell ref="EW636:FA636"/>
    <mergeCell ref="ER637:EV637"/>
    <mergeCell ref="EC648:EG648"/>
    <mergeCell ref="EC640:EG640"/>
    <mergeCell ref="EW640:FA640"/>
    <mergeCell ref="ER643:EV643"/>
    <mergeCell ref="ER640:EV640"/>
    <mergeCell ref="DX644:EB644"/>
    <mergeCell ref="EC644:EG644"/>
    <mergeCell ref="EH644:EL644"/>
    <mergeCell ref="ER641:EV641"/>
    <mergeCell ref="EH645:EL645"/>
    <mergeCell ref="EM645:EQ645"/>
    <mergeCell ref="EW641:FA641"/>
    <mergeCell ref="DX642:EB642"/>
    <mergeCell ref="EC642:EG642"/>
    <mergeCell ref="EH642:EL642"/>
    <mergeCell ref="EM642:EQ642"/>
    <mergeCell ref="ER642:EV642"/>
    <mergeCell ref="DX641:EB641"/>
    <mergeCell ref="EW646:FA646"/>
    <mergeCell ref="EM647:EQ647"/>
    <mergeCell ref="EM640:EQ640"/>
    <mergeCell ref="ER625:EV625"/>
    <mergeCell ref="EW625:FA625"/>
    <mergeCell ref="DX623:EB623"/>
    <mergeCell ref="EC623:EG623"/>
    <mergeCell ref="EH623:EL623"/>
    <mergeCell ref="DX620:EB620"/>
    <mergeCell ref="EC620:EG620"/>
    <mergeCell ref="ER623:EV623"/>
    <mergeCell ref="EW623:FA623"/>
    <mergeCell ref="CM622:CQ622"/>
    <mergeCell ref="CM623:CQ623"/>
    <mergeCell ref="CM624:CQ624"/>
    <mergeCell ref="EM625:EQ625"/>
    <mergeCell ref="DR626:DV626"/>
    <mergeCell ref="DM627:DQ627"/>
    <mergeCell ref="DR627:DV627"/>
    <mergeCell ref="DM626:DQ626"/>
    <mergeCell ref="ER626:EV626"/>
    <mergeCell ref="EW626:FA626"/>
    <mergeCell ref="EC627:EG627"/>
    <mergeCell ref="EH627:EL627"/>
    <mergeCell ref="EM627:EQ627"/>
    <mergeCell ref="ER627:EV627"/>
    <mergeCell ref="CM627:CQ627"/>
    <mergeCell ref="DX625:EB625"/>
    <mergeCell ref="EH626:EL626"/>
    <mergeCell ref="DR621:DV621"/>
    <mergeCell ref="CS622:CW622"/>
    <mergeCell ref="DC620:DG620"/>
    <mergeCell ref="DH620:DL620"/>
    <mergeCell ref="DM620:DQ620"/>
    <mergeCell ref="DR624:DV624"/>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494:AK494"/>
    <mergeCell ref="AH524:AK524"/>
    <mergeCell ref="AH525:AK525"/>
    <mergeCell ref="AM560:AS560"/>
    <mergeCell ref="AM555:AS555"/>
    <mergeCell ref="B718:F718"/>
    <mergeCell ref="G720:J720"/>
    <mergeCell ref="AC512:AF512"/>
    <mergeCell ref="AH512:AK512"/>
    <mergeCell ref="Q558:S558"/>
    <mergeCell ref="B551:L553"/>
    <mergeCell ref="M551:P553"/>
    <mergeCell ref="AC454:AF454"/>
    <mergeCell ref="D442:AF442"/>
    <mergeCell ref="AH521:AK521"/>
    <mergeCell ref="AG448:AJ448"/>
    <mergeCell ref="AF430:AG430"/>
    <mergeCell ref="AC529:AF529"/>
    <mergeCell ref="AH530:AK530"/>
    <mergeCell ref="M495:P495"/>
    <mergeCell ref="AC501:AF501"/>
    <mergeCell ref="AH505:AK505"/>
    <mergeCell ref="AH500:AK500"/>
    <mergeCell ref="E420:AJ420"/>
    <mergeCell ref="Q485:AK485"/>
    <mergeCell ref="A105:AT106"/>
    <mergeCell ref="L113:O113"/>
    <mergeCell ref="W418:Y418"/>
    <mergeCell ref="AG446:AJ446"/>
    <mergeCell ref="D440:AF440"/>
    <mergeCell ref="AG438:AJ438"/>
    <mergeCell ref="AA314:AK314"/>
    <mergeCell ref="AA311:AK311"/>
    <mergeCell ref="AA312:AK312"/>
    <mergeCell ref="AA315:AF315"/>
    <mergeCell ref="AA316:AF316"/>
    <mergeCell ref="AA317:AK317"/>
    <mergeCell ref="H295:R295"/>
    <mergeCell ref="H297:R297"/>
    <mergeCell ref="H298:R298"/>
    <mergeCell ref="H305:R305"/>
    <mergeCell ref="H306:R306"/>
    <mergeCell ref="AH508:AK508"/>
    <mergeCell ref="B517:H519"/>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AH526:AK526"/>
    <mergeCell ref="T557:V557"/>
    <mergeCell ref="AC518:AF518"/>
    <mergeCell ref="AC513:AF513"/>
    <mergeCell ref="AH513:AK513"/>
    <mergeCell ref="AC530:AF530"/>
    <mergeCell ref="O526:AA526"/>
    <mergeCell ref="AC524:AF524"/>
    <mergeCell ref="Q554:S554"/>
    <mergeCell ref="Q557:S557"/>
    <mergeCell ref="Z557:AD557"/>
    <mergeCell ref="AE556:AH556"/>
    <mergeCell ref="AC509:AF509"/>
    <mergeCell ref="AC525:AF525"/>
    <mergeCell ref="W557:Y55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AI323:AK323"/>
    <mergeCell ref="AA333:AK333"/>
    <mergeCell ref="N373:AF374"/>
    <mergeCell ref="AJ355:AK355"/>
    <mergeCell ref="AG442:AJ442"/>
    <mergeCell ref="AG377:AH377"/>
    <mergeCell ref="E418:G418"/>
    <mergeCell ref="AD411:AE411"/>
    <mergeCell ref="F427:AH428"/>
    <mergeCell ref="V377:W377"/>
    <mergeCell ref="S377:T377"/>
    <mergeCell ref="D445:AF445"/>
    <mergeCell ref="D446:AF446"/>
    <mergeCell ref="D447:AF447"/>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AC528:AF528"/>
    <mergeCell ref="T554:V554"/>
    <mergeCell ref="Q556:S556"/>
    <mergeCell ref="AH503:AK503"/>
    <mergeCell ref="AC500:AF500"/>
    <mergeCell ref="L508:AB508"/>
    <mergeCell ref="AH532:AK532"/>
    <mergeCell ref="AH515:AK515"/>
    <mergeCell ref="AC516:AF516"/>
    <mergeCell ref="AC521:AF521"/>
    <mergeCell ref="AH509:AK509"/>
    <mergeCell ref="AC503:AF503"/>
    <mergeCell ref="AC522:AF522"/>
    <mergeCell ref="AC531:AF531"/>
    <mergeCell ref="J388:U388"/>
    <mergeCell ref="AG394:AJ394"/>
    <mergeCell ref="AC523:AF523"/>
    <mergeCell ref="AC510:AF510"/>
    <mergeCell ref="AH510:AK510"/>
    <mergeCell ref="Q551:S553"/>
    <mergeCell ref="W636:Y636"/>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AE559:AH559"/>
    <mergeCell ref="AI559:AL559"/>
    <mergeCell ref="N583:O583"/>
    <mergeCell ref="C557:L557"/>
    <mergeCell ref="AH537:AK537"/>
    <mergeCell ref="G474:V474"/>
    <mergeCell ref="W474:Y474"/>
    <mergeCell ref="D473:V473"/>
    <mergeCell ref="D441:AF441"/>
    <mergeCell ref="D466:V466"/>
    <mergeCell ref="AG437:AJ437"/>
    <mergeCell ref="BE631:BF631"/>
    <mergeCell ref="AF638:AJ638"/>
    <mergeCell ref="BG611:BH611"/>
    <mergeCell ref="BK607:BL607"/>
    <mergeCell ref="BN607:BR607"/>
    <mergeCell ref="BS607:BW607"/>
    <mergeCell ref="BN609:BR609"/>
    <mergeCell ref="BN610:BR610"/>
    <mergeCell ref="BE609:BF609"/>
    <mergeCell ref="BE607:BF607"/>
    <mergeCell ref="BE608:BF608"/>
    <mergeCell ref="BE610:BF610"/>
    <mergeCell ref="BN621:BR621"/>
    <mergeCell ref="BS621:BW621"/>
    <mergeCell ref="BN622:BR622"/>
    <mergeCell ref="BS622:BW622"/>
    <mergeCell ref="BS629:BW629"/>
    <mergeCell ref="BN628:BR628"/>
    <mergeCell ref="BS628:BW628"/>
    <mergeCell ref="BS620:BW620"/>
    <mergeCell ref="BI612:BJ612"/>
    <mergeCell ref="BK612:BL612"/>
    <mergeCell ref="BG612:BH612"/>
    <mergeCell ref="BN612:BR612"/>
    <mergeCell ref="BE617:BF617"/>
    <mergeCell ref="BI618:BJ618"/>
    <mergeCell ref="BK618:BL618"/>
    <mergeCell ref="BK623:BL623"/>
    <mergeCell ref="BI614:BJ614"/>
    <mergeCell ref="BN626:BR626"/>
    <mergeCell ref="BE627:BF627"/>
    <mergeCell ref="BG627:BH627"/>
    <mergeCell ref="BE604:BF604"/>
    <mergeCell ref="BE606:BF606"/>
    <mergeCell ref="AC632:AE632"/>
    <mergeCell ref="BN625:BR625"/>
    <mergeCell ref="BK631:BL631"/>
    <mergeCell ref="BX612:CB612"/>
    <mergeCell ref="BX615:CB615"/>
    <mergeCell ref="BX602:CB602"/>
    <mergeCell ref="Z671:AE671"/>
    <mergeCell ref="Z668:AK668"/>
    <mergeCell ref="P663:R663"/>
    <mergeCell ref="BG625:BH625"/>
    <mergeCell ref="BE626:BF626"/>
    <mergeCell ref="BG626:BH626"/>
    <mergeCell ref="BI626:BJ626"/>
    <mergeCell ref="BE625:BF625"/>
    <mergeCell ref="BS625:BW625"/>
    <mergeCell ref="BX625:CB625"/>
    <mergeCell ref="BN627:BR627"/>
    <mergeCell ref="BS627:BW627"/>
    <mergeCell ref="BK629:BL629"/>
    <mergeCell ref="BK626:BL626"/>
    <mergeCell ref="BG628:BH628"/>
    <mergeCell ref="BI628:BJ628"/>
    <mergeCell ref="BK628:BL628"/>
    <mergeCell ref="B639:AN639"/>
    <mergeCell ref="B640:AN640"/>
    <mergeCell ref="B641:AN641"/>
    <mergeCell ref="BX629:CB629"/>
    <mergeCell ref="BX628:CB628"/>
    <mergeCell ref="Z662:AK662"/>
    <mergeCell ref="AC629:AE629"/>
    <mergeCell ref="BI627:BJ627"/>
    <mergeCell ref="BK627:BL627"/>
    <mergeCell ref="BE628:BF628"/>
    <mergeCell ref="AC730:AG730"/>
    <mergeCell ref="BS619:BW619"/>
    <mergeCell ref="BG618:BH618"/>
    <mergeCell ref="BN620:BR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AF630:AJ630"/>
    <mergeCell ref="BS648:BW648"/>
    <mergeCell ref="BI623:BJ623"/>
    <mergeCell ref="BK624:BL624"/>
    <mergeCell ref="AI679:AK679"/>
    <mergeCell ref="BG632:BH632"/>
    <mergeCell ref="BK632:BL632"/>
    <mergeCell ref="BN632:BR632"/>
    <mergeCell ref="AO640:AS640"/>
    <mergeCell ref="BN645:BR645"/>
    <mergeCell ref="AO638:AS638"/>
    <mergeCell ref="AF624:AJ626"/>
    <mergeCell ref="BE629:BF629"/>
    <mergeCell ref="BG629:BH629"/>
    <mergeCell ref="BK596:BL596"/>
    <mergeCell ref="BX619:CB619"/>
    <mergeCell ref="BX618:CB618"/>
    <mergeCell ref="BI630:BJ630"/>
    <mergeCell ref="BX608:CB608"/>
    <mergeCell ref="BE612:BF612"/>
    <mergeCell ref="BX611:CB611"/>
    <mergeCell ref="BX614:CB614"/>
    <mergeCell ref="BS613:BW613"/>
    <mergeCell ref="BI611:BJ611"/>
    <mergeCell ref="BS602:BW602"/>
    <mergeCell ref="BI607:BJ607"/>
    <mergeCell ref="BG604:BH604"/>
    <mergeCell ref="BI598:BJ598"/>
    <mergeCell ref="BK599:BL599"/>
    <mergeCell ref="BN599:BR599"/>
    <mergeCell ref="BK601:BL601"/>
    <mergeCell ref="BI625:BJ625"/>
    <mergeCell ref="BK625:BL625"/>
    <mergeCell ref="BS623:BW623"/>
    <mergeCell ref="BX623:CB623"/>
    <mergeCell ref="BS609:BW609"/>
    <mergeCell ref="BX609:CB609"/>
    <mergeCell ref="BK597:BL597"/>
    <mergeCell ref="BX616:CB616"/>
    <mergeCell ref="BI610:BJ610"/>
    <mergeCell ref="BI609:BJ609"/>
    <mergeCell ref="BN624:BR624"/>
    <mergeCell ref="BS624:BW624"/>
    <mergeCell ref="BK610:BL610"/>
    <mergeCell ref="BE601:BF601"/>
    <mergeCell ref="BE598:BF598"/>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X610:CB610"/>
    <mergeCell ref="CC608:CG608"/>
    <mergeCell ref="BX599:CB599"/>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C606:CG606"/>
    <mergeCell ref="BN596:BR596"/>
    <mergeCell ref="BI602:BJ602"/>
    <mergeCell ref="CC597:CG597"/>
    <mergeCell ref="CH599:CL599"/>
    <mergeCell ref="BX596:CB596"/>
    <mergeCell ref="BG601:BH601"/>
    <mergeCell ref="BG600:BH600"/>
    <mergeCell ref="CC600:CG600"/>
    <mergeCell ref="AA590:AK590"/>
    <mergeCell ref="BG606:BH606"/>
    <mergeCell ref="BX604:CB604"/>
    <mergeCell ref="AI589:AK589"/>
    <mergeCell ref="Z596:AK596"/>
    <mergeCell ref="H598:R598"/>
    <mergeCell ref="G597:L597"/>
    <mergeCell ref="AG591:AH591"/>
    <mergeCell ref="Z601:AK601"/>
    <mergeCell ref="G588:R588"/>
    <mergeCell ref="BE605:BF605"/>
    <mergeCell ref="BE603:BF603"/>
    <mergeCell ref="BE600:BF600"/>
    <mergeCell ref="H606:R606"/>
    <mergeCell ref="BX606:CB606"/>
    <mergeCell ref="BI599:BJ599"/>
    <mergeCell ref="BS597:BW597"/>
    <mergeCell ref="P605:R605"/>
    <mergeCell ref="Z605:AE605"/>
    <mergeCell ref="G594:R594"/>
    <mergeCell ref="BK603:BL603"/>
    <mergeCell ref="BN601:BR601"/>
    <mergeCell ref="BN597:BR597"/>
    <mergeCell ref="BX598:CB598"/>
    <mergeCell ref="BS596:BW596"/>
    <mergeCell ref="BK604:BL604"/>
    <mergeCell ref="BX597:CB597"/>
    <mergeCell ref="BG596:BH596"/>
    <mergeCell ref="Z594:AK594"/>
    <mergeCell ref="G601:R601"/>
    <mergeCell ref="BG597:BH597"/>
    <mergeCell ref="BI597:BJ597"/>
    <mergeCell ref="AA339:AF339"/>
    <mergeCell ref="D468:V468"/>
    <mergeCell ref="N575:O575"/>
    <mergeCell ref="M264:AE264"/>
    <mergeCell ref="H339:M339"/>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M356:N356"/>
    <mergeCell ref="AG450:AJ450"/>
    <mergeCell ref="AC455:AF455"/>
    <mergeCell ref="P323:R323"/>
    <mergeCell ref="D437:AF437"/>
    <mergeCell ref="D467:V467"/>
    <mergeCell ref="J387:U387"/>
    <mergeCell ref="M252:AE252"/>
    <mergeCell ref="AA291:AF291"/>
    <mergeCell ref="AI291:AK291"/>
    <mergeCell ref="M259:AE259"/>
    <mergeCell ref="AA293:AK293"/>
    <mergeCell ref="W261:X261"/>
    <mergeCell ref="U263:W263"/>
    <mergeCell ref="M257:T257"/>
    <mergeCell ref="M256:AE256"/>
    <mergeCell ref="P291:R291"/>
    <mergeCell ref="L274:AJ274"/>
    <mergeCell ref="H289:R289"/>
    <mergeCell ref="H291:M291"/>
    <mergeCell ref="H299:M299"/>
    <mergeCell ref="H300:M300"/>
    <mergeCell ref="AA257:AK257"/>
    <mergeCell ref="M260:AE260"/>
    <mergeCell ref="AA265:AK265"/>
    <mergeCell ref="M261:T261"/>
    <mergeCell ref="AH262:AK262"/>
    <mergeCell ref="D270:H270"/>
    <mergeCell ref="X270:AC270"/>
    <mergeCell ref="H288:R288"/>
    <mergeCell ref="AI299:AK299"/>
    <mergeCell ref="AA298:AK298"/>
    <mergeCell ref="L276:S276"/>
    <mergeCell ref="AC385:AJ385"/>
    <mergeCell ref="N370:Q370"/>
    <mergeCell ref="L278:Q278"/>
    <mergeCell ref="AA296:AK296"/>
    <mergeCell ref="Z263:AE263"/>
    <mergeCell ref="M263:R263"/>
    <mergeCell ref="M265:T265"/>
    <mergeCell ref="U255:W255"/>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F178:AG178"/>
    <mergeCell ref="A169:AT170"/>
    <mergeCell ref="AB215:AL215"/>
    <mergeCell ref="T198:U198"/>
    <mergeCell ref="Y212:Z212"/>
    <mergeCell ref="D214:Z214"/>
    <mergeCell ref="AB216:AL216"/>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D205:M205"/>
    <mergeCell ref="J174:AB174"/>
    <mergeCell ref="M238:T238"/>
    <mergeCell ref="Z204:AF206"/>
    <mergeCell ref="T197:U197"/>
    <mergeCell ref="P205:U205"/>
    <mergeCell ref="L279:AD279"/>
    <mergeCell ref="H316:M316"/>
    <mergeCell ref="H292:M292"/>
    <mergeCell ref="AA327:AK327"/>
    <mergeCell ref="H335:R335"/>
    <mergeCell ref="AI315:AK315"/>
    <mergeCell ref="H287:R287"/>
    <mergeCell ref="H296:R296"/>
    <mergeCell ref="H336:R336"/>
    <mergeCell ref="H320:R320"/>
    <mergeCell ref="H323:M323"/>
    <mergeCell ref="AA330:AK330"/>
    <mergeCell ref="H324:M324"/>
    <mergeCell ref="H315:M315"/>
    <mergeCell ref="H321:R321"/>
    <mergeCell ref="H322:R322"/>
    <mergeCell ref="AA331:AF331"/>
    <mergeCell ref="P315:R315"/>
    <mergeCell ref="H308:M308"/>
    <mergeCell ref="P307:R307"/>
    <mergeCell ref="AA300:AF300"/>
    <mergeCell ref="H332:M332"/>
    <mergeCell ref="AA329:AK329"/>
    <mergeCell ref="P331:R331"/>
    <mergeCell ref="H333:R333"/>
    <mergeCell ref="H325:R325"/>
    <mergeCell ref="H307:M307"/>
    <mergeCell ref="H319:R319"/>
    <mergeCell ref="AA297:AK297"/>
    <mergeCell ref="P299:R299"/>
    <mergeCell ref="H293:R293"/>
    <mergeCell ref="H328:R328"/>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81:AK581"/>
    <mergeCell ref="AC456:AF456"/>
    <mergeCell ref="D444:AF444"/>
    <mergeCell ref="M554:P554"/>
    <mergeCell ref="AH519:AK519"/>
    <mergeCell ref="AH536:AK536"/>
    <mergeCell ref="T558:V558"/>
    <mergeCell ref="W561:Y561"/>
    <mergeCell ref="W562:Y562"/>
    <mergeCell ref="W563:Y563"/>
    <mergeCell ref="AF574:AK574"/>
    <mergeCell ref="Q563:S563"/>
    <mergeCell ref="AI565:AL565"/>
    <mergeCell ref="I392:N392"/>
    <mergeCell ref="AC542:AF542"/>
    <mergeCell ref="AI557:AL557"/>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T729:W729"/>
    <mergeCell ref="AH728:AJ728"/>
    <mergeCell ref="B722:F722"/>
    <mergeCell ref="T714:W717"/>
    <mergeCell ref="O719:S719"/>
    <mergeCell ref="X724:AB724"/>
    <mergeCell ref="AH722:AJ722"/>
    <mergeCell ref="B723:F723"/>
    <mergeCell ref="T722:W722"/>
    <mergeCell ref="G569:R569"/>
    <mergeCell ref="G605:L605"/>
    <mergeCell ref="G602:R602"/>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724:J724"/>
    <mergeCell ref="X725:AB725"/>
    <mergeCell ref="K720:N720"/>
    <mergeCell ref="Z655:AE655"/>
    <mergeCell ref="H656:R656"/>
    <mergeCell ref="G655:L655"/>
    <mergeCell ref="G687:L687"/>
    <mergeCell ref="X714:AB717"/>
    <mergeCell ref="Z679:AE679"/>
    <mergeCell ref="G660:R660"/>
    <mergeCell ref="G643:R643"/>
    <mergeCell ref="N657:O657"/>
    <mergeCell ref="Z653:AK653"/>
    <mergeCell ref="Z652:AK652"/>
    <mergeCell ref="Z685:AK685"/>
    <mergeCell ref="Z660:AK660"/>
    <mergeCell ref="B725:F725"/>
    <mergeCell ref="K726:N726"/>
    <mergeCell ref="H664:R664"/>
    <mergeCell ref="Z646:AK646"/>
    <mergeCell ref="K729:N72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M564:AS564"/>
    <mergeCell ref="AM563:AS563"/>
    <mergeCell ref="H614:R614"/>
    <mergeCell ref="AZ851:BA851"/>
    <mergeCell ref="W876:AC876"/>
    <mergeCell ref="M861:V861"/>
    <mergeCell ref="W845:AC845"/>
    <mergeCell ref="W854:AC854"/>
    <mergeCell ref="W847:AC847"/>
    <mergeCell ref="U832:X832"/>
    <mergeCell ref="M832:P832"/>
    <mergeCell ref="W866:AC866"/>
    <mergeCell ref="J792:N792"/>
    <mergeCell ref="U828:X828"/>
    <mergeCell ref="X773:AB773"/>
    <mergeCell ref="O789:S789"/>
    <mergeCell ref="J775:N775"/>
    <mergeCell ref="AC776:AG776"/>
    <mergeCell ref="J769:N772"/>
    <mergeCell ref="AG823:AJ824"/>
    <mergeCell ref="AC797:AG797"/>
    <mergeCell ref="AC787:AG787"/>
    <mergeCell ref="X788:AB788"/>
    <mergeCell ref="M830:P830"/>
    <mergeCell ref="T791:W791"/>
    <mergeCell ref="T787:W787"/>
    <mergeCell ref="T788:W788"/>
    <mergeCell ref="Y800:AC800"/>
    <mergeCell ref="P816:Y816"/>
    <mergeCell ref="O788:S788"/>
    <mergeCell ref="O795:S795"/>
    <mergeCell ref="AC791:AG791"/>
    <mergeCell ref="AC792:AG792"/>
    <mergeCell ref="O787:S787"/>
    <mergeCell ref="Q826:T826"/>
    <mergeCell ref="AG832:AJ832"/>
    <mergeCell ref="AC831:AF831"/>
    <mergeCell ref="T860:V860"/>
    <mergeCell ref="W867:AC867"/>
    <mergeCell ref="W862:AC862"/>
    <mergeCell ref="W851:AC851"/>
    <mergeCell ref="W842:AC842"/>
    <mergeCell ref="AC775:AG775"/>
    <mergeCell ref="AC783:AG786"/>
    <mergeCell ref="M831:P831"/>
    <mergeCell ref="M828:P828"/>
    <mergeCell ref="O775:S775"/>
    <mergeCell ref="J791:N791"/>
    <mergeCell ref="X792:AB792"/>
    <mergeCell ref="X793:AB793"/>
    <mergeCell ref="T783:W786"/>
    <mergeCell ref="F831:L831"/>
    <mergeCell ref="Y823:AB824"/>
    <mergeCell ref="M829:P829"/>
    <mergeCell ref="Z815:AE815"/>
    <mergeCell ref="Z808:AE808"/>
    <mergeCell ref="T789:W789"/>
    <mergeCell ref="AC777:AG777"/>
    <mergeCell ref="Q823:T824"/>
    <mergeCell ref="Z809:AE809"/>
    <mergeCell ref="Q829:T829"/>
    <mergeCell ref="Y827:AB827"/>
    <mergeCell ref="X776:AB776"/>
    <mergeCell ref="M846:V846"/>
    <mergeCell ref="W843:AC843"/>
    <mergeCell ref="J849:V849"/>
    <mergeCell ref="W863:AC863"/>
    <mergeCell ref="AC883:AH883"/>
    <mergeCell ref="U941:Z941"/>
    <mergeCell ref="AA941:AF941"/>
    <mergeCell ref="BD902:BE902"/>
    <mergeCell ref="M877:V877"/>
    <mergeCell ref="W869:AC869"/>
    <mergeCell ref="F943:T943"/>
    <mergeCell ref="BD898:BE898"/>
    <mergeCell ref="BD900:BE900"/>
    <mergeCell ref="BD901:BE901"/>
    <mergeCell ref="BD899:BE899"/>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Q832:T832"/>
    <mergeCell ref="X794:AB794"/>
    <mergeCell ref="T796:W796"/>
    <mergeCell ref="AG830:AJ830"/>
    <mergeCell ref="J788:N788"/>
    <mergeCell ref="AC893:AH893"/>
    <mergeCell ref="W855:AC855"/>
    <mergeCell ref="AC892:AH892"/>
    <mergeCell ref="W846:AC846"/>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M871:V871"/>
    <mergeCell ref="AC888:AH888"/>
    <mergeCell ref="M878:V878"/>
    <mergeCell ref="W852:AC852"/>
    <mergeCell ref="AA924:AF924"/>
    <mergeCell ref="C894:AB894"/>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U943:Z943"/>
    <mergeCell ref="AA943:AF943"/>
    <mergeCell ref="F929:T929"/>
    <mergeCell ref="F930:T930"/>
    <mergeCell ref="F931:T931"/>
    <mergeCell ref="T972:Z972"/>
    <mergeCell ref="I946:T946"/>
    <mergeCell ref="U924:Z924"/>
    <mergeCell ref="AA934:AF93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U942:Z942"/>
    <mergeCell ref="M961:S961"/>
    <mergeCell ref="R984:AA984"/>
    <mergeCell ref="A978:AT980"/>
    <mergeCell ref="D1048:AE1048"/>
    <mergeCell ref="AJ1048:AQ1051"/>
    <mergeCell ref="AJ1052:AQ1052"/>
    <mergeCell ref="D1040:AE1040"/>
    <mergeCell ref="D1041:AE1043"/>
    <mergeCell ref="AJ1040:AQ1043"/>
    <mergeCell ref="AA932:AF932"/>
    <mergeCell ref="M974:S974"/>
    <mergeCell ref="D1083:AK1085"/>
    <mergeCell ref="M968:S968"/>
    <mergeCell ref="D1076:AK1082"/>
    <mergeCell ref="AA974:AG974"/>
    <mergeCell ref="D1070:AK1075"/>
    <mergeCell ref="AA970:AG970"/>
    <mergeCell ref="AE957:AK957"/>
    <mergeCell ref="D984:Q984"/>
    <mergeCell ref="D985:Q985"/>
    <mergeCell ref="Z899:AE899"/>
    <mergeCell ref="AB988:AI988"/>
    <mergeCell ref="AB989:AI989"/>
    <mergeCell ref="AA928:AF928"/>
    <mergeCell ref="U929:Z929"/>
    <mergeCell ref="AA929:AF929"/>
    <mergeCell ref="D1045:AE1046"/>
    <mergeCell ref="D1049:AE1050"/>
    <mergeCell ref="X1047:Y1047"/>
    <mergeCell ref="U930:Z930"/>
    <mergeCell ref="U939:Z939"/>
    <mergeCell ref="X1051:Y1051"/>
    <mergeCell ref="I1047:J1047"/>
    <mergeCell ref="I1051:J1051"/>
    <mergeCell ref="AG1048:AH1048"/>
    <mergeCell ref="AG1040:AH1040"/>
    <mergeCell ref="AG1035:AH1035"/>
    <mergeCell ref="D1025:AE1027"/>
    <mergeCell ref="U914:Z916"/>
    <mergeCell ref="U949:Z949"/>
    <mergeCell ref="U935:Z935"/>
    <mergeCell ref="AA935:AF935"/>
    <mergeCell ref="Z901:AE901"/>
    <mergeCell ref="AJ1044:AQ1047"/>
    <mergeCell ref="AG1028:AH1028"/>
    <mergeCell ref="D1036:AE1039"/>
    <mergeCell ref="AJ1035:AQ1039"/>
    <mergeCell ref="U923:Z923"/>
    <mergeCell ref="AG1024:AH1024"/>
    <mergeCell ref="B737:F737"/>
    <mergeCell ref="B735:F735"/>
    <mergeCell ref="B738:F738"/>
    <mergeCell ref="AC738:AG738"/>
    <mergeCell ref="B739:F739"/>
    <mergeCell ref="X738:AB738"/>
    <mergeCell ref="AH753:AJ753"/>
    <mergeCell ref="AK745:AO745"/>
    <mergeCell ref="AK746:AO746"/>
    <mergeCell ref="AC752:AG752"/>
    <mergeCell ref="AK742:AO742"/>
    <mergeCell ref="O774:S774"/>
    <mergeCell ref="X775:AB775"/>
    <mergeCell ref="U919:Z919"/>
    <mergeCell ref="M967:S967"/>
    <mergeCell ref="AA966:AG966"/>
    <mergeCell ref="AA972:AG972"/>
    <mergeCell ref="AE961:AK961"/>
    <mergeCell ref="AC891:AH891"/>
    <mergeCell ref="C893:AB893"/>
    <mergeCell ref="AC832:AF832"/>
    <mergeCell ref="Z898:AE898"/>
    <mergeCell ref="W872:AC872"/>
    <mergeCell ref="AC884:AH884"/>
    <mergeCell ref="W849:AC849"/>
    <mergeCell ref="W871:AC871"/>
    <mergeCell ref="Y832:AB832"/>
    <mergeCell ref="C832:L832"/>
    <mergeCell ref="W870:AC870"/>
    <mergeCell ref="W844:AC844"/>
    <mergeCell ref="W859:AC859"/>
    <mergeCell ref="T858:V858"/>
    <mergeCell ref="BI629:BJ629"/>
    <mergeCell ref="T628:V628"/>
    <mergeCell ref="Z613:AE613"/>
    <mergeCell ref="AA614:AK614"/>
    <mergeCell ref="BE614:BF614"/>
    <mergeCell ref="AO634:AS634"/>
    <mergeCell ref="M631:P631"/>
    <mergeCell ref="M632:P632"/>
    <mergeCell ref="W634:Y634"/>
    <mergeCell ref="AC627:AE627"/>
    <mergeCell ref="Q635:S635"/>
    <mergeCell ref="T733:W733"/>
    <mergeCell ref="AI655:AK655"/>
    <mergeCell ref="G662:R662"/>
    <mergeCell ref="AE699:AI699"/>
    <mergeCell ref="AA648:AK648"/>
    <mergeCell ref="AF628:AJ628"/>
    <mergeCell ref="AG657:AH657"/>
    <mergeCell ref="G661:R661"/>
    <mergeCell ref="G659:R659"/>
    <mergeCell ref="Z659:AK659"/>
    <mergeCell ref="O724:S724"/>
    <mergeCell ref="T725:W725"/>
    <mergeCell ref="K724:N724"/>
    <mergeCell ref="O718:S718"/>
    <mergeCell ref="O720:S720"/>
    <mergeCell ref="G714:J717"/>
    <mergeCell ref="G654:R654"/>
    <mergeCell ref="AF637:AJ637"/>
    <mergeCell ref="K731:N731"/>
    <mergeCell ref="O732:S732"/>
    <mergeCell ref="AO632:AS632"/>
    <mergeCell ref="BN639:BR639"/>
    <mergeCell ref="BN640:BR640"/>
    <mergeCell ref="BN618:BR618"/>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W637:Y637"/>
    <mergeCell ref="C627:L627"/>
    <mergeCell ref="C635:L635"/>
    <mergeCell ref="W638:Y638"/>
    <mergeCell ref="G647:L647"/>
    <mergeCell ref="BE615:BF615"/>
    <mergeCell ref="BK617:BL617"/>
    <mergeCell ref="BG631:BH631"/>
    <mergeCell ref="BI631:BJ631"/>
    <mergeCell ref="AF636:AJ636"/>
    <mergeCell ref="BS647:BW647"/>
    <mergeCell ref="Z638:AB638"/>
    <mergeCell ref="Q637:S637"/>
    <mergeCell ref="Q638:S638"/>
    <mergeCell ref="AO637:AS637"/>
    <mergeCell ref="BI617:BJ617"/>
    <mergeCell ref="CC612:CG612"/>
    <mergeCell ref="BS614:BW614"/>
    <mergeCell ref="BX630:CB630"/>
    <mergeCell ref="BG630:BH630"/>
    <mergeCell ref="BN614:BR614"/>
    <mergeCell ref="BN647:BR647"/>
    <mergeCell ref="Z636:AB636"/>
    <mergeCell ref="Q636:S636"/>
    <mergeCell ref="AO630:AS630"/>
    <mergeCell ref="AK637:AN637"/>
    <mergeCell ref="AK638:AN638"/>
    <mergeCell ref="AK629:AN629"/>
    <mergeCell ref="Z647:AE647"/>
    <mergeCell ref="P647:R647"/>
    <mergeCell ref="AI647:AK647"/>
    <mergeCell ref="AO624:AS626"/>
    <mergeCell ref="AF629:AJ629"/>
    <mergeCell ref="BE613:BF613"/>
    <mergeCell ref="AK624:AN626"/>
    <mergeCell ref="AK627:AN627"/>
    <mergeCell ref="BG619:BH619"/>
    <mergeCell ref="BE620:BF620"/>
    <mergeCell ref="BG620:BH620"/>
    <mergeCell ref="BI620:BJ620"/>
    <mergeCell ref="AC635:AE635"/>
    <mergeCell ref="BE616:BF616"/>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CH613:CL613"/>
    <mergeCell ref="BK620:BL620"/>
    <mergeCell ref="BS616:BW616"/>
    <mergeCell ref="BG624:BH624"/>
    <mergeCell ref="BI624:BJ624"/>
    <mergeCell ref="BS630:BW630"/>
    <mergeCell ref="CC616:CG616"/>
    <mergeCell ref="CC618:CG618"/>
    <mergeCell ref="BG616:BH616"/>
    <mergeCell ref="CH622:CL622"/>
    <mergeCell ref="CC623:CG623"/>
    <mergeCell ref="CH624:CL624"/>
    <mergeCell ref="BX620:CB620"/>
    <mergeCell ref="BX621:CB621"/>
    <mergeCell ref="CH612:CL612"/>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H610:CL610"/>
    <mergeCell ref="CH608:CL608"/>
    <mergeCell ref="CC625:CG625"/>
    <mergeCell ref="CH625:CL625"/>
    <mergeCell ref="BS637:BW637"/>
    <mergeCell ref="CM615:CQ615"/>
    <mergeCell ref="BG615:BH615"/>
    <mergeCell ref="G610:R610"/>
    <mergeCell ref="T634:V634"/>
    <mergeCell ref="Q627:S627"/>
    <mergeCell ref="Q628:S628"/>
    <mergeCell ref="Q629:S629"/>
    <mergeCell ref="Q630:S630"/>
    <mergeCell ref="Q631:S631"/>
    <mergeCell ref="Q632:S632"/>
    <mergeCell ref="Q633:S633"/>
    <mergeCell ref="Q634:S634"/>
    <mergeCell ref="AK633:AN633"/>
    <mergeCell ref="W629:Y629"/>
    <mergeCell ref="W630:Y630"/>
    <mergeCell ref="W631:Y631"/>
    <mergeCell ref="W627:Y627"/>
    <mergeCell ref="T627:V627"/>
    <mergeCell ref="Z624:AB626"/>
    <mergeCell ref="W632:Y632"/>
    <mergeCell ref="Z611:AK611"/>
    <mergeCell ref="C634:L634"/>
    <mergeCell ref="M624:P626"/>
    <mergeCell ref="M627:P627"/>
    <mergeCell ref="M628:P628"/>
    <mergeCell ref="M629:P629"/>
    <mergeCell ref="M630:P630"/>
    <mergeCell ref="AK634:AN634"/>
    <mergeCell ref="N615:O615"/>
    <mergeCell ref="C633:L633"/>
    <mergeCell ref="G613:L613"/>
    <mergeCell ref="W633:Y633"/>
    <mergeCell ref="C628:L628"/>
    <mergeCell ref="AF627:AJ627"/>
    <mergeCell ref="Z610:AK610"/>
    <mergeCell ref="AC637:AE637"/>
    <mergeCell ref="AC638:AE638"/>
    <mergeCell ref="Z637:AB637"/>
    <mergeCell ref="BK611:BL611"/>
    <mergeCell ref="W473:Y473"/>
    <mergeCell ref="D469:V469"/>
    <mergeCell ref="CX596:DB596"/>
    <mergeCell ref="BX600:CB600"/>
    <mergeCell ref="BG602:BH602"/>
    <mergeCell ref="AM558:AS558"/>
    <mergeCell ref="AM566:AS566"/>
    <mergeCell ref="AM556:AS556"/>
    <mergeCell ref="N607:O607"/>
    <mergeCell ref="P597:R597"/>
    <mergeCell ref="T629:V629"/>
    <mergeCell ref="T630:V630"/>
    <mergeCell ref="T631:V631"/>
    <mergeCell ref="T632:V632"/>
    <mergeCell ref="T633:V633"/>
    <mergeCell ref="Z634:AB634"/>
    <mergeCell ref="Z635:AB635"/>
    <mergeCell ref="W628:Y628"/>
    <mergeCell ref="CM613:CQ613"/>
    <mergeCell ref="CM614:CQ614"/>
    <mergeCell ref="AF633:AJ633"/>
    <mergeCell ref="G612:R612"/>
    <mergeCell ref="M633:P633"/>
    <mergeCell ref="M634:P634"/>
    <mergeCell ref="BS600:BW600"/>
    <mergeCell ref="CC604:CG604"/>
    <mergeCell ref="BN605:BR605"/>
    <mergeCell ref="M355:N355"/>
    <mergeCell ref="D439:AF439"/>
    <mergeCell ref="W565:Y565"/>
    <mergeCell ref="AD412:AE412"/>
    <mergeCell ref="H414:AE415"/>
    <mergeCell ref="AE425:AF425"/>
    <mergeCell ref="AI561:AL561"/>
    <mergeCell ref="AE560:AH560"/>
    <mergeCell ref="T556:V556"/>
    <mergeCell ref="AC520:AF520"/>
    <mergeCell ref="AC527:AF527"/>
    <mergeCell ref="B520:H542"/>
    <mergeCell ref="S405:AJ405"/>
    <mergeCell ref="AC539:AF539"/>
    <mergeCell ref="F457:AB458"/>
    <mergeCell ref="W558:Y558"/>
    <mergeCell ref="AE558:AH558"/>
    <mergeCell ref="AC540:AF540"/>
    <mergeCell ref="M557:P557"/>
    <mergeCell ref="T560:V560"/>
    <mergeCell ref="Q562:S562"/>
    <mergeCell ref="AC533:AF533"/>
    <mergeCell ref="Z555:AD555"/>
    <mergeCell ref="T565:V565"/>
    <mergeCell ref="C560:L560"/>
    <mergeCell ref="M560:P560"/>
    <mergeCell ref="P421:R421"/>
    <mergeCell ref="W556:Y556"/>
    <mergeCell ref="AJ356:AK356"/>
    <mergeCell ref="AG390:AJ390"/>
    <mergeCell ref="Q391:U391"/>
    <mergeCell ref="AE402:AJ402"/>
    <mergeCell ref="H341:R341"/>
    <mergeCell ref="CC596:CG596"/>
    <mergeCell ref="W465:Y465"/>
    <mergeCell ref="P345:AE345"/>
    <mergeCell ref="AA341:AK341"/>
    <mergeCell ref="C559:L559"/>
    <mergeCell ref="M559:P559"/>
    <mergeCell ref="AI389:AJ389"/>
    <mergeCell ref="P347:Z347"/>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S489:AK490"/>
    <mergeCell ref="I410:AE410"/>
    <mergeCell ref="AE562:AH562"/>
    <mergeCell ref="AH542:AK542"/>
    <mergeCell ref="AH520:AK520"/>
    <mergeCell ref="AC537:AF537"/>
    <mergeCell ref="AH539:AK539"/>
    <mergeCell ref="Z604:AK604"/>
    <mergeCell ref="H582:R582"/>
    <mergeCell ref="Z585:AK585"/>
    <mergeCell ref="Q393:U393"/>
    <mergeCell ref="AG380:AH380"/>
    <mergeCell ref="CM597:CQ597"/>
    <mergeCell ref="CM598:CQ598"/>
    <mergeCell ref="CM599:CQ599"/>
    <mergeCell ref="AJ357:AK357"/>
    <mergeCell ref="G572:L572"/>
    <mergeCell ref="Z581:AE581"/>
    <mergeCell ref="Z586:AK586"/>
    <mergeCell ref="T561:V561"/>
    <mergeCell ref="J367:K367"/>
    <mergeCell ref="AG379:AH379"/>
    <mergeCell ref="H573:R573"/>
    <mergeCell ref="AH541:AK541"/>
    <mergeCell ref="AC535:AF535"/>
    <mergeCell ref="AI554:AL554"/>
    <mergeCell ref="W466:Y466"/>
    <mergeCell ref="W560:Y560"/>
    <mergeCell ref="AA573:AK573"/>
    <mergeCell ref="T563:V563"/>
    <mergeCell ref="Z588:AK588"/>
    <mergeCell ref="Z564:AD564"/>
    <mergeCell ref="Z565:AD565"/>
    <mergeCell ref="Z572:AE572"/>
    <mergeCell ref="Z578:AK578"/>
    <mergeCell ref="D438:AF438"/>
    <mergeCell ref="AG583:AH583"/>
    <mergeCell ref="Z587:AK587"/>
    <mergeCell ref="AE564:AH564"/>
    <mergeCell ref="CM596:CQ596"/>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N599:O599"/>
    <mergeCell ref="AA598:AK598"/>
    <mergeCell ref="P589:R589"/>
    <mergeCell ref="C561:L561"/>
    <mergeCell ref="G593:R593"/>
    <mergeCell ref="G579:R579"/>
    <mergeCell ref="Z559:AD559"/>
    <mergeCell ref="Z560:AD560"/>
    <mergeCell ref="M558:P558"/>
    <mergeCell ref="G571:R571"/>
    <mergeCell ref="G585:R585"/>
    <mergeCell ref="AG575:AH575"/>
    <mergeCell ref="Z568:AK568"/>
    <mergeCell ref="Z571:AK571"/>
    <mergeCell ref="Z580:AK580"/>
    <mergeCell ref="Z569:AK569"/>
    <mergeCell ref="BE597:BF597"/>
    <mergeCell ref="N591:O591"/>
    <mergeCell ref="CH597:CL597"/>
    <mergeCell ref="CH598:CL598"/>
    <mergeCell ref="DH608:DL608"/>
    <mergeCell ref="CH606:CL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S606:CW606"/>
    <mergeCell ref="CH609:CL609"/>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M606:DQ60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M612:DQ612"/>
    <mergeCell ref="CX606:DB606"/>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H649:CL649"/>
    <mergeCell ref="C826:H826"/>
    <mergeCell ref="T795:W795"/>
    <mergeCell ref="AH740:AJ740"/>
    <mergeCell ref="K746:N746"/>
    <mergeCell ref="O746:S746"/>
    <mergeCell ref="T746:W746"/>
    <mergeCell ref="K747:N747"/>
    <mergeCell ref="O747:S747"/>
    <mergeCell ref="T747:W747"/>
    <mergeCell ref="X751:AB751"/>
    <mergeCell ref="K740:N740"/>
    <mergeCell ref="X732:AB732"/>
    <mergeCell ref="K734:N734"/>
    <mergeCell ref="K735:N735"/>
    <mergeCell ref="G652:R652"/>
    <mergeCell ref="G651:R651"/>
    <mergeCell ref="AA656:AK656"/>
    <mergeCell ref="AK747:AO747"/>
    <mergeCell ref="AK748:AO748"/>
    <mergeCell ref="G663:L663"/>
    <mergeCell ref="T739:W739"/>
    <mergeCell ref="T741:W741"/>
    <mergeCell ref="AG665:AH665"/>
    <mergeCell ref="G653:R653"/>
    <mergeCell ref="P655:R655"/>
    <mergeCell ref="O734:S734"/>
    <mergeCell ref="K739:N739"/>
    <mergeCell ref="AC734:AG734"/>
    <mergeCell ref="AC735:AG735"/>
    <mergeCell ref="AH749:AJ749"/>
    <mergeCell ref="X739:AB739"/>
    <mergeCell ref="AK739:AO739"/>
    <mergeCell ref="AH750:AJ750"/>
    <mergeCell ref="AH751:AJ7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T774:W774"/>
    <mergeCell ref="J779:K779"/>
    <mergeCell ref="J787:N787"/>
    <mergeCell ref="G738:J738"/>
    <mergeCell ref="B734:F734"/>
    <mergeCell ref="T794:W794"/>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K725:N725"/>
    <mergeCell ref="O790:S790"/>
    <mergeCell ref="T790:W790"/>
    <mergeCell ref="M825:P825"/>
    <mergeCell ref="O728:S728"/>
    <mergeCell ref="K730:N730"/>
    <mergeCell ref="A83:AT84"/>
    <mergeCell ref="A69:AT70"/>
    <mergeCell ref="A72:AT73"/>
    <mergeCell ref="A544:AT545"/>
    <mergeCell ref="A480:AT481"/>
    <mergeCell ref="A351:AT352"/>
    <mergeCell ref="A282:AT283"/>
    <mergeCell ref="A222:AT223"/>
    <mergeCell ref="T792:W79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C830:H830"/>
    <mergeCell ref="K737:N737"/>
    <mergeCell ref="O797:S797"/>
    <mergeCell ref="G737:J737"/>
    <mergeCell ref="Y830:AB830"/>
    <mergeCell ref="Y801:AC801"/>
    <mergeCell ref="G740:J740"/>
    <mergeCell ref="C825:H825"/>
    <mergeCell ref="AG828:AJ828"/>
    <mergeCell ref="Q830:T830"/>
    <mergeCell ref="Z807:AE807"/>
    <mergeCell ref="AG831:AJ831"/>
    <mergeCell ref="O794:S794"/>
    <mergeCell ref="X774:AB774"/>
    <mergeCell ref="O796:S796"/>
    <mergeCell ref="AC793:AG793"/>
    <mergeCell ref="T773:W773"/>
    <mergeCell ref="AC769:AG772"/>
    <mergeCell ref="AH739:AJ739"/>
    <mergeCell ref="X745:AB745"/>
    <mergeCell ref="X746:AB746"/>
    <mergeCell ref="X747:AB747"/>
    <mergeCell ref="X748:AB748"/>
    <mergeCell ref="X749:AB749"/>
    <mergeCell ref="X750:AB750"/>
    <mergeCell ref="G739:J739"/>
    <mergeCell ref="X735:AB735"/>
    <mergeCell ref="X736:AB736"/>
    <mergeCell ref="X737:AB737"/>
    <mergeCell ref="T736:W736"/>
    <mergeCell ref="T745:W745"/>
    <mergeCell ref="J794:N794"/>
    <mergeCell ref="J789:N789"/>
    <mergeCell ref="M827:P827"/>
    <mergeCell ref="J797:N797"/>
    <mergeCell ref="J795:N795"/>
    <mergeCell ref="O777:S777"/>
    <mergeCell ref="T751:W751"/>
    <mergeCell ref="T737:W737"/>
    <mergeCell ref="Z806:AE806"/>
    <mergeCell ref="G735:J735"/>
    <mergeCell ref="G736:J736"/>
    <mergeCell ref="G752:J752"/>
    <mergeCell ref="X769:AB772"/>
    <mergeCell ref="T769:W772"/>
    <mergeCell ref="O753:S753"/>
    <mergeCell ref="U917:Z917"/>
    <mergeCell ref="AE954:AK954"/>
    <mergeCell ref="I949:T949"/>
    <mergeCell ref="AA942:AF942"/>
    <mergeCell ref="F915:T916"/>
    <mergeCell ref="AA930:AF930"/>
    <mergeCell ref="U931:Z931"/>
    <mergeCell ref="AA931:AF931"/>
    <mergeCell ref="F937:T937"/>
    <mergeCell ref="F938:T938"/>
    <mergeCell ref="F939:T939"/>
    <mergeCell ref="U938:Z938"/>
    <mergeCell ref="AH733:AJ733"/>
    <mergeCell ref="AK736:AO736"/>
    <mergeCell ref="O736:S736"/>
    <mergeCell ref="B736:F736"/>
    <mergeCell ref="B742:F742"/>
    <mergeCell ref="B743:F743"/>
    <mergeCell ref="AC753:AG753"/>
    <mergeCell ref="Z814:AE814"/>
    <mergeCell ref="Y831:AB831"/>
    <mergeCell ref="O752:S752"/>
    <mergeCell ref="AC828:AF828"/>
    <mergeCell ref="U823:X824"/>
    <mergeCell ref="O751:S751"/>
    <mergeCell ref="T740:W740"/>
    <mergeCell ref="G741:J741"/>
    <mergeCell ref="T793:W793"/>
    <mergeCell ref="AA917:AF917"/>
    <mergeCell ref="U829:X829"/>
    <mergeCell ref="U827:X827"/>
    <mergeCell ref="Q825:T825"/>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F1025:AI1025"/>
    <mergeCell ref="D1032:AE1034"/>
    <mergeCell ref="AJ1031:AQ1034"/>
    <mergeCell ref="AJ993:AQ999"/>
    <mergeCell ref="AJ1028:AQ1030"/>
    <mergeCell ref="D994:AE997"/>
    <mergeCell ref="D998:AE998"/>
    <mergeCell ref="AB985:AI985"/>
    <mergeCell ref="D1052:AI1052"/>
    <mergeCell ref="DX599:EB599"/>
    <mergeCell ref="EC599:EG599"/>
    <mergeCell ref="EH599:EL599"/>
    <mergeCell ref="EM599:EQ599"/>
    <mergeCell ref="D1029:AE1030"/>
    <mergeCell ref="EC601:EG601"/>
    <mergeCell ref="EH601:EL601"/>
    <mergeCell ref="EM601:EQ601"/>
    <mergeCell ref="DX600:EB600"/>
    <mergeCell ref="EC600:EG600"/>
    <mergeCell ref="EH600:EL600"/>
    <mergeCell ref="EM600:EQ600"/>
    <mergeCell ref="EC614:EG614"/>
    <mergeCell ref="EH614:EL614"/>
    <mergeCell ref="EM614:EQ614"/>
    <mergeCell ref="DX663:EB663"/>
    <mergeCell ref="EC663:EG663"/>
    <mergeCell ref="DX667:EB667"/>
    <mergeCell ref="DX662:EB662"/>
    <mergeCell ref="EM662:EQ662"/>
    <mergeCell ref="EH648:EL648"/>
    <mergeCell ref="EH651:EL651"/>
    <mergeCell ref="EH650:EL650"/>
    <mergeCell ref="B992:AE992"/>
    <mergeCell ref="EM668:EQ668"/>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B733:F733"/>
    <mergeCell ref="K736:N736"/>
    <mergeCell ref="U928:Z928"/>
    <mergeCell ref="AJ1019:AQ1023"/>
    <mergeCell ref="T734:W734"/>
    <mergeCell ref="O741:S741"/>
    <mergeCell ref="G753:J753"/>
    <mergeCell ref="U934:Z934"/>
    <mergeCell ref="K733:N733"/>
    <mergeCell ref="T735:W735"/>
    <mergeCell ref="AA944:AF944"/>
    <mergeCell ref="B731:F731"/>
    <mergeCell ref="B730:F730"/>
    <mergeCell ref="O731:S731"/>
    <mergeCell ref="O730:S730"/>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R601:EV601"/>
    <mergeCell ref="EW601:FA601"/>
    <mergeCell ref="DX602:EB602"/>
    <mergeCell ref="EC602:EG602"/>
    <mergeCell ref="EH602:EL602"/>
    <mergeCell ref="ER608:EV608"/>
    <mergeCell ref="EM602:EQ602"/>
    <mergeCell ref="ER602:EV602"/>
    <mergeCell ref="EW602:FA602"/>
    <mergeCell ref="DX603:EB603"/>
    <mergeCell ref="EC603:EG603"/>
    <mergeCell ref="EH603:EL603"/>
    <mergeCell ref="EM603:EQ603"/>
    <mergeCell ref="ER603:EV603"/>
    <mergeCell ref="EW603:FA603"/>
    <mergeCell ref="EW607:FA607"/>
    <mergeCell ref="DX608:EB608"/>
    <mergeCell ref="EC608:EG608"/>
    <mergeCell ref="EH608:EL608"/>
    <mergeCell ref="ER600:EV600"/>
    <mergeCell ref="DX604:EB604"/>
    <mergeCell ref="EC604:EG604"/>
    <mergeCell ref="EH604:EL604"/>
    <mergeCell ref="EM604:EQ604"/>
    <mergeCell ref="ER604:EV604"/>
    <mergeCell ref="EW604:FA604"/>
    <mergeCell ref="DX615:EB615"/>
    <mergeCell ref="EC615:EG615"/>
    <mergeCell ref="EH615:EL615"/>
    <mergeCell ref="EW616:FA616"/>
    <mergeCell ref="ER616:EV616"/>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0:FA610"/>
    <mergeCell ref="DX611:EB611"/>
    <mergeCell ref="EM611:EQ611"/>
    <mergeCell ref="ER611:EV611"/>
    <mergeCell ref="EW611:FA611"/>
    <mergeCell ref="ER607:EV607"/>
    <mergeCell ref="EW612:FA612"/>
    <mergeCell ref="DX609:EB609"/>
    <mergeCell ref="EM608:EQ608"/>
    <mergeCell ref="EW608:FA608"/>
    <mergeCell ref="ER609:EV609"/>
    <mergeCell ref="EW618:FA618"/>
    <mergeCell ref="DX613:EB613"/>
    <mergeCell ref="EC613:EG613"/>
    <mergeCell ref="EW609:FA609"/>
    <mergeCell ref="DX610:EB610"/>
    <mergeCell ref="EC610:EG610"/>
    <mergeCell ref="EH610:EL610"/>
    <mergeCell ref="EC618:EG618"/>
    <mergeCell ref="EH618:EL618"/>
    <mergeCell ref="DX612:EB612"/>
    <mergeCell ref="EC612:EG612"/>
    <mergeCell ref="EH612:EL612"/>
    <mergeCell ref="EM612:EQ612"/>
    <mergeCell ref="DX607:EB607"/>
    <mergeCell ref="EC607:EG607"/>
    <mergeCell ref="EH607:EL607"/>
    <mergeCell ref="EM607:EQ607"/>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R612:EV612"/>
    <mergeCell ref="ER614:EV614"/>
    <mergeCell ref="EW614:FA614"/>
    <mergeCell ref="EW642:FA642"/>
    <mergeCell ref="EW643:FA643"/>
    <mergeCell ref="DX617:EB617"/>
    <mergeCell ref="EC617:EG617"/>
    <mergeCell ref="EH617:EL617"/>
    <mergeCell ref="EM617:EQ617"/>
    <mergeCell ref="ER617:EV617"/>
    <mergeCell ref="EW617:FA617"/>
    <mergeCell ref="EW622:FA622"/>
    <mergeCell ref="ER630:EV630"/>
    <mergeCell ref="EW630:FA630"/>
    <mergeCell ref="DX631:EB631"/>
    <mergeCell ref="EC631:EG631"/>
    <mergeCell ref="EH631:EL631"/>
    <mergeCell ref="EM631:EQ631"/>
    <mergeCell ref="ER631:EV631"/>
    <mergeCell ref="DX630:EB630"/>
    <mergeCell ref="DX619:EB619"/>
    <mergeCell ref="EC619:EG619"/>
    <mergeCell ref="EC624:EG624"/>
    <mergeCell ref="EH624:EL624"/>
    <mergeCell ref="EM624:EQ624"/>
    <mergeCell ref="ER624:EV624"/>
    <mergeCell ref="DX624:EB624"/>
    <mergeCell ref="EM626:EQ626"/>
    <mergeCell ref="EM635:EQ635"/>
    <mergeCell ref="ER635:EV635"/>
    <mergeCell ref="EW635:FA635"/>
    <mergeCell ref="EC636:EG636"/>
    <mergeCell ref="EH636:EL636"/>
    <mergeCell ref="DX636:EB636"/>
    <mergeCell ref="EC622:EG622"/>
    <mergeCell ref="EW654:FA654"/>
    <mergeCell ref="EC647:EG647"/>
    <mergeCell ref="EW647:FA647"/>
    <mergeCell ref="DX645:EB645"/>
    <mergeCell ref="EW652:FA652"/>
    <mergeCell ref="EM618:EQ618"/>
    <mergeCell ref="ER618:EV618"/>
    <mergeCell ref="EW638:FA638"/>
    <mergeCell ref="DX627:EB627"/>
    <mergeCell ref="EW619:FA619"/>
    <mergeCell ref="ER620:EV620"/>
    <mergeCell ref="EW620:FA620"/>
    <mergeCell ref="DX621:EB621"/>
    <mergeCell ref="EC621:EG621"/>
    <mergeCell ref="EH621:EL621"/>
    <mergeCell ref="EM621:EQ621"/>
    <mergeCell ref="ER621:EV621"/>
    <mergeCell ref="EW621:FA621"/>
    <mergeCell ref="DX622:EB622"/>
    <mergeCell ref="EW644:FA644"/>
    <mergeCell ref="EC641:EG641"/>
    <mergeCell ref="EC643:EG643"/>
    <mergeCell ref="EH643:EL643"/>
    <mergeCell ref="EM643:EQ643"/>
    <mergeCell ref="DX643:EB643"/>
    <mergeCell ref="EW639:FA639"/>
    <mergeCell ref="DX640:EB640"/>
    <mergeCell ref="ER628:EV628"/>
    <mergeCell ref="EW628:FA628"/>
    <mergeCell ref="EW627:FA627"/>
    <mergeCell ref="EM646:EQ646"/>
    <mergeCell ref="EW624:FA624"/>
    <mergeCell ref="ER646:EV646"/>
    <mergeCell ref="DX649:EB649"/>
    <mergeCell ref="EH649:EL649"/>
    <mergeCell ref="DX655:EB655"/>
    <mergeCell ref="DX647:EB647"/>
    <mergeCell ref="EM650:EQ650"/>
    <mergeCell ref="DX653:EB653"/>
    <mergeCell ref="EC653:EG653"/>
    <mergeCell ref="DX654:EB654"/>
    <mergeCell ref="EW645:FA645"/>
    <mergeCell ref="EM629:EQ629"/>
    <mergeCell ref="ER629:EV629"/>
    <mergeCell ref="EW629:FA629"/>
    <mergeCell ref="EW631:FA631"/>
    <mergeCell ref="EM637:EQ637"/>
    <mergeCell ref="EM644:EQ644"/>
    <mergeCell ref="ER644:EV644"/>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C650:EG650"/>
    <mergeCell ref="EH647:EL647"/>
    <mergeCell ref="EW653:FA653"/>
    <mergeCell ref="EW657:FA657"/>
    <mergeCell ref="EW658:FA658"/>
    <mergeCell ref="EW655:FA655"/>
    <mergeCell ref="EW650:FA650"/>
    <mergeCell ref="EW648:FA648"/>
    <mergeCell ref="EW651:FA651"/>
    <mergeCell ref="EW649:FA649"/>
    <mergeCell ref="EC655:EG655"/>
    <mergeCell ref="EM636:EQ636"/>
    <mergeCell ref="DX637:EB637"/>
    <mergeCell ref="DX658:EB658"/>
    <mergeCell ref="EC658:EG658"/>
    <mergeCell ref="EH658:EL658"/>
    <mergeCell ref="EM658:EQ658"/>
    <mergeCell ref="ER658:EV658"/>
    <mergeCell ref="EH663:EL663"/>
    <mergeCell ref="EM663:EQ663"/>
    <mergeCell ref="ER663:EV663"/>
    <mergeCell ref="EM651:EQ651"/>
    <mergeCell ref="EM653:EQ653"/>
    <mergeCell ref="ER653:EV653"/>
    <mergeCell ref="DX646:EB646"/>
    <mergeCell ref="EC646:EG646"/>
    <mergeCell ref="EH646:EL646"/>
    <mergeCell ref="ER650:EV650"/>
    <mergeCell ref="ER655:EV655"/>
    <mergeCell ref="EH641:EL641"/>
    <mergeCell ref="ER648:EV648"/>
    <mergeCell ref="ER647:EV647"/>
    <mergeCell ref="EC654:EG654"/>
    <mergeCell ref="EH654:EL654"/>
    <mergeCell ref="EH653:EL653"/>
    <mergeCell ref="ER651:EV651"/>
    <mergeCell ref="ER652:EV652"/>
    <mergeCell ref="DX664:EB664"/>
    <mergeCell ref="EC664:EG664"/>
    <mergeCell ref="EH664:EL664"/>
    <mergeCell ref="EM654:EQ654"/>
    <mergeCell ref="ER654:EV654"/>
    <mergeCell ref="EM652:EQ652"/>
    <mergeCell ref="DX650:EB650"/>
    <mergeCell ref="EH657:EL657"/>
    <mergeCell ref="EM657:EQ657"/>
    <mergeCell ref="ER657:EV657"/>
    <mergeCell ref="EC659:EG659"/>
    <mergeCell ref="EH659:EL659"/>
    <mergeCell ref="EH655:EL655"/>
    <mergeCell ref="EM655:EQ655"/>
    <mergeCell ref="DX648:EB648"/>
    <mergeCell ref="DX651:EB651"/>
    <mergeCell ref="EC651:EG651"/>
    <mergeCell ref="ER656:EV656"/>
    <mergeCell ref="EC649:EG649"/>
    <mergeCell ref="EM648:EQ648"/>
    <mergeCell ref="EW668:FA668"/>
    <mergeCell ref="DX670:EB670"/>
    <mergeCell ref="EM664:EQ664"/>
    <mergeCell ref="ER664:EV664"/>
    <mergeCell ref="EW664:FA664"/>
    <mergeCell ref="EC667:EG667"/>
    <mergeCell ref="EH667:EL667"/>
    <mergeCell ref="EW669:FA669"/>
    <mergeCell ref="EW663:FA663"/>
    <mergeCell ref="EM667:EQ667"/>
    <mergeCell ref="ER667:EV667"/>
    <mergeCell ref="EW667:FA667"/>
    <mergeCell ref="EM661:EQ661"/>
    <mergeCell ref="ER666:EV666"/>
    <mergeCell ref="EW666:FA666"/>
    <mergeCell ref="ER670:EV670"/>
    <mergeCell ref="DX669:EB669"/>
    <mergeCell ref="EC670:EG670"/>
    <mergeCell ref="EH670:EL670"/>
    <mergeCell ref="EC669:EG669"/>
    <mergeCell ref="EH669:EL669"/>
    <mergeCell ref="ER669:EV669"/>
    <mergeCell ref="ER668:EV668"/>
    <mergeCell ref="EM669:EQ669"/>
    <mergeCell ref="ER661:EV661"/>
    <mergeCell ref="EW661:FA661"/>
    <mergeCell ref="ER662:EV662"/>
    <mergeCell ref="EW662:FA662"/>
    <mergeCell ref="EW670:FA670"/>
    <mergeCell ref="DX668:EB668"/>
    <mergeCell ref="EC668:EG668"/>
    <mergeCell ref="EH668:EL668"/>
    <mergeCell ref="EW656:FA656"/>
    <mergeCell ref="DX657:EB657"/>
    <mergeCell ref="EC657:EG657"/>
    <mergeCell ref="BN617:BR617"/>
    <mergeCell ref="DR619:DV619"/>
    <mergeCell ref="CS630:CW630"/>
    <mergeCell ref="CH638:CL638"/>
    <mergeCell ref="ER649:EV649"/>
    <mergeCell ref="DX652:EB652"/>
    <mergeCell ref="EC652:EG652"/>
    <mergeCell ref="EM641:EQ641"/>
    <mergeCell ref="EM649:EQ649"/>
    <mergeCell ref="EH652:EL652"/>
    <mergeCell ref="CM619:CQ619"/>
    <mergeCell ref="CH619:CL619"/>
    <mergeCell ref="CM633:CQ633"/>
    <mergeCell ref="CC632:CG632"/>
    <mergeCell ref="CM630:CQ630"/>
    <mergeCell ref="CM631:CQ631"/>
    <mergeCell ref="DR618:DV618"/>
    <mergeCell ref="CH637:CL637"/>
    <mergeCell ref="CS619:CW619"/>
    <mergeCell ref="CX631:DB631"/>
    <mergeCell ref="CH631:CL631"/>
    <mergeCell ref="EC630:EG630"/>
    <mergeCell ref="EH630:EL630"/>
    <mergeCell ref="EM630:EQ630"/>
    <mergeCell ref="DX618:EB618"/>
    <mergeCell ref="BN641:BR641"/>
    <mergeCell ref="BN637:BR637"/>
    <mergeCell ref="BS631:BW631"/>
    <mergeCell ref="ER619:EV619"/>
    <mergeCell ref="Z627:AB627"/>
    <mergeCell ref="CC637:CG637"/>
    <mergeCell ref="EM610:EQ610"/>
    <mergeCell ref="ER610:EV610"/>
    <mergeCell ref="DR611:DV611"/>
    <mergeCell ref="CS610:CW610"/>
    <mergeCell ref="DC630:DG630"/>
    <mergeCell ref="EC609:EG609"/>
    <mergeCell ref="EH609:EL609"/>
    <mergeCell ref="EM609:EQ609"/>
    <mergeCell ref="AO635:AS635"/>
    <mergeCell ref="AC633:AE633"/>
    <mergeCell ref="DR630:DV630"/>
    <mergeCell ref="DH630:DL630"/>
    <mergeCell ref="DM618:DQ618"/>
    <mergeCell ref="EM619:EQ619"/>
    <mergeCell ref="EC637:EG637"/>
    <mergeCell ref="EH637:EL637"/>
    <mergeCell ref="DM630:DQ630"/>
    <mergeCell ref="BX631:CB631"/>
    <mergeCell ref="DR632:DV632"/>
    <mergeCell ref="DC632:DG632"/>
    <mergeCell ref="DH632:DL632"/>
    <mergeCell ref="DX628:EB628"/>
    <mergeCell ref="EC628:EG628"/>
    <mergeCell ref="EH628:EL628"/>
    <mergeCell ref="EM620:EQ620"/>
    <mergeCell ref="EH622:EL622"/>
    <mergeCell ref="EM622:EQ622"/>
    <mergeCell ref="ER622:EV622"/>
    <mergeCell ref="CS615:CW615"/>
    <mergeCell ref="CX612:DB612"/>
    <mergeCell ref="CS613:CW613"/>
    <mergeCell ref="DC613:DG613"/>
    <mergeCell ref="CX615:DB615"/>
    <mergeCell ref="DC615:DG615"/>
    <mergeCell ref="DH615:DL615"/>
    <mergeCell ref="CX610:DB610"/>
    <mergeCell ref="DC610:DG610"/>
    <mergeCell ref="DH610:DL610"/>
    <mergeCell ref="DR612:DV612"/>
    <mergeCell ref="CS611:CW611"/>
    <mergeCell ref="CX611:DB611"/>
    <mergeCell ref="DC611:DG611"/>
    <mergeCell ref="DH611:DL611"/>
    <mergeCell ref="CS614:CW614"/>
    <mergeCell ref="DH614:DL614"/>
    <mergeCell ref="DM614:DQ614"/>
    <mergeCell ref="CX614:DB614"/>
    <mergeCell ref="DM613:DQ613"/>
    <mergeCell ref="DR613:DV613"/>
    <mergeCell ref="CS612:CW612"/>
    <mergeCell ref="CX609:DB609"/>
    <mergeCell ref="DC609:DG609"/>
    <mergeCell ref="DH609:DL609"/>
    <mergeCell ref="EH619:EL619"/>
    <mergeCell ref="DR616:DV616"/>
    <mergeCell ref="CX613:DB613"/>
    <mergeCell ref="EM623:EQ623"/>
    <mergeCell ref="EC611:EG611"/>
    <mergeCell ref="EH611:EL611"/>
    <mergeCell ref="DX632:EB632"/>
    <mergeCell ref="EC632:EG632"/>
    <mergeCell ref="EH620:EL620"/>
    <mergeCell ref="DR614:DV614"/>
    <mergeCell ref="DM615:DQ615"/>
    <mergeCell ref="DR615:DV615"/>
    <mergeCell ref="DM619:DQ619"/>
    <mergeCell ref="DC614:DG614"/>
    <mergeCell ref="DH613:DL613"/>
    <mergeCell ref="DC612:DG612"/>
    <mergeCell ref="CX624:DB624"/>
    <mergeCell ref="DC616:DG616"/>
    <mergeCell ref="DH616:DL616"/>
    <mergeCell ref="CX619:DB619"/>
    <mergeCell ref="DC619:DG619"/>
    <mergeCell ref="DH619:DL619"/>
    <mergeCell ref="DM616:DQ616"/>
    <mergeCell ref="CX622:DB622"/>
    <mergeCell ref="DC622:DG622"/>
    <mergeCell ref="DH622:DL622"/>
    <mergeCell ref="DM622:DQ622"/>
    <mergeCell ref="DR622:DV622"/>
    <mergeCell ref="CX623:DB623"/>
    <mergeCell ref="CM616:CQ616"/>
    <mergeCell ref="CM617:CQ617"/>
    <mergeCell ref="CM618:CQ618"/>
    <mergeCell ref="DC624:DG624"/>
    <mergeCell ref="DH624:DL624"/>
    <mergeCell ref="BX624:CB624"/>
    <mergeCell ref="CC624:CG624"/>
    <mergeCell ref="DM617:DQ617"/>
    <mergeCell ref="CC630:CG630"/>
    <mergeCell ref="BX632:CB632"/>
    <mergeCell ref="CC617:CG617"/>
    <mergeCell ref="CC619:CG619"/>
    <mergeCell ref="DM645:DQ645"/>
    <mergeCell ref="DR645:DV645"/>
    <mergeCell ref="CC645:CG645"/>
    <mergeCell ref="BX645:CB645"/>
    <mergeCell ref="BX637:CB637"/>
    <mergeCell ref="CX616:DB616"/>
    <mergeCell ref="CH640:CL640"/>
    <mergeCell ref="CM640:CQ640"/>
    <mergeCell ref="CS616:CW616"/>
    <mergeCell ref="CS623:CW623"/>
    <mergeCell ref="DC623:DG623"/>
    <mergeCell ref="DH623:DL623"/>
    <mergeCell ref="BX622:CB622"/>
    <mergeCell ref="CC628:CG628"/>
    <mergeCell ref="DR617:DV617"/>
    <mergeCell ref="CS617:CW617"/>
    <mergeCell ref="CX617:DB617"/>
    <mergeCell ref="DC617:DG617"/>
    <mergeCell ref="DM623:DQ623"/>
    <mergeCell ref="DR623:DV623"/>
    <mergeCell ref="AK631:AN631"/>
    <mergeCell ref="AK632:AN632"/>
    <mergeCell ref="BE624:BF624"/>
    <mergeCell ref="CS620:CW620"/>
    <mergeCell ref="CH626:CL626"/>
    <mergeCell ref="DR620:DV620"/>
    <mergeCell ref="CS621:CW621"/>
    <mergeCell ref="CH639:CL639"/>
    <mergeCell ref="CH647:CL647"/>
    <mergeCell ref="CX646:DB646"/>
    <mergeCell ref="CH646:CL646"/>
    <mergeCell ref="CH632:CL632"/>
    <mergeCell ref="CC620:CG620"/>
    <mergeCell ref="CM626:CQ626"/>
    <mergeCell ref="CS624:CW624"/>
    <mergeCell ref="CX628:DB628"/>
    <mergeCell ref="DC628:DG628"/>
    <mergeCell ref="DH628:DL628"/>
    <mergeCell ref="DM628:DQ628"/>
    <mergeCell ref="CH620:CL620"/>
    <mergeCell ref="CC621:CG621"/>
    <mergeCell ref="CH621:CL621"/>
    <mergeCell ref="CM621:CQ621"/>
    <mergeCell ref="CC622:CG622"/>
    <mergeCell ref="CM645:CQ645"/>
    <mergeCell ref="AO636:AS636"/>
    <mergeCell ref="AO627:AS627"/>
    <mergeCell ref="DM647:DQ647"/>
    <mergeCell ref="DR647:DV647"/>
    <mergeCell ref="CS647:CW647"/>
    <mergeCell ref="CX647:DB647"/>
    <mergeCell ref="BS645:BW645"/>
    <mergeCell ref="CS625:CW625"/>
    <mergeCell ref="CX625:DB625"/>
    <mergeCell ref="DC625:DG625"/>
    <mergeCell ref="DH625:DL625"/>
    <mergeCell ref="CS626:CW626"/>
    <mergeCell ref="CX626:DB626"/>
    <mergeCell ref="CM639:CQ639"/>
    <mergeCell ref="CH618:CL618"/>
    <mergeCell ref="CS631:CW631"/>
    <mergeCell ref="CM620:CQ620"/>
    <mergeCell ref="DC626:DG626"/>
    <mergeCell ref="DH626:DL626"/>
    <mergeCell ref="DM625:DQ625"/>
    <mergeCell ref="DR625:DV625"/>
    <mergeCell ref="DH617:DL617"/>
    <mergeCell ref="CH645:CL645"/>
    <mergeCell ref="DH618:DL618"/>
    <mergeCell ref="CX620:DB620"/>
    <mergeCell ref="DC621:DG621"/>
    <mergeCell ref="DH621:DL621"/>
    <mergeCell ref="BS618:BW618"/>
    <mergeCell ref="DR631:DV631"/>
    <mergeCell ref="BX617:CB617"/>
    <mergeCell ref="BI619:BJ619"/>
    <mergeCell ref="CC631:CG631"/>
    <mergeCell ref="BN631:BR631"/>
    <mergeCell ref="AO639:AS639"/>
    <mergeCell ref="AO629:AS629"/>
    <mergeCell ref="CH628:CL628"/>
    <mergeCell ref="CM628:CQ628"/>
    <mergeCell ref="CC627:CG627"/>
    <mergeCell ref="CH627:CL627"/>
    <mergeCell ref="CC626:CG626"/>
    <mergeCell ref="DM621:DQ621"/>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C645:DG645"/>
    <mergeCell ref="DM632:DQ632"/>
    <mergeCell ref="DC631:DG631"/>
    <mergeCell ref="DM631:DQ631"/>
    <mergeCell ref="DH631:DL631"/>
    <mergeCell ref="CC647:CG647"/>
    <mergeCell ref="CX621:DB621"/>
    <mergeCell ref="CX630:DB630"/>
    <mergeCell ref="DR651:DV651"/>
    <mergeCell ref="CM647:CQ647"/>
    <mergeCell ref="CM646:CQ646"/>
    <mergeCell ref="BX647:CB647"/>
    <mergeCell ref="DC647:DG647"/>
    <mergeCell ref="CH641:CL641"/>
    <mergeCell ref="BX638:CB638"/>
    <mergeCell ref="DC646:DG646"/>
    <mergeCell ref="CC646:CG646"/>
    <mergeCell ref="BX641:CB641"/>
    <mergeCell ref="CC641:CG641"/>
    <mergeCell ref="CC639:CG639"/>
    <mergeCell ref="CM625:CQ625"/>
    <mergeCell ref="DM624:DQ624"/>
    <mergeCell ref="CM638:CQ638"/>
    <mergeCell ref="DH648:DL648"/>
    <mergeCell ref="DM648:DQ648"/>
    <mergeCell ref="DR648:DV648"/>
    <mergeCell ref="DR650:DV650"/>
    <mergeCell ref="CX651:DB651"/>
    <mergeCell ref="CS632:CW632"/>
    <mergeCell ref="CX632:DB632"/>
    <mergeCell ref="CX648:DB648"/>
    <mergeCell ref="DC648:DG648"/>
    <mergeCell ref="CM641:CQ641"/>
    <mergeCell ref="DH647:DL647"/>
    <mergeCell ref="CM648:CQ648"/>
    <mergeCell ref="CS648:CW648"/>
    <mergeCell ref="CS646:CW646"/>
    <mergeCell ref="DM654:DQ654"/>
    <mergeCell ref="DH655:DL655"/>
    <mergeCell ref="CC649:CG649"/>
    <mergeCell ref="CC650:CG650"/>
    <mergeCell ref="CH650:CL650"/>
    <mergeCell ref="BS650:BW650"/>
    <mergeCell ref="CM649:CQ649"/>
    <mergeCell ref="DH649:DL649"/>
    <mergeCell ref="CS651:CW651"/>
    <mergeCell ref="DC653:DG653"/>
    <mergeCell ref="DH650:DL650"/>
    <mergeCell ref="DM650:DQ650"/>
    <mergeCell ref="CX649:DB649"/>
    <mergeCell ref="DC649:DG649"/>
    <mergeCell ref="CC651:CG651"/>
    <mergeCell ref="BS651:BW651"/>
    <mergeCell ref="BS652:BW652"/>
    <mergeCell ref="CH651:CL651"/>
    <mergeCell ref="DM653:DQ653"/>
    <mergeCell ref="CS650:CW650"/>
    <mergeCell ref="CX650:DB650"/>
    <mergeCell ref="DM649:DQ649"/>
    <mergeCell ref="DM652:DQ652"/>
    <mergeCell ref="CH654:CL654"/>
    <mergeCell ref="CM652:CQ652"/>
    <mergeCell ref="CM653:CQ653"/>
    <mergeCell ref="CM654:CQ654"/>
    <mergeCell ref="DC651:DG651"/>
    <mergeCell ref="CS655:CW655"/>
    <mergeCell ref="DH652:DL652"/>
    <mergeCell ref="CS654:CW654"/>
    <mergeCell ref="CX654:DB654"/>
    <mergeCell ref="DC654:DG654"/>
    <mergeCell ref="BS653:BW653"/>
    <mergeCell ref="CX655:DB655"/>
    <mergeCell ref="DC655:DG655"/>
    <mergeCell ref="CS653:CW653"/>
    <mergeCell ref="BN648:BR648"/>
    <mergeCell ref="CC655:CG655"/>
    <mergeCell ref="CH655:CL655"/>
    <mergeCell ref="CM655:CQ655"/>
    <mergeCell ref="BS649:BW649"/>
    <mergeCell ref="BX652:CB652"/>
    <mergeCell ref="DH654:DL654"/>
    <mergeCell ref="BN651:BR651"/>
    <mergeCell ref="BN650:BR650"/>
    <mergeCell ref="BX651:CB651"/>
    <mergeCell ref="CM650:CQ650"/>
    <mergeCell ref="BX649:CB649"/>
    <mergeCell ref="BX650:CB650"/>
    <mergeCell ref="CS649:CW649"/>
    <mergeCell ref="CH652:CL652"/>
    <mergeCell ref="CH653:CL653"/>
    <mergeCell ref="BN652:BR652"/>
    <mergeCell ref="BN653:BR653"/>
    <mergeCell ref="BN654:BR654"/>
    <mergeCell ref="X729:AB729"/>
    <mergeCell ref="Z663:AE663"/>
    <mergeCell ref="CC652:CG652"/>
    <mergeCell ref="CC653:CG653"/>
    <mergeCell ref="AK730:AO730"/>
    <mergeCell ref="CC660:CG660"/>
    <mergeCell ref="CM660:CQ660"/>
    <mergeCell ref="AH732:AJ732"/>
    <mergeCell ref="AC733:AG733"/>
    <mergeCell ref="AK723:AO723"/>
    <mergeCell ref="AK724:AO724"/>
    <mergeCell ref="AK725:AO725"/>
    <mergeCell ref="AI663:AK663"/>
    <mergeCell ref="Z661:AK661"/>
    <mergeCell ref="X720:AB720"/>
    <mergeCell ref="AH730:AJ730"/>
    <mergeCell ref="AC723:AG723"/>
    <mergeCell ref="AH721:AJ721"/>
    <mergeCell ref="Z677:AK677"/>
    <mergeCell ref="AH724:AJ724"/>
    <mergeCell ref="DR655:DV655"/>
    <mergeCell ref="CS652:CW652"/>
    <mergeCell ref="CX652:DB652"/>
    <mergeCell ref="AC721:AG721"/>
    <mergeCell ref="AC722:AG722"/>
    <mergeCell ref="AH720:AJ720"/>
    <mergeCell ref="X718:AB718"/>
    <mergeCell ref="AK726:AO726"/>
    <mergeCell ref="AK722:AO722"/>
    <mergeCell ref="AA680:AK680"/>
    <mergeCell ref="AK728:AO728"/>
    <mergeCell ref="AK729:AO729"/>
    <mergeCell ref="AH729:AJ729"/>
    <mergeCell ref="AC727:AG727"/>
    <mergeCell ref="AC728:AG728"/>
    <mergeCell ref="X721:AB721"/>
    <mergeCell ref="X727:AB727"/>
    <mergeCell ref="AG681:AH681"/>
    <mergeCell ref="AC724:AG724"/>
    <mergeCell ref="AC720:AG720"/>
    <mergeCell ref="X719:AB719"/>
    <mergeCell ref="CX653:DB653"/>
    <mergeCell ref="CH660:CL660"/>
    <mergeCell ref="AC729:AG729"/>
    <mergeCell ref="AE702:AF702"/>
    <mergeCell ref="BS660:BW660"/>
    <mergeCell ref="BX653:CB653"/>
    <mergeCell ref="BX654:CB654"/>
    <mergeCell ref="AE698:AI698"/>
    <mergeCell ref="AC714:AG717"/>
    <mergeCell ref="AG673:AH673"/>
    <mergeCell ref="CC654:CG654"/>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G730:J730"/>
    <mergeCell ref="X730:AB730"/>
    <mergeCell ref="X731:AB731"/>
    <mergeCell ref="H688:R688"/>
    <mergeCell ref="Z675:AK675"/>
    <mergeCell ref="AK727:AO727"/>
    <mergeCell ref="X734:AB734"/>
    <mergeCell ref="X733:AB733"/>
    <mergeCell ref="AK720:AO720"/>
    <mergeCell ref="AK721:AO721"/>
    <mergeCell ref="AH734:AJ734"/>
    <mergeCell ref="G732:J732"/>
    <mergeCell ref="K728:N728"/>
    <mergeCell ref="AK731:AO731"/>
    <mergeCell ref="AK732:AO732"/>
    <mergeCell ref="AK733:AO733"/>
    <mergeCell ref="AK734:AO734"/>
    <mergeCell ref="AK735:AO735"/>
    <mergeCell ref="M358:N358"/>
    <mergeCell ref="W564:Y564"/>
    <mergeCell ref="AC634:AE634"/>
    <mergeCell ref="AH719:AJ719"/>
    <mergeCell ref="AK740:AO740"/>
    <mergeCell ref="AK741:AO741"/>
    <mergeCell ref="AK752:AO752"/>
    <mergeCell ref="AH737:AJ737"/>
    <mergeCell ref="AH738:AJ738"/>
    <mergeCell ref="AH736:AJ736"/>
    <mergeCell ref="AH735:AJ735"/>
    <mergeCell ref="EM670:EQ670"/>
    <mergeCell ref="DX656:EB656"/>
    <mergeCell ref="EC656:EG656"/>
    <mergeCell ref="EH656:EL656"/>
    <mergeCell ref="EM656:EQ656"/>
    <mergeCell ref="DC652:DG652"/>
    <mergeCell ref="DC650:DG650"/>
    <mergeCell ref="DR654:DV654"/>
    <mergeCell ref="DR653:DV653"/>
    <mergeCell ref="DH651:DL651"/>
    <mergeCell ref="DM651:DQ651"/>
    <mergeCell ref="BN649:BR649"/>
    <mergeCell ref="DR657:DV657"/>
    <mergeCell ref="DR649:DV649"/>
    <mergeCell ref="DR652:DV652"/>
    <mergeCell ref="DM655:DQ655"/>
    <mergeCell ref="BS655:BW655"/>
    <mergeCell ref="BX655:CB655"/>
    <mergeCell ref="DH653:DL653"/>
    <mergeCell ref="K719:N719"/>
    <mergeCell ref="Z603:AK603"/>
    <mergeCell ref="AI605:AK605"/>
    <mergeCell ref="AF634:AJ634"/>
    <mergeCell ref="W624:Y626"/>
    <mergeCell ref="T624:V626"/>
    <mergeCell ref="G611:R611"/>
    <mergeCell ref="C636:L636"/>
    <mergeCell ref="C637:L637"/>
    <mergeCell ref="AI687:AK687"/>
    <mergeCell ref="AE696:AI696"/>
    <mergeCell ref="AE693:AF693"/>
    <mergeCell ref="AE694:AF694"/>
    <mergeCell ref="G570:R570"/>
    <mergeCell ref="G577:R577"/>
    <mergeCell ref="AK635:AN635"/>
    <mergeCell ref="AK636:AN636"/>
    <mergeCell ref="AF631:AJ631"/>
    <mergeCell ref="AF632:AJ632"/>
    <mergeCell ref="AF635:AJ635"/>
    <mergeCell ref="AG615:AH615"/>
    <mergeCell ref="AA606:AK606"/>
    <mergeCell ref="AC624:AE626"/>
    <mergeCell ref="AK628:AN628"/>
    <mergeCell ref="N673:O673"/>
    <mergeCell ref="Z597:AE597"/>
    <mergeCell ref="AK630:AN630"/>
    <mergeCell ref="C638:L638"/>
    <mergeCell ref="P613:R613"/>
    <mergeCell ref="M635:P635"/>
    <mergeCell ref="M636:P636"/>
    <mergeCell ref="M637:P637"/>
    <mergeCell ref="M638:P638"/>
    <mergeCell ref="G604:R604"/>
    <mergeCell ref="M563:P563"/>
    <mergeCell ref="AC636:AE636"/>
    <mergeCell ref="H680:R680"/>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G676:R676"/>
    <mergeCell ref="B719:F719"/>
    <mergeCell ref="B714:F717"/>
    <mergeCell ref="Z686:AK686"/>
    <mergeCell ref="G675:R675"/>
    <mergeCell ref="Z667:AK667"/>
    <mergeCell ref="AG689:AH689"/>
    <mergeCell ref="R705:T705"/>
    <mergeCell ref="W703:AK703"/>
    <mergeCell ref="G678:R678"/>
    <mergeCell ref="P679:R679"/>
    <mergeCell ref="Z676:AK676"/>
    <mergeCell ref="W700:AK700"/>
    <mergeCell ref="Z683:AK683"/>
    <mergeCell ref="K718:N718"/>
    <mergeCell ref="G718:J718"/>
    <mergeCell ref="A709:AT711"/>
    <mergeCell ref="H340:M340"/>
    <mergeCell ref="Z577:AK577"/>
    <mergeCell ref="AE565:AH565"/>
    <mergeCell ref="G580:R580"/>
    <mergeCell ref="AI331:AK331"/>
    <mergeCell ref="P339:R339"/>
    <mergeCell ref="N363:O363"/>
    <mergeCell ref="M357:N357"/>
    <mergeCell ref="J385:U385"/>
    <mergeCell ref="V381:W381"/>
    <mergeCell ref="T555:V555"/>
    <mergeCell ref="W559:Y559"/>
    <mergeCell ref="A617:AT618"/>
    <mergeCell ref="M565:P565"/>
    <mergeCell ref="B624:L626"/>
    <mergeCell ref="Z561:AD561"/>
    <mergeCell ref="M562:P562"/>
    <mergeCell ref="W469:Y469"/>
    <mergeCell ref="AI339:AK339"/>
    <mergeCell ref="Z609:AK609"/>
    <mergeCell ref="G609:R609"/>
    <mergeCell ref="B566:AL566"/>
    <mergeCell ref="AM561:AS561"/>
    <mergeCell ref="AM559:AS559"/>
    <mergeCell ref="H590:R590"/>
    <mergeCell ref="G587:R587"/>
    <mergeCell ref="G578:R578"/>
    <mergeCell ref="Z602:AK602"/>
    <mergeCell ref="Z612:AK612"/>
    <mergeCell ref="Z593:AK593"/>
    <mergeCell ref="G586:R586"/>
    <mergeCell ref="G603:R60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A13:AT1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B740:F740"/>
    <mergeCell ref="O739:S739"/>
    <mergeCell ref="O740:S740"/>
    <mergeCell ref="K741:N741"/>
    <mergeCell ref="K752:N752"/>
    <mergeCell ref="K738:N738"/>
    <mergeCell ref="B752:F752"/>
    <mergeCell ref="W878:AC878"/>
    <mergeCell ref="D1031:AE1031"/>
    <mergeCell ref="I947:T947"/>
    <mergeCell ref="AJ1000:AQ1005"/>
    <mergeCell ref="D987:Q987"/>
    <mergeCell ref="D988:Q988"/>
    <mergeCell ref="AC739:AG739"/>
    <mergeCell ref="AB986:AI986"/>
    <mergeCell ref="D986:Q986"/>
    <mergeCell ref="R988:AA988"/>
    <mergeCell ref="AF1026:AI1027"/>
    <mergeCell ref="AB987:AI987"/>
    <mergeCell ref="AJ1012:AQ1014"/>
    <mergeCell ref="AJ1015:AQ1018"/>
    <mergeCell ref="AJ1024:AQ1027"/>
    <mergeCell ref="D1019:AE1020"/>
    <mergeCell ref="AB990:AI990"/>
    <mergeCell ref="D1024:AE1024"/>
    <mergeCell ref="B746:F746"/>
    <mergeCell ref="B747:F747"/>
    <mergeCell ref="B748:F748"/>
    <mergeCell ref="B749:F749"/>
    <mergeCell ref="B750:F750"/>
    <mergeCell ref="B751:F751"/>
    <mergeCell ref="D989:Q989"/>
    <mergeCell ref="AJ984:AQ984"/>
    <mergeCell ref="K750:N750"/>
    <mergeCell ref="O750:S750"/>
    <mergeCell ref="AA936:AF936"/>
    <mergeCell ref="F941:T941"/>
    <mergeCell ref="AJ989:AQ989"/>
    <mergeCell ref="T750:W750"/>
    <mergeCell ref="K751:N751"/>
    <mergeCell ref="AA967:AG967"/>
    <mergeCell ref="M957:S957"/>
    <mergeCell ref="J774:N774"/>
    <mergeCell ref="C827:H827"/>
    <mergeCell ref="J793:N793"/>
    <mergeCell ref="B753:F753"/>
    <mergeCell ref="B1059:AP1059"/>
    <mergeCell ref="C798:AN799"/>
    <mergeCell ref="T748:W748"/>
    <mergeCell ref="K749:N749"/>
    <mergeCell ref="O749:S749"/>
    <mergeCell ref="T749:W749"/>
    <mergeCell ref="AA971:AG971"/>
    <mergeCell ref="AA919:AF919"/>
    <mergeCell ref="J956:S956"/>
    <mergeCell ref="AA948:AF948"/>
    <mergeCell ref="U940:Z940"/>
    <mergeCell ref="M970:S970"/>
    <mergeCell ref="M955:S955"/>
    <mergeCell ref="AC750:AG750"/>
    <mergeCell ref="AC751:AG751"/>
    <mergeCell ref="AC744:AG744"/>
    <mergeCell ref="AC745:AG745"/>
    <mergeCell ref="AC746:AG746"/>
    <mergeCell ref="AC747:AG747"/>
    <mergeCell ref="K748:N748"/>
    <mergeCell ref="O748:S748"/>
    <mergeCell ref="AA918:AF918"/>
    <mergeCell ref="O776:S776"/>
    <mergeCell ref="O769:S772"/>
    <mergeCell ref="AJ1006:AQ1009"/>
    <mergeCell ref="AJ1010:AQ1011"/>
    <mergeCell ref="AJ985:AQ985"/>
    <mergeCell ref="AJ986:AQ986"/>
    <mergeCell ref="AJ987:AQ987"/>
    <mergeCell ref="B991:AI991"/>
    <mergeCell ref="R986:AA986"/>
    <mergeCell ref="AB984:AI984"/>
    <mergeCell ref="F935:T935"/>
    <mergeCell ref="AC742:AG742"/>
    <mergeCell ref="AC743:AG743"/>
    <mergeCell ref="B744:F744"/>
    <mergeCell ref="B745:F745"/>
    <mergeCell ref="AC748:AG748"/>
    <mergeCell ref="AC749:AG749"/>
    <mergeCell ref="T742:W742"/>
    <mergeCell ref="K743:N743"/>
    <mergeCell ref="O743:S743"/>
    <mergeCell ref="T743:W743"/>
    <mergeCell ref="K744:N744"/>
    <mergeCell ref="O744:S744"/>
    <mergeCell ref="AA922:AF922"/>
    <mergeCell ref="AB916:AE916"/>
    <mergeCell ref="AA921:AF921"/>
    <mergeCell ref="U921:Z921"/>
    <mergeCell ref="AA923:AF923"/>
    <mergeCell ref="AG829:AJ829"/>
    <mergeCell ref="O783:S786"/>
    <mergeCell ref="O756:R756"/>
    <mergeCell ref="AG756:AJ756"/>
    <mergeCell ref="T776:W776"/>
    <mergeCell ref="AD759:AF759"/>
    <mergeCell ref="AC774:AG774"/>
    <mergeCell ref="T775:W775"/>
    <mergeCell ref="C763:AR765"/>
    <mergeCell ref="C766:AR768"/>
    <mergeCell ref="B754:AH755"/>
    <mergeCell ref="AC889:AH889"/>
    <mergeCell ref="W875:AC875"/>
    <mergeCell ref="AC894:AH89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7" zoomScale="90" zoomScaleNormal="90" workbookViewId="0">
      <selection activeCell="G94" sqref="G9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96" t="s">
        <v>629</v>
      </c>
      <c r="G1" s="1897"/>
      <c r="H1" s="1897"/>
      <c r="I1" s="1897"/>
      <c r="J1" s="1897"/>
      <c r="K1" s="1897"/>
      <c r="L1" s="1897"/>
      <c r="M1" s="1897"/>
      <c r="N1" s="1897"/>
      <c r="O1" s="1897"/>
      <c r="P1" s="1897"/>
      <c r="Q1" s="1897"/>
      <c r="R1" s="1898"/>
      <c r="S1" s="112"/>
      <c r="T1" s="111"/>
      <c r="U1" s="113"/>
    </row>
    <row r="2" spans="1:21" s="138" customFormat="1" ht="71.25" customHeight="1">
      <c r="A2" s="137"/>
      <c r="B2" s="138" t="s">
        <v>23</v>
      </c>
      <c r="C2" s="138" t="s">
        <v>375</v>
      </c>
      <c r="D2" s="138" t="s">
        <v>374</v>
      </c>
      <c r="E2" s="138" t="s">
        <v>24</v>
      </c>
      <c r="F2" s="139" t="str">
        <f>Application!B627&amp;Application!C627</f>
        <v>1)Lument Real Estate Capital, LLC</v>
      </c>
      <c r="G2" s="139" t="str">
        <f>Application!B628&amp;Application!C628</f>
        <v>2)County of Santa Clara</v>
      </c>
      <c r="H2" s="139" t="str">
        <f>Application!B629&amp;Application!C629</f>
        <v>3)City of San José</v>
      </c>
      <c r="I2" s="139" t="str">
        <f>Application!B630&amp;Application!C630</f>
        <v>4)Lument Securities, LLC</v>
      </c>
      <c r="J2" s="139" t="str">
        <f>Application!B631&amp;Application!C631</f>
        <v>5)Affirmed Housing Group, Inc.</v>
      </c>
      <c r="K2" s="139" t="str">
        <f>Application!B632&amp;Application!C632</f>
        <v>6)Lument Securities, LLC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339793</v>
      </c>
      <c r="C5" s="147">
        <v>339793</v>
      </c>
      <c r="D5" s="147"/>
      <c r="E5" s="147"/>
      <c r="F5" s="147"/>
      <c r="G5" s="147"/>
      <c r="H5" s="147">
        <v>339793</v>
      </c>
      <c r="I5" s="147"/>
      <c r="J5" s="147"/>
      <c r="K5" s="147"/>
      <c r="L5" s="147"/>
      <c r="M5" s="147"/>
      <c r="N5" s="147"/>
      <c r="O5" s="147"/>
      <c r="P5" s="147"/>
      <c r="Q5" s="147"/>
      <c r="R5" s="550">
        <f>SUM(E5:Q5)</f>
        <v>339793</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1</v>
      </c>
      <c r="C7" s="147">
        <v>1</v>
      </c>
      <c r="D7" s="147"/>
      <c r="E7" s="147"/>
      <c r="F7" s="147"/>
      <c r="G7" s="147"/>
      <c r="H7" s="147">
        <v>1</v>
      </c>
      <c r="I7" s="147"/>
      <c r="J7" s="147"/>
      <c r="K7" s="147"/>
      <c r="L7" s="147"/>
      <c r="M7" s="147"/>
      <c r="N7" s="147"/>
      <c r="O7" s="147"/>
      <c r="P7" s="147"/>
      <c r="Q7" s="147"/>
      <c r="R7" s="550">
        <f>SUM(E7:Q7)</f>
        <v>1</v>
      </c>
      <c r="S7" s="148"/>
      <c r="T7" s="148"/>
      <c r="U7" s="143"/>
    </row>
    <row r="8" spans="1:21" s="144" customFormat="1">
      <c r="A8" s="149" t="s">
        <v>601</v>
      </c>
      <c r="B8" s="146">
        <f>SUM(C8:D8)</f>
        <v>339794</v>
      </c>
      <c r="C8" s="146">
        <f t="shared" ref="C8:Q8" si="0">SUM(C4:C7)</f>
        <v>339794</v>
      </c>
      <c r="D8" s="146">
        <f t="shared" si="0"/>
        <v>0</v>
      </c>
      <c r="E8" s="146">
        <f t="shared" si="0"/>
        <v>0</v>
      </c>
      <c r="F8" s="146">
        <f t="shared" si="0"/>
        <v>0</v>
      </c>
      <c r="G8" s="146">
        <f t="shared" si="0"/>
        <v>0</v>
      </c>
      <c r="H8" s="146">
        <f t="shared" si="0"/>
        <v>339794</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339794</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339794</v>
      </c>
      <c r="C12" s="146">
        <f t="shared" si="2"/>
        <v>339794</v>
      </c>
      <c r="D12" s="146">
        <f t="shared" si="2"/>
        <v>0</v>
      </c>
      <c r="E12" s="146">
        <f t="shared" si="2"/>
        <v>0</v>
      </c>
      <c r="F12" s="146">
        <f t="shared" si="2"/>
        <v>0</v>
      </c>
      <c r="G12" s="146">
        <f t="shared" si="2"/>
        <v>0</v>
      </c>
      <c r="H12" s="146">
        <f t="shared" si="2"/>
        <v>339794</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339794</v>
      </c>
      <c r="S12" s="148"/>
      <c r="T12" s="148"/>
      <c r="U12" s="143"/>
    </row>
    <row r="13" spans="1:21" s="144" customFormat="1">
      <c r="A13" s="309" t="s">
        <v>917</v>
      </c>
      <c r="B13" s="146">
        <f>SUM(C13+D13)</f>
        <v>1423729</v>
      </c>
      <c r="C13" s="147">
        <v>1423729</v>
      </c>
      <c r="D13" s="147"/>
      <c r="E13" s="147"/>
      <c r="F13" s="147"/>
      <c r="G13" s="147"/>
      <c r="H13" s="147">
        <v>1423729</v>
      </c>
      <c r="I13" s="147"/>
      <c r="J13" s="147"/>
      <c r="K13" s="147"/>
      <c r="L13" s="147"/>
      <c r="M13" s="147"/>
      <c r="N13" s="147"/>
      <c r="O13" s="147"/>
      <c r="P13" s="147"/>
      <c r="Q13" s="147"/>
      <c r="R13" s="550">
        <f>SUM(E13:Q13)</f>
        <v>1423729</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014"/>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5147606</v>
      </c>
      <c r="C29" s="147">
        <v>5147606</v>
      </c>
      <c r="D29" s="147"/>
      <c r="E29" s="147">
        <f>5147606-3-1000000-1000000-10000</f>
        <v>3137603</v>
      </c>
      <c r="F29" s="147"/>
      <c r="G29" s="147"/>
      <c r="H29" s="147">
        <f>3+1000000+10000</f>
        <v>1010003</v>
      </c>
      <c r="I29" s="147">
        <v>750000</v>
      </c>
      <c r="J29" s="147"/>
      <c r="K29" s="147">
        <f>1000000-750000</f>
        <v>250000</v>
      </c>
      <c r="L29" s="147"/>
      <c r="M29" s="147"/>
      <c r="N29" s="147"/>
      <c r="O29" s="147"/>
      <c r="P29" s="147"/>
      <c r="Q29" s="147"/>
      <c r="R29" s="550">
        <f t="shared" ref="R29:R37" si="7">SUM(E29:Q29)</f>
        <v>5147606</v>
      </c>
      <c r="S29" s="147">
        <f>C29</f>
        <v>5147606</v>
      </c>
      <c r="T29" s="147"/>
      <c r="U29" s="143"/>
    </row>
    <row r="30" spans="1:21" s="144" customFormat="1">
      <c r="A30" s="145" t="s">
        <v>607</v>
      </c>
      <c r="B30" s="146">
        <f t="shared" si="6"/>
        <v>82951955</v>
      </c>
      <c r="C30" s="147">
        <v>82951955</v>
      </c>
      <c r="D30" s="147"/>
      <c r="E30" s="147">
        <v>63413447</v>
      </c>
      <c r="F30" s="147">
        <v>19538508</v>
      </c>
      <c r="G30" s="147"/>
      <c r="H30" s="147"/>
      <c r="I30" s="147"/>
      <c r="J30" s="147"/>
      <c r="K30" s="147"/>
      <c r="L30" s="147"/>
      <c r="M30" s="147"/>
      <c r="N30" s="147"/>
      <c r="O30" s="147"/>
      <c r="P30" s="147"/>
      <c r="Q30" s="147"/>
      <c r="R30" s="550">
        <f t="shared" si="7"/>
        <v>82951955</v>
      </c>
      <c r="S30" s="147">
        <f>C30</f>
        <v>82951955</v>
      </c>
      <c r="T30" s="147"/>
      <c r="U30" s="143"/>
    </row>
    <row r="31" spans="1:21" s="144" customFormat="1">
      <c r="A31" s="145" t="s">
        <v>608</v>
      </c>
      <c r="B31" s="146">
        <f t="shared" si="6"/>
        <v>4000000</v>
      </c>
      <c r="C31" s="147">
        <v>4000000</v>
      </c>
      <c r="D31" s="147"/>
      <c r="E31" s="147">
        <v>1000000</v>
      </c>
      <c r="F31" s="147"/>
      <c r="G31" s="147"/>
      <c r="H31" s="147">
        <v>3000000</v>
      </c>
      <c r="I31" s="147"/>
      <c r="J31" s="147"/>
      <c r="K31" s="147"/>
      <c r="L31" s="147"/>
      <c r="M31" s="147"/>
      <c r="N31" s="147"/>
      <c r="O31" s="147"/>
      <c r="P31" s="147"/>
      <c r="Q31" s="147"/>
      <c r="R31" s="550">
        <f t="shared" si="7"/>
        <v>4000000</v>
      </c>
      <c r="S31" s="147">
        <f t="shared" ref="S31:S37" si="8">C31</f>
        <v>4000000</v>
      </c>
      <c r="T31" s="147"/>
      <c r="U31" s="143"/>
    </row>
    <row r="32" spans="1:21" s="144" customFormat="1">
      <c r="A32" s="145" t="s">
        <v>137</v>
      </c>
      <c r="B32" s="146">
        <f t="shared" si="6"/>
        <v>3900000</v>
      </c>
      <c r="C32" s="147">
        <v>3900000</v>
      </c>
      <c r="D32" s="147"/>
      <c r="E32" s="147"/>
      <c r="F32" s="147"/>
      <c r="G32" s="147"/>
      <c r="H32" s="147">
        <v>3900000</v>
      </c>
      <c r="I32" s="147"/>
      <c r="J32" s="147"/>
      <c r="K32" s="147"/>
      <c r="L32" s="147"/>
      <c r="M32" s="147"/>
      <c r="N32" s="147"/>
      <c r="O32" s="147"/>
      <c r="P32" s="147"/>
      <c r="Q32" s="147"/>
      <c r="R32" s="550">
        <f t="shared" si="7"/>
        <v>3900000</v>
      </c>
      <c r="S32" s="147">
        <f t="shared" si="8"/>
        <v>3900000</v>
      </c>
      <c r="T32" s="147"/>
      <c r="U32" s="143"/>
    </row>
    <row r="33" spans="1:21" s="144" customFormat="1">
      <c r="A33" s="145" t="s">
        <v>138</v>
      </c>
      <c r="B33" s="146">
        <f t="shared" si="6"/>
        <v>3900000</v>
      </c>
      <c r="C33" s="147">
        <v>3900000</v>
      </c>
      <c r="D33" s="147"/>
      <c r="E33" s="147"/>
      <c r="F33" s="147"/>
      <c r="G33" s="147"/>
      <c r="H33" s="147">
        <v>3900000</v>
      </c>
      <c r="I33" s="147"/>
      <c r="J33" s="147"/>
      <c r="K33" s="147"/>
      <c r="L33" s="147"/>
      <c r="M33" s="147"/>
      <c r="N33" s="147"/>
      <c r="O33" s="147"/>
      <c r="P33" s="147"/>
      <c r="Q33" s="147"/>
      <c r="R33" s="550">
        <f t="shared" si="7"/>
        <v>3900000</v>
      </c>
      <c r="S33" s="147">
        <f t="shared" si="8"/>
        <v>3900000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3358203</v>
      </c>
      <c r="C35" s="147">
        <v>3358203</v>
      </c>
      <c r="D35" s="147"/>
      <c r="E35" s="147"/>
      <c r="F35" s="147"/>
      <c r="G35" s="147"/>
      <c r="H35" s="147">
        <v>3358203</v>
      </c>
      <c r="I35" s="147"/>
      <c r="J35" s="147"/>
      <c r="K35" s="147"/>
      <c r="L35" s="147"/>
      <c r="M35" s="147"/>
      <c r="N35" s="147"/>
      <c r="O35" s="147"/>
      <c r="P35" s="147"/>
      <c r="Q35" s="147"/>
      <c r="R35" s="550">
        <f t="shared" si="7"/>
        <v>3358203</v>
      </c>
      <c r="S35" s="147">
        <f t="shared" si="8"/>
        <v>3358203</v>
      </c>
      <c r="T35" s="147"/>
      <c r="U35" s="143"/>
    </row>
    <row r="36" spans="1:21" s="144" customFormat="1">
      <c r="A36" s="304" t="s">
        <v>1752</v>
      </c>
      <c r="B36" s="146">
        <f t="shared" si="6"/>
        <v>80000</v>
      </c>
      <c r="C36" s="147">
        <v>80000</v>
      </c>
      <c r="D36" s="147"/>
      <c r="E36" s="147"/>
      <c r="F36" s="147">
        <v>80000</v>
      </c>
      <c r="G36" s="147"/>
      <c r="H36" s="147"/>
      <c r="I36" s="147"/>
      <c r="J36" s="147"/>
      <c r="K36" s="147"/>
      <c r="L36" s="147"/>
      <c r="M36" s="147"/>
      <c r="N36" s="147"/>
      <c r="O36" s="147"/>
      <c r="P36" s="147"/>
      <c r="Q36" s="147"/>
      <c r="R36" s="550">
        <f t="shared" si="7"/>
        <v>80000</v>
      </c>
      <c r="S36" s="147">
        <f t="shared" si="8"/>
        <v>80000</v>
      </c>
      <c r="T36" s="147"/>
      <c r="U36" s="143"/>
    </row>
    <row r="37" spans="1:21" s="144" customFormat="1">
      <c r="A37" s="1193" t="s">
        <v>2733</v>
      </c>
      <c r="B37" s="146">
        <f t="shared" si="6"/>
        <v>1434223</v>
      </c>
      <c r="C37" s="147">
        <v>1434223</v>
      </c>
      <c r="D37" s="147"/>
      <c r="E37" s="147"/>
      <c r="F37" s="147">
        <f>C37</f>
        <v>1434223</v>
      </c>
      <c r="G37" s="147"/>
      <c r="H37" s="147"/>
      <c r="I37" s="147"/>
      <c r="J37" s="147"/>
      <c r="K37" s="147"/>
      <c r="L37" s="147"/>
      <c r="M37" s="147"/>
      <c r="N37" s="147"/>
      <c r="O37" s="147"/>
      <c r="P37" s="147"/>
      <c r="Q37" s="147"/>
      <c r="R37" s="550">
        <f t="shared" si="7"/>
        <v>1434223</v>
      </c>
      <c r="S37" s="147">
        <f t="shared" si="8"/>
        <v>1434223</v>
      </c>
      <c r="T37" s="147"/>
      <c r="U37" s="143"/>
    </row>
    <row r="38" spans="1:21" s="144" customFormat="1">
      <c r="A38" s="149" t="s">
        <v>143</v>
      </c>
      <c r="B38" s="146">
        <f t="shared" si="6"/>
        <v>104771987</v>
      </c>
      <c r="C38" s="146">
        <f>SUM(C29:C37)</f>
        <v>104771987</v>
      </c>
      <c r="D38" s="146">
        <f t="shared" ref="D38:Q38" si="9">SUM(D29:D37)</f>
        <v>0</v>
      </c>
      <c r="E38" s="146">
        <f t="shared" si="9"/>
        <v>67551050</v>
      </c>
      <c r="F38" s="146">
        <f t="shared" si="9"/>
        <v>21052731</v>
      </c>
      <c r="G38" s="146">
        <f t="shared" si="9"/>
        <v>0</v>
      </c>
      <c r="H38" s="146">
        <f t="shared" si="9"/>
        <v>15168206</v>
      </c>
      <c r="I38" s="146">
        <f t="shared" si="9"/>
        <v>750000</v>
      </c>
      <c r="J38" s="146">
        <f t="shared" si="9"/>
        <v>0</v>
      </c>
      <c r="K38" s="146">
        <f t="shared" si="9"/>
        <v>250000</v>
      </c>
      <c r="L38" s="146">
        <f t="shared" si="9"/>
        <v>0</v>
      </c>
      <c r="M38" s="146">
        <f t="shared" si="9"/>
        <v>0</v>
      </c>
      <c r="N38" s="146">
        <f t="shared" si="9"/>
        <v>0</v>
      </c>
      <c r="O38" s="146">
        <f t="shared" si="9"/>
        <v>0</v>
      </c>
      <c r="P38" s="146">
        <f t="shared" si="9"/>
        <v>0</v>
      </c>
      <c r="Q38" s="146">
        <f t="shared" si="9"/>
        <v>0</v>
      </c>
      <c r="R38" s="370">
        <f>SUM(R29:R37)</f>
        <v>104771987</v>
      </c>
      <c r="S38" s="150">
        <f>SUM(S29:S37)</f>
        <v>104771987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2450000</v>
      </c>
      <c r="C40" s="147">
        <v>2450000</v>
      </c>
      <c r="D40" s="147"/>
      <c r="E40" s="147">
        <v>1000000</v>
      </c>
      <c r="F40" s="147">
        <v>1450000</v>
      </c>
      <c r="G40" s="147"/>
      <c r="H40" s="147"/>
      <c r="I40" s="147"/>
      <c r="J40" s="147"/>
      <c r="K40" s="147"/>
      <c r="L40" s="147"/>
      <c r="M40" s="147"/>
      <c r="N40" s="147"/>
      <c r="O40" s="147"/>
      <c r="P40" s="147"/>
      <c r="Q40" s="147"/>
      <c r="R40" s="550">
        <f>SUM(E40:Q40)</f>
        <v>2450000</v>
      </c>
      <c r="S40" s="147">
        <f>C40</f>
        <v>2450000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2450000</v>
      </c>
      <c r="C42" s="146">
        <f>SUM(C39:C41)</f>
        <v>2450000</v>
      </c>
      <c r="D42" s="146">
        <f>SUM(D39:D41)</f>
        <v>0</v>
      </c>
      <c r="E42" s="146">
        <f t="shared" ref="E42:T42" si="10">SUM(E40:E41)</f>
        <v>1000000</v>
      </c>
      <c r="F42" s="146">
        <f t="shared" si="10"/>
        <v>1450000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2450000</v>
      </c>
      <c r="S42" s="150">
        <f t="shared" si="10"/>
        <v>2450000</v>
      </c>
      <c r="T42" s="150">
        <f t="shared" si="10"/>
        <v>0</v>
      </c>
      <c r="U42" s="143"/>
    </row>
    <row r="43" spans="1:21" s="144" customFormat="1">
      <c r="A43" s="149" t="s">
        <v>148</v>
      </c>
      <c r="B43" s="146">
        <f>SUM(C43:D43)</f>
        <v>750000</v>
      </c>
      <c r="C43" s="147">
        <v>750000</v>
      </c>
      <c r="D43" s="147"/>
      <c r="E43" s="147"/>
      <c r="F43" s="147">
        <v>750000</v>
      </c>
      <c r="G43" s="147"/>
      <c r="H43" s="147"/>
      <c r="I43" s="147"/>
      <c r="J43" s="147"/>
      <c r="K43" s="147"/>
      <c r="L43" s="147"/>
      <c r="M43" s="147"/>
      <c r="N43" s="147"/>
      <c r="O43" s="147"/>
      <c r="P43" s="147"/>
      <c r="Q43" s="147"/>
      <c r="R43" s="550">
        <f>SUM(E43:Q43)</f>
        <v>750000</v>
      </c>
      <c r="S43" s="147">
        <f>C43</f>
        <v>750000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6500000</v>
      </c>
      <c r="C45" s="147">
        <v>6500000</v>
      </c>
      <c r="D45" s="147"/>
      <c r="E45" s="147">
        <v>647547</v>
      </c>
      <c r="F45" s="147">
        <f>6700000-647547-200000</f>
        <v>5852453</v>
      </c>
      <c r="G45" s="147"/>
      <c r="H45" s="147"/>
      <c r="I45" s="147"/>
      <c r="J45" s="147"/>
      <c r="K45" s="147"/>
      <c r="L45" s="147"/>
      <c r="M45" s="147"/>
      <c r="N45" s="147"/>
      <c r="O45" s="147"/>
      <c r="P45" s="147"/>
      <c r="Q45" s="147"/>
      <c r="R45" s="550">
        <f t="shared" ref="R45:R53" si="12">SUM(E45:Q45)</f>
        <v>6500000</v>
      </c>
      <c r="S45" s="147">
        <f>C45</f>
        <v>6500000</v>
      </c>
      <c r="T45" s="147"/>
      <c r="U45" s="143"/>
    </row>
    <row r="46" spans="1:21" s="144" customFormat="1">
      <c r="A46" s="145" t="s">
        <v>151</v>
      </c>
      <c r="B46" s="146">
        <f t="shared" si="11"/>
        <v>650000</v>
      </c>
      <c r="C46" s="147">
        <v>650000</v>
      </c>
      <c r="D46" s="147"/>
      <c r="E46" s="147"/>
      <c r="F46" s="147">
        <v>650000</v>
      </c>
      <c r="G46" s="147"/>
      <c r="H46" s="147"/>
      <c r="I46" s="147"/>
      <c r="J46" s="147"/>
      <c r="K46" s="147"/>
      <c r="L46" s="147"/>
      <c r="M46" s="147"/>
      <c r="N46" s="147"/>
      <c r="O46" s="147"/>
      <c r="P46" s="147"/>
      <c r="Q46" s="147"/>
      <c r="R46" s="550">
        <f t="shared" si="12"/>
        <v>650000</v>
      </c>
      <c r="S46" s="147">
        <f>C46</f>
        <v>650000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f t="shared" ref="S47:S53" si="13">C47</f>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f t="shared" si="13"/>
        <v>0</v>
      </c>
      <c r="T48" s="147"/>
      <c r="U48" s="143"/>
    </row>
    <row r="49" spans="1:21" s="144" customFormat="1">
      <c r="A49" s="145" t="s">
        <v>57</v>
      </c>
      <c r="B49" s="146">
        <f t="shared" si="11"/>
        <v>358505</v>
      </c>
      <c r="C49" s="147">
        <v>358505</v>
      </c>
      <c r="D49" s="147"/>
      <c r="E49" s="147"/>
      <c r="F49" s="147">
        <v>358505</v>
      </c>
      <c r="G49" s="147"/>
      <c r="H49" s="147"/>
      <c r="I49" s="147"/>
      <c r="J49" s="147"/>
      <c r="K49" s="147"/>
      <c r="L49" s="147"/>
      <c r="M49" s="147"/>
      <c r="N49" s="147"/>
      <c r="O49" s="147"/>
      <c r="P49" s="147"/>
      <c r="Q49" s="147"/>
      <c r="R49" s="550">
        <f t="shared" si="12"/>
        <v>358505</v>
      </c>
      <c r="S49" s="147">
        <v>35851</v>
      </c>
      <c r="T49" s="147"/>
      <c r="U49" s="143"/>
    </row>
    <row r="50" spans="1:21" s="144" customFormat="1">
      <c r="A50" s="145" t="s">
        <v>156</v>
      </c>
      <c r="B50" s="146">
        <f t="shared" si="11"/>
        <v>150000</v>
      </c>
      <c r="C50" s="147">
        <v>150000</v>
      </c>
      <c r="D50" s="147"/>
      <c r="E50" s="147"/>
      <c r="F50" s="147">
        <v>150000</v>
      </c>
      <c r="G50" s="147"/>
      <c r="H50" s="147"/>
      <c r="I50" s="147"/>
      <c r="J50" s="147"/>
      <c r="K50" s="147"/>
      <c r="L50" s="147"/>
      <c r="M50" s="147"/>
      <c r="N50" s="147"/>
      <c r="O50" s="147"/>
      <c r="P50" s="147"/>
      <c r="Q50" s="147"/>
      <c r="R50" s="550">
        <f t="shared" si="12"/>
        <v>150000</v>
      </c>
      <c r="S50" s="147">
        <f t="shared" si="13"/>
        <v>150000</v>
      </c>
      <c r="T50" s="147"/>
      <c r="U50" s="143"/>
    </row>
    <row r="51" spans="1:21" s="144" customFormat="1">
      <c r="A51" s="304" t="s">
        <v>154</v>
      </c>
      <c r="B51" s="146">
        <f t="shared" si="11"/>
        <v>450979</v>
      </c>
      <c r="C51" s="147">
        <v>450979</v>
      </c>
      <c r="D51" s="147"/>
      <c r="E51" s="147"/>
      <c r="F51" s="147">
        <v>450979</v>
      </c>
      <c r="G51" s="147"/>
      <c r="H51" s="147"/>
      <c r="I51" s="147"/>
      <c r="J51" s="147"/>
      <c r="K51" s="147"/>
      <c r="L51" s="147"/>
      <c r="M51" s="147"/>
      <c r="N51" s="147"/>
      <c r="O51" s="147"/>
      <c r="P51" s="147"/>
      <c r="Q51" s="147"/>
      <c r="R51" s="550">
        <f t="shared" si="12"/>
        <v>450979</v>
      </c>
      <c r="S51" s="147">
        <f t="shared" si="13"/>
        <v>450979</v>
      </c>
      <c r="T51" s="147"/>
      <c r="U51" s="143"/>
    </row>
    <row r="52" spans="1:21" s="144" customFormat="1">
      <c r="A52" s="145" t="s">
        <v>155</v>
      </c>
      <c r="B52" s="146">
        <f t="shared" si="11"/>
        <v>1000000</v>
      </c>
      <c r="C52" s="147">
        <v>1000000</v>
      </c>
      <c r="D52" s="147"/>
      <c r="E52" s="147"/>
      <c r="F52" s="147">
        <v>1000000</v>
      </c>
      <c r="G52" s="147"/>
      <c r="H52" s="147"/>
      <c r="I52" s="147"/>
      <c r="J52" s="147"/>
      <c r="K52" s="147"/>
      <c r="L52" s="147"/>
      <c r="M52" s="147"/>
      <c r="N52" s="147"/>
      <c r="O52" s="147"/>
      <c r="P52" s="147"/>
      <c r="Q52" s="147"/>
      <c r="R52" s="550">
        <f t="shared" si="12"/>
        <v>1000000</v>
      </c>
      <c r="S52" s="147">
        <f t="shared" si="13"/>
        <v>1000000</v>
      </c>
      <c r="T52" s="147"/>
      <c r="U52" s="143"/>
    </row>
    <row r="53" spans="1:21" s="144" customFormat="1">
      <c r="A53" s="1193" t="s">
        <v>2800</v>
      </c>
      <c r="B53" s="146">
        <f t="shared" si="11"/>
        <v>1400000</v>
      </c>
      <c r="C53" s="147">
        <v>1400000</v>
      </c>
      <c r="D53" s="147"/>
      <c r="E53" s="147"/>
      <c r="F53" s="147">
        <v>1400000</v>
      </c>
      <c r="G53" s="147"/>
      <c r="H53" s="147"/>
      <c r="I53" s="147"/>
      <c r="J53" s="147"/>
      <c r="K53" s="147"/>
      <c r="L53" s="147"/>
      <c r="M53" s="147"/>
      <c r="N53" s="147"/>
      <c r="O53" s="147"/>
      <c r="P53" s="147"/>
      <c r="Q53" s="147"/>
      <c r="R53" s="550">
        <f t="shared" si="12"/>
        <v>1400000</v>
      </c>
      <c r="S53" s="147">
        <f t="shared" si="13"/>
        <v>1400000</v>
      </c>
      <c r="T53" s="147"/>
      <c r="U53" s="143"/>
    </row>
    <row r="54" spans="1:21" s="153" customFormat="1">
      <c r="A54" s="149" t="s">
        <v>157</v>
      </c>
      <c r="B54" s="150">
        <f>SUM(C54:D54)</f>
        <v>10509484</v>
      </c>
      <c r="C54" s="150">
        <f t="shared" ref="C54:T54" si="14">SUM(C45:C53)</f>
        <v>10509484</v>
      </c>
      <c r="D54" s="150">
        <f t="shared" si="14"/>
        <v>0</v>
      </c>
      <c r="E54" s="150">
        <f t="shared" si="14"/>
        <v>647547</v>
      </c>
      <c r="F54" s="150">
        <f t="shared" si="14"/>
        <v>9861937</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10509484</v>
      </c>
      <c r="S54" s="150">
        <f t="shared" si="14"/>
        <v>10186830</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444050</v>
      </c>
      <c r="C56" s="147">
        <v>444050</v>
      </c>
      <c r="D56" s="147"/>
      <c r="E56" s="147"/>
      <c r="F56" s="147"/>
      <c r="G56" s="147"/>
      <c r="H56" s="147">
        <v>444050</v>
      </c>
      <c r="I56" s="147"/>
      <c r="J56" s="147"/>
      <c r="K56" s="147"/>
      <c r="L56" s="147"/>
      <c r="M56" s="147"/>
      <c r="N56" s="147"/>
      <c r="O56" s="147"/>
      <c r="P56" s="147"/>
      <c r="Q56" s="147"/>
      <c r="R56" s="550">
        <f t="shared" ref="R56:R61" si="16">SUM(E56:Q56)</f>
        <v>444050</v>
      </c>
      <c r="S56" s="148"/>
      <c r="T56" s="148"/>
      <c r="U56" s="143"/>
    </row>
    <row r="57" spans="1:21" s="204" customFormat="1">
      <c r="A57" s="198" t="s">
        <v>152</v>
      </c>
      <c r="B57" s="205">
        <f t="shared" si="15"/>
        <v>703772</v>
      </c>
      <c r="C57" s="202">
        <f>166519+93203+444050</f>
        <v>703772</v>
      </c>
      <c r="D57" s="202"/>
      <c r="E57" s="202">
        <f>476586-4</f>
        <v>476582</v>
      </c>
      <c r="F57" s="202">
        <f>178728+525044-476586+4</f>
        <v>227190</v>
      </c>
      <c r="G57" s="202"/>
      <c r="H57" s="202"/>
      <c r="I57" s="202"/>
      <c r="J57" s="202"/>
      <c r="K57" s="202"/>
      <c r="L57" s="202"/>
      <c r="M57" s="202"/>
      <c r="N57" s="202"/>
      <c r="O57" s="202"/>
      <c r="P57" s="202"/>
      <c r="Q57" s="202"/>
      <c r="R57" s="550">
        <f t="shared" si="16"/>
        <v>703772</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2735</v>
      </c>
      <c r="B61" s="146">
        <f t="shared" si="15"/>
        <v>4000000</v>
      </c>
      <c r="C61" s="147">
        <v>4000000</v>
      </c>
      <c r="D61" s="147"/>
      <c r="E61" s="147"/>
      <c r="F61" s="1014">
        <f>3500000-358115</f>
        <v>3141885</v>
      </c>
      <c r="G61" s="147"/>
      <c r="H61" s="147"/>
      <c r="I61" s="147">
        <v>858115</v>
      </c>
      <c r="J61" s="147"/>
      <c r="K61" s="147"/>
      <c r="L61" s="147"/>
      <c r="M61" s="147"/>
      <c r="N61" s="147"/>
      <c r="O61" s="147"/>
      <c r="P61" s="147"/>
      <c r="Q61" s="147"/>
      <c r="R61" s="550">
        <f t="shared" si="16"/>
        <v>4000000</v>
      </c>
      <c r="S61" s="148"/>
      <c r="T61" s="148"/>
      <c r="U61" s="143"/>
    </row>
    <row r="62" spans="1:21" s="144" customFormat="1" ht="13.7" customHeight="1">
      <c r="A62" s="149" t="s">
        <v>302</v>
      </c>
      <c r="B62" s="146">
        <f>SUM(C62:D62)</f>
        <v>5147822</v>
      </c>
      <c r="C62" s="146">
        <f t="shared" ref="C62:R62" si="17">SUM(C56:C61)</f>
        <v>5147822</v>
      </c>
      <c r="D62" s="146">
        <f t="shared" si="17"/>
        <v>0</v>
      </c>
      <c r="E62" s="146">
        <f t="shared" si="17"/>
        <v>476582</v>
      </c>
      <c r="F62" s="146">
        <f t="shared" si="17"/>
        <v>3369075</v>
      </c>
      <c r="G62" s="146">
        <f t="shared" si="17"/>
        <v>0</v>
      </c>
      <c r="H62" s="146">
        <f t="shared" si="17"/>
        <v>444050</v>
      </c>
      <c r="I62" s="146">
        <f t="shared" si="17"/>
        <v>858115</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5147822</v>
      </c>
      <c r="S62" s="148"/>
      <c r="T62" s="148"/>
      <c r="U62" s="143"/>
    </row>
    <row r="63" spans="1:21" s="144" customFormat="1">
      <c r="A63" s="154" t="s">
        <v>303</v>
      </c>
      <c r="B63" s="146">
        <f t="shared" ref="B63:R63" si="18">SUM(B8+B11+B13+B14+B15+B26+B27+B38+B42+B43+B54+B62)</f>
        <v>125392816</v>
      </c>
      <c r="C63" s="146">
        <f t="shared" si="18"/>
        <v>125392816</v>
      </c>
      <c r="D63" s="146">
        <f t="shared" si="18"/>
        <v>0</v>
      </c>
      <c r="E63" s="146">
        <f t="shared" si="18"/>
        <v>69675179</v>
      </c>
      <c r="F63" s="146">
        <f t="shared" si="18"/>
        <v>36483743</v>
      </c>
      <c r="G63" s="146">
        <f t="shared" si="18"/>
        <v>0</v>
      </c>
      <c r="H63" s="146">
        <f t="shared" si="18"/>
        <v>17375779</v>
      </c>
      <c r="I63" s="146">
        <f t="shared" si="18"/>
        <v>1608115</v>
      </c>
      <c r="J63" s="146">
        <f t="shared" si="18"/>
        <v>0</v>
      </c>
      <c r="K63" s="146">
        <f t="shared" si="18"/>
        <v>250000</v>
      </c>
      <c r="L63" s="146">
        <f t="shared" si="18"/>
        <v>0</v>
      </c>
      <c r="M63" s="146">
        <f t="shared" si="18"/>
        <v>0</v>
      </c>
      <c r="N63" s="146">
        <f t="shared" si="18"/>
        <v>0</v>
      </c>
      <c r="O63" s="146">
        <f t="shared" si="18"/>
        <v>0</v>
      </c>
      <c r="P63" s="146">
        <f t="shared" si="18"/>
        <v>0</v>
      </c>
      <c r="Q63" s="146">
        <f t="shared" si="18"/>
        <v>0</v>
      </c>
      <c r="R63" s="370">
        <f t="shared" si="18"/>
        <v>125392816</v>
      </c>
      <c r="S63" s="146">
        <f>SUM(S10+S13+S14+S15+S26+S27+S38+S42+S43+S54)</f>
        <v>118158817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c r="F65" s="147"/>
      <c r="G65" s="147"/>
      <c r="H65" s="147">
        <v>150000</v>
      </c>
      <c r="I65" s="147"/>
      <c r="J65" s="147"/>
      <c r="K65" s="147"/>
      <c r="L65" s="147"/>
      <c r="M65" s="147"/>
      <c r="N65" s="147"/>
      <c r="O65" s="147"/>
      <c r="P65" s="147"/>
      <c r="Q65" s="147"/>
      <c r="R65" s="550">
        <f>SUM(E65:Q65)</f>
        <v>150000</v>
      </c>
      <c r="S65" s="147">
        <v>50000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v>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v>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v>0</v>
      </c>
      <c r="T68" s="147"/>
      <c r="U68" s="143"/>
    </row>
    <row r="69" spans="1:21" s="144" customFormat="1">
      <c r="A69" s="1193" t="s">
        <v>2802</v>
      </c>
      <c r="B69" s="146">
        <f>SUM(C69+D69)</f>
        <v>150000</v>
      </c>
      <c r="C69" s="147">
        <v>150000</v>
      </c>
      <c r="D69" s="147"/>
      <c r="E69" s="147"/>
      <c r="F69" s="147"/>
      <c r="G69" s="147"/>
      <c r="H69" s="147">
        <v>150000</v>
      </c>
      <c r="I69" s="147"/>
      <c r="J69" s="147"/>
      <c r="K69" s="147"/>
      <c r="L69" s="147"/>
      <c r="M69" s="147"/>
      <c r="N69" s="147"/>
      <c r="O69" s="147"/>
      <c r="P69" s="147"/>
      <c r="Q69" s="147"/>
      <c r="R69" s="550">
        <f>SUM(E69:Q69)</f>
        <v>150000</v>
      </c>
      <c r="S69" s="147">
        <v>10000</v>
      </c>
      <c r="T69" s="147"/>
      <c r="U69" s="143"/>
    </row>
    <row r="70" spans="1:21" s="144" customFormat="1">
      <c r="A70" s="149" t="s">
        <v>1757</v>
      </c>
      <c r="B70" s="146">
        <f>SUM(C70:D70)</f>
        <v>300000</v>
      </c>
      <c r="C70" s="146">
        <f>SUM(C65:C69)</f>
        <v>300000</v>
      </c>
      <c r="D70" s="146">
        <f>SUM(D65:D69)</f>
        <v>0</v>
      </c>
      <c r="E70" s="146">
        <f t="shared" ref="E70:T70" si="19">SUM(E65:E69)</f>
        <v>0</v>
      </c>
      <c r="F70" s="146">
        <f t="shared" si="19"/>
        <v>0</v>
      </c>
      <c r="G70" s="146">
        <f t="shared" si="19"/>
        <v>0</v>
      </c>
      <c r="H70" s="146">
        <f t="shared" si="19"/>
        <v>300000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300000</v>
      </c>
      <c r="S70" s="150">
        <f t="shared" si="19"/>
        <v>60000</v>
      </c>
      <c r="T70" s="150">
        <f t="shared" si="19"/>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1038000</v>
      </c>
      <c r="C75" s="147">
        <v>1038000</v>
      </c>
      <c r="D75" s="147"/>
      <c r="E75" s="147"/>
      <c r="F75" s="147">
        <v>5000</v>
      </c>
      <c r="G75" s="147"/>
      <c r="H75" s="147">
        <v>1033000</v>
      </c>
      <c r="I75" s="147"/>
      <c r="J75" s="147"/>
      <c r="K75" s="147"/>
      <c r="L75" s="147"/>
      <c r="M75" s="147"/>
      <c r="N75" s="147"/>
      <c r="O75" s="147"/>
      <c r="P75" s="147"/>
      <c r="Q75" s="147"/>
      <c r="R75" s="550">
        <f>SUM(E75:Q75)</f>
        <v>1038000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1038000</v>
      </c>
      <c r="C77" s="146">
        <f>SUM(C72:C76)</f>
        <v>1038000</v>
      </c>
      <c r="D77" s="146">
        <f>SUM(D72:D76)</f>
        <v>0</v>
      </c>
      <c r="E77" s="146">
        <f t="shared" ref="E77:Q77" si="20">SUM(E72:E76)</f>
        <v>0</v>
      </c>
      <c r="F77" s="146">
        <f t="shared" si="20"/>
        <v>5000</v>
      </c>
      <c r="G77" s="146">
        <f t="shared" si="20"/>
        <v>0</v>
      </c>
      <c r="H77" s="146">
        <f t="shared" si="20"/>
        <v>1033000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1038000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6301906</v>
      </c>
      <c r="C79" s="147">
        <v>6301906</v>
      </c>
      <c r="D79" s="147"/>
      <c r="E79" s="147">
        <f>6301906-1226222</f>
        <v>5075684</v>
      </c>
      <c r="F79" s="147">
        <v>1226222</v>
      </c>
      <c r="G79" s="147"/>
      <c r="H79" s="147"/>
      <c r="I79" s="147"/>
      <c r="J79" s="147"/>
      <c r="K79" s="147"/>
      <c r="L79" s="147"/>
      <c r="M79" s="147"/>
      <c r="N79" s="147"/>
      <c r="O79" s="147"/>
      <c r="P79" s="147"/>
      <c r="Q79" s="147"/>
      <c r="R79" s="550">
        <f>SUM(E79:Q79)</f>
        <v>6301906</v>
      </c>
      <c r="S79" s="147">
        <f>C79</f>
        <v>6301906</v>
      </c>
      <c r="T79" s="147"/>
      <c r="U79" s="143"/>
    </row>
    <row r="80" spans="1:21" s="144" customFormat="1">
      <c r="A80" s="304" t="s">
        <v>58</v>
      </c>
      <c r="B80" s="146">
        <f>SUM(C80:D80)</f>
        <v>1581890</v>
      </c>
      <c r="C80" s="147">
        <f>1581929-39</f>
        <v>1581890</v>
      </c>
      <c r="D80" s="147"/>
      <c r="E80" s="147">
        <f>81540+39</f>
        <v>81579</v>
      </c>
      <c r="F80" s="147">
        <f>1527794-27635+191-39</f>
        <v>1500311</v>
      </c>
      <c r="G80" s="147"/>
      <c r="H80" s="147"/>
      <c r="I80" s="147"/>
      <c r="J80" s="147"/>
      <c r="K80" s="147"/>
      <c r="L80" s="147"/>
      <c r="M80" s="147"/>
      <c r="N80" s="147"/>
      <c r="O80" s="147"/>
      <c r="P80" s="147"/>
      <c r="Q80" s="147"/>
      <c r="R80" s="550">
        <f>SUM(E80:Q80)</f>
        <v>1581890</v>
      </c>
      <c r="S80" s="147">
        <f>C80</f>
        <v>1581890</v>
      </c>
      <c r="T80" s="147"/>
      <c r="U80" s="143"/>
    </row>
    <row r="81" spans="1:21" s="144" customFormat="1">
      <c r="A81" s="149" t="s">
        <v>1314</v>
      </c>
      <c r="B81" s="146">
        <f>SUM(C81:D81)</f>
        <v>7883796</v>
      </c>
      <c r="C81" s="543">
        <f>SUM(C79:C80)</f>
        <v>7883796</v>
      </c>
      <c r="D81" s="543">
        <f t="shared" ref="D81:T81" si="21">SUM(D79:D80)</f>
        <v>0</v>
      </c>
      <c r="E81" s="543">
        <f t="shared" si="21"/>
        <v>5157263</v>
      </c>
      <c r="F81" s="543">
        <f t="shared" si="21"/>
        <v>2726533</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7883796</v>
      </c>
      <c r="S81" s="543">
        <f t="shared" si="21"/>
        <v>7883796</v>
      </c>
      <c r="T81" s="543">
        <f t="shared" si="2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2">SUM(C83+D83)</f>
        <v>353812</v>
      </c>
      <c r="C83" s="147">
        <v>353812</v>
      </c>
      <c r="D83" s="147"/>
      <c r="E83" s="147"/>
      <c r="F83" s="147"/>
      <c r="G83" s="147">
        <v>353812</v>
      </c>
      <c r="H83" s="147"/>
      <c r="I83" s="147"/>
      <c r="J83" s="147"/>
      <c r="K83" s="147"/>
      <c r="L83" s="147"/>
      <c r="M83" s="147"/>
      <c r="N83" s="147"/>
      <c r="O83" s="147"/>
      <c r="P83" s="147"/>
      <c r="Q83" s="147"/>
      <c r="R83" s="550">
        <f t="shared" ref="R83:R95" si="23">SUM(E83:Q83)</f>
        <v>353812</v>
      </c>
      <c r="S83" s="148"/>
      <c r="T83" s="148"/>
      <c r="U83" s="143"/>
    </row>
    <row r="84" spans="1:21" s="144" customFormat="1">
      <c r="A84" s="145" t="s">
        <v>776</v>
      </c>
      <c r="B84" s="146">
        <f t="shared" si="22"/>
        <v>125000</v>
      </c>
      <c r="C84" s="147">
        <v>125000</v>
      </c>
      <c r="D84" s="147"/>
      <c r="E84" s="147"/>
      <c r="F84" s="147"/>
      <c r="G84" s="147"/>
      <c r="H84" s="147">
        <v>125000</v>
      </c>
      <c r="I84" s="147"/>
      <c r="J84" s="147"/>
      <c r="K84" s="147"/>
      <c r="L84" s="147"/>
      <c r="M84" s="147"/>
      <c r="N84" s="147"/>
      <c r="O84" s="147"/>
      <c r="P84" s="147"/>
      <c r="Q84" s="147"/>
      <c r="R84" s="550">
        <f t="shared" si="23"/>
        <v>125000</v>
      </c>
      <c r="S84" s="147">
        <f>C84</f>
        <v>125000</v>
      </c>
      <c r="T84" s="147"/>
      <c r="U84" s="143"/>
    </row>
    <row r="85" spans="1:21" s="144" customFormat="1">
      <c r="A85" s="145" t="s">
        <v>777</v>
      </c>
      <c r="B85" s="146">
        <f t="shared" si="22"/>
        <v>1801243</v>
      </c>
      <c r="C85" s="147">
        <v>1801243</v>
      </c>
      <c r="D85" s="147"/>
      <c r="E85" s="147">
        <f>584162-298793</f>
        <v>285369</v>
      </c>
      <c r="F85" s="147">
        <f>1474956-584162+298793</f>
        <v>1189587</v>
      </c>
      <c r="G85" s="147">
        <f>1801243-1474956</f>
        <v>326287</v>
      </c>
      <c r="H85" s="147"/>
      <c r="I85" s="147"/>
      <c r="J85" s="147"/>
      <c r="K85" s="147"/>
      <c r="L85" s="147"/>
      <c r="M85" s="147"/>
      <c r="N85" s="147"/>
      <c r="O85" s="147"/>
      <c r="P85" s="147"/>
      <c r="Q85" s="147"/>
      <c r="R85" s="550">
        <f t="shared" si="23"/>
        <v>1801243</v>
      </c>
      <c r="S85" s="147">
        <f>C85</f>
        <v>1801243</v>
      </c>
      <c r="T85" s="147"/>
      <c r="U85" s="143"/>
    </row>
    <row r="86" spans="1:21" s="144" customFormat="1">
      <c r="A86" s="145" t="s">
        <v>778</v>
      </c>
      <c r="B86" s="146">
        <f t="shared" si="22"/>
        <v>1000000</v>
      </c>
      <c r="C86" s="147">
        <v>1000000</v>
      </c>
      <c r="D86" s="147"/>
      <c r="E86" s="147"/>
      <c r="F86" s="147">
        <v>1000</v>
      </c>
      <c r="G86" s="147">
        <v>360713</v>
      </c>
      <c r="H86" s="147">
        <f>639287-1000</f>
        <v>638287</v>
      </c>
      <c r="I86" s="147"/>
      <c r="J86" s="147"/>
      <c r="K86" s="147"/>
      <c r="L86" s="147"/>
      <c r="M86" s="147"/>
      <c r="N86" s="147"/>
      <c r="O86" s="147"/>
      <c r="P86" s="147"/>
      <c r="Q86" s="147"/>
      <c r="R86" s="550">
        <f t="shared" si="23"/>
        <v>1000000</v>
      </c>
      <c r="S86" s="147">
        <f>C86</f>
        <v>1000000</v>
      </c>
      <c r="T86" s="147"/>
      <c r="U86" s="143"/>
    </row>
    <row r="87" spans="1:21" s="144" customFormat="1">
      <c r="A87" s="145" t="s">
        <v>779</v>
      </c>
      <c r="B87" s="146">
        <f t="shared" si="22"/>
        <v>0</v>
      </c>
      <c r="C87" s="147"/>
      <c r="D87" s="147"/>
      <c r="E87" s="147"/>
      <c r="F87" s="147"/>
      <c r="G87" s="147"/>
      <c r="H87" s="147"/>
      <c r="I87" s="147"/>
      <c r="J87" s="147"/>
      <c r="K87" s="147"/>
      <c r="L87" s="147"/>
      <c r="M87" s="147"/>
      <c r="N87" s="147"/>
      <c r="O87" s="147"/>
      <c r="P87" s="147"/>
      <c r="Q87" s="147"/>
      <c r="R87" s="550">
        <f t="shared" si="23"/>
        <v>0</v>
      </c>
      <c r="S87" s="147">
        <f>C87</f>
        <v>0</v>
      </c>
      <c r="T87" s="147"/>
      <c r="U87" s="143"/>
    </row>
    <row r="88" spans="1:21" s="144" customFormat="1">
      <c r="A88" s="145" t="s">
        <v>780</v>
      </c>
      <c r="B88" s="146">
        <f t="shared" si="22"/>
        <v>10000</v>
      </c>
      <c r="C88" s="147">
        <v>10000</v>
      </c>
      <c r="D88" s="147"/>
      <c r="E88" s="147"/>
      <c r="F88" s="147">
        <v>10000</v>
      </c>
      <c r="G88" s="147"/>
      <c r="H88" s="147"/>
      <c r="I88" s="147"/>
      <c r="J88" s="147"/>
      <c r="K88" s="147"/>
      <c r="L88" s="147"/>
      <c r="M88" s="147"/>
      <c r="N88" s="147"/>
      <c r="O88" s="147"/>
      <c r="P88" s="147"/>
      <c r="Q88" s="147"/>
      <c r="R88" s="550">
        <f t="shared" si="23"/>
        <v>10000</v>
      </c>
      <c r="S88" s="148"/>
      <c r="T88" s="148"/>
      <c r="U88" s="143"/>
    </row>
    <row r="89" spans="1:21" s="144" customFormat="1">
      <c r="A89" s="145" t="s">
        <v>781</v>
      </c>
      <c r="B89" s="146">
        <f t="shared" si="22"/>
        <v>625000</v>
      </c>
      <c r="C89" s="147">
        <v>625000</v>
      </c>
      <c r="D89" s="147"/>
      <c r="E89" s="147"/>
      <c r="F89" s="147"/>
      <c r="G89" s="147">
        <f>625000-3182</f>
        <v>621818</v>
      </c>
      <c r="H89" s="147">
        <v>3182</v>
      </c>
      <c r="I89" s="147"/>
      <c r="J89" s="147"/>
      <c r="K89" s="147"/>
      <c r="L89" s="147"/>
      <c r="M89" s="147"/>
      <c r="N89" s="147"/>
      <c r="O89" s="147"/>
      <c r="P89" s="147"/>
      <c r="Q89" s="147"/>
      <c r="R89" s="550">
        <f t="shared" si="23"/>
        <v>625000</v>
      </c>
      <c r="S89" s="147">
        <f>C89</f>
        <v>625000</v>
      </c>
      <c r="T89" s="147"/>
      <c r="U89" s="143"/>
    </row>
    <row r="90" spans="1:21" s="144" customFormat="1">
      <c r="A90" s="145" t="s">
        <v>782</v>
      </c>
      <c r="B90" s="146">
        <f t="shared" si="22"/>
        <v>8000</v>
      </c>
      <c r="C90" s="147">
        <v>8000</v>
      </c>
      <c r="D90" s="147"/>
      <c r="E90" s="147"/>
      <c r="F90" s="147"/>
      <c r="G90" s="147">
        <f>8000-630</f>
        <v>7370</v>
      </c>
      <c r="H90" s="147">
        <v>630</v>
      </c>
      <c r="I90" s="147"/>
      <c r="J90" s="147"/>
      <c r="K90" s="147"/>
      <c r="L90" s="147"/>
      <c r="M90" s="147"/>
      <c r="N90" s="147"/>
      <c r="O90" s="147"/>
      <c r="P90" s="147"/>
      <c r="Q90" s="147"/>
      <c r="R90" s="550">
        <f t="shared" si="23"/>
        <v>8000</v>
      </c>
      <c r="S90" s="147">
        <f>C90</f>
        <v>8000</v>
      </c>
      <c r="T90" s="147"/>
      <c r="U90" s="143"/>
    </row>
    <row r="91" spans="1:21" s="144" customFormat="1">
      <c r="A91" s="145" t="s">
        <v>373</v>
      </c>
      <c r="B91" s="146">
        <f t="shared" si="22"/>
        <v>25000</v>
      </c>
      <c r="C91" s="147">
        <v>25000</v>
      </c>
      <c r="D91" s="147"/>
      <c r="E91" s="147"/>
      <c r="F91" s="147"/>
      <c r="G91" s="147">
        <v>25000</v>
      </c>
      <c r="H91" s="147"/>
      <c r="I91" s="147"/>
      <c r="J91" s="147"/>
      <c r="K91" s="147"/>
      <c r="L91" s="147"/>
      <c r="M91" s="147"/>
      <c r="N91" s="147"/>
      <c r="O91" s="147"/>
      <c r="P91" s="147"/>
      <c r="Q91" s="147"/>
      <c r="R91" s="550">
        <f t="shared" si="23"/>
        <v>25000</v>
      </c>
      <c r="S91" s="147">
        <f>C91</f>
        <v>25000</v>
      </c>
      <c r="T91" s="147"/>
      <c r="U91" s="143"/>
    </row>
    <row r="92" spans="1:21" s="144" customFormat="1">
      <c r="A92" s="304" t="s">
        <v>1316</v>
      </c>
      <c r="B92" s="146">
        <f t="shared" si="22"/>
        <v>15000</v>
      </c>
      <c r="C92" s="147">
        <v>15000</v>
      </c>
      <c r="D92" s="147"/>
      <c r="E92" s="147"/>
      <c r="F92" s="147"/>
      <c r="G92" s="147">
        <v>15000</v>
      </c>
      <c r="H92" s="147"/>
      <c r="I92" s="147"/>
      <c r="J92" s="147"/>
      <c r="K92" s="147"/>
      <c r="L92" s="147"/>
      <c r="M92" s="147"/>
      <c r="N92" s="147"/>
      <c r="O92" s="147"/>
      <c r="P92" s="147"/>
      <c r="Q92" s="147"/>
      <c r="R92" s="550">
        <f t="shared" si="23"/>
        <v>15000</v>
      </c>
      <c r="S92" s="147">
        <f>C92</f>
        <v>15000</v>
      </c>
      <c r="T92" s="147"/>
      <c r="U92" s="143"/>
    </row>
    <row r="93" spans="1:21" s="144" customFormat="1">
      <c r="A93" s="1193" t="s">
        <v>2734</v>
      </c>
      <c r="B93" s="146">
        <f t="shared" si="22"/>
        <v>8147449</v>
      </c>
      <c r="C93" s="147">
        <v>8147449</v>
      </c>
      <c r="D93" s="147"/>
      <c r="E93" s="147">
        <f>2000000-518646-83127-422569</f>
        <v>975658</v>
      </c>
      <c r="F93" s="147">
        <f>126761+50491+422569-42552</f>
        <v>557269</v>
      </c>
      <c r="G93" s="147"/>
      <c r="H93" s="147">
        <f>32636+42552</f>
        <v>75188</v>
      </c>
      <c r="I93" s="147">
        <f>6666095-126761+149431-149431</f>
        <v>6539334</v>
      </c>
      <c r="J93" s="147"/>
      <c r="K93" s="147"/>
      <c r="L93" s="147"/>
      <c r="M93" s="147"/>
      <c r="N93" s="147"/>
      <c r="O93" s="147"/>
      <c r="P93" s="147"/>
      <c r="Q93" s="147"/>
      <c r="R93" s="550">
        <f t="shared" si="23"/>
        <v>8147449</v>
      </c>
      <c r="S93" s="147">
        <v>6788356</v>
      </c>
      <c r="T93" s="147"/>
      <c r="U93" s="143"/>
    </row>
    <row r="94" spans="1:21" s="144" customFormat="1" ht="24">
      <c r="A94" s="1193" t="s">
        <v>2736</v>
      </c>
      <c r="B94" s="146">
        <f t="shared" si="22"/>
        <v>150000</v>
      </c>
      <c r="C94" s="147">
        <f>75000+75000</f>
        <v>150000</v>
      </c>
      <c r="D94" s="147"/>
      <c r="E94" s="147"/>
      <c r="F94" s="147"/>
      <c r="G94" s="147">
        <v>150000</v>
      </c>
      <c r="H94" s="147"/>
      <c r="I94" s="147"/>
      <c r="J94" s="147"/>
      <c r="K94" s="147"/>
      <c r="L94" s="147"/>
      <c r="M94" s="147"/>
      <c r="N94" s="147"/>
      <c r="O94" s="147"/>
      <c r="P94" s="147"/>
      <c r="Q94" s="147"/>
      <c r="R94" s="550">
        <f t="shared" si="23"/>
        <v>150000</v>
      </c>
      <c r="S94" s="147">
        <v>0</v>
      </c>
      <c r="T94" s="147"/>
      <c r="U94" s="143"/>
    </row>
    <row r="95" spans="1:21" s="144" customFormat="1">
      <c r="A95" s="1193" t="s">
        <v>2803</v>
      </c>
      <c r="B95" s="146">
        <f t="shared" si="22"/>
        <v>140000</v>
      </c>
      <c r="C95" s="147">
        <v>140000</v>
      </c>
      <c r="D95" s="147"/>
      <c r="E95" s="147"/>
      <c r="F95" s="147"/>
      <c r="G95" s="147">
        <v>140000</v>
      </c>
      <c r="H95" s="147"/>
      <c r="I95" s="147"/>
      <c r="J95" s="147"/>
      <c r="K95" s="147"/>
      <c r="L95" s="147"/>
      <c r="M95" s="147"/>
      <c r="N95" s="147"/>
      <c r="O95" s="147"/>
      <c r="P95" s="147"/>
      <c r="Q95" s="147"/>
      <c r="R95" s="550">
        <f t="shared" si="23"/>
        <v>140000</v>
      </c>
      <c r="S95" s="147">
        <f>C95</f>
        <v>140000</v>
      </c>
      <c r="T95" s="147"/>
      <c r="U95" s="143"/>
    </row>
    <row r="96" spans="1:21" s="144" customFormat="1">
      <c r="A96" s="149" t="s">
        <v>783</v>
      </c>
      <c r="B96" s="146">
        <f>SUM(C96:D96)</f>
        <v>12400504</v>
      </c>
      <c r="C96" s="146">
        <f t="shared" ref="C96:R96" si="24">SUM(C83:C95)</f>
        <v>12400504</v>
      </c>
      <c r="D96" s="146">
        <f t="shared" si="24"/>
        <v>0</v>
      </c>
      <c r="E96" s="146">
        <f t="shared" si="24"/>
        <v>1261027</v>
      </c>
      <c r="F96" s="146">
        <f t="shared" si="24"/>
        <v>1757856</v>
      </c>
      <c r="G96" s="146">
        <f t="shared" si="24"/>
        <v>2000000</v>
      </c>
      <c r="H96" s="146">
        <f t="shared" si="24"/>
        <v>842287</v>
      </c>
      <c r="I96" s="146">
        <f t="shared" si="24"/>
        <v>6539334</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12400504</v>
      </c>
      <c r="S96" s="150">
        <f>SUM(S84:S87,S89:S95)</f>
        <v>10527599</v>
      </c>
      <c r="T96" s="146">
        <f>SUM(T84:T87,T89:T95)</f>
        <v>0</v>
      </c>
      <c r="U96" s="143"/>
    </row>
    <row r="97" spans="1:21" s="144" customFormat="1">
      <c r="A97" s="149" t="s">
        <v>784</v>
      </c>
      <c r="B97" s="146">
        <f>SUM(C97:D97)</f>
        <v>147015116</v>
      </c>
      <c r="C97" s="146">
        <f t="shared" ref="C97:R97" si="25">SUM(C63+C70+C77+C81+C96)</f>
        <v>147015116</v>
      </c>
      <c r="D97" s="146">
        <f t="shared" si="25"/>
        <v>0</v>
      </c>
      <c r="E97" s="146">
        <f t="shared" si="25"/>
        <v>76093469</v>
      </c>
      <c r="F97" s="146">
        <f t="shared" si="25"/>
        <v>40973132</v>
      </c>
      <c r="G97" s="146">
        <f t="shared" si="25"/>
        <v>2000000</v>
      </c>
      <c r="H97" s="146">
        <f t="shared" si="25"/>
        <v>19551066</v>
      </c>
      <c r="I97" s="146">
        <f t="shared" si="25"/>
        <v>8147449</v>
      </c>
      <c r="J97" s="146">
        <f t="shared" si="25"/>
        <v>0</v>
      </c>
      <c r="K97" s="146">
        <f t="shared" si="25"/>
        <v>250000</v>
      </c>
      <c r="L97" s="146">
        <f t="shared" si="25"/>
        <v>0</v>
      </c>
      <c r="M97" s="146">
        <f t="shared" si="25"/>
        <v>0</v>
      </c>
      <c r="N97" s="146">
        <f t="shared" si="25"/>
        <v>0</v>
      </c>
      <c r="O97" s="146">
        <f t="shared" si="25"/>
        <v>0</v>
      </c>
      <c r="P97" s="146">
        <f t="shared" si="25"/>
        <v>0</v>
      </c>
      <c r="Q97" s="146">
        <f t="shared" si="25"/>
        <v>0</v>
      </c>
      <c r="R97" s="146">
        <f t="shared" si="25"/>
        <v>147015116</v>
      </c>
      <c r="S97" s="146">
        <f>SUM(S63+S70+S81+S96)</f>
        <v>136630212</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11700000</v>
      </c>
      <c r="C99" s="1014">
        <v>11700000</v>
      </c>
      <c r="D99" s="1014"/>
      <c r="E99" s="1014">
        <v>6000000</v>
      </c>
      <c r="F99" s="147"/>
      <c r="G99" s="147"/>
      <c r="H99" s="147"/>
      <c r="I99" s="147"/>
      <c r="J99" s="147">
        <v>5700000</v>
      </c>
      <c r="K99" s="147"/>
      <c r="L99" s="147"/>
      <c r="M99" s="147"/>
      <c r="N99" s="147"/>
      <c r="O99" s="147"/>
      <c r="P99" s="147"/>
      <c r="Q99" s="147"/>
      <c r="R99" s="550">
        <f>SUM(E99:Q99)</f>
        <v>11700000</v>
      </c>
      <c r="S99" s="147">
        <f>C99</f>
        <v>11700000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11700000</v>
      </c>
      <c r="C104" s="146">
        <f>SUM(C99:C103)</f>
        <v>11700000</v>
      </c>
      <c r="D104" s="146">
        <f t="shared" ref="D104:T104" si="26">SUM(D99:D103)</f>
        <v>0</v>
      </c>
      <c r="E104" s="146">
        <f t="shared" si="26"/>
        <v>6000000</v>
      </c>
      <c r="F104" s="146">
        <f t="shared" si="26"/>
        <v>0</v>
      </c>
      <c r="G104" s="146">
        <f t="shared" si="26"/>
        <v>0</v>
      </c>
      <c r="H104" s="146">
        <f t="shared" si="26"/>
        <v>0</v>
      </c>
      <c r="I104" s="146">
        <f t="shared" si="26"/>
        <v>0</v>
      </c>
      <c r="J104" s="146">
        <f t="shared" si="26"/>
        <v>5700000</v>
      </c>
      <c r="K104" s="146">
        <f t="shared" si="26"/>
        <v>0</v>
      </c>
      <c r="L104" s="146">
        <f t="shared" si="26"/>
        <v>0</v>
      </c>
      <c r="M104" s="146">
        <f t="shared" si="26"/>
        <v>0</v>
      </c>
      <c r="N104" s="146">
        <f t="shared" si="26"/>
        <v>0</v>
      </c>
      <c r="O104" s="146">
        <f t="shared" si="26"/>
        <v>0</v>
      </c>
      <c r="P104" s="146">
        <f t="shared" si="26"/>
        <v>0</v>
      </c>
      <c r="Q104" s="146">
        <f t="shared" si="26"/>
        <v>0</v>
      </c>
      <c r="R104" s="370">
        <f t="shared" si="26"/>
        <v>11700000</v>
      </c>
      <c r="S104" s="150">
        <f t="shared" si="26"/>
        <v>11700000</v>
      </c>
      <c r="T104" s="150">
        <f t="shared" si="26"/>
        <v>0</v>
      </c>
      <c r="U104" s="143"/>
    </row>
    <row r="105" spans="1:21" s="144" customFormat="1">
      <c r="A105" s="149" t="s">
        <v>789</v>
      </c>
      <c r="B105" s="150">
        <f>SUM(C105:D105)</f>
        <v>158715116</v>
      </c>
      <c r="C105" s="150">
        <f t="shared" ref="C105:R105" si="27">SUM(C97+C104)</f>
        <v>158715116</v>
      </c>
      <c r="D105" s="150">
        <f t="shared" si="27"/>
        <v>0</v>
      </c>
      <c r="E105" s="150">
        <f t="shared" si="27"/>
        <v>82093469</v>
      </c>
      <c r="F105" s="150">
        <f t="shared" si="27"/>
        <v>40973132</v>
      </c>
      <c r="G105" s="150">
        <f t="shared" si="27"/>
        <v>2000000</v>
      </c>
      <c r="H105" s="150">
        <f t="shared" si="27"/>
        <v>19551066</v>
      </c>
      <c r="I105" s="150">
        <f t="shared" si="27"/>
        <v>8147449</v>
      </c>
      <c r="J105" s="150">
        <f t="shared" si="27"/>
        <v>5700000</v>
      </c>
      <c r="K105" s="150">
        <f t="shared" si="27"/>
        <v>250000</v>
      </c>
      <c r="L105" s="150">
        <f t="shared" si="27"/>
        <v>0</v>
      </c>
      <c r="M105" s="150">
        <f t="shared" si="27"/>
        <v>0</v>
      </c>
      <c r="N105" s="150">
        <f t="shared" si="27"/>
        <v>0</v>
      </c>
      <c r="O105" s="150">
        <f t="shared" si="27"/>
        <v>0</v>
      </c>
      <c r="P105" s="150">
        <f t="shared" si="27"/>
        <v>0</v>
      </c>
      <c r="Q105" s="150">
        <f t="shared" si="27"/>
        <v>0</v>
      </c>
      <c r="R105" s="370">
        <f t="shared" si="27"/>
        <v>158715116</v>
      </c>
      <c r="S105" s="150">
        <f>S97+S104</f>
        <v>148330212</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148330212</v>
      </c>
      <c r="T107" s="150">
        <f>T105+T106</f>
        <v>0</v>
      </c>
    </row>
    <row r="108" spans="1:21" s="201" customFormat="1">
      <c r="A108" s="162" t="s">
        <v>891</v>
      </c>
      <c r="B108" s="157"/>
      <c r="C108" s="157"/>
      <c r="D108" s="157"/>
      <c r="E108" s="323">
        <f>Application!AO640</f>
        <v>82093469</v>
      </c>
      <c r="F108" s="323">
        <f>Application!AO627</f>
        <v>40973132</v>
      </c>
      <c r="G108" s="323">
        <f>Application!AO628</f>
        <v>2000000</v>
      </c>
      <c r="H108" s="323">
        <f>Application!AO629</f>
        <v>19551066</v>
      </c>
      <c r="I108" s="323">
        <f>Application!AO630</f>
        <v>8147449</v>
      </c>
      <c r="J108" s="323">
        <f>Application!AO631</f>
        <v>5700000</v>
      </c>
      <c r="K108" s="323">
        <f>Application!AO632</f>
        <v>250000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902" t="s">
        <v>1013</v>
      </c>
      <c r="E122" s="1902"/>
      <c r="F122" s="1902"/>
      <c r="G122" s="352"/>
      <c r="H122" s="352"/>
      <c r="I122" s="352"/>
      <c r="J122" s="352"/>
      <c r="K122" s="352"/>
      <c r="L122" s="352"/>
      <c r="M122" s="352"/>
      <c r="N122" s="352"/>
      <c r="O122" s="352"/>
      <c r="P122" s="352"/>
      <c r="Q122" s="352"/>
      <c r="R122" s="352"/>
      <c r="S122" s="352"/>
      <c r="T122" s="352"/>
      <c r="U122" s="354"/>
    </row>
    <row r="123" spans="1:21">
      <c r="A123" s="352" t="s">
        <v>1014</v>
      </c>
      <c r="B123" s="361"/>
      <c r="C123" s="352"/>
      <c r="D123" s="1904" t="s">
        <v>1330</v>
      </c>
      <c r="E123" s="1830"/>
      <c r="F123" s="1830"/>
      <c r="G123" s="1830"/>
      <c r="H123" s="1830"/>
      <c r="I123" s="1830"/>
      <c r="J123" s="1830"/>
      <c r="K123" s="1830"/>
      <c r="L123" s="1830"/>
      <c r="M123" s="1830"/>
      <c r="N123" s="1830"/>
      <c r="O123" s="1830"/>
      <c r="P123" s="1830"/>
      <c r="Q123" s="1830"/>
      <c r="R123" s="1830"/>
      <c r="S123" s="1830"/>
      <c r="T123" s="352"/>
      <c r="U123" s="354"/>
    </row>
    <row r="124" spans="1:21" ht="12.75">
      <c r="A124" s="117" t="s">
        <v>1015</v>
      </c>
      <c r="B124" s="361"/>
      <c r="C124" s="117"/>
      <c r="D124" s="1830"/>
      <c r="E124" s="1830"/>
      <c r="F124" s="1830"/>
      <c r="G124" s="1830"/>
      <c r="H124" s="1830"/>
      <c r="I124" s="1830"/>
      <c r="J124" s="1830"/>
      <c r="K124" s="1830"/>
      <c r="L124" s="1830"/>
      <c r="M124" s="1830"/>
      <c r="N124" s="1830"/>
      <c r="O124" s="1830"/>
      <c r="P124" s="1830"/>
      <c r="Q124" s="1830"/>
      <c r="R124" s="1830"/>
      <c r="S124" s="1830"/>
      <c r="T124" s="352"/>
      <c r="U124" s="354"/>
    </row>
    <row r="125" spans="1:21" ht="12.75">
      <c r="A125" s="117" t="s">
        <v>1016</v>
      </c>
      <c r="B125" s="361"/>
      <c r="C125" s="117"/>
      <c r="D125" s="1830"/>
      <c r="E125" s="1830"/>
      <c r="F125" s="1830"/>
      <c r="G125" s="1830"/>
      <c r="H125" s="1830"/>
      <c r="I125" s="1830"/>
      <c r="J125" s="1830"/>
      <c r="K125" s="1830"/>
      <c r="L125" s="1830"/>
      <c r="M125" s="1830"/>
      <c r="N125" s="1830"/>
      <c r="O125" s="1830"/>
      <c r="P125" s="1830"/>
      <c r="Q125" s="1830"/>
      <c r="R125" s="1830"/>
      <c r="S125" s="1830"/>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99"/>
      <c r="E128" s="1899"/>
      <c r="F128" s="1899"/>
      <c r="G128" s="1899"/>
      <c r="H128" s="1899"/>
      <c r="I128" s="117"/>
      <c r="J128" s="1900"/>
      <c r="K128" s="1900"/>
      <c r="L128" s="117"/>
      <c r="M128" s="117"/>
      <c r="N128" s="117"/>
      <c r="O128" s="117"/>
      <c r="P128" s="117"/>
      <c r="Q128" s="117"/>
      <c r="R128" s="117"/>
      <c r="S128" s="117"/>
      <c r="T128" s="352"/>
      <c r="U128" s="354"/>
    </row>
    <row r="129" spans="1:21" ht="12.75">
      <c r="A129" s="117" t="s">
        <v>301</v>
      </c>
      <c r="B129" s="361"/>
      <c r="C129" s="117"/>
      <c r="D129" s="1901" t="s">
        <v>1020</v>
      </c>
      <c r="E129" s="1901"/>
      <c r="F129" s="1901"/>
      <c r="G129" s="1901"/>
      <c r="H129" s="1901"/>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63"/>
      <c r="E131" s="1863"/>
      <c r="F131" s="1863"/>
      <c r="G131" s="1863"/>
      <c r="H131" s="1863"/>
      <c r="I131" s="117"/>
      <c r="J131" s="1863"/>
      <c r="K131" s="1863"/>
      <c r="L131" s="1863"/>
      <c r="M131" s="1863"/>
      <c r="N131" s="117"/>
      <c r="O131" s="117"/>
      <c r="P131" s="117"/>
      <c r="Q131" s="117"/>
      <c r="R131" s="117"/>
      <c r="S131" s="117"/>
      <c r="T131" s="352"/>
      <c r="U131" s="354"/>
    </row>
    <row r="132" spans="1:21" ht="12" customHeight="1">
      <c r="A132" s="364"/>
      <c r="B132" s="117"/>
      <c r="C132" s="117"/>
      <c r="D132" s="1905" t="s">
        <v>1023</v>
      </c>
      <c r="E132" s="1905"/>
      <c r="F132" s="1905"/>
      <c r="G132" s="1905"/>
      <c r="H132" s="1905"/>
      <c r="I132" s="117"/>
      <c r="J132" s="1905" t="s">
        <v>1024</v>
      </c>
      <c r="K132" s="1905"/>
      <c r="L132" s="1905"/>
      <c r="M132" s="190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6"/>
      <c r="B138" s="1899"/>
      <c r="C138" s="1899"/>
      <c r="D138" s="356"/>
      <c r="E138" s="1900"/>
      <c r="F138" s="1900"/>
      <c r="G138" s="117"/>
      <c r="H138" s="117"/>
      <c r="I138" s="117"/>
      <c r="J138" s="117"/>
      <c r="K138" s="117"/>
      <c r="L138" s="117"/>
      <c r="M138" s="117"/>
      <c r="N138" s="117"/>
      <c r="O138" s="117"/>
      <c r="P138" s="117"/>
      <c r="Q138" s="117"/>
      <c r="R138" s="117"/>
      <c r="S138" s="117"/>
      <c r="T138" s="358"/>
      <c r="U138" s="359"/>
    </row>
    <row r="139" spans="1:21" ht="12.75">
      <c r="A139" s="1903" t="s">
        <v>1027</v>
      </c>
      <c r="B139" s="1903"/>
      <c r="C139" s="1903"/>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8" sqref="F10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09" t="s">
        <v>1333</v>
      </c>
      <c r="B1" s="1910"/>
      <c r="C1" s="1910"/>
      <c r="D1" s="1910"/>
      <c r="E1" s="1910"/>
      <c r="F1" s="1910"/>
      <c r="G1" s="1910"/>
      <c r="H1" s="1910"/>
      <c r="I1" s="1910"/>
      <c r="J1" s="1911"/>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339793</v>
      </c>
      <c r="C5" s="393"/>
      <c r="D5" s="393">
        <v>339793</v>
      </c>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1</v>
      </c>
      <c r="C7" s="393"/>
      <c r="D7" s="393">
        <v>1</v>
      </c>
      <c r="E7" s="394"/>
      <c r="F7" s="394"/>
      <c r="G7" s="394"/>
      <c r="H7" s="394"/>
      <c r="I7" s="394"/>
      <c r="J7" s="394"/>
      <c r="K7" s="390"/>
    </row>
    <row r="8" spans="1:11" s="391" customFormat="1">
      <c r="A8" s="396" t="s">
        <v>601</v>
      </c>
      <c r="B8" s="392">
        <f>'Sources and Uses Budget'!C8</f>
        <v>339794</v>
      </c>
      <c r="C8" s="392">
        <f>SUM(C4:C7)</f>
        <v>0</v>
      </c>
      <c r="D8" s="392">
        <f>SUM(D4:D7)</f>
        <v>339794</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339794</v>
      </c>
      <c r="C12" s="392">
        <f>SUM(C8+C11)</f>
        <v>0</v>
      </c>
      <c r="D12" s="392">
        <f>SUM(D8+D11)</f>
        <v>339794</v>
      </c>
      <c r="E12" s="394"/>
      <c r="F12" s="394"/>
      <c r="G12" s="394"/>
      <c r="H12" s="394"/>
      <c r="I12" s="394"/>
      <c r="J12" s="394"/>
      <c r="K12" s="390"/>
    </row>
    <row r="13" spans="1:11" s="391" customFormat="1">
      <c r="A13" s="397" t="s">
        <v>917</v>
      </c>
      <c r="B13" s="392">
        <f>'Sources and Uses Budget'!C13</f>
        <v>1423729</v>
      </c>
      <c r="C13" s="393"/>
      <c r="D13" s="393">
        <v>1423729</v>
      </c>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5147606</v>
      </c>
      <c r="C29" s="393"/>
      <c r="D29" s="393">
        <f>B29</f>
        <v>5147606</v>
      </c>
      <c r="E29" s="392">
        <f>'Sources and Uses Budget'!S29</f>
        <v>5147606</v>
      </c>
      <c r="F29" s="393"/>
      <c r="G29" s="393">
        <v>5147606</v>
      </c>
      <c r="H29" s="392">
        <f>'Sources and Uses Budget'!T29</f>
        <v>0</v>
      </c>
      <c r="I29" s="393"/>
      <c r="J29" s="393"/>
      <c r="K29" s="390"/>
    </row>
    <row r="30" spans="1:11" s="391" customFormat="1">
      <c r="A30" s="145" t="s">
        <v>607</v>
      </c>
      <c r="B30" s="392">
        <f>'Sources and Uses Budget'!C30</f>
        <v>82951955</v>
      </c>
      <c r="C30" s="393"/>
      <c r="D30" s="393">
        <f>B30</f>
        <v>82951955</v>
      </c>
      <c r="E30" s="392">
        <f>'Sources and Uses Budget'!S30</f>
        <v>82951955</v>
      </c>
      <c r="F30" s="393"/>
      <c r="G30" s="393">
        <f>E30</f>
        <v>82951955</v>
      </c>
      <c r="H30" s="392">
        <f>'Sources and Uses Budget'!T30</f>
        <v>0</v>
      </c>
      <c r="I30" s="393"/>
      <c r="J30" s="393"/>
      <c r="K30" s="390"/>
    </row>
    <row r="31" spans="1:11" s="391" customFormat="1">
      <c r="A31" s="145" t="s">
        <v>608</v>
      </c>
      <c r="B31" s="392">
        <f>'Sources and Uses Budget'!C31</f>
        <v>4000000</v>
      </c>
      <c r="C31" s="393"/>
      <c r="D31" s="393">
        <f t="shared" ref="D31:D37" si="0">B31</f>
        <v>4000000</v>
      </c>
      <c r="E31" s="392">
        <f>'Sources and Uses Budget'!S31</f>
        <v>4000000</v>
      </c>
      <c r="F31" s="393"/>
      <c r="G31" s="393">
        <f t="shared" ref="G31:G37" si="1">E31</f>
        <v>4000000</v>
      </c>
      <c r="H31" s="392">
        <f>'Sources and Uses Budget'!T31</f>
        <v>0</v>
      </c>
      <c r="I31" s="393"/>
      <c r="J31" s="393"/>
      <c r="K31" s="390"/>
    </row>
    <row r="32" spans="1:11" s="391" customFormat="1">
      <c r="A32" s="145" t="s">
        <v>137</v>
      </c>
      <c r="B32" s="392">
        <f>'Sources and Uses Budget'!C32</f>
        <v>3900000</v>
      </c>
      <c r="C32" s="393"/>
      <c r="D32" s="393">
        <f t="shared" si="0"/>
        <v>3900000</v>
      </c>
      <c r="E32" s="392">
        <f>'Sources and Uses Budget'!S32</f>
        <v>3900000</v>
      </c>
      <c r="F32" s="393"/>
      <c r="G32" s="393">
        <f t="shared" si="1"/>
        <v>3900000</v>
      </c>
      <c r="H32" s="392">
        <f>'Sources and Uses Budget'!T32</f>
        <v>0</v>
      </c>
      <c r="I32" s="393"/>
      <c r="J32" s="393"/>
      <c r="K32" s="390"/>
    </row>
    <row r="33" spans="1:11" s="391" customFormat="1">
      <c r="A33" s="145" t="s">
        <v>138</v>
      </c>
      <c r="B33" s="392">
        <f>'Sources and Uses Budget'!C33</f>
        <v>3900000</v>
      </c>
      <c r="C33" s="393"/>
      <c r="D33" s="393">
        <f t="shared" si="0"/>
        <v>3900000</v>
      </c>
      <c r="E33" s="392">
        <f>'Sources and Uses Budget'!S33</f>
        <v>3900000</v>
      </c>
      <c r="F33" s="393"/>
      <c r="G33" s="393">
        <f t="shared" si="1"/>
        <v>3900000</v>
      </c>
      <c r="H33" s="392">
        <f>'Sources and Uses Budget'!T33</f>
        <v>0</v>
      </c>
      <c r="I33" s="393"/>
      <c r="J33" s="393"/>
      <c r="K33" s="390"/>
    </row>
    <row r="34" spans="1:11" s="391" customFormat="1">
      <c r="A34" s="145" t="s">
        <v>139</v>
      </c>
      <c r="B34" s="392">
        <f>'Sources and Uses Budget'!C34</f>
        <v>0</v>
      </c>
      <c r="C34" s="393"/>
      <c r="D34" s="393">
        <f t="shared" si="0"/>
        <v>0</v>
      </c>
      <c r="E34" s="392">
        <f>'Sources and Uses Budget'!S34</f>
        <v>0</v>
      </c>
      <c r="F34" s="393"/>
      <c r="G34" s="393">
        <f t="shared" si="1"/>
        <v>0</v>
      </c>
      <c r="H34" s="392">
        <f>'Sources and Uses Budget'!T34</f>
        <v>0</v>
      </c>
      <c r="I34" s="393"/>
      <c r="J34" s="393"/>
      <c r="K34" s="390"/>
    </row>
    <row r="35" spans="1:11" s="391" customFormat="1">
      <c r="A35" s="145" t="s">
        <v>140</v>
      </c>
      <c r="B35" s="392">
        <f>'Sources and Uses Budget'!C35</f>
        <v>3358203</v>
      </c>
      <c r="C35" s="393"/>
      <c r="D35" s="393">
        <f t="shared" si="0"/>
        <v>3358203</v>
      </c>
      <c r="E35" s="392">
        <f>'Sources and Uses Budget'!S35</f>
        <v>3358203</v>
      </c>
      <c r="F35" s="393"/>
      <c r="G35" s="393">
        <f t="shared" si="1"/>
        <v>3358203</v>
      </c>
      <c r="H35" s="392">
        <f>'Sources and Uses Budget'!T35</f>
        <v>0</v>
      </c>
      <c r="I35" s="393"/>
      <c r="J35" s="393"/>
      <c r="K35" s="390"/>
    </row>
    <row r="36" spans="1:11" s="391" customFormat="1">
      <c r="A36" s="542" t="s">
        <v>1752</v>
      </c>
      <c r="B36" s="392">
        <f>'Sources and Uses Budget'!C36</f>
        <v>80000</v>
      </c>
      <c r="C36" s="393"/>
      <c r="D36" s="393">
        <f t="shared" si="0"/>
        <v>80000</v>
      </c>
      <c r="E36" s="392">
        <f>'Sources and Uses Budget'!S36</f>
        <v>80000</v>
      </c>
      <c r="F36" s="393"/>
      <c r="G36" s="393">
        <f t="shared" si="1"/>
        <v>80000</v>
      </c>
      <c r="H36" s="392">
        <f>'Sources and Uses Budget'!T36</f>
        <v>0</v>
      </c>
      <c r="I36" s="393"/>
      <c r="J36" s="393"/>
      <c r="K36" s="390"/>
    </row>
    <row r="37" spans="1:11" s="391" customFormat="1">
      <c r="A37" s="395" t="str">
        <f>'Sources and Uses Budget'!$A37</f>
        <v>Solar</v>
      </c>
      <c r="B37" s="392">
        <f>'Sources and Uses Budget'!C37</f>
        <v>1434223</v>
      </c>
      <c r="C37" s="393"/>
      <c r="D37" s="393">
        <f t="shared" si="0"/>
        <v>1434223</v>
      </c>
      <c r="E37" s="392">
        <f>'Sources and Uses Budget'!S37</f>
        <v>1434223</v>
      </c>
      <c r="F37" s="393"/>
      <c r="G37" s="393">
        <f t="shared" si="1"/>
        <v>1434223</v>
      </c>
      <c r="H37" s="392">
        <f>'Sources and Uses Budget'!T37</f>
        <v>0</v>
      </c>
      <c r="I37" s="393"/>
      <c r="J37" s="393"/>
      <c r="K37" s="390"/>
    </row>
    <row r="38" spans="1:11" s="391" customFormat="1">
      <c r="A38" s="396" t="s">
        <v>143</v>
      </c>
      <c r="B38" s="392">
        <f>'Sources and Uses Budget'!C38</f>
        <v>104771987</v>
      </c>
      <c r="C38" s="392">
        <f>SUM(C29:C37)</f>
        <v>0</v>
      </c>
      <c r="D38" s="392">
        <f>SUM(D29:D37)</f>
        <v>104771987</v>
      </c>
      <c r="E38" s="392">
        <f>'Sources and Uses Budget'!S38</f>
        <v>104771987</v>
      </c>
      <c r="F38" s="398">
        <f>SUM(F29:F37)</f>
        <v>0</v>
      </c>
      <c r="G38" s="398">
        <f>SUM(G29:G37)</f>
        <v>104771987</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2450000</v>
      </c>
      <c r="C40" s="393"/>
      <c r="D40" s="393">
        <f>B40</f>
        <v>2450000</v>
      </c>
      <c r="E40" s="392">
        <f>'Sources and Uses Budget'!S40</f>
        <v>2450000</v>
      </c>
      <c r="F40" s="393"/>
      <c r="G40" s="393">
        <f>E40</f>
        <v>2450000</v>
      </c>
      <c r="H40" s="392">
        <f>'Sources and Uses Budget'!T40</f>
        <v>0</v>
      </c>
      <c r="I40" s="393"/>
      <c r="J40" s="393"/>
      <c r="K40" s="390"/>
    </row>
    <row r="41" spans="1:11" s="391" customFormat="1">
      <c r="A41" s="395" t="s">
        <v>146</v>
      </c>
      <c r="B41" s="392">
        <f>'Sources and Uses Budget'!C41</f>
        <v>0</v>
      </c>
      <c r="C41" s="393"/>
      <c r="D41" s="393">
        <f>B41</f>
        <v>0</v>
      </c>
      <c r="E41" s="392">
        <f>'Sources and Uses Budget'!S41</f>
        <v>0</v>
      </c>
      <c r="F41" s="393"/>
      <c r="G41" s="393"/>
      <c r="H41" s="392">
        <f>'Sources and Uses Budget'!T41</f>
        <v>0</v>
      </c>
      <c r="I41" s="393"/>
      <c r="J41" s="393"/>
      <c r="K41" s="390"/>
    </row>
    <row r="42" spans="1:11" s="391" customFormat="1">
      <c r="A42" s="396" t="s">
        <v>147</v>
      </c>
      <c r="B42" s="392">
        <f>'Sources and Uses Budget'!C42</f>
        <v>2450000</v>
      </c>
      <c r="C42" s="392">
        <f>SUM(C39:C41)</f>
        <v>0</v>
      </c>
      <c r="D42" s="392">
        <f>SUM(D39:D41)</f>
        <v>2450000</v>
      </c>
      <c r="E42" s="392">
        <f>'Sources and Uses Budget'!S42</f>
        <v>2450000</v>
      </c>
      <c r="F42" s="398">
        <f>SUM(F40:F41)</f>
        <v>0</v>
      </c>
      <c r="G42" s="398">
        <f>SUM(G40:G41)</f>
        <v>2450000</v>
      </c>
      <c r="H42" s="392">
        <f>'Sources and Uses Budget'!T42</f>
        <v>0</v>
      </c>
      <c r="I42" s="398">
        <f>SUM(I40:I41)</f>
        <v>0</v>
      </c>
      <c r="J42" s="398">
        <f>SUM(J40:J41)</f>
        <v>0</v>
      </c>
      <c r="K42" s="390"/>
    </row>
    <row r="43" spans="1:11" s="391" customFormat="1">
      <c r="A43" s="396" t="s">
        <v>148</v>
      </c>
      <c r="B43" s="392">
        <f>'Sources and Uses Budget'!C43</f>
        <v>750000</v>
      </c>
      <c r="C43" s="393"/>
      <c r="D43" s="393">
        <f>B43</f>
        <v>750000</v>
      </c>
      <c r="E43" s="392">
        <f>'Sources and Uses Budget'!S43</f>
        <v>750000</v>
      </c>
      <c r="F43" s="393"/>
      <c r="G43" s="393">
        <f>E43</f>
        <v>750000</v>
      </c>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6500000</v>
      </c>
      <c r="C45" s="393"/>
      <c r="D45" s="393">
        <f>B45</f>
        <v>6500000</v>
      </c>
      <c r="E45" s="392">
        <f>'Sources and Uses Budget'!S45</f>
        <v>6500000</v>
      </c>
      <c r="F45" s="393"/>
      <c r="G45" s="393">
        <f>E45</f>
        <v>6500000</v>
      </c>
      <c r="H45" s="392">
        <f>'Sources and Uses Budget'!T45</f>
        <v>0</v>
      </c>
      <c r="I45" s="393"/>
      <c r="J45" s="393"/>
      <c r="K45" s="390"/>
    </row>
    <row r="46" spans="1:11" s="391" customFormat="1">
      <c r="A46" s="395" t="s">
        <v>151</v>
      </c>
      <c r="B46" s="392">
        <f>'Sources and Uses Budget'!C46</f>
        <v>650000</v>
      </c>
      <c r="C46" s="393"/>
      <c r="D46" s="393">
        <f>B46</f>
        <v>650000</v>
      </c>
      <c r="E46" s="392">
        <f>'Sources and Uses Budget'!S46</f>
        <v>650000</v>
      </c>
      <c r="F46" s="393"/>
      <c r="G46" s="393">
        <f>E46</f>
        <v>650000</v>
      </c>
      <c r="H46" s="392">
        <f>'Sources and Uses Budget'!T46</f>
        <v>0</v>
      </c>
      <c r="I46" s="393"/>
      <c r="J46" s="393"/>
      <c r="K46" s="390"/>
    </row>
    <row r="47" spans="1:11" s="391" customFormat="1" ht="12" customHeight="1">
      <c r="A47" s="395" t="s">
        <v>152</v>
      </c>
      <c r="B47" s="392">
        <f>'Sources and Uses Budget'!C47</f>
        <v>0</v>
      </c>
      <c r="C47" s="393"/>
      <c r="D47" s="393">
        <f t="shared" ref="D47:D53" si="2">B47</f>
        <v>0</v>
      </c>
      <c r="E47" s="392">
        <f>'Sources and Uses Budget'!S47</f>
        <v>0</v>
      </c>
      <c r="F47" s="393"/>
      <c r="G47" s="393">
        <f t="shared" ref="G47:G53" si="3">E47</f>
        <v>0</v>
      </c>
      <c r="H47" s="392">
        <f>'Sources and Uses Budget'!T47</f>
        <v>0</v>
      </c>
      <c r="I47" s="393"/>
      <c r="J47" s="393"/>
      <c r="K47" s="390"/>
    </row>
    <row r="48" spans="1:11" s="391" customFormat="1">
      <c r="A48" s="395" t="s">
        <v>153</v>
      </c>
      <c r="B48" s="392">
        <f>'Sources and Uses Budget'!C48</f>
        <v>0</v>
      </c>
      <c r="C48" s="393"/>
      <c r="D48" s="393">
        <f t="shared" si="2"/>
        <v>0</v>
      </c>
      <c r="E48" s="392">
        <f>'Sources and Uses Budget'!S48</f>
        <v>0</v>
      </c>
      <c r="F48" s="393"/>
      <c r="G48" s="393">
        <f t="shared" si="3"/>
        <v>0</v>
      </c>
      <c r="H48" s="392">
        <f>'Sources and Uses Budget'!T48</f>
        <v>0</v>
      </c>
      <c r="I48" s="393"/>
      <c r="J48" s="393"/>
      <c r="K48" s="390"/>
    </row>
    <row r="49" spans="1:11" s="391" customFormat="1">
      <c r="A49" s="304" t="s">
        <v>57</v>
      </c>
      <c r="B49" s="392">
        <f>'Sources and Uses Budget'!C49</f>
        <v>358505</v>
      </c>
      <c r="C49" s="393"/>
      <c r="D49" s="393">
        <f t="shared" si="2"/>
        <v>358505</v>
      </c>
      <c r="E49" s="392">
        <f>'Sources and Uses Budget'!S49</f>
        <v>35851</v>
      </c>
      <c r="F49" s="393"/>
      <c r="G49" s="393">
        <f t="shared" si="3"/>
        <v>35851</v>
      </c>
      <c r="H49" s="392">
        <f>'Sources and Uses Budget'!T49</f>
        <v>0</v>
      </c>
      <c r="I49" s="393"/>
      <c r="J49" s="393"/>
      <c r="K49" s="390"/>
    </row>
    <row r="50" spans="1:11" s="391" customFormat="1">
      <c r="A50" s="395" t="s">
        <v>156</v>
      </c>
      <c r="B50" s="392">
        <f>'Sources and Uses Budget'!C50</f>
        <v>150000</v>
      </c>
      <c r="C50" s="393"/>
      <c r="D50" s="393">
        <f t="shared" si="2"/>
        <v>150000</v>
      </c>
      <c r="E50" s="392">
        <f>'Sources and Uses Budget'!S50</f>
        <v>150000</v>
      </c>
      <c r="F50" s="393"/>
      <c r="G50" s="393">
        <f t="shared" si="3"/>
        <v>150000</v>
      </c>
      <c r="H50" s="392">
        <f>'Sources and Uses Budget'!T50</f>
        <v>0</v>
      </c>
      <c r="I50" s="393"/>
      <c r="J50" s="393"/>
      <c r="K50" s="390"/>
    </row>
    <row r="51" spans="1:11" s="391" customFormat="1">
      <c r="A51" s="395" t="s">
        <v>154</v>
      </c>
      <c r="B51" s="392">
        <f>'Sources and Uses Budget'!C51</f>
        <v>450979</v>
      </c>
      <c r="C51" s="393"/>
      <c r="D51" s="393">
        <f t="shared" si="2"/>
        <v>450979</v>
      </c>
      <c r="E51" s="392">
        <f>'Sources and Uses Budget'!S51</f>
        <v>450979</v>
      </c>
      <c r="F51" s="393"/>
      <c r="G51" s="393">
        <f t="shared" si="3"/>
        <v>450979</v>
      </c>
      <c r="H51" s="392">
        <f>'Sources and Uses Budget'!T51</f>
        <v>0</v>
      </c>
      <c r="I51" s="393"/>
      <c r="J51" s="393"/>
      <c r="K51" s="390"/>
    </row>
    <row r="52" spans="1:11" s="391" customFormat="1">
      <c r="A52" s="395" t="s">
        <v>155</v>
      </c>
      <c r="B52" s="392">
        <f>'Sources and Uses Budget'!C52</f>
        <v>1000000</v>
      </c>
      <c r="C52" s="393"/>
      <c r="D52" s="393">
        <f t="shared" si="2"/>
        <v>1000000</v>
      </c>
      <c r="E52" s="392">
        <f>'Sources and Uses Budget'!S52</f>
        <v>1000000</v>
      </c>
      <c r="F52" s="393"/>
      <c r="G52" s="393">
        <f t="shared" si="3"/>
        <v>1000000</v>
      </c>
      <c r="H52" s="392">
        <f>'Sources and Uses Budget'!T52</f>
        <v>0</v>
      </c>
      <c r="I52" s="393"/>
      <c r="J52" s="393"/>
      <c r="K52" s="390"/>
    </row>
    <row r="53" spans="1:11" s="391" customFormat="1">
      <c r="A53" s="395" t="str">
        <f>'Sources and Uses Budget'!$A53</f>
        <v>Taxable Construction Loan Interest</v>
      </c>
      <c r="B53" s="392">
        <f>'Sources and Uses Budget'!C53</f>
        <v>1400000</v>
      </c>
      <c r="C53" s="393"/>
      <c r="D53" s="393">
        <f t="shared" si="2"/>
        <v>1400000</v>
      </c>
      <c r="E53" s="392">
        <f>'Sources and Uses Budget'!S53</f>
        <v>1400000</v>
      </c>
      <c r="F53" s="393"/>
      <c r="G53" s="393">
        <f t="shared" si="3"/>
        <v>1400000</v>
      </c>
      <c r="H53" s="392">
        <f>'Sources and Uses Budget'!T53</f>
        <v>0</v>
      </c>
      <c r="I53" s="393"/>
      <c r="J53" s="393"/>
      <c r="K53" s="390"/>
    </row>
    <row r="54" spans="1:11" s="400" customFormat="1">
      <c r="A54" s="396" t="s">
        <v>157</v>
      </c>
      <c r="B54" s="392">
        <f>'Sources and Uses Budget'!C54</f>
        <v>10509484</v>
      </c>
      <c r="C54" s="398">
        <f>SUM(C45:C53)</f>
        <v>0</v>
      </c>
      <c r="D54" s="398">
        <f>SUM(D45:D53)</f>
        <v>10509484</v>
      </c>
      <c r="E54" s="392">
        <f>'Sources and Uses Budget'!S54</f>
        <v>10186830</v>
      </c>
      <c r="F54" s="398">
        <f>SUM(F45:F53)</f>
        <v>0</v>
      </c>
      <c r="G54" s="398">
        <f>SUM(G45:G53)</f>
        <v>10186830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444050</v>
      </c>
      <c r="C56" s="393"/>
      <c r="D56" s="393">
        <f t="shared" ref="D56:D61" si="4">B56</f>
        <v>444050</v>
      </c>
      <c r="E56" s="394"/>
      <c r="F56" s="394"/>
      <c r="G56" s="394"/>
      <c r="H56" s="394"/>
      <c r="I56" s="394"/>
      <c r="J56" s="394"/>
      <c r="K56" s="390"/>
    </row>
    <row r="57" spans="1:11" s="391" customFormat="1" ht="12" customHeight="1">
      <c r="A57" s="395" t="s">
        <v>152</v>
      </c>
      <c r="B57" s="392">
        <f>'Sources and Uses Budget'!C57</f>
        <v>703772</v>
      </c>
      <c r="C57" s="393"/>
      <c r="D57" s="393">
        <f t="shared" si="4"/>
        <v>703772</v>
      </c>
      <c r="E57" s="394"/>
      <c r="F57" s="394"/>
      <c r="G57" s="394"/>
      <c r="H57" s="394"/>
      <c r="I57" s="394"/>
      <c r="J57" s="394"/>
      <c r="K57" s="390"/>
    </row>
    <row r="58" spans="1:11" s="391" customFormat="1">
      <c r="A58" s="395" t="s">
        <v>156</v>
      </c>
      <c r="B58" s="392">
        <f>'Sources and Uses Budget'!C58</f>
        <v>0</v>
      </c>
      <c r="C58" s="393"/>
      <c r="D58" s="393">
        <f t="shared" si="4"/>
        <v>0</v>
      </c>
      <c r="E58" s="394"/>
      <c r="F58" s="394"/>
      <c r="G58" s="394"/>
      <c r="H58" s="394"/>
      <c r="I58" s="394"/>
      <c r="J58" s="394"/>
      <c r="K58" s="390"/>
    </row>
    <row r="59" spans="1:11" s="391" customFormat="1">
      <c r="A59" s="395" t="s">
        <v>154</v>
      </c>
      <c r="B59" s="392">
        <f>'Sources and Uses Budget'!C59</f>
        <v>0</v>
      </c>
      <c r="C59" s="393"/>
      <c r="D59" s="393">
        <f t="shared" si="4"/>
        <v>0</v>
      </c>
      <c r="E59" s="394"/>
      <c r="F59" s="394"/>
      <c r="G59" s="394"/>
      <c r="H59" s="394"/>
      <c r="I59" s="394"/>
      <c r="J59" s="394"/>
      <c r="K59" s="390"/>
    </row>
    <row r="60" spans="1:11" s="391" customFormat="1">
      <c r="A60" s="395" t="s">
        <v>155</v>
      </c>
      <c r="B60" s="392">
        <f>'Sources and Uses Budget'!C60</f>
        <v>0</v>
      </c>
      <c r="C60" s="393"/>
      <c r="D60" s="393">
        <f t="shared" si="4"/>
        <v>0</v>
      </c>
      <c r="E60" s="394"/>
      <c r="F60" s="394"/>
      <c r="G60" s="394"/>
      <c r="H60" s="394"/>
      <c r="I60" s="394"/>
      <c r="J60" s="394"/>
      <c r="K60" s="390"/>
    </row>
    <row r="61" spans="1:11" s="391" customFormat="1">
      <c r="A61" s="395" t="str">
        <f>'Sources and Uses Budget'!$A61</f>
        <v>Interest Prior to Conversion</v>
      </c>
      <c r="B61" s="392">
        <f>'Sources and Uses Budget'!C61</f>
        <v>4000000</v>
      </c>
      <c r="C61" s="393"/>
      <c r="D61" s="393">
        <f t="shared" si="4"/>
        <v>4000000</v>
      </c>
      <c r="E61" s="394"/>
      <c r="F61" s="394"/>
      <c r="G61" s="394"/>
      <c r="H61" s="394"/>
      <c r="I61" s="394"/>
      <c r="J61" s="394"/>
      <c r="K61" s="390"/>
    </row>
    <row r="62" spans="1:11" s="391" customFormat="1" ht="13.7" customHeight="1">
      <c r="A62" s="396" t="s">
        <v>302</v>
      </c>
      <c r="B62" s="392">
        <f>'Sources and Uses Budget'!C62</f>
        <v>5147822</v>
      </c>
      <c r="C62" s="392">
        <f>SUM(C56:C61)</f>
        <v>0</v>
      </c>
      <c r="D62" s="392">
        <f>SUM(D56:D61)</f>
        <v>5147822</v>
      </c>
      <c r="E62" s="394"/>
      <c r="F62" s="394"/>
      <c r="G62" s="394"/>
      <c r="H62" s="394"/>
      <c r="I62" s="394"/>
      <c r="J62" s="394"/>
      <c r="K62" s="390"/>
    </row>
    <row r="63" spans="1:11" s="391" customFormat="1">
      <c r="A63" s="401" t="s">
        <v>303</v>
      </c>
      <c r="B63" s="392">
        <f>'Sources and Uses Budget'!C63</f>
        <v>125392816</v>
      </c>
      <c r="C63" s="392">
        <f>SUM(C8+C11+C13+C14+C15+C26+C27+C38+C42+C43+C54+C62)</f>
        <v>0</v>
      </c>
      <c r="D63" s="392">
        <f>SUM(D8+D11+D13+D14+D15+D26+D27+D38+D42+D43+D54+D62)</f>
        <v>125392816</v>
      </c>
      <c r="E63" s="392">
        <f>'Sources and Uses Budget'!S63</f>
        <v>118158817</v>
      </c>
      <c r="F63" s="392">
        <f>SUM(F10+F13+F14+F15+F26+F27+F38+F42+F43+F54)</f>
        <v>0</v>
      </c>
      <c r="G63" s="392">
        <f>SUM(G10+G13+G14+G15+G26+G27+G38+G42+G43+G54)</f>
        <v>118158817</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150000</v>
      </c>
      <c r="C65" s="393"/>
      <c r="D65" s="393">
        <f>B65</f>
        <v>150000</v>
      </c>
      <c r="E65" s="392">
        <f>'Sources and Uses Budget'!S65</f>
        <v>50000</v>
      </c>
      <c r="F65" s="393"/>
      <c r="G65" s="393">
        <f>E65</f>
        <v>50000</v>
      </c>
      <c r="H65" s="392">
        <f>'Sources and Uses Budget'!T65</f>
        <v>0</v>
      </c>
      <c r="I65" s="393"/>
      <c r="J65" s="393"/>
      <c r="K65" s="390"/>
    </row>
    <row r="66" spans="1:11" s="391" customFormat="1" ht="24">
      <c r="A66" s="304" t="s">
        <v>1753</v>
      </c>
      <c r="B66" s="392">
        <f>'Sources and Uses Budget'!C66</f>
        <v>0</v>
      </c>
      <c r="C66" s="393"/>
      <c r="D66" s="393">
        <f>B66</f>
        <v>0</v>
      </c>
      <c r="E66" s="392">
        <f>'Sources and Uses Budget'!S66</f>
        <v>0</v>
      </c>
      <c r="F66" s="393"/>
      <c r="G66" s="393">
        <f>E66</f>
        <v>0</v>
      </c>
      <c r="H66" s="392">
        <f>'Sources and Uses Budget'!T66</f>
        <v>0</v>
      </c>
      <c r="I66" s="393"/>
      <c r="J66" s="393"/>
      <c r="K66" s="390"/>
    </row>
    <row r="67" spans="1:11" s="391" customFormat="1" ht="24">
      <c r="A67" s="304" t="s">
        <v>1754</v>
      </c>
      <c r="B67" s="392">
        <f>'Sources and Uses Budget'!C67</f>
        <v>0</v>
      </c>
      <c r="C67" s="393"/>
      <c r="D67" s="393">
        <f>B67</f>
        <v>0</v>
      </c>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f>B68</f>
        <v>0</v>
      </c>
      <c r="E68" s="392">
        <f>'Sources and Uses Budget'!S68</f>
        <v>0</v>
      </c>
      <c r="F68" s="393"/>
      <c r="G68" s="393"/>
      <c r="H68" s="392">
        <f>'Sources and Uses Budget'!T68</f>
        <v>0</v>
      </c>
      <c r="I68" s="393"/>
      <c r="J68" s="393"/>
      <c r="K68" s="390"/>
    </row>
    <row r="69" spans="1:11" s="391" customFormat="1">
      <c r="A69" s="395" t="str">
        <f>'Sources and Uses Budget'!$A69</f>
        <v>Other: Partnership &amp; Transaction</v>
      </c>
      <c r="B69" s="392">
        <f>'Sources and Uses Budget'!C69</f>
        <v>150000</v>
      </c>
      <c r="C69" s="393"/>
      <c r="D69" s="393">
        <f>B69</f>
        <v>150000</v>
      </c>
      <c r="E69" s="392">
        <f>'Sources and Uses Budget'!S69</f>
        <v>10000</v>
      </c>
      <c r="F69" s="393"/>
      <c r="G69" s="393">
        <f>E69</f>
        <v>10000</v>
      </c>
      <c r="H69" s="392">
        <f>'Sources and Uses Budget'!T69</f>
        <v>0</v>
      </c>
      <c r="I69" s="393"/>
      <c r="J69" s="393"/>
      <c r="K69" s="390"/>
    </row>
    <row r="70" spans="1:11" s="391" customFormat="1">
      <c r="A70" s="396" t="s">
        <v>609</v>
      </c>
      <c r="B70" s="392">
        <f>'Sources and Uses Budget'!C70</f>
        <v>300000</v>
      </c>
      <c r="C70" s="392">
        <f>SUM(C64:C69)</f>
        <v>0</v>
      </c>
      <c r="D70" s="392">
        <f>SUM(D64:D69)</f>
        <v>300000</v>
      </c>
      <c r="E70" s="392">
        <f>'Sources and Uses Budget'!S70</f>
        <v>60000</v>
      </c>
      <c r="F70" s="398">
        <f>SUM(F65:F69)</f>
        <v>0</v>
      </c>
      <c r="G70" s="398">
        <f>SUM(G65:G69)</f>
        <v>60000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1038000</v>
      </c>
      <c r="C75" s="393"/>
      <c r="D75" s="393">
        <f>B75</f>
        <v>1038000</v>
      </c>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1038000</v>
      </c>
      <c r="C77" s="392">
        <f>SUM(C72:C76)</f>
        <v>0</v>
      </c>
      <c r="D77" s="392">
        <f>SUM(D72:D76)</f>
        <v>1038000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6301906</v>
      </c>
      <c r="C79" s="393"/>
      <c r="D79" s="393">
        <f>B79</f>
        <v>6301906</v>
      </c>
      <c r="E79" s="392">
        <f>'Sources and Uses Budget'!S79</f>
        <v>6301906</v>
      </c>
      <c r="F79" s="393"/>
      <c r="G79" s="393">
        <f>E79</f>
        <v>6301906</v>
      </c>
      <c r="H79" s="392">
        <f>'Sources and Uses Budget'!T79</f>
        <v>0</v>
      </c>
      <c r="I79" s="393"/>
      <c r="J79" s="393"/>
      <c r="K79" s="390"/>
    </row>
    <row r="80" spans="1:11" s="391" customFormat="1">
      <c r="A80" s="395" t="s">
        <v>58</v>
      </c>
      <c r="B80" s="392">
        <f>'Sources and Uses Budget'!C80</f>
        <v>1581890</v>
      </c>
      <c r="C80" s="393"/>
      <c r="D80" s="393">
        <f>B80</f>
        <v>1581890</v>
      </c>
      <c r="E80" s="392">
        <f>'Sources and Uses Budget'!S80</f>
        <v>1581890</v>
      </c>
      <c r="F80" s="393"/>
      <c r="G80" s="393">
        <f>E80</f>
        <v>1581890</v>
      </c>
      <c r="H80" s="392">
        <f>'Sources and Uses Budget'!T80</f>
        <v>0</v>
      </c>
      <c r="I80" s="393"/>
      <c r="J80" s="393"/>
      <c r="K80" s="390"/>
    </row>
    <row r="81" spans="1:11" s="391" customFormat="1">
      <c r="A81" s="396" t="s">
        <v>1314</v>
      </c>
      <c r="B81" s="392">
        <f>'Sources and Uses Budget'!C81</f>
        <v>7883796</v>
      </c>
      <c r="C81" s="392">
        <f>SUM(C79:C80)</f>
        <v>0</v>
      </c>
      <c r="D81" s="392">
        <f>SUM(D79:D80)</f>
        <v>7883796</v>
      </c>
      <c r="E81" s="392">
        <f>'Sources and Uses Budget'!S81</f>
        <v>7883796</v>
      </c>
      <c r="F81" s="392">
        <f>SUM(F79:F80)</f>
        <v>0</v>
      </c>
      <c r="G81" s="392">
        <f>SUM(G79:G80)</f>
        <v>7883796</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353812</v>
      </c>
      <c r="C83" s="393"/>
      <c r="D83" s="393">
        <f>B83</f>
        <v>353812</v>
      </c>
      <c r="E83" s="394"/>
      <c r="F83" s="394"/>
      <c r="G83" s="394"/>
      <c r="H83" s="394"/>
      <c r="I83" s="394"/>
      <c r="J83" s="394"/>
      <c r="K83" s="390"/>
    </row>
    <row r="84" spans="1:11" s="391" customFormat="1">
      <c r="A84" s="145" t="s">
        <v>776</v>
      </c>
      <c r="B84" s="392">
        <f>'Sources and Uses Budget'!C84</f>
        <v>125000</v>
      </c>
      <c r="C84" s="393"/>
      <c r="D84" s="393">
        <f>B84</f>
        <v>125000</v>
      </c>
      <c r="E84" s="392">
        <f>'Sources and Uses Budget'!S84</f>
        <v>125000</v>
      </c>
      <c r="F84" s="393"/>
      <c r="G84" s="393">
        <f>E84</f>
        <v>125000</v>
      </c>
      <c r="H84" s="392">
        <f>'Sources and Uses Budget'!T84</f>
        <v>0</v>
      </c>
      <c r="I84" s="393"/>
      <c r="J84" s="393"/>
      <c r="K84" s="390"/>
    </row>
    <row r="85" spans="1:11" s="391" customFormat="1">
      <c r="A85" s="145" t="s">
        <v>777</v>
      </c>
      <c r="B85" s="392">
        <f>'Sources and Uses Budget'!C85</f>
        <v>1801243</v>
      </c>
      <c r="C85" s="393"/>
      <c r="D85" s="393">
        <f t="shared" ref="D85:D95" si="5">B85</f>
        <v>1801243</v>
      </c>
      <c r="E85" s="392">
        <f>'Sources and Uses Budget'!S85</f>
        <v>1801243</v>
      </c>
      <c r="F85" s="393"/>
      <c r="G85" s="393">
        <f>E85</f>
        <v>1801243</v>
      </c>
      <c r="H85" s="392">
        <f>'Sources and Uses Budget'!T85</f>
        <v>0</v>
      </c>
      <c r="I85" s="393"/>
      <c r="J85" s="393"/>
      <c r="K85" s="390"/>
    </row>
    <row r="86" spans="1:11" s="391" customFormat="1">
      <c r="A86" s="145" t="s">
        <v>778</v>
      </c>
      <c r="B86" s="392">
        <f>'Sources and Uses Budget'!C86</f>
        <v>1000000</v>
      </c>
      <c r="C86" s="393"/>
      <c r="D86" s="393">
        <f t="shared" si="5"/>
        <v>1000000</v>
      </c>
      <c r="E86" s="392">
        <f>'Sources and Uses Budget'!S86</f>
        <v>1000000</v>
      </c>
      <c r="F86" s="393"/>
      <c r="G86" s="393">
        <f>E86</f>
        <v>1000000</v>
      </c>
      <c r="H86" s="392">
        <f>'Sources and Uses Budget'!T86</f>
        <v>0</v>
      </c>
      <c r="I86" s="393"/>
      <c r="J86" s="393"/>
      <c r="K86" s="390"/>
    </row>
    <row r="87" spans="1:11" s="391" customFormat="1">
      <c r="A87" s="145" t="s">
        <v>779</v>
      </c>
      <c r="B87" s="392">
        <f>'Sources and Uses Budget'!C87</f>
        <v>0</v>
      </c>
      <c r="C87" s="393"/>
      <c r="D87" s="393">
        <f t="shared" si="5"/>
        <v>0</v>
      </c>
      <c r="E87" s="392">
        <f>'Sources and Uses Budget'!S87</f>
        <v>0</v>
      </c>
      <c r="F87" s="393"/>
      <c r="G87" s="393">
        <f>E87</f>
        <v>0</v>
      </c>
      <c r="H87" s="392">
        <f>'Sources and Uses Budget'!T87</f>
        <v>0</v>
      </c>
      <c r="I87" s="393"/>
      <c r="J87" s="393"/>
      <c r="K87" s="390"/>
    </row>
    <row r="88" spans="1:11" s="391" customFormat="1">
      <c r="A88" s="145" t="s">
        <v>780</v>
      </c>
      <c r="B88" s="392">
        <f>'Sources and Uses Budget'!C88</f>
        <v>10000</v>
      </c>
      <c r="C88" s="393"/>
      <c r="D88" s="393">
        <f t="shared" si="5"/>
        <v>10000</v>
      </c>
      <c r="E88" s="394"/>
      <c r="F88" s="394"/>
      <c r="G88" s="394"/>
      <c r="H88" s="394"/>
      <c r="I88" s="394"/>
      <c r="J88" s="394"/>
      <c r="K88" s="390"/>
    </row>
    <row r="89" spans="1:11" s="391" customFormat="1">
      <c r="A89" s="145" t="s">
        <v>781</v>
      </c>
      <c r="B89" s="392">
        <f>'Sources and Uses Budget'!C89</f>
        <v>625000</v>
      </c>
      <c r="C89" s="393"/>
      <c r="D89" s="393">
        <f t="shared" si="5"/>
        <v>625000</v>
      </c>
      <c r="E89" s="392">
        <f>'Sources and Uses Budget'!S89</f>
        <v>625000</v>
      </c>
      <c r="F89" s="393"/>
      <c r="G89" s="393">
        <f t="shared" ref="G89:G95" si="6">E89</f>
        <v>625000</v>
      </c>
      <c r="H89" s="392">
        <f>'Sources and Uses Budget'!T89</f>
        <v>0</v>
      </c>
      <c r="I89" s="393"/>
      <c r="J89" s="393"/>
      <c r="K89" s="390"/>
    </row>
    <row r="90" spans="1:11" s="391" customFormat="1">
      <c r="A90" s="145" t="s">
        <v>782</v>
      </c>
      <c r="B90" s="392">
        <f>'Sources and Uses Budget'!C90</f>
        <v>8000</v>
      </c>
      <c r="C90" s="393"/>
      <c r="D90" s="393">
        <f t="shared" si="5"/>
        <v>8000</v>
      </c>
      <c r="E90" s="392">
        <f>'Sources and Uses Budget'!S90</f>
        <v>8000</v>
      </c>
      <c r="F90" s="393"/>
      <c r="G90" s="393">
        <f t="shared" si="6"/>
        <v>8000</v>
      </c>
      <c r="H90" s="392">
        <f>'Sources and Uses Budget'!T90</f>
        <v>0</v>
      </c>
      <c r="I90" s="393"/>
      <c r="J90" s="393"/>
      <c r="K90" s="390"/>
    </row>
    <row r="91" spans="1:11" s="391" customFormat="1">
      <c r="A91" s="155" t="s">
        <v>373</v>
      </c>
      <c r="B91" s="392">
        <f>'Sources and Uses Budget'!C91</f>
        <v>25000</v>
      </c>
      <c r="C91" s="393"/>
      <c r="D91" s="393">
        <f t="shared" si="5"/>
        <v>25000</v>
      </c>
      <c r="E91" s="392">
        <f>'Sources and Uses Budget'!S91</f>
        <v>25000</v>
      </c>
      <c r="F91" s="393"/>
      <c r="G91" s="393">
        <f t="shared" si="6"/>
        <v>25000</v>
      </c>
      <c r="H91" s="392">
        <f>'Sources and Uses Budget'!T91</f>
        <v>0</v>
      </c>
      <c r="I91" s="393"/>
      <c r="J91" s="393"/>
      <c r="K91" s="390"/>
    </row>
    <row r="92" spans="1:11" s="391" customFormat="1">
      <c r="A92" s="542" t="s">
        <v>1316</v>
      </c>
      <c r="B92" s="392">
        <f>'Sources and Uses Budget'!C92</f>
        <v>15000</v>
      </c>
      <c r="C92" s="393"/>
      <c r="D92" s="393">
        <f t="shared" si="5"/>
        <v>15000</v>
      </c>
      <c r="E92" s="392">
        <f>'Sources and Uses Budget'!S92</f>
        <v>15000</v>
      </c>
      <c r="F92" s="393"/>
      <c r="G92" s="393">
        <f t="shared" si="6"/>
        <v>15000</v>
      </c>
      <c r="H92" s="392">
        <f>'Sources and Uses Budget'!T92</f>
        <v>0</v>
      </c>
      <c r="I92" s="393"/>
      <c r="J92" s="393"/>
      <c r="K92" s="390"/>
    </row>
    <row r="93" spans="1:11" s="391" customFormat="1">
      <c r="A93" s="395" t="str">
        <f>'Sources and Uses Budget'!$A93</f>
        <v>Public Bond Interest</v>
      </c>
      <c r="B93" s="392">
        <f>'Sources and Uses Budget'!C93</f>
        <v>8147449</v>
      </c>
      <c r="C93" s="393"/>
      <c r="D93" s="393">
        <f t="shared" si="5"/>
        <v>8147449</v>
      </c>
      <c r="E93" s="392">
        <f>'Sources and Uses Budget'!S93</f>
        <v>6788356</v>
      </c>
      <c r="F93" s="393"/>
      <c r="G93" s="393">
        <f t="shared" si="6"/>
        <v>6788356</v>
      </c>
      <c r="H93" s="392">
        <f>'Sources and Uses Budget'!T93</f>
        <v>0</v>
      </c>
      <c r="I93" s="393"/>
      <c r="J93" s="393"/>
      <c r="K93" s="390"/>
    </row>
    <row r="94" spans="1:11" s="391" customFormat="1" ht="24">
      <c r="A94" s="395" t="str">
        <f>'Sources and Uses Budget'!$A94</f>
        <v>Lease Up Costs+ Prop Management Startup Fees</v>
      </c>
      <c r="B94" s="392">
        <f>'Sources and Uses Budget'!C94</f>
        <v>150000</v>
      </c>
      <c r="C94" s="393"/>
      <c r="D94" s="393">
        <f t="shared" si="5"/>
        <v>150000</v>
      </c>
      <c r="E94" s="392">
        <f>'Sources and Uses Budget'!S94</f>
        <v>0</v>
      </c>
      <c r="F94" s="393"/>
      <c r="G94" s="393">
        <f t="shared" si="6"/>
        <v>0</v>
      </c>
      <c r="H94" s="392">
        <f>'Sources and Uses Budget'!T94</f>
        <v>0</v>
      </c>
      <c r="I94" s="393"/>
      <c r="J94" s="393"/>
      <c r="K94" s="390"/>
    </row>
    <row r="95" spans="1:11" s="391" customFormat="1">
      <c r="A95" s="395" t="str">
        <f>'Sources and Uses Budget'!$A95</f>
        <v>Const Service Fees (Bank)</v>
      </c>
      <c r="B95" s="392">
        <f>'Sources and Uses Budget'!C95</f>
        <v>140000</v>
      </c>
      <c r="C95" s="393"/>
      <c r="D95" s="393">
        <f t="shared" si="5"/>
        <v>140000</v>
      </c>
      <c r="E95" s="392">
        <f>'Sources and Uses Budget'!S95</f>
        <v>140000</v>
      </c>
      <c r="F95" s="393"/>
      <c r="G95" s="393">
        <f t="shared" si="6"/>
        <v>140000</v>
      </c>
      <c r="H95" s="392">
        <f>'Sources and Uses Budget'!T95</f>
        <v>0</v>
      </c>
      <c r="I95" s="393"/>
      <c r="J95" s="393"/>
      <c r="K95" s="390"/>
    </row>
    <row r="96" spans="1:11" s="391" customFormat="1">
      <c r="A96" s="396" t="s">
        <v>783</v>
      </c>
      <c r="B96" s="392">
        <f>'Sources and Uses Budget'!C96</f>
        <v>12400504</v>
      </c>
      <c r="C96" s="392">
        <f>SUM(C83:C95)</f>
        <v>0</v>
      </c>
      <c r="D96" s="392">
        <f>SUM(D83:D95)</f>
        <v>12400504</v>
      </c>
      <c r="E96" s="392">
        <f>'Sources and Uses Budget'!S96</f>
        <v>10527599</v>
      </c>
      <c r="F96" s="398">
        <f>SUM(F84:F87,F89:F95)</f>
        <v>0</v>
      </c>
      <c r="G96" s="398">
        <f>SUM(G84:G87,G89:G95)</f>
        <v>10527599</v>
      </c>
      <c r="H96" s="392">
        <f>'Sources and Uses Budget'!T96</f>
        <v>0</v>
      </c>
      <c r="I96" s="392">
        <f>SUM(I84:I87,I89:I95)</f>
        <v>0</v>
      </c>
      <c r="J96" s="392">
        <f>SUM(J84:J87,J89:J95)</f>
        <v>0</v>
      </c>
      <c r="K96" s="390"/>
    </row>
    <row r="97" spans="1:11" s="391" customFormat="1">
      <c r="A97" s="396" t="s">
        <v>1052</v>
      </c>
      <c r="B97" s="392">
        <f>'Sources and Uses Budget'!C97</f>
        <v>147015116</v>
      </c>
      <c r="C97" s="392">
        <f>SUM(C63+C70+C77+C81+C96)</f>
        <v>0</v>
      </c>
      <c r="D97" s="392">
        <f>SUM(D63+D70+D77+D81+D96)</f>
        <v>147015116</v>
      </c>
      <c r="E97" s="392">
        <f>'Sources and Uses Budget'!S97</f>
        <v>136630212</v>
      </c>
      <c r="F97" s="398">
        <f>SUM(+F63+F70+F81+F96)</f>
        <v>0</v>
      </c>
      <c r="G97" s="398">
        <f>SUM(+G63+G70+G81+G96)</f>
        <v>136630212</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11700000</v>
      </c>
      <c r="C99" s="393"/>
      <c r="D99" s="393">
        <f>B99</f>
        <v>11700000</v>
      </c>
      <c r="E99" s="392">
        <f>'Sources and Uses Budget'!S99</f>
        <v>11700000</v>
      </c>
      <c r="F99" s="393"/>
      <c r="G99" s="393">
        <f>E99</f>
        <v>11700000</v>
      </c>
      <c r="H99" s="392">
        <f>'Sources and Uses Budget'!T99</f>
        <v>0</v>
      </c>
      <c r="I99" s="393"/>
      <c r="J99" s="393"/>
      <c r="K99" s="390"/>
    </row>
    <row r="100" spans="1:11" s="391" customFormat="1">
      <c r="A100" s="304" t="s">
        <v>1758</v>
      </c>
      <c r="B100" s="392">
        <f>'Sources and Uses Budget'!C100</f>
        <v>0</v>
      </c>
      <c r="C100" s="393"/>
      <c r="D100" s="393">
        <f>B100</f>
        <v>0</v>
      </c>
      <c r="E100" s="392">
        <f>'Sources and Uses Budget'!S100</f>
        <v>0</v>
      </c>
      <c r="F100" s="393"/>
      <c r="G100" s="393">
        <f>E100</f>
        <v>0</v>
      </c>
      <c r="H100" s="392">
        <f>'Sources and Uses Budget'!T100</f>
        <v>0</v>
      </c>
      <c r="I100" s="393"/>
      <c r="J100" s="393"/>
      <c r="K100" s="390"/>
    </row>
    <row r="101" spans="1:11" s="391" customFormat="1">
      <c r="A101" s="145" t="s">
        <v>787</v>
      </c>
      <c r="B101" s="392">
        <f>'Sources and Uses Budget'!C101</f>
        <v>0</v>
      </c>
      <c r="C101" s="393"/>
      <c r="D101" s="393">
        <f>B101</f>
        <v>0</v>
      </c>
      <c r="E101" s="392">
        <f>'Sources and Uses Budget'!S101</f>
        <v>0</v>
      </c>
      <c r="F101" s="393"/>
      <c r="G101" s="393">
        <f>E101</f>
        <v>0</v>
      </c>
      <c r="H101" s="392">
        <f>'Sources and Uses Budget'!T101</f>
        <v>0</v>
      </c>
      <c r="I101" s="393"/>
      <c r="J101" s="393"/>
      <c r="K101" s="390"/>
    </row>
    <row r="102" spans="1:11" s="391" customFormat="1" ht="12" customHeight="1">
      <c r="A102" s="304" t="s">
        <v>1759</v>
      </c>
      <c r="B102" s="392">
        <f>'Sources and Uses Budget'!C102</f>
        <v>0</v>
      </c>
      <c r="C102" s="393"/>
      <c r="D102" s="393">
        <f>B102</f>
        <v>0</v>
      </c>
      <c r="E102" s="392">
        <f>'Sources and Uses Budget'!S102</f>
        <v>0</v>
      </c>
      <c r="F102" s="393"/>
      <c r="G102" s="393">
        <f>E102</f>
        <v>0</v>
      </c>
      <c r="H102" s="392">
        <f>'Sources and Uses Budget'!T102</f>
        <v>0</v>
      </c>
      <c r="I102" s="393"/>
      <c r="J102" s="393"/>
      <c r="K102" s="390"/>
    </row>
    <row r="103" spans="1:11" s="391" customFormat="1">
      <c r="A103" s="395" t="str">
        <f>'Sources and Uses Budget'!$A103</f>
        <v>Other: (Specify)</v>
      </c>
      <c r="B103" s="392">
        <f>'Sources and Uses Budget'!C103</f>
        <v>0</v>
      </c>
      <c r="C103" s="393"/>
      <c r="D103" s="393">
        <f>B103</f>
        <v>0</v>
      </c>
      <c r="E103" s="392">
        <f>'Sources and Uses Budget'!S103</f>
        <v>0</v>
      </c>
      <c r="F103" s="393"/>
      <c r="G103" s="393">
        <f>E103</f>
        <v>0</v>
      </c>
      <c r="H103" s="392">
        <f>'Sources and Uses Budget'!T103</f>
        <v>0</v>
      </c>
      <c r="I103" s="393"/>
      <c r="J103" s="393"/>
      <c r="K103" s="390"/>
    </row>
    <row r="104" spans="1:11" s="391" customFormat="1">
      <c r="A104" s="396" t="s">
        <v>788</v>
      </c>
      <c r="B104" s="392">
        <f>'Sources and Uses Budget'!C104</f>
        <v>11700000</v>
      </c>
      <c r="C104" s="392">
        <f>SUM(C99:C103)</f>
        <v>0</v>
      </c>
      <c r="D104" s="392">
        <f>SUM(D99:D103)</f>
        <v>11700000</v>
      </c>
      <c r="E104" s="392">
        <f>'Sources and Uses Budget'!S104</f>
        <v>11700000</v>
      </c>
      <c r="F104" s="398">
        <f>SUM(F99:F103)</f>
        <v>0</v>
      </c>
      <c r="G104" s="398">
        <f>SUM(G99:G103)</f>
        <v>11700000</v>
      </c>
      <c r="H104" s="392">
        <f>'Sources and Uses Budget'!T104</f>
        <v>0</v>
      </c>
      <c r="I104" s="398">
        <f>SUM(I99:I103)</f>
        <v>0</v>
      </c>
      <c r="J104" s="398">
        <f>SUM(J99:J103)</f>
        <v>0</v>
      </c>
      <c r="K104" s="390"/>
    </row>
    <row r="105" spans="1:11" s="391" customFormat="1">
      <c r="A105" s="396" t="s">
        <v>1053</v>
      </c>
      <c r="B105" s="392">
        <f>'Sources and Uses Budget'!C105</f>
        <v>158715116</v>
      </c>
      <c r="C105" s="398">
        <f>SUM(C97+C104)</f>
        <v>0</v>
      </c>
      <c r="D105" s="398">
        <f>SUM(D97+D104)</f>
        <v>158715116</v>
      </c>
      <c r="E105" s="392">
        <f>'Sources and Uses Budget'!S105</f>
        <v>148330212</v>
      </c>
      <c r="F105" s="398">
        <f>F97+F104</f>
        <v>0</v>
      </c>
      <c r="G105" s="398">
        <f>G97+G104</f>
        <v>148330212</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148330212</v>
      </c>
      <c r="F107" s="398">
        <f>F105+F106</f>
        <v>0</v>
      </c>
      <c r="G107" s="398">
        <f>G105+G106</f>
        <v>148330212</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07"/>
      <c r="E124" s="1340"/>
      <c r="F124" s="1340"/>
      <c r="G124" s="1340"/>
      <c r="H124" s="1340"/>
      <c r="I124" s="1340"/>
      <c r="J124" s="407"/>
      <c r="K124" s="390"/>
    </row>
    <row r="125" spans="1:11" s="391" customFormat="1" ht="12.75">
      <c r="A125" s="416"/>
      <c r="B125" s="415"/>
      <c r="C125" s="416"/>
      <c r="D125" s="1340"/>
      <c r="E125" s="1340"/>
      <c r="F125" s="1340"/>
      <c r="G125" s="1340"/>
      <c r="H125" s="1340"/>
      <c r="I125" s="1340"/>
      <c r="J125" s="407"/>
      <c r="K125" s="390"/>
    </row>
    <row r="126" spans="1:11" s="391" customFormat="1" ht="12.75">
      <c r="A126" s="416"/>
      <c r="B126" s="415"/>
      <c r="C126" s="416"/>
      <c r="D126" s="1340"/>
      <c r="E126" s="1340"/>
      <c r="F126" s="1340"/>
      <c r="G126" s="1340"/>
      <c r="H126" s="1340"/>
      <c r="I126" s="1340"/>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08"/>
      <c r="B139" s="1340"/>
      <c r="C139" s="1340"/>
      <c r="D139" s="387"/>
      <c r="E139" s="416"/>
      <c r="F139" s="416"/>
      <c r="G139" s="416"/>
    </row>
    <row r="140" spans="1:11" ht="12" customHeight="1">
      <c r="A140" s="1300"/>
      <c r="B140" s="1300"/>
      <c r="C140" s="130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E25" sqref="E25:AJ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44" t="s">
        <v>1410</v>
      </c>
      <c r="B1" s="1944"/>
      <c r="C1" s="1944"/>
      <c r="D1" s="1944"/>
      <c r="E1" s="1944"/>
      <c r="F1" s="1944"/>
      <c r="G1" s="1944"/>
      <c r="H1" s="1944"/>
      <c r="I1" s="1944"/>
      <c r="J1" s="1944"/>
      <c r="K1" s="1944"/>
      <c r="L1" s="1944"/>
      <c r="M1" s="1944"/>
      <c r="N1" s="1944"/>
      <c r="O1" s="1944"/>
      <c r="P1" s="1944"/>
      <c r="Q1" s="1944"/>
      <c r="R1" s="1944"/>
      <c r="S1" s="1944"/>
      <c r="T1" s="1944"/>
      <c r="U1" s="1944"/>
      <c r="V1" s="1944"/>
      <c r="W1" s="1944"/>
      <c r="X1" s="1944"/>
      <c r="Y1" s="1944"/>
      <c r="Z1" s="1944"/>
      <c r="AA1" s="1944"/>
      <c r="AB1" s="1944"/>
      <c r="AC1" s="1944"/>
      <c r="AD1" s="1944"/>
      <c r="AE1" s="1944"/>
      <c r="AF1" s="1944"/>
      <c r="AG1" s="1944"/>
      <c r="AH1" s="1944"/>
      <c r="AI1" s="1944"/>
      <c r="AJ1" s="1944"/>
      <c r="AK1" s="1944"/>
      <c r="AL1" s="1944"/>
      <c r="AM1" s="1944"/>
    </row>
    <row r="2" spans="1:42" s="570" customFormat="1" ht="12.75" customHeight="1" thickBot="1">
      <c r="A2" s="1945"/>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945"/>
      <c r="AA2" s="1945"/>
      <c r="AB2" s="1945"/>
      <c r="AC2" s="1945"/>
      <c r="AD2" s="1945"/>
      <c r="AE2" s="1945"/>
      <c r="AF2" s="1945"/>
      <c r="AG2" s="1945"/>
      <c r="AH2" s="1945"/>
      <c r="AI2" s="1945"/>
      <c r="AJ2" s="1945"/>
      <c r="AK2" s="1945"/>
      <c r="AL2" s="1945"/>
      <c r="AM2" s="194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1415</v>
      </c>
      <c r="AF7" s="1928"/>
      <c r="AG7" s="1928"/>
      <c r="AH7" s="1928"/>
      <c r="AI7" s="1928"/>
      <c r="AJ7" s="1928"/>
      <c r="AK7" s="192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18" t="s">
        <v>599</v>
      </c>
      <c r="C13" s="191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46"/>
      <c r="AH13" s="1946"/>
      <c r="AI13" s="1946"/>
      <c r="AJ13" s="194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18" t="s">
        <v>599</v>
      </c>
      <c r="C16" s="1918"/>
      <c r="D16" s="581"/>
      <c r="E16" s="1929" t="s">
        <v>1417</v>
      </c>
      <c r="F16" s="1930"/>
      <c r="G16" s="1930"/>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1"/>
      <c r="AK16" s="574"/>
      <c r="AL16" s="574"/>
      <c r="AM16" s="574"/>
      <c r="AN16" s="569"/>
      <c r="AO16" s="584">
        <f>IF($B25="yes",20,0)</f>
        <v>0</v>
      </c>
      <c r="AP16" s="14"/>
    </row>
    <row r="17" spans="1:42" s="570" customFormat="1" ht="12.75" customHeight="1">
      <c r="A17" s="574"/>
      <c r="B17" s="574"/>
      <c r="C17" s="574"/>
      <c r="D17" s="585"/>
      <c r="E17" s="1932"/>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4"/>
      <c r="AK17" s="574"/>
      <c r="AL17" s="574"/>
      <c r="AM17" s="574"/>
      <c r="AN17" s="569"/>
      <c r="AO17" s="570">
        <f>IF(SUM(AO13:AO16)&gt;20,20,(SUM(AO13:AO16)))</f>
        <v>0</v>
      </c>
      <c r="AP17" s="570" t="s">
        <v>1418</v>
      </c>
    </row>
    <row r="18" spans="1:42" s="570" customFormat="1" ht="12.75" customHeight="1">
      <c r="A18" s="574"/>
      <c r="B18" s="574"/>
      <c r="C18" s="574"/>
      <c r="D18" s="585"/>
      <c r="E18" s="1932"/>
      <c r="F18" s="1933"/>
      <c r="G18" s="1933"/>
      <c r="H18" s="1933"/>
      <c r="I18" s="1933"/>
      <c r="J18" s="1933"/>
      <c r="K18" s="1933"/>
      <c r="L18" s="1933"/>
      <c r="M18" s="1933"/>
      <c r="N18" s="1933"/>
      <c r="O18" s="1933"/>
      <c r="P18" s="1933"/>
      <c r="Q18" s="1933"/>
      <c r="R18" s="1933"/>
      <c r="S18" s="1933"/>
      <c r="T18" s="1933"/>
      <c r="U18" s="1933"/>
      <c r="V18" s="1933"/>
      <c r="W18" s="1933"/>
      <c r="X18" s="1933"/>
      <c r="Y18" s="1933"/>
      <c r="Z18" s="1933"/>
      <c r="AA18" s="1933"/>
      <c r="AB18" s="1933"/>
      <c r="AC18" s="1933"/>
      <c r="AD18" s="1933"/>
      <c r="AE18" s="1933"/>
      <c r="AF18" s="1933"/>
      <c r="AG18" s="1933"/>
      <c r="AH18" s="1933"/>
      <c r="AI18" s="1933"/>
      <c r="AJ18" s="193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57"/>
      <c r="F20" s="1958"/>
      <c r="G20" s="1958"/>
      <c r="H20" s="1958"/>
      <c r="I20" s="1958"/>
      <c r="J20" s="1958"/>
      <c r="K20" s="1958"/>
      <c r="L20" s="1958"/>
      <c r="M20" s="1958"/>
      <c r="N20" s="1958"/>
      <c r="O20" s="1958"/>
      <c r="P20" s="1958"/>
      <c r="Q20" s="1958"/>
      <c r="R20" s="1958"/>
      <c r="S20" s="1958"/>
      <c r="T20" s="1958"/>
      <c r="U20" s="1958"/>
      <c r="V20" s="1958"/>
      <c r="W20" s="1958"/>
      <c r="X20" s="1958"/>
      <c r="Y20" s="1958"/>
      <c r="Z20" s="1958"/>
      <c r="AA20" s="1958"/>
      <c r="AB20" s="1958"/>
      <c r="AC20" s="1958"/>
      <c r="AD20" s="1958"/>
      <c r="AE20" s="1958"/>
      <c r="AF20" s="1958"/>
      <c r="AG20" s="1958"/>
      <c r="AH20" s="1958"/>
      <c r="AI20" s="1958"/>
      <c r="AJ20" s="195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18" t="s">
        <v>599</v>
      </c>
      <c r="C22" s="1918"/>
      <c r="D22" s="581"/>
      <c r="E22" s="1951" t="s">
        <v>1420</v>
      </c>
      <c r="F22" s="1952"/>
      <c r="G22" s="1952"/>
      <c r="H22" s="1952"/>
      <c r="I22" s="1952"/>
      <c r="J22" s="1952"/>
      <c r="K22" s="1952"/>
      <c r="L22" s="1952"/>
      <c r="M22" s="1952"/>
      <c r="N22" s="1952"/>
      <c r="O22" s="1952"/>
      <c r="P22" s="1952"/>
      <c r="Q22" s="1952"/>
      <c r="R22" s="1952"/>
      <c r="S22" s="1952"/>
      <c r="T22" s="1952"/>
      <c r="U22" s="1952"/>
      <c r="V22" s="1952"/>
      <c r="W22" s="1952"/>
      <c r="X22" s="1952"/>
      <c r="Y22" s="1952"/>
      <c r="Z22" s="1952"/>
      <c r="AA22" s="1952"/>
      <c r="AB22" s="1952"/>
      <c r="AC22" s="1952"/>
      <c r="AD22" s="1952"/>
      <c r="AE22" s="1952"/>
      <c r="AF22" s="1952"/>
      <c r="AG22" s="1952"/>
      <c r="AH22" s="1952"/>
      <c r="AI22" s="1952"/>
      <c r="AJ22" s="1953"/>
      <c r="AK22" s="574"/>
      <c r="AL22" s="574"/>
      <c r="AM22" s="574"/>
      <c r="AN22" s="569"/>
      <c r="AO22" s="570">
        <f>IF(SUM(AO20:AO21)&gt;14,14,SUM(AO20:AO21))</f>
        <v>0</v>
      </c>
      <c r="AP22" s="570" t="s">
        <v>1418</v>
      </c>
    </row>
    <row r="23" spans="1:42" s="570" customFormat="1" ht="12.75" customHeight="1">
      <c r="A23" s="574"/>
      <c r="B23" s="574"/>
      <c r="C23" s="574"/>
      <c r="D23" s="584"/>
      <c r="E23" s="1954"/>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18" t="s">
        <v>599</v>
      </c>
      <c r="C25" s="1918"/>
      <c r="D25" s="581"/>
      <c r="E25" s="1919" t="s">
        <v>2347</v>
      </c>
      <c r="F25" s="1920"/>
      <c r="G25" s="1920"/>
      <c r="H25" s="1920"/>
      <c r="I25" s="1920"/>
      <c r="J25" s="1920"/>
      <c r="K25" s="1920"/>
      <c r="L25" s="1920"/>
      <c r="M25" s="1920"/>
      <c r="N25" s="1920"/>
      <c r="O25" s="1920"/>
      <c r="P25" s="1920"/>
      <c r="Q25" s="1920"/>
      <c r="R25" s="1920"/>
      <c r="S25" s="1920"/>
      <c r="T25" s="1920"/>
      <c r="U25" s="1920"/>
      <c r="V25" s="1920"/>
      <c r="W25" s="1920"/>
      <c r="X25" s="1920"/>
      <c r="Y25" s="1920"/>
      <c r="Z25" s="1920"/>
      <c r="AA25" s="1920"/>
      <c r="AB25" s="1920"/>
      <c r="AC25" s="1920"/>
      <c r="AD25" s="1920"/>
      <c r="AE25" s="1920"/>
      <c r="AF25" s="1920"/>
      <c r="AG25" s="1920"/>
      <c r="AH25" s="1920"/>
      <c r="AI25" s="1920"/>
      <c r="AJ25" s="1921"/>
      <c r="AK25" s="574"/>
      <c r="AL25" s="574"/>
      <c r="AM25" s="574"/>
      <c r="AN25" s="569"/>
      <c r="AO25" s="570">
        <f>IF(AO24&gt;6,6,AO24)</f>
        <v>0</v>
      </c>
      <c r="AP25" s="570" t="s">
        <v>1418</v>
      </c>
    </row>
    <row r="26" spans="1:42" s="570" customFormat="1" ht="12.75" customHeight="1">
      <c r="A26" s="574"/>
      <c r="B26" s="574"/>
      <c r="C26" s="574"/>
      <c r="D26" s="584"/>
      <c r="E26" s="1922"/>
      <c r="F26" s="1923"/>
      <c r="G26" s="1923"/>
      <c r="H26" s="1923"/>
      <c r="I26" s="1923"/>
      <c r="J26" s="1923"/>
      <c r="K26" s="1923"/>
      <c r="L26" s="1923"/>
      <c r="M26" s="1923"/>
      <c r="N26" s="1923"/>
      <c r="O26" s="1923"/>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918" t="s">
        <v>599</v>
      </c>
      <c r="C30" s="1918"/>
      <c r="D30" s="581"/>
      <c r="E30" s="1951" t="s">
        <v>2319</v>
      </c>
      <c r="F30" s="1952"/>
      <c r="G30" s="1952"/>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3"/>
      <c r="AK30" s="574"/>
      <c r="AL30" s="574"/>
      <c r="AM30" s="574"/>
      <c r="AN30" s="569"/>
      <c r="AO30" s="584"/>
    </row>
    <row r="31" spans="1:42" s="570" customFormat="1" ht="12.75" customHeight="1">
      <c r="A31" s="574"/>
      <c r="B31" s="574"/>
      <c r="C31" s="574"/>
      <c r="E31" s="1954"/>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18" t="s">
        <v>599</v>
      </c>
      <c r="C33" s="1918"/>
      <c r="D33" s="581"/>
      <c r="E33" s="1919" t="s">
        <v>2320</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1"/>
      <c r="AK33" s="574"/>
      <c r="AL33" s="574"/>
      <c r="AM33" s="574"/>
      <c r="AN33" s="569"/>
    </row>
    <row r="34" spans="1:41" s="570" customFormat="1" ht="12.75" customHeight="1">
      <c r="A34" s="574"/>
      <c r="B34" s="574"/>
      <c r="C34" s="574"/>
      <c r="E34" s="1925"/>
      <c r="F34" s="1926"/>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7"/>
      <c r="AK34" s="574"/>
      <c r="AL34" s="574"/>
      <c r="AM34" s="574"/>
      <c r="AN34" s="569"/>
    </row>
    <row r="35" spans="1:41" s="570" customFormat="1" ht="12.75" customHeight="1">
      <c r="A35" s="574"/>
      <c r="B35" s="574"/>
      <c r="C35" s="574"/>
      <c r="E35" s="1922"/>
      <c r="F35" s="1923"/>
      <c r="G35" s="1923"/>
      <c r="H35" s="1923"/>
      <c r="I35" s="1923"/>
      <c r="J35" s="1923"/>
      <c r="K35" s="1923"/>
      <c r="L35" s="1923"/>
      <c r="M35" s="1923"/>
      <c r="N35" s="1923"/>
      <c r="O35" s="1923"/>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18" t="s">
        <v>599</v>
      </c>
      <c r="C39" s="1918"/>
      <c r="D39" s="1186"/>
      <c r="E39" s="1919" t="s">
        <v>2321</v>
      </c>
      <c r="F39" s="1920"/>
      <c r="G39" s="1920"/>
      <c r="H39" s="1920"/>
      <c r="I39" s="1920"/>
      <c r="J39" s="1920"/>
      <c r="K39" s="1920"/>
      <c r="L39" s="1920"/>
      <c r="M39" s="1920"/>
      <c r="N39" s="1920"/>
      <c r="O39" s="1920"/>
      <c r="P39" s="1920"/>
      <c r="Q39" s="1920"/>
      <c r="R39" s="1920"/>
      <c r="S39" s="1920"/>
      <c r="T39" s="1920"/>
      <c r="U39" s="1920"/>
      <c r="V39" s="1920"/>
      <c r="W39" s="1920"/>
      <c r="X39" s="1920"/>
      <c r="Y39" s="1920"/>
      <c r="Z39" s="1920"/>
      <c r="AA39" s="1920"/>
      <c r="AB39" s="1920"/>
      <c r="AC39" s="1920"/>
      <c r="AD39" s="1920"/>
      <c r="AE39" s="1920"/>
      <c r="AF39" s="1920"/>
      <c r="AG39" s="1920"/>
      <c r="AH39" s="1920"/>
      <c r="AI39" s="1920"/>
      <c r="AJ39" s="1921"/>
      <c r="AK39" s="1186"/>
      <c r="AL39" s="574"/>
      <c r="AM39" s="574"/>
      <c r="AN39" s="569"/>
    </row>
    <row r="40" spans="1:41" s="570" customFormat="1" ht="12.75" customHeight="1">
      <c r="A40" s="574"/>
      <c r="B40" s="574"/>
      <c r="C40" s="574"/>
      <c r="E40" s="1925"/>
      <c r="F40" s="1926"/>
      <c r="G40" s="1926"/>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7"/>
      <c r="AK40" s="574"/>
      <c r="AL40" s="574"/>
      <c r="AM40" s="574"/>
      <c r="AN40" s="569"/>
    </row>
    <row r="41" spans="1:41" s="570" customFormat="1" ht="12.75" customHeight="1">
      <c r="A41" s="574"/>
      <c r="D41" s="581"/>
      <c r="E41" s="1922"/>
      <c r="F41" s="1923"/>
      <c r="G41" s="1923"/>
      <c r="H41" s="1923"/>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18" t="s">
        <v>599</v>
      </c>
      <c r="C46" s="1918"/>
      <c r="D46" s="574"/>
      <c r="E46" s="1919" t="s">
        <v>2326</v>
      </c>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1"/>
      <c r="AK46" s="574"/>
      <c r="AL46" s="574"/>
      <c r="AM46" s="574"/>
      <c r="AN46" s="569"/>
      <c r="AO46" s="593"/>
    </row>
    <row r="47" spans="1:41" s="570" customFormat="1" ht="12.75" customHeight="1">
      <c r="A47" s="574"/>
      <c r="D47" s="581"/>
      <c r="E47" s="1925"/>
      <c r="F47" s="1926"/>
      <c r="G47" s="1926"/>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7"/>
      <c r="AK47" s="574"/>
      <c r="AL47" s="574"/>
      <c r="AM47" s="574"/>
      <c r="AN47" s="569"/>
      <c r="AO47" s="593"/>
    </row>
    <row r="48" spans="1:41" s="570" customFormat="1" ht="12.75" customHeight="1">
      <c r="A48" s="574"/>
      <c r="D48" s="574"/>
      <c r="E48" s="1922"/>
      <c r="F48" s="1923"/>
      <c r="G48" s="1923"/>
      <c r="H48" s="1923"/>
      <c r="I48" s="1923"/>
      <c r="J48" s="1923"/>
      <c r="K48" s="1923"/>
      <c r="L48" s="1923"/>
      <c r="M48" s="1923"/>
      <c r="N48" s="1923"/>
      <c r="O48" s="1923"/>
      <c r="P48" s="1923"/>
      <c r="Q48" s="1923"/>
      <c r="R48" s="1923"/>
      <c r="S48" s="1923"/>
      <c r="T48" s="1923"/>
      <c r="U48" s="1923"/>
      <c r="V48" s="1923"/>
      <c r="W48" s="1923"/>
      <c r="X48" s="1923"/>
      <c r="Y48" s="1923"/>
      <c r="Z48" s="1923"/>
      <c r="AA48" s="1923"/>
      <c r="AB48" s="1923"/>
      <c r="AC48" s="1923"/>
      <c r="AD48" s="1923"/>
      <c r="AE48" s="1923"/>
      <c r="AF48" s="1923"/>
      <c r="AG48" s="1923"/>
      <c r="AH48" s="1923"/>
      <c r="AI48" s="1923"/>
      <c r="AJ48" s="192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18" t="s">
        <v>599</v>
      </c>
      <c r="C50" s="1918"/>
      <c r="D50" s="574"/>
      <c r="E50" s="1939" t="s">
        <v>2327</v>
      </c>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c r="AC50" s="1940"/>
      <c r="AD50" s="1940"/>
      <c r="AE50" s="1940"/>
      <c r="AF50" s="1940"/>
      <c r="AG50" s="1940"/>
      <c r="AH50" s="1940"/>
      <c r="AI50" s="1940"/>
      <c r="AJ50" s="19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18" t="s">
        <v>599</v>
      </c>
      <c r="C52" s="1918"/>
      <c r="D52" s="574"/>
      <c r="E52" s="1919" t="s">
        <v>2328</v>
      </c>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1"/>
      <c r="AK52" s="574"/>
      <c r="AL52" s="574"/>
      <c r="AM52" s="574"/>
      <c r="AN52" s="569"/>
    </row>
    <row r="53" spans="1:50" s="570" customFormat="1" ht="12.75" customHeight="1">
      <c r="A53" s="574"/>
      <c r="B53" s="581"/>
      <c r="C53" s="581"/>
      <c r="D53" s="581"/>
      <c r="E53" s="1922"/>
      <c r="F53" s="1923"/>
      <c r="G53" s="1923"/>
      <c r="H53" s="1923"/>
      <c r="I53" s="1923"/>
      <c r="J53" s="1923"/>
      <c r="K53" s="1923"/>
      <c r="L53" s="1923"/>
      <c r="M53" s="1923"/>
      <c r="N53" s="1923"/>
      <c r="O53" s="1923"/>
      <c r="P53" s="1923"/>
      <c r="Q53" s="1923"/>
      <c r="R53" s="1923"/>
      <c r="S53" s="1923"/>
      <c r="T53" s="1923"/>
      <c r="U53" s="1923"/>
      <c r="V53" s="1923"/>
      <c r="W53" s="1923"/>
      <c r="X53" s="1923"/>
      <c r="Y53" s="1923"/>
      <c r="Z53" s="1923"/>
      <c r="AA53" s="1923"/>
      <c r="AB53" s="1923"/>
      <c r="AC53" s="1923"/>
      <c r="AD53" s="1923"/>
      <c r="AE53" s="1923"/>
      <c r="AF53" s="1923"/>
      <c r="AG53" s="1923"/>
      <c r="AH53" s="1923"/>
      <c r="AI53" s="1923"/>
      <c r="AJ53" s="192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48">
        <f>AO36</f>
        <v>0</v>
      </c>
      <c r="AL56" s="1949"/>
      <c r="AM56" s="195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1424</v>
      </c>
      <c r="AF59" s="1928"/>
      <c r="AG59" s="1928"/>
      <c r="AH59" s="1928"/>
      <c r="AI59" s="1928"/>
      <c r="AJ59" s="1928"/>
      <c r="AK59" s="192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18" t="s">
        <v>553</v>
      </c>
      <c r="C62" s="1918"/>
      <c r="D62" s="581" t="s">
        <v>1425</v>
      </c>
      <c r="E62" s="1929" t="s">
        <v>2329</v>
      </c>
      <c r="F62" s="1930"/>
      <c r="G62" s="1930"/>
      <c r="H62" s="1930"/>
      <c r="I62" s="1930"/>
      <c r="J62" s="1930"/>
      <c r="K62" s="1930"/>
      <c r="L62" s="1930"/>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1"/>
      <c r="AK62" s="577"/>
      <c r="AL62" s="574"/>
      <c r="AM62" s="574"/>
      <c r="AN62" s="569"/>
      <c r="AO62" s="584">
        <f>IF($B62="yes",10,0)</f>
        <v>10</v>
      </c>
    </row>
    <row r="63" spans="1:50" s="570" customFormat="1" ht="12.75" customHeight="1">
      <c r="A63" s="572"/>
      <c r="B63" s="574"/>
      <c r="C63" s="574"/>
      <c r="D63" s="585"/>
      <c r="E63" s="1932"/>
      <c r="F63" s="1933"/>
      <c r="G63" s="1933"/>
      <c r="H63" s="1933"/>
      <c r="I63" s="1933"/>
      <c r="J63" s="1933"/>
      <c r="K63" s="1933"/>
      <c r="L63" s="1933"/>
      <c r="M63" s="1933"/>
      <c r="N63" s="1933"/>
      <c r="O63" s="1933"/>
      <c r="P63" s="1933"/>
      <c r="Q63" s="1933"/>
      <c r="R63" s="1933"/>
      <c r="S63" s="1933"/>
      <c r="T63" s="1933"/>
      <c r="U63" s="1933"/>
      <c r="V63" s="1933"/>
      <c r="W63" s="1933"/>
      <c r="X63" s="1933"/>
      <c r="Y63" s="1933"/>
      <c r="Z63" s="1933"/>
      <c r="AA63" s="1933"/>
      <c r="AB63" s="1933"/>
      <c r="AC63" s="1933"/>
      <c r="AD63" s="1933"/>
      <c r="AE63" s="1933"/>
      <c r="AF63" s="1933"/>
      <c r="AG63" s="1933"/>
      <c r="AH63" s="1933"/>
      <c r="AI63" s="1933"/>
      <c r="AJ63" s="1934"/>
      <c r="AK63" s="577"/>
      <c r="AL63" s="574"/>
      <c r="AM63" s="574"/>
      <c r="AN63" s="569"/>
      <c r="AO63" s="584">
        <f>IF($B68="yes",10,0)</f>
        <v>0</v>
      </c>
    </row>
    <row r="64" spans="1:50" s="570" customFormat="1" ht="12.75" customHeight="1">
      <c r="A64" s="572"/>
      <c r="B64" s="574"/>
      <c r="C64" s="574"/>
      <c r="D64" s="585"/>
      <c r="E64" s="1932"/>
      <c r="F64" s="1933"/>
      <c r="G64" s="1933"/>
      <c r="H64" s="1933"/>
      <c r="I64" s="1933"/>
      <c r="J64" s="1933"/>
      <c r="K64" s="1933"/>
      <c r="L64" s="1933"/>
      <c r="M64" s="1933"/>
      <c r="N64" s="1933"/>
      <c r="O64" s="1933"/>
      <c r="P64" s="1933"/>
      <c r="Q64" s="1933"/>
      <c r="R64" s="1933"/>
      <c r="S64" s="1933"/>
      <c r="T64" s="1933"/>
      <c r="U64" s="1933"/>
      <c r="V64" s="1933"/>
      <c r="W64" s="1933"/>
      <c r="X64" s="1933"/>
      <c r="Y64" s="1933"/>
      <c r="Z64" s="1933"/>
      <c r="AA64" s="1933"/>
      <c r="AB64" s="1933"/>
      <c r="AC64" s="1933"/>
      <c r="AD64" s="1933"/>
      <c r="AE64" s="1933"/>
      <c r="AF64" s="1933"/>
      <c r="AG64" s="1933"/>
      <c r="AH64" s="1933"/>
      <c r="AI64" s="1933"/>
      <c r="AJ64" s="1934"/>
      <c r="AK64" s="577"/>
      <c r="AL64" s="574"/>
      <c r="AM64" s="574"/>
      <c r="AN64" s="569"/>
      <c r="AO64" s="584">
        <f>IF($B75="yes",10,0)</f>
        <v>0</v>
      </c>
    </row>
    <row r="65" spans="1:42" s="570" customFormat="1" ht="12.75" customHeight="1">
      <c r="A65" s="572"/>
      <c r="B65" s="574"/>
      <c r="C65" s="574"/>
      <c r="D65" s="585"/>
      <c r="E65" s="1932"/>
      <c r="F65" s="1933"/>
      <c r="G65" s="1933"/>
      <c r="H65" s="1933"/>
      <c r="I65" s="1933"/>
      <c r="J65" s="1933"/>
      <c r="K65" s="1933"/>
      <c r="L65" s="1933"/>
      <c r="M65" s="1933"/>
      <c r="N65" s="1933"/>
      <c r="O65" s="1933"/>
      <c r="P65" s="1933"/>
      <c r="Q65" s="1933"/>
      <c r="R65" s="1933"/>
      <c r="S65" s="1933"/>
      <c r="T65" s="1933"/>
      <c r="U65" s="1933"/>
      <c r="V65" s="1933"/>
      <c r="W65" s="1933"/>
      <c r="X65" s="1933"/>
      <c r="Y65" s="1933"/>
      <c r="Z65" s="1933"/>
      <c r="AA65" s="1933"/>
      <c r="AB65" s="1933"/>
      <c r="AC65" s="1933"/>
      <c r="AD65" s="1933"/>
      <c r="AE65" s="1933"/>
      <c r="AF65" s="1933"/>
      <c r="AG65" s="1933"/>
      <c r="AH65" s="1933"/>
      <c r="AI65" s="1933"/>
      <c r="AJ65" s="1934"/>
      <c r="AK65" s="577"/>
      <c r="AL65" s="574"/>
      <c r="AM65" s="574"/>
      <c r="AN65" s="569"/>
      <c r="AO65" s="570">
        <f>IF(SUM(AO62:AO64)&gt;10,10,(SUM(AO62:AO64)))</f>
        <v>10</v>
      </c>
      <c r="AP65" s="608" t="s">
        <v>1426</v>
      </c>
    </row>
    <row r="66" spans="1:42" s="570" customFormat="1" ht="12.75" customHeight="1">
      <c r="A66" s="572"/>
      <c r="B66" s="574"/>
      <c r="C66" s="574"/>
      <c r="D66" s="585"/>
      <c r="E66" s="1935"/>
      <c r="F66" s="1936"/>
      <c r="G66" s="1936"/>
      <c r="H66" s="1936"/>
      <c r="I66" s="1936"/>
      <c r="J66" s="1936"/>
      <c r="K66" s="1936"/>
      <c r="L66" s="1936"/>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18" t="s">
        <v>599</v>
      </c>
      <c r="C68" s="191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38" t="s">
        <v>599</v>
      </c>
      <c r="F69" s="191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16" t="s">
        <v>599</v>
      </c>
      <c r="F70" s="191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16" t="s">
        <v>599</v>
      </c>
      <c r="F71" s="191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38" t="s">
        <v>599</v>
      </c>
      <c r="F73" s="191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18" t="s">
        <v>599</v>
      </c>
      <c r="C75" s="1918"/>
      <c r="D75" s="581" t="s">
        <v>1430</v>
      </c>
      <c r="E75" s="1919" t="s">
        <v>1929</v>
      </c>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c r="AC75" s="1920"/>
      <c r="AD75" s="1920"/>
      <c r="AE75" s="1920"/>
      <c r="AF75" s="1920"/>
      <c r="AG75" s="1920"/>
      <c r="AH75" s="1920"/>
      <c r="AI75" s="1920"/>
      <c r="AJ75" s="1921"/>
      <c r="AK75" s="577"/>
      <c r="AL75" s="574"/>
      <c r="AM75" s="574"/>
      <c r="AN75" s="569"/>
    </row>
    <row r="76" spans="1:42" s="570" customFormat="1" ht="12.75" customHeight="1">
      <c r="A76" s="572"/>
      <c r="B76" s="574"/>
      <c r="C76" s="574"/>
      <c r="D76" s="584"/>
      <c r="E76" s="1922"/>
      <c r="F76" s="1923"/>
      <c r="G76" s="1923"/>
      <c r="H76" s="1923"/>
      <c r="I76" s="1923"/>
      <c r="J76" s="1923"/>
      <c r="K76" s="1923"/>
      <c r="L76" s="1923"/>
      <c r="M76" s="1923"/>
      <c r="N76" s="1923"/>
      <c r="O76" s="1923"/>
      <c r="P76" s="1923"/>
      <c r="Q76" s="1923"/>
      <c r="R76" s="1923"/>
      <c r="S76" s="1923"/>
      <c r="T76" s="1923"/>
      <c r="U76" s="1923"/>
      <c r="V76" s="1923"/>
      <c r="W76" s="1923"/>
      <c r="X76" s="1923"/>
      <c r="Y76" s="1923"/>
      <c r="Z76" s="1923"/>
      <c r="AA76" s="1923"/>
      <c r="AB76" s="1923"/>
      <c r="AC76" s="1923"/>
      <c r="AD76" s="1923"/>
      <c r="AE76" s="1923"/>
      <c r="AF76" s="1923"/>
      <c r="AG76" s="1923"/>
      <c r="AH76" s="1923"/>
      <c r="AI76" s="1923"/>
      <c r="AJ76" s="192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48">
        <f>IF(AK56&gt;0,0,AO65)</f>
        <v>10</v>
      </c>
      <c r="AL78" s="1949"/>
      <c r="AM78" s="195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1415</v>
      </c>
      <c r="AF81" s="1928"/>
      <c r="AG81" s="1928"/>
      <c r="AH81" s="1928"/>
      <c r="AI81" s="1928"/>
      <c r="AJ81" s="1928"/>
      <c r="AK81" s="192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18" t="s">
        <v>553</v>
      </c>
      <c r="C84" s="1918"/>
      <c r="D84" s="581" t="s">
        <v>1425</v>
      </c>
      <c r="E84" s="1929" t="s">
        <v>1435</v>
      </c>
      <c r="F84" s="1930"/>
      <c r="G84" s="1930"/>
      <c r="H84" s="1930"/>
      <c r="I84" s="1930"/>
      <c r="J84" s="1930"/>
      <c r="K84" s="1930"/>
      <c r="L84" s="1930"/>
      <c r="M84" s="1930"/>
      <c r="N84" s="1930"/>
      <c r="O84" s="1930"/>
      <c r="P84" s="1930"/>
      <c r="Q84" s="1930"/>
      <c r="R84" s="1930"/>
      <c r="S84" s="1930"/>
      <c r="T84" s="1930"/>
      <c r="U84" s="1930"/>
      <c r="V84" s="1930"/>
      <c r="W84" s="1930"/>
      <c r="X84" s="1930"/>
      <c r="Y84" s="1930"/>
      <c r="Z84" s="1930"/>
      <c r="AA84" s="1930"/>
      <c r="AB84" s="1930"/>
      <c r="AC84" s="1930"/>
      <c r="AD84" s="1930"/>
      <c r="AE84" s="1930"/>
      <c r="AF84" s="1930"/>
      <c r="AG84" s="1930"/>
      <c r="AH84" s="1930"/>
      <c r="AI84" s="1930"/>
      <c r="AJ84" s="1931"/>
      <c r="AK84" s="577"/>
      <c r="AL84" s="574"/>
      <c r="AM84" s="574"/>
      <c r="AN84" s="569"/>
    </row>
    <row r="85" spans="1:43" s="570" customFormat="1" ht="12.75" customHeight="1">
      <c r="A85" s="572"/>
      <c r="B85" s="573"/>
      <c r="C85" s="573"/>
      <c r="D85" s="573"/>
      <c r="E85" s="1932"/>
      <c r="F85" s="1933"/>
      <c r="G85" s="1933"/>
      <c r="H85" s="1933"/>
      <c r="I85" s="1933"/>
      <c r="J85" s="1933"/>
      <c r="K85" s="1933"/>
      <c r="L85" s="1933"/>
      <c r="M85" s="1933"/>
      <c r="N85" s="1933"/>
      <c r="O85" s="1933"/>
      <c r="P85" s="1933"/>
      <c r="Q85" s="1933"/>
      <c r="R85" s="1933"/>
      <c r="S85" s="1933"/>
      <c r="T85" s="1933"/>
      <c r="U85" s="1933"/>
      <c r="V85" s="1933"/>
      <c r="W85" s="1933"/>
      <c r="X85" s="1933"/>
      <c r="Y85" s="1933"/>
      <c r="Z85" s="1933"/>
      <c r="AA85" s="1933"/>
      <c r="AB85" s="1933"/>
      <c r="AC85" s="1933"/>
      <c r="AD85" s="1933"/>
      <c r="AE85" s="1933"/>
      <c r="AF85" s="1933"/>
      <c r="AG85" s="1933"/>
      <c r="AH85" s="1933"/>
      <c r="AI85" s="1933"/>
      <c r="AJ85" s="193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12">
        <f>Application!AC753</f>
        <v>0.48624338624338614</v>
      </c>
      <c r="F87" s="1913"/>
      <c r="G87" s="1913"/>
      <c r="H87" s="191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4">
        <f>0.6-ROUNDUP(E87,2)</f>
        <v>0.10999999999999999</v>
      </c>
      <c r="F88" s="1915"/>
      <c r="G88" s="1915"/>
      <c r="H88" s="191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42">
        <f>IF(E88*200&gt;20,20,E88*200)</f>
        <v>20</v>
      </c>
      <c r="F89" s="1943"/>
      <c r="G89" s="1943"/>
      <c r="H89" s="194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18" t="s">
        <v>599</v>
      </c>
      <c r="C92" s="1918"/>
      <c r="D92" s="581" t="s">
        <v>1427</v>
      </c>
      <c r="E92" s="1929" t="s">
        <v>1914</v>
      </c>
      <c r="F92" s="1930"/>
      <c r="G92" s="1930"/>
      <c r="H92" s="1930"/>
      <c r="I92" s="1930"/>
      <c r="J92" s="1930"/>
      <c r="K92" s="1930"/>
      <c r="L92" s="1930"/>
      <c r="M92" s="1930"/>
      <c r="N92" s="1930"/>
      <c r="O92" s="1930"/>
      <c r="P92" s="1930"/>
      <c r="Q92" s="1930"/>
      <c r="R92" s="1930"/>
      <c r="S92" s="1930"/>
      <c r="T92" s="1930"/>
      <c r="U92" s="1930"/>
      <c r="V92" s="1930"/>
      <c r="W92" s="1930"/>
      <c r="X92" s="1930"/>
      <c r="Y92" s="1930"/>
      <c r="Z92" s="1930"/>
      <c r="AA92" s="1930"/>
      <c r="AB92" s="1930"/>
      <c r="AC92" s="1930"/>
      <c r="AD92" s="1930"/>
      <c r="AE92" s="1930"/>
      <c r="AF92" s="1930"/>
      <c r="AG92" s="1930"/>
      <c r="AH92" s="1930"/>
      <c r="AI92" s="1930"/>
      <c r="AJ92" s="1931"/>
      <c r="AK92" s="577"/>
      <c r="AL92" s="574"/>
      <c r="AM92" s="574"/>
      <c r="AN92" s="569"/>
    </row>
    <row r="93" spans="1:43" s="570" customFormat="1" ht="12.75" customHeight="1">
      <c r="A93" s="572"/>
      <c r="B93" s="573"/>
      <c r="C93" s="573"/>
      <c r="D93" s="573"/>
      <c r="E93" s="1932"/>
      <c r="F93" s="1933"/>
      <c r="G93" s="1933"/>
      <c r="H93" s="1933"/>
      <c r="I93" s="1933"/>
      <c r="J93" s="1933"/>
      <c r="K93" s="1933"/>
      <c r="L93" s="1933"/>
      <c r="M93" s="1933"/>
      <c r="N93" s="1933"/>
      <c r="O93" s="1933"/>
      <c r="P93" s="1933"/>
      <c r="Q93" s="1933"/>
      <c r="R93" s="1933"/>
      <c r="S93" s="1933"/>
      <c r="T93" s="1933"/>
      <c r="U93" s="1933"/>
      <c r="V93" s="1933"/>
      <c r="W93" s="1933"/>
      <c r="X93" s="1933"/>
      <c r="Y93" s="1933"/>
      <c r="Z93" s="1933"/>
      <c r="AA93" s="1933"/>
      <c r="AB93" s="1933"/>
      <c r="AC93" s="1933"/>
      <c r="AD93" s="1933"/>
      <c r="AE93" s="1933"/>
      <c r="AF93" s="1933"/>
      <c r="AG93" s="1933"/>
      <c r="AH93" s="1933"/>
      <c r="AI93" s="1933"/>
      <c r="AJ93" s="1934"/>
      <c r="AK93" s="577"/>
      <c r="AL93" s="574"/>
      <c r="AM93" s="574"/>
      <c r="AN93" s="569"/>
    </row>
    <row r="94" spans="1:43" s="570" customFormat="1" ht="12.75" customHeight="1">
      <c r="A94" s="572"/>
      <c r="B94" s="573"/>
      <c r="C94" s="573"/>
      <c r="D94" s="573"/>
      <c r="E94" s="1932"/>
      <c r="F94" s="1933"/>
      <c r="G94" s="1933"/>
      <c r="H94" s="1933"/>
      <c r="I94" s="1933"/>
      <c r="J94" s="1933"/>
      <c r="K94" s="1933"/>
      <c r="L94" s="1933"/>
      <c r="M94" s="1933"/>
      <c r="N94" s="1933"/>
      <c r="O94" s="1933"/>
      <c r="P94" s="1933"/>
      <c r="Q94" s="1933"/>
      <c r="R94" s="1933"/>
      <c r="S94" s="1933"/>
      <c r="T94" s="1933"/>
      <c r="U94" s="1933"/>
      <c r="V94" s="1933"/>
      <c r="W94" s="1933"/>
      <c r="X94" s="1933"/>
      <c r="Y94" s="1933"/>
      <c r="Z94" s="1933"/>
      <c r="AA94" s="1933"/>
      <c r="AB94" s="1933"/>
      <c r="AC94" s="1933"/>
      <c r="AD94" s="1933"/>
      <c r="AE94" s="1933"/>
      <c r="AF94" s="1933"/>
      <c r="AG94" s="1933"/>
      <c r="AH94" s="1933"/>
      <c r="AI94" s="1933"/>
      <c r="AJ94" s="1934"/>
      <c r="AK94" s="577"/>
      <c r="AL94" s="574"/>
      <c r="AM94" s="574"/>
      <c r="AN94" s="569"/>
    </row>
    <row r="95" spans="1:43" s="570" customFormat="1" ht="12.75" customHeight="1">
      <c r="A95" s="572"/>
      <c r="B95" s="573"/>
      <c r="C95" s="573"/>
      <c r="D95" s="573"/>
      <c r="E95" s="1932"/>
      <c r="F95" s="1933"/>
      <c r="G95" s="1933"/>
      <c r="H95" s="1933"/>
      <c r="I95" s="1933"/>
      <c r="J95" s="1933"/>
      <c r="K95" s="1933"/>
      <c r="L95" s="1933"/>
      <c r="M95" s="1933"/>
      <c r="N95" s="1933"/>
      <c r="O95" s="1933"/>
      <c r="P95" s="1933"/>
      <c r="Q95" s="1933"/>
      <c r="R95" s="1933"/>
      <c r="S95" s="1933"/>
      <c r="T95" s="1933"/>
      <c r="U95" s="1933"/>
      <c r="V95" s="1933"/>
      <c r="W95" s="1933"/>
      <c r="X95" s="1933"/>
      <c r="Y95" s="1933"/>
      <c r="Z95" s="1933"/>
      <c r="AA95" s="1933"/>
      <c r="AB95" s="1933"/>
      <c r="AC95" s="1933"/>
      <c r="AD95" s="1933"/>
      <c r="AE95" s="1933"/>
      <c r="AF95" s="1933"/>
      <c r="AG95" s="1933"/>
      <c r="AH95" s="1933"/>
      <c r="AI95" s="1933"/>
      <c r="AJ95" s="193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12">
        <f>Application!AC753</f>
        <v>0.48624338624338614</v>
      </c>
      <c r="F97" s="1913"/>
      <c r="G97" s="1913"/>
      <c r="H97" s="191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12">
        <f ca="1">SUMIF(Application!AC718:AG752,0.2,Application!G718:J752)/Application!G753+SUMIF(Application!AC718:AG752,0.25,Application!G718:J752)/Application!G753+SUMIF(Application!AC718:AG752,0.3,Application!G718:J752)/Application!G753</f>
        <v>0.26455026455026454</v>
      </c>
      <c r="F98" s="1913"/>
      <c r="G98" s="1913"/>
      <c r="H98" s="191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12">
        <f ca="1">SUMIF(Application!AC718:AG752,0.35,Application!G718:J752)/Application!G753+SUMIF(Application!AC718:AG752,0.4,Application!G718:J752)/Application!G753+SUMIF(Application!AC718:AG752,0.45,Application!G718:J752)/Application!G753+SUMIF(Application!AC718:AG752,0.5,Application!G718:J752)/Application!G753</f>
        <v>0.3439153439153439</v>
      </c>
      <c r="F99" s="1913"/>
      <c r="G99" s="1913"/>
      <c r="H99" s="191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67">
        <f ca="1">IF(AND(E97&lt;=0.6,E98&gt;=0.1,OR(E99&gt;=0.1,E98&gt;=0.2)),20,0)</f>
        <v>20</v>
      </c>
      <c r="F100" s="1968"/>
      <c r="G100" s="1968"/>
      <c r="H100" s="196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48">
        <f>MAX(AP89,AP100)</f>
        <v>20</v>
      </c>
      <c r="AL103" s="1949"/>
      <c r="AM103" s="195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1424</v>
      </c>
      <c r="AF106" s="1928"/>
      <c r="AG106" s="1928"/>
      <c r="AH106" s="1928"/>
      <c r="AI106" s="1928"/>
      <c r="AJ106" s="1928"/>
      <c r="AK106" s="1928"/>
      <c r="AL106" s="574"/>
      <c r="AM106" s="574"/>
      <c r="AN106" s="569"/>
      <c r="AO106" s="570" t="str">
        <f>Application!B718</f>
        <v>SRO/Studio</v>
      </c>
      <c r="AQ106" s="570">
        <f>Application!O718</f>
        <v>936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1515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1827</v>
      </c>
    </row>
    <row r="109" spans="1:49" s="570" customFormat="1" ht="12.75" customHeight="1">
      <c r="A109" s="574"/>
      <c r="B109" s="1918" t="s">
        <v>553</v>
      </c>
      <c r="C109" s="1918"/>
      <c r="D109" s="581" t="s">
        <v>1425</v>
      </c>
      <c r="E109" s="1929" t="s">
        <v>2048</v>
      </c>
      <c r="F109" s="1930"/>
      <c r="G109" s="1930"/>
      <c r="H109" s="1930"/>
      <c r="I109" s="1930"/>
      <c r="J109" s="1930"/>
      <c r="K109" s="1930"/>
      <c r="L109" s="1930"/>
      <c r="M109" s="1930"/>
      <c r="N109" s="1930"/>
      <c r="O109" s="1930"/>
      <c r="P109" s="1930"/>
      <c r="Q109" s="1930"/>
      <c r="R109" s="1930"/>
      <c r="S109" s="1930"/>
      <c r="T109" s="1930"/>
      <c r="U109" s="1930"/>
      <c r="V109" s="1930"/>
      <c r="W109" s="1930"/>
      <c r="X109" s="1930"/>
      <c r="Y109" s="1930"/>
      <c r="Z109" s="1930"/>
      <c r="AA109" s="1930"/>
      <c r="AB109" s="1930"/>
      <c r="AC109" s="1930"/>
      <c r="AD109" s="1930"/>
      <c r="AE109" s="1930"/>
      <c r="AF109" s="1930"/>
      <c r="AG109" s="1930"/>
      <c r="AH109" s="1930"/>
      <c r="AI109" s="1930"/>
      <c r="AJ109" s="1931"/>
      <c r="AK109" s="574"/>
      <c r="AL109" s="574"/>
      <c r="AM109" s="574"/>
      <c r="AN109" s="569"/>
      <c r="AO109" s="570" t="str">
        <f>Application!B721</f>
        <v>1 Bedroom</v>
      </c>
      <c r="AQ109" s="570">
        <f>Application!O721</f>
        <v>1003</v>
      </c>
      <c r="AU109" s="570" t="s">
        <v>2030</v>
      </c>
      <c r="AV109" s="629" t="s">
        <v>2031</v>
      </c>
      <c r="AW109" s="570" t="s">
        <v>2032</v>
      </c>
    </row>
    <row r="110" spans="1:49" s="570" customFormat="1" ht="12.75" customHeight="1">
      <c r="A110" s="574"/>
      <c r="B110" s="573"/>
      <c r="C110" s="573"/>
      <c r="D110" s="573"/>
      <c r="E110" s="1932"/>
      <c r="F110" s="1933"/>
      <c r="G110" s="1933"/>
      <c r="H110" s="1933"/>
      <c r="I110" s="1933"/>
      <c r="J110" s="1933"/>
      <c r="K110" s="1933"/>
      <c r="L110" s="1933"/>
      <c r="M110" s="1933"/>
      <c r="N110" s="1933"/>
      <c r="O110" s="1933"/>
      <c r="P110" s="1933"/>
      <c r="Q110" s="1933"/>
      <c r="R110" s="1933"/>
      <c r="S110" s="1933"/>
      <c r="T110" s="1933"/>
      <c r="U110" s="1933"/>
      <c r="V110" s="1933"/>
      <c r="W110" s="1933"/>
      <c r="X110" s="1933"/>
      <c r="Y110" s="1933"/>
      <c r="Z110" s="1933"/>
      <c r="AA110" s="1933"/>
      <c r="AB110" s="1933"/>
      <c r="AC110" s="1933"/>
      <c r="AD110" s="1933"/>
      <c r="AE110" s="1933"/>
      <c r="AF110" s="1933"/>
      <c r="AG110" s="1933"/>
      <c r="AH110" s="1933"/>
      <c r="AI110" s="1933"/>
      <c r="AJ110" s="1934"/>
      <c r="AK110" s="574"/>
      <c r="AL110" s="574"/>
      <c r="AM110" s="574"/>
      <c r="AN110" s="569"/>
      <c r="AO110" s="570" t="str">
        <f>Application!B722</f>
        <v>1 Bedroom</v>
      </c>
      <c r="AQ110" s="570">
        <f>Application!O722</f>
        <v>1003</v>
      </c>
      <c r="AU110" s="890" t="str">
        <f>E118</f>
        <v>Studio/SRO</v>
      </c>
      <c r="AV110" s="570">
        <f t="array" ref="AV110">SUM(IF(Application!B718:F752="SRO/Studio",Application!G718:J752))</f>
        <v>75</v>
      </c>
      <c r="AW110" s="1046">
        <f>AV110/AV116</f>
        <v>0.3968253968253968</v>
      </c>
    </row>
    <row r="111" spans="1:49" s="570" customFormat="1" ht="12.75" customHeight="1">
      <c r="A111" s="574"/>
      <c r="B111" s="573"/>
      <c r="C111" s="573"/>
      <c r="D111" s="573"/>
      <c r="E111" s="1932"/>
      <c r="F111" s="1933"/>
      <c r="G111" s="1933"/>
      <c r="H111" s="1933"/>
      <c r="I111" s="1933"/>
      <c r="J111" s="1933"/>
      <c r="K111" s="1933"/>
      <c r="L111" s="1933"/>
      <c r="M111" s="1933"/>
      <c r="N111" s="1933"/>
      <c r="O111" s="1933"/>
      <c r="P111" s="1933"/>
      <c r="Q111" s="1933"/>
      <c r="R111" s="1933"/>
      <c r="S111" s="1933"/>
      <c r="T111" s="1933"/>
      <c r="U111" s="1933"/>
      <c r="V111" s="1933"/>
      <c r="W111" s="1933"/>
      <c r="X111" s="1933"/>
      <c r="Y111" s="1933"/>
      <c r="Z111" s="1933"/>
      <c r="AA111" s="1933"/>
      <c r="AB111" s="1933"/>
      <c r="AC111" s="1933"/>
      <c r="AD111" s="1933"/>
      <c r="AE111" s="1933"/>
      <c r="AF111" s="1933"/>
      <c r="AG111" s="1933"/>
      <c r="AH111" s="1933"/>
      <c r="AI111" s="1933"/>
      <c r="AJ111" s="1934"/>
      <c r="AK111" s="574"/>
      <c r="AL111" s="574"/>
      <c r="AM111" s="574"/>
      <c r="AN111" s="569"/>
      <c r="AO111" s="570" t="str">
        <f>Application!B723</f>
        <v>1 Bedroom</v>
      </c>
      <c r="AQ111" s="570">
        <f>Application!O723</f>
        <v>1620</v>
      </c>
      <c r="AU111" s="890" t="str">
        <f>J118</f>
        <v>1-bedroom</v>
      </c>
      <c r="AV111" s="570">
        <f t="array" ref="AV111">SUM(IF(Application!B718:F752="1 Bedroom",Application!G718:J752))</f>
        <v>18</v>
      </c>
      <c r="AW111" s="1046">
        <f>AV111/AV116</f>
        <v>9.5238095238095233E-2</v>
      </c>
    </row>
    <row r="112" spans="1:49" s="570" customFormat="1" ht="12.75" customHeight="1">
      <c r="A112" s="574"/>
      <c r="B112" s="573"/>
      <c r="C112" s="573"/>
      <c r="D112" s="573"/>
      <c r="E112" s="1932"/>
      <c r="F112" s="1933"/>
      <c r="G112" s="1933"/>
      <c r="H112" s="1933"/>
      <c r="I112" s="1933"/>
      <c r="J112" s="1933"/>
      <c r="K112" s="1933"/>
      <c r="L112" s="1933"/>
      <c r="M112" s="1933"/>
      <c r="N112" s="1933"/>
      <c r="O112" s="1933"/>
      <c r="P112" s="1933"/>
      <c r="Q112" s="1933"/>
      <c r="R112" s="1933"/>
      <c r="S112" s="1933"/>
      <c r="T112" s="1933"/>
      <c r="U112" s="1933"/>
      <c r="V112" s="1933"/>
      <c r="W112" s="1933"/>
      <c r="X112" s="1933"/>
      <c r="Y112" s="1933"/>
      <c r="Z112" s="1933"/>
      <c r="AA112" s="1933"/>
      <c r="AB112" s="1933"/>
      <c r="AC112" s="1933"/>
      <c r="AD112" s="1933"/>
      <c r="AE112" s="1933"/>
      <c r="AF112" s="1933"/>
      <c r="AG112" s="1933"/>
      <c r="AH112" s="1933"/>
      <c r="AI112" s="1933"/>
      <c r="AJ112" s="1934"/>
      <c r="AK112" s="574"/>
      <c r="AL112" s="574"/>
      <c r="AM112" s="574"/>
      <c r="AN112" s="569"/>
      <c r="AO112" s="570" t="str">
        <f>Application!B724</f>
        <v>1 Bedroom</v>
      </c>
      <c r="AQ112" s="570">
        <f>Application!O724</f>
        <v>1954</v>
      </c>
      <c r="AU112" s="890" t="str">
        <f>O118</f>
        <v>2-bedroom</v>
      </c>
      <c r="AV112" s="570">
        <f t="array" ref="AV112">SUM(IF(Application!B718:F752="2 Bedrooms",Application!G718:J752))</f>
        <v>48</v>
      </c>
      <c r="AW112" s="1046">
        <f>AV112/AV116</f>
        <v>0.25396825396825395</v>
      </c>
    </row>
    <row r="113" spans="1:52" s="570" customFormat="1" ht="12.75" customHeight="1">
      <c r="A113" s="574"/>
      <c r="B113" s="573"/>
      <c r="C113" s="573"/>
      <c r="D113" s="573"/>
      <c r="E113" s="1932"/>
      <c r="F113" s="1933"/>
      <c r="G113" s="1933"/>
      <c r="H113" s="1933"/>
      <c r="I113" s="1933"/>
      <c r="J113" s="1933"/>
      <c r="K113" s="1933"/>
      <c r="L113" s="1933"/>
      <c r="M113" s="1933"/>
      <c r="N113" s="1933"/>
      <c r="O113" s="1933"/>
      <c r="P113" s="1933"/>
      <c r="Q113" s="1933"/>
      <c r="R113" s="1933"/>
      <c r="S113" s="1933"/>
      <c r="T113" s="1933"/>
      <c r="U113" s="1933"/>
      <c r="V113" s="1933"/>
      <c r="W113" s="1933"/>
      <c r="X113" s="1933"/>
      <c r="Y113" s="1933"/>
      <c r="Z113" s="1933"/>
      <c r="AA113" s="1933"/>
      <c r="AB113" s="1933"/>
      <c r="AC113" s="1933"/>
      <c r="AD113" s="1933"/>
      <c r="AE113" s="1933"/>
      <c r="AF113" s="1933"/>
      <c r="AG113" s="1933"/>
      <c r="AH113" s="1933"/>
      <c r="AI113" s="1933"/>
      <c r="AJ113" s="1934"/>
      <c r="AK113" s="574"/>
      <c r="AL113" s="574"/>
      <c r="AM113" s="574"/>
      <c r="AN113" s="569"/>
      <c r="AO113" s="570" t="str">
        <f>Application!B725</f>
        <v>2 Bedrooms</v>
      </c>
      <c r="AQ113" s="570">
        <f>Application!O725</f>
        <v>1204</v>
      </c>
      <c r="AU113" s="890" t="str">
        <f>T118</f>
        <v>3-bedroom</v>
      </c>
      <c r="AV113" s="570">
        <f t="array" ref="AV113">SUM(IF(Application!B718:F752="3 Bedrooms",Application!G718:J752))</f>
        <v>48</v>
      </c>
      <c r="AW113" s="1046">
        <f>AV113/AV116</f>
        <v>0.25396825396825395</v>
      </c>
    </row>
    <row r="114" spans="1:52" s="570" customFormat="1" ht="12.75" customHeight="1">
      <c r="A114" s="574"/>
      <c r="B114" s="573"/>
      <c r="C114" s="573"/>
      <c r="D114" s="573"/>
      <c r="E114" s="1932"/>
      <c r="F114" s="1933"/>
      <c r="G114" s="1933"/>
      <c r="H114" s="1933"/>
      <c r="I114" s="1933"/>
      <c r="J114" s="1933"/>
      <c r="K114" s="1933"/>
      <c r="L114" s="1933"/>
      <c r="M114" s="1933"/>
      <c r="N114" s="1933"/>
      <c r="O114" s="1933"/>
      <c r="P114" s="1933"/>
      <c r="Q114" s="1933"/>
      <c r="R114" s="1933"/>
      <c r="S114" s="1933"/>
      <c r="T114" s="1933"/>
      <c r="U114" s="1933"/>
      <c r="V114" s="1933"/>
      <c r="W114" s="1933"/>
      <c r="X114" s="1933"/>
      <c r="Y114" s="1933"/>
      <c r="Z114" s="1933"/>
      <c r="AA114" s="1933"/>
      <c r="AB114" s="1933"/>
      <c r="AC114" s="1933"/>
      <c r="AD114" s="1933"/>
      <c r="AE114" s="1933"/>
      <c r="AF114" s="1933"/>
      <c r="AG114" s="1933"/>
      <c r="AH114" s="1933"/>
      <c r="AI114" s="1933"/>
      <c r="AJ114" s="1934"/>
      <c r="AK114" s="574"/>
      <c r="AL114" s="574"/>
      <c r="AM114" s="574"/>
      <c r="AN114" s="569"/>
      <c r="AO114" s="570" t="str">
        <f>Application!B726</f>
        <v>2 Bedrooms</v>
      </c>
      <c r="AQ114" s="570">
        <f>Application!O726</f>
        <v>1204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32"/>
      <c r="F115" s="1933"/>
      <c r="G115" s="1933"/>
      <c r="H115" s="1933"/>
      <c r="I115" s="1933"/>
      <c r="J115" s="1933"/>
      <c r="K115" s="1933"/>
      <c r="L115" s="1933"/>
      <c r="M115" s="1933"/>
      <c r="N115" s="1933"/>
      <c r="O115" s="1933"/>
      <c r="P115" s="1933"/>
      <c r="Q115" s="1933"/>
      <c r="R115" s="1933"/>
      <c r="S115" s="1933"/>
      <c r="T115" s="1933"/>
      <c r="U115" s="1933"/>
      <c r="V115" s="1933"/>
      <c r="W115" s="1933"/>
      <c r="X115" s="1933"/>
      <c r="Y115" s="1933"/>
      <c r="Z115" s="1933"/>
      <c r="AA115" s="1933"/>
      <c r="AB115" s="1933"/>
      <c r="AC115" s="1933"/>
      <c r="AD115" s="1933"/>
      <c r="AE115" s="1933"/>
      <c r="AF115" s="1933"/>
      <c r="AG115" s="1933"/>
      <c r="AH115" s="1933"/>
      <c r="AI115" s="1933"/>
      <c r="AJ115" s="1934"/>
      <c r="AK115" s="574"/>
      <c r="AL115" s="574"/>
      <c r="AM115" s="574"/>
      <c r="AN115" s="569"/>
      <c r="AO115" s="570" t="str">
        <f>Application!B727</f>
        <v>2 Bedrooms</v>
      </c>
      <c r="AQ115" s="570">
        <f>Application!O727</f>
        <v>1934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32"/>
      <c r="F116" s="1933"/>
      <c r="G116" s="1933"/>
      <c r="H116" s="1933"/>
      <c r="I116" s="1933"/>
      <c r="J116" s="1933"/>
      <c r="K116" s="1933"/>
      <c r="L116" s="1933"/>
      <c r="M116" s="1933"/>
      <c r="N116" s="1933"/>
      <c r="O116" s="1933"/>
      <c r="P116" s="1933"/>
      <c r="Q116" s="1933"/>
      <c r="R116" s="1933"/>
      <c r="S116" s="1933"/>
      <c r="T116" s="1933"/>
      <c r="U116" s="1933"/>
      <c r="V116" s="1933"/>
      <c r="W116" s="1933"/>
      <c r="X116" s="1933"/>
      <c r="Y116" s="1933"/>
      <c r="Z116" s="1933"/>
      <c r="AA116" s="1933"/>
      <c r="AB116" s="1933"/>
      <c r="AC116" s="1933"/>
      <c r="AD116" s="1933"/>
      <c r="AE116" s="1933"/>
      <c r="AF116" s="1933"/>
      <c r="AG116" s="1933"/>
      <c r="AH116" s="1933"/>
      <c r="AI116" s="1933"/>
      <c r="AJ116" s="1934"/>
      <c r="AK116" s="574"/>
      <c r="AL116" s="574"/>
      <c r="AM116" s="574"/>
      <c r="AN116" s="569"/>
      <c r="AO116" s="570" t="str">
        <f>Application!B728</f>
        <v>2 Bedrooms</v>
      </c>
      <c r="AQ116" s="570">
        <f>Application!O728</f>
        <v>2336</v>
      </c>
      <c r="AV116" s="570">
        <f>SUM(AV110:AV115)</f>
        <v>189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1391</v>
      </c>
    </row>
    <row r="118" spans="1:52" s="570" customFormat="1" ht="12.75" customHeight="1">
      <c r="A118" s="574"/>
      <c r="B118" s="573"/>
      <c r="C118" s="574"/>
      <c r="D118" s="574"/>
      <c r="E118" s="1912" t="s">
        <v>1699</v>
      </c>
      <c r="F118" s="1913"/>
      <c r="G118" s="1913"/>
      <c r="H118" s="1913"/>
      <c r="I118" s="611"/>
      <c r="J118" s="1913" t="s">
        <v>1743</v>
      </c>
      <c r="K118" s="1913"/>
      <c r="L118" s="1913"/>
      <c r="M118" s="1913"/>
      <c r="N118" s="611"/>
      <c r="O118" s="1913" t="s">
        <v>1744</v>
      </c>
      <c r="P118" s="1913"/>
      <c r="Q118" s="1913"/>
      <c r="R118" s="1913"/>
      <c r="S118" s="611"/>
      <c r="T118" s="1913" t="s">
        <v>1444</v>
      </c>
      <c r="U118" s="1913"/>
      <c r="V118" s="1913"/>
      <c r="W118" s="1913"/>
      <c r="X118" s="611"/>
      <c r="Y118" s="1913" t="s">
        <v>1745</v>
      </c>
      <c r="Z118" s="1913"/>
      <c r="AA118" s="1913"/>
      <c r="AB118" s="1913"/>
      <c r="AC118" s="611"/>
      <c r="AD118" s="1913" t="s">
        <v>1746</v>
      </c>
      <c r="AE118" s="1913"/>
      <c r="AF118" s="1913"/>
      <c r="AG118" s="1913"/>
      <c r="AH118" s="611"/>
      <c r="AI118" s="611"/>
      <c r="AJ118" s="613"/>
      <c r="AK118" s="574"/>
      <c r="AL118" s="574"/>
      <c r="AM118" s="574"/>
      <c r="AN118" s="569"/>
      <c r="AO118" s="570" t="str">
        <f>Application!B730</f>
        <v>3 Bedrooms</v>
      </c>
      <c r="AQ118" s="570">
        <f>Application!O730</f>
        <v>1391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2227</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2691</v>
      </c>
    </row>
    <row r="121" spans="1:52" s="570" customFormat="1" ht="12.75" customHeight="1">
      <c r="A121" s="574"/>
      <c r="B121" s="573"/>
      <c r="C121" s="574"/>
      <c r="D121" s="574"/>
      <c r="E121" s="1969">
        <v>2321</v>
      </c>
      <c r="F121" s="1970"/>
      <c r="G121" s="1970"/>
      <c r="H121" s="1970"/>
      <c r="I121" s="898"/>
      <c r="J121" s="1970">
        <v>2546</v>
      </c>
      <c r="K121" s="1970"/>
      <c r="L121" s="1970"/>
      <c r="M121" s="1970"/>
      <c r="N121" s="898"/>
      <c r="O121" s="1970">
        <v>3242</v>
      </c>
      <c r="P121" s="1970"/>
      <c r="Q121" s="1970"/>
      <c r="R121" s="1970"/>
      <c r="S121" s="898"/>
      <c r="T121" s="1970">
        <v>4166</v>
      </c>
      <c r="U121" s="1970"/>
      <c r="V121" s="1970"/>
      <c r="W121" s="1970"/>
      <c r="X121" s="898"/>
      <c r="Y121" s="1970"/>
      <c r="Z121" s="1970"/>
      <c r="AA121" s="1970"/>
      <c r="AB121" s="1970"/>
      <c r="AC121" s="898"/>
      <c r="AD121" s="1970"/>
      <c r="AE121" s="1970"/>
      <c r="AF121" s="1970"/>
      <c r="AG121" s="197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62">
        <f>Application!DX670</f>
        <v>1534.08</v>
      </c>
      <c r="F124" s="1963"/>
      <c r="G124" s="1963"/>
      <c r="H124" s="1963"/>
      <c r="I124" s="898"/>
      <c r="J124" s="1963">
        <f>Application!EC670</f>
        <v>1264.3333333333335</v>
      </c>
      <c r="K124" s="1963"/>
      <c r="L124" s="1963"/>
      <c r="M124" s="1963"/>
      <c r="N124" s="898"/>
      <c r="O124" s="1963">
        <f>Application!EH670</f>
        <v>1937.2916666666667</v>
      </c>
      <c r="P124" s="1963"/>
      <c r="Q124" s="1963"/>
      <c r="R124" s="1963"/>
      <c r="S124" s="902"/>
      <c r="T124" s="1963">
        <f>Application!EM670</f>
        <v>2195.8333333333335</v>
      </c>
      <c r="U124" s="1963"/>
      <c r="V124" s="1963"/>
      <c r="W124" s="1963"/>
      <c r="X124" s="902"/>
      <c r="Y124" s="1963">
        <f>Application!ER670</f>
        <v>0</v>
      </c>
      <c r="Z124" s="1963"/>
      <c r="AA124" s="1963"/>
      <c r="AB124" s="1963"/>
      <c r="AC124" s="902"/>
      <c r="AD124" s="1963">
        <f>Application!EW670</f>
        <v>0</v>
      </c>
      <c r="AE124" s="1963"/>
      <c r="AF124" s="1963"/>
      <c r="AG124" s="196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59">
        <f>(E121-E124)/E121</f>
        <v>0.33904351572598024</v>
      </c>
      <c r="F127" s="1915"/>
      <c r="G127" s="1915"/>
      <c r="H127" s="2160"/>
      <c r="I127" s="611"/>
      <c r="J127" s="2159">
        <f>(J121-J124)/J121</f>
        <v>0.50340403246923271</v>
      </c>
      <c r="K127" s="1915"/>
      <c r="L127" s="1915"/>
      <c r="M127" s="2160"/>
      <c r="N127" s="611"/>
      <c r="O127" s="2159">
        <f>(O121-O124)/O121</f>
        <v>0.40243933785728969</v>
      </c>
      <c r="P127" s="1915"/>
      <c r="Q127" s="1915"/>
      <c r="R127" s="2160"/>
      <c r="S127" s="611"/>
      <c r="T127" s="2159">
        <f>(T121-T124)/T121</f>
        <v>0.47291566650664102</v>
      </c>
      <c r="U127" s="1915"/>
      <c r="V127" s="1915"/>
      <c r="W127" s="2160"/>
      <c r="X127" s="611"/>
      <c r="Y127" s="2159" t="e">
        <f>(Y121-Y124)/Y121</f>
        <v>#DIV/0!</v>
      </c>
      <c r="Z127" s="1915"/>
      <c r="AA127" s="1915"/>
      <c r="AB127" s="2160"/>
      <c r="AC127" s="611"/>
      <c r="AD127" s="2159" t="e">
        <f>(AD121-AD124)/AD121</f>
        <v>#DIV/0!</v>
      </c>
      <c r="AE127" s="1915"/>
      <c r="AF127" s="1915"/>
      <c r="AG127" s="216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64">
        <f>IF(((E127-0.1)*AW110)&gt;0,((E127-0.1)*AW110),0)</f>
        <v>9.4858537986500083E-2</v>
      </c>
      <c r="F130" s="1965"/>
      <c r="G130" s="1965"/>
      <c r="H130" s="1966"/>
      <c r="I130" s="611"/>
      <c r="J130" s="1964">
        <f>IF(((J127-0.1)*AW111)&gt;0,((J127-0.1)*AW111),0)</f>
        <v>3.8419431663736452E-2</v>
      </c>
      <c r="K130" s="1965"/>
      <c r="L130" s="1965"/>
      <c r="M130" s="1966"/>
      <c r="N130" s="611"/>
      <c r="O130" s="1964">
        <f>IF(((O127-0.1)*AW112)&gt;0,((O127-0.1)*AW112),0)</f>
        <v>7.6809990566930719E-2</v>
      </c>
      <c r="P130" s="1965"/>
      <c r="Q130" s="1965"/>
      <c r="R130" s="1966"/>
      <c r="S130" s="611"/>
      <c r="T130" s="1964">
        <f>IF(((T127-0.1)*AW113)&gt;0,((T127-0.1)*AW113),0)</f>
        <v>9.4708740700099298E-2</v>
      </c>
      <c r="U130" s="1965"/>
      <c r="V130" s="1965"/>
      <c r="W130" s="1966"/>
      <c r="X130" s="611"/>
      <c r="Y130" s="1964" t="e">
        <f>IF(((Y127-0.1)*AW114)&gt;0,((Y127-0.1)*AW114),0)</f>
        <v>#DIV/0!</v>
      </c>
      <c r="Z130" s="1965"/>
      <c r="AA130" s="1965"/>
      <c r="AB130" s="1966"/>
      <c r="AC130" s="611"/>
      <c r="AD130" s="1964" t="e">
        <f>IF(((AD127-0.1)*AW115)&gt;0,((AD127-0.1)*AW115),0)</f>
        <v>#DIV/0!</v>
      </c>
      <c r="AE130" s="1965"/>
      <c r="AF130" s="1965"/>
      <c r="AG130" s="196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59">
        <f>ROUNDDOWN(SUMIF(E130:AG130,"&gt;0"),2)</f>
        <v>0.3</v>
      </c>
      <c r="F132" s="1915"/>
      <c r="G132" s="1915"/>
      <c r="H132" s="2160"/>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48">
        <f>IF((E132*100)&gt;10,10,E132*100)</f>
        <v>10</v>
      </c>
      <c r="F133" s="1949"/>
      <c r="G133" s="1949"/>
      <c r="H133" s="195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48">
        <f>E133</f>
        <v>10</v>
      </c>
      <c r="AL137" s="1949"/>
      <c r="AM137" s="195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8" t="s">
        <v>1424</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60" t="s">
        <v>1448</v>
      </c>
      <c r="AG142" s="1960"/>
      <c r="AH142" s="1960"/>
      <c r="AI142" s="1960"/>
      <c r="AJ142" s="1960"/>
      <c r="AK142" s="1960"/>
      <c r="AL142" s="196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61" t="s">
        <v>2792</v>
      </c>
      <c r="C144" s="1961"/>
      <c r="D144" s="1961"/>
      <c r="E144" s="1961"/>
      <c r="F144" s="1961"/>
      <c r="G144" s="1961"/>
      <c r="H144" s="1961"/>
      <c r="I144" s="1961"/>
      <c r="J144" s="1961"/>
      <c r="K144" s="1961"/>
      <c r="L144" s="1961"/>
      <c r="M144" s="1961"/>
      <c r="N144" s="1961"/>
      <c r="O144" s="1961"/>
      <c r="P144" s="1961"/>
      <c r="Q144" s="1961"/>
      <c r="R144" s="1961"/>
      <c r="S144" s="1961"/>
      <c r="T144" s="1961"/>
      <c r="U144" s="1961"/>
      <c r="V144" s="1961"/>
      <c r="W144" s="1961"/>
      <c r="X144" s="1961"/>
      <c r="Y144" s="1961"/>
      <c r="Z144" s="1961"/>
      <c r="AA144" s="1961"/>
      <c r="AB144" s="1961"/>
      <c r="AC144" s="196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86" t="s">
        <v>1451</v>
      </c>
      <c r="C147" s="1986"/>
      <c r="D147" s="1986"/>
      <c r="E147" s="1986"/>
      <c r="F147" s="1986"/>
      <c r="G147" s="1986"/>
      <c r="H147" s="1986"/>
      <c r="I147" s="1986"/>
      <c r="J147" s="1986"/>
      <c r="K147" s="1986"/>
      <c r="L147" s="1986"/>
      <c r="M147" s="1986"/>
      <c r="N147" s="1986"/>
      <c r="O147" s="1986"/>
      <c r="P147" s="1986"/>
      <c r="Q147" s="1986"/>
      <c r="R147" s="1986"/>
      <c r="S147" s="1986"/>
      <c r="T147" s="1986"/>
      <c r="U147" s="1986"/>
      <c r="V147" s="1986"/>
      <c r="W147" s="1986"/>
      <c r="X147" s="1986"/>
      <c r="Y147" s="1986"/>
      <c r="Z147" s="1986"/>
      <c r="AA147" s="1986"/>
      <c r="AB147" s="1986"/>
      <c r="AC147" s="1986"/>
      <c r="AD147" s="1986"/>
      <c r="AE147" s="1986"/>
      <c r="AF147" s="1986"/>
      <c r="AG147" s="1986"/>
      <c r="AH147" s="1986"/>
      <c r="AI147" s="1986"/>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87" t="s">
        <v>599</v>
      </c>
      <c r="AC149" s="198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86" t="s">
        <v>1453</v>
      </c>
      <c r="C152" s="1986"/>
      <c r="D152" s="1986"/>
      <c r="E152" s="1986"/>
      <c r="F152" s="1986"/>
      <c r="G152" s="1986"/>
      <c r="H152" s="1986"/>
      <c r="I152" s="1986"/>
      <c r="J152" s="1986"/>
      <c r="K152" s="1986"/>
      <c r="L152" s="1986"/>
      <c r="M152" s="1986"/>
      <c r="N152" s="1986"/>
      <c r="O152" s="1986"/>
      <c r="P152" s="1986"/>
      <c r="Q152" s="1986"/>
      <c r="R152" s="1986"/>
      <c r="S152" s="1986"/>
      <c r="T152" s="1986"/>
      <c r="U152" s="1986"/>
      <c r="V152" s="1986"/>
      <c r="W152" s="1986"/>
      <c r="X152" s="1986"/>
      <c r="Y152" s="1986"/>
      <c r="Z152" s="1986"/>
      <c r="AA152" s="1986"/>
      <c r="AB152" s="1986"/>
      <c r="AC152" s="1986"/>
      <c r="AD152" s="1986"/>
      <c r="AE152" s="1986"/>
      <c r="AF152" s="1986"/>
      <c r="AG152" s="1986"/>
      <c r="AH152" s="1986"/>
      <c r="AI152" s="1986"/>
      <c r="AJ152" s="198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89">
        <f>IF($AB$149="N/A",VLOOKUP($B$147,$AO$145:$AP$148,2,FALSE),VLOOKUP($B$152,$AO$150:$AP$152,2,FALSE))</f>
        <v>7</v>
      </c>
      <c r="AK155" s="198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60" t="s">
        <v>1462</v>
      </c>
      <c r="AG157" s="1960"/>
      <c r="AH157" s="1960"/>
      <c r="AI157" s="1960"/>
      <c r="AJ157" s="1960"/>
      <c r="AK157" s="1960"/>
      <c r="AL157" s="196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86" t="s">
        <v>1460</v>
      </c>
      <c r="D159" s="1986"/>
      <c r="E159" s="1986"/>
      <c r="F159" s="1986"/>
      <c r="G159" s="1986"/>
      <c r="H159" s="1986"/>
      <c r="I159" s="1986"/>
      <c r="J159" s="1986"/>
      <c r="K159" s="1986"/>
      <c r="L159" s="1986"/>
      <c r="M159" s="1986"/>
      <c r="N159" s="1986"/>
      <c r="O159" s="1986"/>
      <c r="P159" s="1986"/>
      <c r="Q159" s="1986"/>
      <c r="R159" s="1986"/>
      <c r="S159" s="1986"/>
      <c r="T159" s="1986"/>
      <c r="U159" s="1986"/>
      <c r="V159" s="1986"/>
      <c r="W159" s="1986"/>
      <c r="X159" s="1986"/>
      <c r="Y159" s="1986"/>
      <c r="Z159" s="1986"/>
      <c r="AA159" s="1986"/>
      <c r="AB159" s="1986"/>
      <c r="AC159" s="1986"/>
      <c r="AD159" s="1986"/>
      <c r="AE159" s="1986"/>
      <c r="AF159" s="1986"/>
      <c r="AG159" s="1986"/>
      <c r="AH159" s="1986"/>
      <c r="AI159" s="19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87" t="s">
        <v>599</v>
      </c>
      <c r="AG161" s="198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86" t="s">
        <v>1453</v>
      </c>
      <c r="D163" s="1986"/>
      <c r="E163" s="1986"/>
      <c r="F163" s="1986"/>
      <c r="G163" s="1986"/>
      <c r="H163" s="1986"/>
      <c r="I163" s="1986"/>
      <c r="J163" s="1986"/>
      <c r="K163" s="1986"/>
      <c r="L163" s="1986"/>
      <c r="M163" s="1986"/>
      <c r="N163" s="1986"/>
      <c r="O163" s="1986"/>
      <c r="P163" s="1986"/>
      <c r="Q163" s="1986"/>
      <c r="R163" s="1986"/>
      <c r="S163" s="1986"/>
      <c r="T163" s="1986"/>
      <c r="U163" s="1986"/>
      <c r="V163" s="1986"/>
      <c r="W163" s="1986"/>
      <c r="X163" s="1986"/>
      <c r="Y163" s="1986"/>
      <c r="Z163" s="1986"/>
      <c r="AA163" s="1986"/>
      <c r="AB163" s="1986"/>
      <c r="AC163" s="1986"/>
      <c r="AD163" s="198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61" t="s">
        <v>2791</v>
      </c>
      <c r="D167" s="1961"/>
      <c r="E167" s="1961"/>
      <c r="F167" s="1961"/>
      <c r="G167" s="1961"/>
      <c r="H167" s="1961"/>
      <c r="I167" s="1961"/>
      <c r="J167" s="1961"/>
      <c r="K167" s="1961"/>
      <c r="L167" s="1961"/>
      <c r="M167" s="1961"/>
      <c r="N167" s="1961"/>
      <c r="O167" s="1961"/>
      <c r="P167" s="1961"/>
      <c r="Q167" s="1961"/>
      <c r="R167" s="1961"/>
      <c r="S167" s="1961"/>
      <c r="T167" s="1961"/>
      <c r="U167" s="1961"/>
      <c r="V167" s="1961"/>
      <c r="W167" s="1961"/>
      <c r="X167" s="1961"/>
      <c r="Y167" s="1961"/>
      <c r="Z167" s="1961"/>
      <c r="AA167" s="1961"/>
      <c r="AB167" s="1961"/>
      <c r="AC167" s="1961"/>
      <c r="AD167" s="1961"/>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88">
        <f>IF($AF$161="N/A",VLOOKUP($C$159,$AO$159:$AP$162,2,FALSE),VLOOKUP($C$163,$AO$166:$AP$168,2,FALSE))</f>
        <v>3</v>
      </c>
      <c r="AK169" s="198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48">
        <f>$AJ$155+$AJ$169</f>
        <v>10</v>
      </c>
      <c r="AL172" s="1949"/>
      <c r="AM172" s="195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1424</v>
      </c>
      <c r="AF175" s="1928"/>
      <c r="AG175" s="1928"/>
      <c r="AH175" s="1928"/>
      <c r="AI175" s="1928"/>
      <c r="AJ175" s="1928"/>
      <c r="AK175" s="1928"/>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84" t="s">
        <v>1064</v>
      </c>
      <c r="C177" s="1984"/>
      <c r="D177" s="1984"/>
      <c r="E177" s="1984"/>
      <c r="F177" s="1984"/>
      <c r="G177" s="1984"/>
      <c r="H177" s="1984"/>
      <c r="I177" s="1984"/>
      <c r="J177" s="1984"/>
      <c r="K177" s="1984"/>
      <c r="L177" s="1984"/>
      <c r="M177" s="1984"/>
      <c r="N177" s="1984"/>
      <c r="O177" s="1984"/>
      <c r="P177" s="1984"/>
      <c r="Q177" s="1984"/>
      <c r="R177" s="1984"/>
      <c r="S177" s="1984"/>
      <c r="T177" s="1984"/>
      <c r="U177" s="1984"/>
      <c r="V177" s="1984"/>
      <c r="W177" s="1984"/>
      <c r="X177" s="1984"/>
      <c r="Y177" s="1984"/>
      <c r="Z177" s="1984"/>
      <c r="AA177" s="1984"/>
      <c r="AB177" s="1984"/>
      <c r="AC177" s="1984"/>
      <c r="AD177" s="570"/>
      <c r="AE177" s="570"/>
      <c r="AF177" s="1960" t="s">
        <v>1473</v>
      </c>
      <c r="AG177" s="1960"/>
      <c r="AH177" s="1960"/>
      <c r="AI177" s="1960"/>
      <c r="AJ177" s="1960"/>
      <c r="AK177" s="1960"/>
      <c r="AL177" s="1960"/>
      <c r="AN177" s="631"/>
      <c r="AP177" s="584" t="s">
        <v>1066</v>
      </c>
      <c r="AQ177" s="584">
        <v>10</v>
      </c>
    </row>
    <row r="178" spans="1:45" s="584" customFormat="1" ht="12.75" customHeight="1">
      <c r="A178" s="570"/>
      <c r="B178" s="1985" t="s">
        <v>1915</v>
      </c>
      <c r="C178" s="1985"/>
      <c r="D178" s="1985"/>
      <c r="E178" s="1985"/>
      <c r="F178" s="1985"/>
      <c r="G178" s="1985"/>
      <c r="H178" s="1985"/>
      <c r="I178" s="1985"/>
      <c r="J178" s="1985"/>
      <c r="K178" s="1985"/>
      <c r="L178" s="1985"/>
      <c r="M178" s="1985"/>
      <c r="N178" s="1985"/>
      <c r="O178" s="1985"/>
      <c r="P178" s="1985"/>
      <c r="Q178" s="1985"/>
      <c r="R178" s="1985"/>
      <c r="S178" s="1985"/>
      <c r="T178" s="1961" t="s">
        <v>599</v>
      </c>
      <c r="U178" s="1961"/>
      <c r="V178" s="1961"/>
      <c r="W178" s="1961"/>
      <c r="X178" s="1961"/>
      <c r="Y178" s="1961"/>
      <c r="Z178" s="1961"/>
      <c r="AA178" s="1961"/>
      <c r="AB178" s="1961"/>
      <c r="AC178" s="1961"/>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93">
        <f>IF(AK78&gt;0,VLOOKUP($B$177,AP174:AQ180,2,FALSE),0)</f>
        <v>10</v>
      </c>
      <c r="AL180" s="1994"/>
      <c r="AM180" s="199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1482</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72" t="s">
        <v>2638</v>
      </c>
      <c r="C188" s="1972"/>
      <c r="D188" s="1972"/>
      <c r="E188" s="1972"/>
      <c r="F188" s="1972"/>
      <c r="G188" s="1972"/>
      <c r="H188" s="1972"/>
      <c r="I188" s="1972"/>
      <c r="J188" s="1972"/>
      <c r="K188" s="1972"/>
      <c r="L188" s="1972"/>
      <c r="M188" s="1972"/>
      <c r="N188" s="1972"/>
      <c r="O188" s="1972"/>
      <c r="P188" s="1972"/>
      <c r="Q188" s="1972"/>
      <c r="R188" s="1972"/>
      <c r="S188" s="1972"/>
      <c r="T188" s="1972"/>
      <c r="U188" s="1972"/>
      <c r="V188" s="1972"/>
      <c r="W188" s="1972"/>
      <c r="X188" s="1972"/>
      <c r="Y188" s="1972"/>
      <c r="Z188" s="1972"/>
      <c r="AA188" s="1972"/>
      <c r="AB188" s="1972"/>
      <c r="AC188" s="880"/>
      <c r="AD188" s="1973">
        <v>19551066</v>
      </c>
      <c r="AE188" s="1973"/>
      <c r="AF188" s="1973"/>
      <c r="AG188" s="1973"/>
      <c r="AH188" s="1973"/>
      <c r="AI188" s="1973"/>
      <c r="AJ188" s="1973"/>
      <c r="AK188" s="644"/>
    </row>
    <row r="189" spans="1:45">
      <c r="A189" s="639"/>
      <c r="B189" s="1972" t="s">
        <v>2669</v>
      </c>
      <c r="C189" s="1972"/>
      <c r="D189" s="1972"/>
      <c r="E189" s="1972"/>
      <c r="F189" s="1972"/>
      <c r="G189" s="1972"/>
      <c r="H189" s="1972"/>
      <c r="I189" s="1972"/>
      <c r="J189" s="1972"/>
      <c r="K189" s="1972"/>
      <c r="L189" s="1972"/>
      <c r="M189" s="1972"/>
      <c r="N189" s="1972"/>
      <c r="O189" s="1972"/>
      <c r="P189" s="1972"/>
      <c r="Q189" s="1972"/>
      <c r="R189" s="1972"/>
      <c r="S189" s="1972"/>
      <c r="T189" s="1972"/>
      <c r="U189" s="1972"/>
      <c r="V189" s="1972"/>
      <c r="W189" s="1972"/>
      <c r="X189" s="1972"/>
      <c r="Y189" s="1972"/>
      <c r="Z189" s="1972"/>
      <c r="AA189" s="1972"/>
      <c r="AB189" s="1972"/>
      <c r="AC189" s="880"/>
      <c r="AD189" s="1973">
        <v>2000000</v>
      </c>
      <c r="AE189" s="1973"/>
      <c r="AF189" s="1973"/>
      <c r="AG189" s="1973"/>
      <c r="AH189" s="1973"/>
      <c r="AI189" s="1973"/>
      <c r="AJ189" s="1973"/>
      <c r="AK189" s="644"/>
    </row>
    <row r="190" spans="1:45">
      <c r="A190" s="639"/>
      <c r="B190" s="1972"/>
      <c r="C190" s="1972"/>
      <c r="D190" s="1972"/>
      <c r="E190" s="1972"/>
      <c r="F190" s="1972"/>
      <c r="G190" s="1972"/>
      <c r="H190" s="1972"/>
      <c r="I190" s="1972"/>
      <c r="J190" s="1972"/>
      <c r="K190" s="1972"/>
      <c r="L190" s="1972"/>
      <c r="M190" s="1972"/>
      <c r="N190" s="1972"/>
      <c r="O190" s="1972"/>
      <c r="P190" s="1972"/>
      <c r="Q190" s="1972"/>
      <c r="R190" s="1972"/>
      <c r="S190" s="1972"/>
      <c r="T190" s="1972"/>
      <c r="U190" s="1972"/>
      <c r="V190" s="1972"/>
      <c r="W190" s="1972"/>
      <c r="X190" s="1972"/>
      <c r="Y190" s="1972"/>
      <c r="Z190" s="1972"/>
      <c r="AA190" s="1972"/>
      <c r="AB190" s="1972"/>
      <c r="AC190" s="880"/>
      <c r="AD190" s="1973"/>
      <c r="AE190" s="1973"/>
      <c r="AF190" s="1973"/>
      <c r="AG190" s="1973"/>
      <c r="AH190" s="1973"/>
      <c r="AI190" s="1973"/>
      <c r="AJ190" s="1973"/>
      <c r="AK190" s="644"/>
    </row>
    <row r="191" spans="1:45">
      <c r="A191" s="639"/>
      <c r="B191" s="1972"/>
      <c r="C191" s="1972"/>
      <c r="D191" s="1972"/>
      <c r="E191" s="1972"/>
      <c r="F191" s="1972"/>
      <c r="G191" s="1972"/>
      <c r="H191" s="1972"/>
      <c r="I191" s="1972"/>
      <c r="J191" s="1972"/>
      <c r="K191" s="1972"/>
      <c r="L191" s="1972"/>
      <c r="M191" s="1972"/>
      <c r="N191" s="1972"/>
      <c r="O191" s="1972"/>
      <c r="P191" s="1972"/>
      <c r="Q191" s="1972"/>
      <c r="R191" s="1972"/>
      <c r="S191" s="1972"/>
      <c r="T191" s="1972"/>
      <c r="U191" s="1972"/>
      <c r="V191" s="1972"/>
      <c r="W191" s="1972"/>
      <c r="X191" s="1972"/>
      <c r="Y191" s="1972"/>
      <c r="Z191" s="1972"/>
      <c r="AA191" s="1972"/>
      <c r="AB191" s="1972"/>
      <c r="AC191" s="880"/>
      <c r="AD191" s="1973"/>
      <c r="AE191" s="1973"/>
      <c r="AF191" s="1973"/>
      <c r="AG191" s="1973"/>
      <c r="AH191" s="1973"/>
      <c r="AI191" s="1973"/>
      <c r="AJ191" s="1973"/>
      <c r="AK191" s="644"/>
    </row>
    <row r="192" spans="1:45">
      <c r="A192" s="639"/>
      <c r="B192" s="1972"/>
      <c r="C192" s="1972"/>
      <c r="D192" s="1972"/>
      <c r="E192" s="1972"/>
      <c r="F192" s="1972"/>
      <c r="G192" s="1972"/>
      <c r="H192" s="1972"/>
      <c r="I192" s="1972"/>
      <c r="J192" s="1972"/>
      <c r="K192" s="1972"/>
      <c r="L192" s="1972"/>
      <c r="M192" s="1972"/>
      <c r="N192" s="1972"/>
      <c r="O192" s="1972"/>
      <c r="P192" s="1972"/>
      <c r="Q192" s="1972"/>
      <c r="R192" s="1972"/>
      <c r="S192" s="1972"/>
      <c r="T192" s="1972"/>
      <c r="U192" s="1972"/>
      <c r="V192" s="1972"/>
      <c r="W192" s="1972"/>
      <c r="X192" s="1972"/>
      <c r="Y192" s="1972"/>
      <c r="Z192" s="1972"/>
      <c r="AA192" s="1972"/>
      <c r="AB192" s="1972"/>
      <c r="AC192" s="880"/>
      <c r="AD192" s="1973"/>
      <c r="AE192" s="1973"/>
      <c r="AF192" s="1973"/>
      <c r="AG192" s="1973"/>
      <c r="AH192" s="1973"/>
      <c r="AI192" s="1973"/>
      <c r="AJ192" s="1973"/>
      <c r="AK192" s="644"/>
    </row>
    <row r="193" spans="1:37">
      <c r="A193" s="639"/>
      <c r="B193" s="1972"/>
      <c r="C193" s="1972"/>
      <c r="D193" s="1972"/>
      <c r="E193" s="1972"/>
      <c r="F193" s="1972"/>
      <c r="G193" s="1972"/>
      <c r="H193" s="1972"/>
      <c r="I193" s="1972"/>
      <c r="J193" s="1972"/>
      <c r="K193" s="1972"/>
      <c r="L193" s="1972"/>
      <c r="M193" s="1972"/>
      <c r="N193" s="1972"/>
      <c r="O193" s="1972"/>
      <c r="P193" s="1972"/>
      <c r="Q193" s="1972"/>
      <c r="R193" s="1972"/>
      <c r="S193" s="1972"/>
      <c r="T193" s="1972"/>
      <c r="U193" s="1972"/>
      <c r="V193" s="1972"/>
      <c r="W193" s="1972"/>
      <c r="X193" s="1972"/>
      <c r="Y193" s="1972"/>
      <c r="Z193" s="1972"/>
      <c r="AA193" s="1972"/>
      <c r="AB193" s="1972"/>
      <c r="AC193" s="880"/>
      <c r="AD193" s="1973"/>
      <c r="AE193" s="1973"/>
      <c r="AF193" s="1973"/>
      <c r="AG193" s="1973"/>
      <c r="AH193" s="1973"/>
      <c r="AI193" s="1973"/>
      <c r="AJ193" s="1973"/>
      <c r="AK193" s="644"/>
    </row>
    <row r="194" spans="1:37">
      <c r="A194" s="639"/>
      <c r="B194" s="1972"/>
      <c r="C194" s="1972"/>
      <c r="D194" s="1972"/>
      <c r="E194" s="1972"/>
      <c r="F194" s="1972"/>
      <c r="G194" s="1972"/>
      <c r="H194" s="1972"/>
      <c r="I194" s="1972"/>
      <c r="J194" s="1972"/>
      <c r="K194" s="1972"/>
      <c r="L194" s="1972"/>
      <c r="M194" s="1972"/>
      <c r="N194" s="1972"/>
      <c r="O194" s="1972"/>
      <c r="P194" s="1972"/>
      <c r="Q194" s="1972"/>
      <c r="R194" s="1972"/>
      <c r="S194" s="1972"/>
      <c r="T194" s="1972"/>
      <c r="U194" s="1972"/>
      <c r="V194" s="1972"/>
      <c r="W194" s="1972"/>
      <c r="X194" s="1972"/>
      <c r="Y194" s="1972"/>
      <c r="Z194" s="1972"/>
      <c r="AA194" s="1972"/>
      <c r="AB194" s="1972"/>
      <c r="AC194" s="880"/>
      <c r="AD194" s="1973"/>
      <c r="AE194" s="1973"/>
      <c r="AF194" s="1973"/>
      <c r="AG194" s="1973"/>
      <c r="AH194" s="1973"/>
      <c r="AI194" s="1973"/>
      <c r="AJ194" s="1973"/>
      <c r="AK194" s="644"/>
    </row>
    <row r="195" spans="1:37">
      <c r="A195" s="639"/>
      <c r="B195" s="1972"/>
      <c r="C195" s="1972"/>
      <c r="D195" s="1972"/>
      <c r="E195" s="1972"/>
      <c r="F195" s="1972"/>
      <c r="G195" s="1972"/>
      <c r="H195" s="1972"/>
      <c r="I195" s="1972"/>
      <c r="J195" s="1972"/>
      <c r="K195" s="1972"/>
      <c r="L195" s="1972"/>
      <c r="M195" s="1972"/>
      <c r="N195" s="1972"/>
      <c r="O195" s="1972"/>
      <c r="P195" s="1972"/>
      <c r="Q195" s="1972"/>
      <c r="R195" s="1972"/>
      <c r="S195" s="1972"/>
      <c r="T195" s="1972"/>
      <c r="U195" s="1972"/>
      <c r="V195" s="1972"/>
      <c r="W195" s="1972"/>
      <c r="X195" s="1972"/>
      <c r="Y195" s="1972"/>
      <c r="Z195" s="1972"/>
      <c r="AA195" s="1972"/>
      <c r="AB195" s="1972"/>
      <c r="AC195" s="880"/>
      <c r="AD195" s="1973"/>
      <c r="AE195" s="1973"/>
      <c r="AF195" s="1973"/>
      <c r="AG195" s="1973"/>
      <c r="AH195" s="1973"/>
      <c r="AI195" s="1973"/>
      <c r="AJ195" s="1973"/>
      <c r="AK195" s="644"/>
    </row>
    <row r="196" spans="1:37">
      <c r="A196" s="639"/>
      <c r="B196" s="1972"/>
      <c r="C196" s="1972"/>
      <c r="D196" s="1972"/>
      <c r="E196" s="1972"/>
      <c r="F196" s="1972"/>
      <c r="G196" s="1972"/>
      <c r="H196" s="1972"/>
      <c r="I196" s="1972"/>
      <c r="J196" s="1972"/>
      <c r="K196" s="1972"/>
      <c r="L196" s="1972"/>
      <c r="M196" s="1972"/>
      <c r="N196" s="1972"/>
      <c r="O196" s="1972"/>
      <c r="P196" s="1972"/>
      <c r="Q196" s="1972"/>
      <c r="R196" s="1972"/>
      <c r="S196" s="1972"/>
      <c r="T196" s="1972"/>
      <c r="U196" s="1972"/>
      <c r="V196" s="1972"/>
      <c r="W196" s="1972"/>
      <c r="X196" s="1972"/>
      <c r="Y196" s="1972"/>
      <c r="Z196" s="1972"/>
      <c r="AA196" s="1972"/>
      <c r="AB196" s="1972"/>
      <c r="AC196" s="880"/>
      <c r="AD196" s="1973"/>
      <c r="AE196" s="1973"/>
      <c r="AF196" s="1973"/>
      <c r="AG196" s="1973"/>
      <c r="AH196" s="1973"/>
      <c r="AI196" s="1973"/>
      <c r="AJ196" s="1973"/>
      <c r="AK196" s="644"/>
    </row>
    <row r="197" spans="1:37">
      <c r="A197" s="639"/>
      <c r="B197" s="1972"/>
      <c r="C197" s="1972"/>
      <c r="D197" s="1972"/>
      <c r="E197" s="1972"/>
      <c r="F197" s="1972"/>
      <c r="G197" s="1972"/>
      <c r="H197" s="1972"/>
      <c r="I197" s="1972"/>
      <c r="J197" s="1972"/>
      <c r="K197" s="1972"/>
      <c r="L197" s="1972"/>
      <c r="M197" s="1972"/>
      <c r="N197" s="1972"/>
      <c r="O197" s="1972"/>
      <c r="P197" s="1972"/>
      <c r="Q197" s="1972"/>
      <c r="R197" s="1972"/>
      <c r="S197" s="1972"/>
      <c r="T197" s="1972"/>
      <c r="U197" s="1972"/>
      <c r="V197" s="1972"/>
      <c r="W197" s="1972"/>
      <c r="X197" s="1972"/>
      <c r="Y197" s="1972"/>
      <c r="Z197" s="1972"/>
      <c r="AA197" s="1972"/>
      <c r="AB197" s="1972"/>
      <c r="AC197" s="880"/>
      <c r="AD197" s="1973"/>
      <c r="AE197" s="1973"/>
      <c r="AF197" s="1973"/>
      <c r="AG197" s="1973"/>
      <c r="AH197" s="1973"/>
      <c r="AI197" s="1973"/>
      <c r="AJ197" s="1973"/>
      <c r="AK197" s="644"/>
    </row>
    <row r="198" spans="1:37">
      <c r="A198" s="639"/>
      <c r="B198" s="2136" t="s">
        <v>1738</v>
      </c>
      <c r="C198" s="2136"/>
      <c r="D198" s="2136"/>
      <c r="E198" s="2136"/>
      <c r="F198" s="2136"/>
      <c r="G198" s="2136"/>
      <c r="H198" s="2136"/>
      <c r="I198" s="2136"/>
      <c r="J198" s="2136"/>
      <c r="K198" s="2136"/>
      <c r="L198" s="2136"/>
      <c r="M198" s="2136"/>
      <c r="N198" s="2136"/>
      <c r="O198" s="2136"/>
      <c r="P198" s="2136"/>
      <c r="Q198" s="2136"/>
      <c r="R198" s="2136"/>
      <c r="S198" s="2136"/>
      <c r="T198" s="2136"/>
      <c r="U198" s="2136"/>
      <c r="V198" s="2136"/>
      <c r="W198" s="2136"/>
      <c r="X198" s="2136"/>
      <c r="Y198" s="2136"/>
      <c r="Z198" s="2136"/>
      <c r="AA198" s="2136"/>
      <c r="AB198" s="2136"/>
      <c r="AC198" s="570"/>
      <c r="AD198" s="2000">
        <f>AB249</f>
        <v>6540008.3601564365</v>
      </c>
      <c r="AE198" s="2000"/>
      <c r="AF198" s="2000"/>
      <c r="AG198" s="2000"/>
      <c r="AH198" s="2000"/>
      <c r="AI198" s="2000"/>
      <c r="AJ198" s="2000"/>
      <c r="AK198" s="644"/>
    </row>
    <row r="199" spans="1:37">
      <c r="A199" s="639"/>
      <c r="B199" s="2134" t="s">
        <v>1701</v>
      </c>
      <c r="C199" s="2134"/>
      <c r="D199" s="2134"/>
      <c r="E199" s="2134"/>
      <c r="F199" s="2134"/>
      <c r="G199" s="2134"/>
      <c r="H199" s="2134"/>
      <c r="I199" s="2134"/>
      <c r="J199" s="2134"/>
      <c r="K199" s="2134"/>
      <c r="L199" s="2134"/>
      <c r="M199" s="2134"/>
      <c r="N199" s="2134"/>
      <c r="O199" s="2134"/>
      <c r="P199" s="2134"/>
      <c r="Q199" s="2134"/>
      <c r="R199" s="2134"/>
      <c r="S199" s="2134"/>
      <c r="T199" s="2134"/>
      <c r="U199" s="2134"/>
      <c r="V199" s="2134"/>
      <c r="W199" s="2134"/>
      <c r="X199" s="2134"/>
      <c r="Y199" s="2134"/>
      <c r="Z199" s="2134"/>
      <c r="AA199" s="2134"/>
      <c r="AB199" s="2134"/>
      <c r="AC199" s="880"/>
      <c r="AD199" s="2001">
        <f>'Sources and Uses Budget'!B15</f>
        <v>0</v>
      </c>
      <c r="AE199" s="2001"/>
      <c r="AF199" s="2001"/>
      <c r="AG199" s="2001"/>
      <c r="AH199" s="2001"/>
      <c r="AI199" s="2001"/>
      <c r="AJ199" s="200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05">
        <f>SUM(AD188:AJ198)-AD199</f>
        <v>28091074.360156436</v>
      </c>
      <c r="AE200" s="2005"/>
      <c r="AF200" s="2005"/>
      <c r="AG200" s="2005"/>
      <c r="AH200" s="2005"/>
      <c r="AI200" s="2005"/>
      <c r="AJ200" s="200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76" t="s">
        <v>1718</v>
      </c>
      <c r="J211" s="1976"/>
      <c r="K211" s="1976"/>
      <c r="L211" s="570"/>
      <c r="M211" s="570"/>
      <c r="N211" s="570"/>
      <c r="O211" s="570"/>
      <c r="P211" s="570"/>
      <c r="Q211" s="570"/>
      <c r="R211" s="570"/>
      <c r="S211" s="570"/>
      <c r="T211" s="2162" t="s">
        <v>1712</v>
      </c>
      <c r="U211" s="2162"/>
      <c r="V211" s="2162"/>
      <c r="W211" s="2162"/>
      <c r="X211" s="2162"/>
      <c r="Y211" s="2162"/>
      <c r="Z211" s="883"/>
      <c r="AA211" s="523"/>
      <c r="AB211" s="1971" t="s">
        <v>1713</v>
      </c>
      <c r="AC211" s="1971"/>
      <c r="AD211" s="1971"/>
      <c r="AE211" s="1971"/>
      <c r="AF211" s="1971"/>
      <c r="AG211" s="1971"/>
      <c r="AH211" s="861"/>
      <c r="AI211" s="861"/>
      <c r="AJ211" s="861"/>
      <c r="AK211" s="644"/>
    </row>
    <row r="212" spans="1:37">
      <c r="A212" s="639"/>
      <c r="B212" s="1974" t="s">
        <v>1698</v>
      </c>
      <c r="C212" s="1974"/>
      <c r="D212" s="1974"/>
      <c r="E212" s="1974"/>
      <c r="F212" s="1974"/>
      <c r="G212" s="1974"/>
      <c r="I212" s="1975" t="s">
        <v>1719</v>
      </c>
      <c r="J212" s="1975"/>
      <c r="K212" s="1975"/>
      <c r="L212" s="1043"/>
      <c r="N212" s="1981" t="s">
        <v>1714</v>
      </c>
      <c r="O212" s="1981"/>
      <c r="P212" s="1981"/>
      <c r="Q212" s="1981"/>
      <c r="R212" s="1981"/>
      <c r="T212" s="1981" t="s">
        <v>1715</v>
      </c>
      <c r="U212" s="1981"/>
      <c r="V212" s="1981"/>
      <c r="W212" s="1981"/>
      <c r="X212" s="1981"/>
      <c r="Y212" s="1981"/>
      <c r="Z212" s="884"/>
      <c r="AA212" s="523"/>
      <c r="AB212" s="2137" t="s">
        <v>1716</v>
      </c>
      <c r="AC212" s="2137"/>
      <c r="AD212" s="2137"/>
      <c r="AE212" s="2137"/>
      <c r="AF212" s="2137"/>
      <c r="AG212" s="2137"/>
      <c r="AH212" s="861"/>
      <c r="AI212" s="861"/>
      <c r="AJ212" s="861"/>
      <c r="AK212" s="644"/>
    </row>
    <row r="213" spans="1:37">
      <c r="A213" s="639"/>
      <c r="B213" s="1978" t="s">
        <v>2728</v>
      </c>
      <c r="C213" s="1978"/>
      <c r="D213" s="1978"/>
      <c r="E213" s="1978"/>
      <c r="F213" s="1978"/>
      <c r="G213" s="1978"/>
      <c r="H213" s="886"/>
      <c r="I213" s="1977">
        <v>10</v>
      </c>
      <c r="J213" s="1977"/>
      <c r="K213" s="1977"/>
      <c r="L213" s="1043"/>
      <c r="N213" s="1982">
        <v>1338</v>
      </c>
      <c r="O213" s="1982"/>
      <c r="P213" s="1982"/>
      <c r="Q213" s="1982"/>
      <c r="R213" s="1982"/>
      <c r="T213" s="2135">
        <v>2963</v>
      </c>
      <c r="U213" s="2135"/>
      <c r="V213" s="2135"/>
      <c r="W213" s="2135"/>
      <c r="X213" s="2135"/>
      <c r="Y213" s="2135"/>
      <c r="Z213" s="885"/>
      <c r="AA213" s="885"/>
      <c r="AB213" s="1979">
        <f t="shared" ref="AB213:AB222" si="0">MAX(($T213-$N213)*$I213*12,0)</f>
        <v>195000</v>
      </c>
      <c r="AC213" s="1979"/>
      <c r="AD213" s="1979"/>
      <c r="AE213" s="1979"/>
      <c r="AF213" s="1979"/>
      <c r="AG213" s="1979"/>
      <c r="AH213" s="861"/>
      <c r="AI213" s="861"/>
      <c r="AJ213" s="861"/>
      <c r="AK213" s="644"/>
    </row>
    <row r="214" spans="1:37">
      <c r="A214" s="639"/>
      <c r="B214" s="1978" t="s">
        <v>2729</v>
      </c>
      <c r="C214" s="1978"/>
      <c r="D214" s="1978"/>
      <c r="E214" s="1978"/>
      <c r="F214" s="1978"/>
      <c r="G214" s="1978"/>
      <c r="I214" s="1977">
        <v>10</v>
      </c>
      <c r="J214" s="1977"/>
      <c r="K214" s="1977"/>
      <c r="L214" s="1043"/>
      <c r="N214" s="1982">
        <v>1606</v>
      </c>
      <c r="O214" s="1982"/>
      <c r="P214" s="1982"/>
      <c r="Q214" s="1982"/>
      <c r="R214" s="1982"/>
      <c r="T214" s="2135">
        <v>3445</v>
      </c>
      <c r="U214" s="2135"/>
      <c r="V214" s="2135"/>
      <c r="W214" s="2135"/>
      <c r="X214" s="2135"/>
      <c r="Y214" s="2135"/>
      <c r="Z214" s="885"/>
      <c r="AA214" s="885"/>
      <c r="AB214" s="1979">
        <f t="shared" si="0"/>
        <v>220680</v>
      </c>
      <c r="AC214" s="1979"/>
      <c r="AD214" s="1979"/>
      <c r="AE214" s="1979"/>
      <c r="AF214" s="1979"/>
      <c r="AG214" s="1979"/>
      <c r="AH214" s="861"/>
      <c r="AI214" s="861"/>
      <c r="AJ214" s="861"/>
      <c r="AK214" s="644"/>
    </row>
    <row r="215" spans="1:37">
      <c r="A215" s="639"/>
      <c r="B215" s="1978" t="s">
        <v>2730</v>
      </c>
      <c r="C215" s="1978"/>
      <c r="D215" s="1978"/>
      <c r="E215" s="1978"/>
      <c r="F215" s="1978"/>
      <c r="G215" s="1978"/>
      <c r="I215" s="1977">
        <v>10</v>
      </c>
      <c r="J215" s="1977"/>
      <c r="K215" s="1977"/>
      <c r="L215" s="1043"/>
      <c r="N215" s="1982">
        <v>1855</v>
      </c>
      <c r="O215" s="1982"/>
      <c r="P215" s="1982"/>
      <c r="Q215" s="1982"/>
      <c r="R215" s="1982"/>
      <c r="T215" s="2135">
        <v>4247</v>
      </c>
      <c r="U215" s="2135"/>
      <c r="V215" s="2135"/>
      <c r="W215" s="2135"/>
      <c r="X215" s="2135"/>
      <c r="Y215" s="2135"/>
      <c r="Z215" s="885"/>
      <c r="AA215" s="885"/>
      <c r="AB215" s="1979">
        <f t="shared" si="0"/>
        <v>287040</v>
      </c>
      <c r="AC215" s="1979"/>
      <c r="AD215" s="1979"/>
      <c r="AE215" s="1979"/>
      <c r="AF215" s="1979"/>
      <c r="AG215" s="1979"/>
      <c r="AH215" s="861"/>
      <c r="AI215" s="861"/>
      <c r="AJ215" s="861"/>
      <c r="AK215" s="644"/>
    </row>
    <row r="216" spans="1:37">
      <c r="A216" s="639"/>
      <c r="B216" s="1978" t="s">
        <v>1289</v>
      </c>
      <c r="C216" s="1978"/>
      <c r="D216" s="1978"/>
      <c r="E216" s="1978"/>
      <c r="F216" s="1978"/>
      <c r="G216" s="1978"/>
      <c r="I216" s="1977"/>
      <c r="J216" s="1977"/>
      <c r="K216" s="1977"/>
      <c r="L216" s="1043"/>
      <c r="N216" s="1982"/>
      <c r="O216" s="1982"/>
      <c r="P216" s="1982"/>
      <c r="Q216" s="1982"/>
      <c r="R216" s="1982"/>
      <c r="T216" s="2135"/>
      <c r="U216" s="2135"/>
      <c r="V216" s="2135"/>
      <c r="W216" s="2135"/>
      <c r="X216" s="2135"/>
      <c r="Y216" s="2135"/>
      <c r="Z216" s="885"/>
      <c r="AA216" s="885"/>
      <c r="AB216" s="1979">
        <f t="shared" si="0"/>
        <v>0</v>
      </c>
      <c r="AC216" s="1979"/>
      <c r="AD216" s="1979"/>
      <c r="AE216" s="1979"/>
      <c r="AF216" s="1979"/>
      <c r="AG216" s="1979"/>
      <c r="AH216" s="861"/>
      <c r="AI216" s="861"/>
      <c r="AJ216" s="861"/>
      <c r="AK216" s="644"/>
    </row>
    <row r="217" spans="1:37">
      <c r="A217" s="639"/>
      <c r="B217" s="1978" t="s">
        <v>1289</v>
      </c>
      <c r="C217" s="1978"/>
      <c r="D217" s="1978"/>
      <c r="E217" s="1978"/>
      <c r="F217" s="1978"/>
      <c r="G217" s="1978"/>
      <c r="I217" s="1977"/>
      <c r="J217" s="1977"/>
      <c r="K217" s="1977"/>
      <c r="L217" s="1050"/>
      <c r="N217" s="1982"/>
      <c r="O217" s="1982"/>
      <c r="P217" s="1982"/>
      <c r="Q217" s="1982"/>
      <c r="R217" s="1982"/>
      <c r="T217" s="2135"/>
      <c r="U217" s="2135"/>
      <c r="V217" s="2135"/>
      <c r="W217" s="2135"/>
      <c r="X217" s="2135"/>
      <c r="Y217" s="2135"/>
      <c r="Z217" s="885"/>
      <c r="AA217" s="885"/>
      <c r="AB217" s="1979">
        <f t="shared" si="0"/>
        <v>0</v>
      </c>
      <c r="AC217" s="1979"/>
      <c r="AD217" s="1979"/>
      <c r="AE217" s="1979"/>
      <c r="AF217" s="1979"/>
      <c r="AG217" s="1979"/>
      <c r="AH217" s="861"/>
      <c r="AI217" s="861"/>
      <c r="AJ217" s="861"/>
      <c r="AK217" s="644"/>
    </row>
    <row r="218" spans="1:37">
      <c r="A218" s="639"/>
      <c r="B218" s="1978" t="s">
        <v>1289</v>
      </c>
      <c r="C218" s="1978"/>
      <c r="D218" s="1978"/>
      <c r="E218" s="1978"/>
      <c r="F218" s="1978"/>
      <c r="G218" s="1978"/>
      <c r="I218" s="1977"/>
      <c r="J218" s="1977"/>
      <c r="K218" s="1977"/>
      <c r="L218" s="1050"/>
      <c r="N218" s="1982"/>
      <c r="O218" s="1982"/>
      <c r="P218" s="1982"/>
      <c r="Q218" s="1982"/>
      <c r="R218" s="1982"/>
      <c r="T218" s="2135"/>
      <c r="U218" s="2135"/>
      <c r="V218" s="2135"/>
      <c r="W218" s="2135"/>
      <c r="X218" s="2135"/>
      <c r="Y218" s="2135"/>
      <c r="Z218" s="885"/>
      <c r="AA218" s="885"/>
      <c r="AB218" s="1979">
        <f t="shared" si="0"/>
        <v>0</v>
      </c>
      <c r="AC218" s="1979"/>
      <c r="AD218" s="1979"/>
      <c r="AE218" s="1979"/>
      <c r="AF218" s="1979"/>
      <c r="AG218" s="1979"/>
      <c r="AH218" s="861"/>
      <c r="AI218" s="861"/>
      <c r="AJ218" s="861"/>
      <c r="AK218" s="644"/>
    </row>
    <row r="219" spans="1:37">
      <c r="A219" s="639"/>
      <c r="B219" s="1978" t="s">
        <v>1289</v>
      </c>
      <c r="C219" s="1978"/>
      <c r="D219" s="1978"/>
      <c r="E219" s="1978"/>
      <c r="F219" s="1978"/>
      <c r="G219" s="1978"/>
      <c r="I219" s="1977"/>
      <c r="J219" s="1977"/>
      <c r="K219" s="1977"/>
      <c r="L219" s="1050"/>
      <c r="N219" s="1982"/>
      <c r="O219" s="1982"/>
      <c r="P219" s="1982"/>
      <c r="Q219" s="1982"/>
      <c r="R219" s="1982"/>
      <c r="T219" s="2135"/>
      <c r="U219" s="2135"/>
      <c r="V219" s="2135"/>
      <c r="W219" s="2135"/>
      <c r="X219" s="2135"/>
      <c r="Y219" s="2135"/>
      <c r="Z219" s="885"/>
      <c r="AA219" s="885"/>
      <c r="AB219" s="1979">
        <f t="shared" si="0"/>
        <v>0</v>
      </c>
      <c r="AC219" s="1979"/>
      <c r="AD219" s="1979"/>
      <c r="AE219" s="1979"/>
      <c r="AF219" s="1979"/>
      <c r="AG219" s="1979"/>
      <c r="AH219" s="861"/>
      <c r="AI219" s="861"/>
      <c r="AJ219" s="861"/>
      <c r="AK219" s="644"/>
    </row>
    <row r="220" spans="1:37">
      <c r="A220" s="639"/>
      <c r="B220" s="1978" t="s">
        <v>1289</v>
      </c>
      <c r="C220" s="1978"/>
      <c r="D220" s="1978"/>
      <c r="E220" s="1978"/>
      <c r="F220" s="1978"/>
      <c r="G220" s="1978"/>
      <c r="I220" s="1977"/>
      <c r="J220" s="1977"/>
      <c r="K220" s="1977"/>
      <c r="L220" s="1050"/>
      <c r="N220" s="1982"/>
      <c r="O220" s="1982"/>
      <c r="P220" s="1982"/>
      <c r="Q220" s="1982"/>
      <c r="R220" s="1982"/>
      <c r="T220" s="2135"/>
      <c r="U220" s="2135"/>
      <c r="V220" s="2135"/>
      <c r="W220" s="2135"/>
      <c r="X220" s="2135"/>
      <c r="Y220" s="2135"/>
      <c r="Z220" s="885"/>
      <c r="AA220" s="885"/>
      <c r="AB220" s="1979">
        <f t="shared" si="0"/>
        <v>0</v>
      </c>
      <c r="AC220" s="1979"/>
      <c r="AD220" s="1979"/>
      <c r="AE220" s="1979"/>
      <c r="AF220" s="1979"/>
      <c r="AG220" s="1979"/>
      <c r="AH220" s="861"/>
      <c r="AI220" s="861"/>
      <c r="AJ220" s="861"/>
      <c r="AK220" s="644"/>
    </row>
    <row r="221" spans="1:37">
      <c r="A221" s="639"/>
      <c r="B221" s="1978" t="s">
        <v>1289</v>
      </c>
      <c r="C221" s="1978"/>
      <c r="D221" s="1978"/>
      <c r="E221" s="1978"/>
      <c r="F221" s="1978"/>
      <c r="G221" s="1978"/>
      <c r="I221" s="1977"/>
      <c r="J221" s="1977"/>
      <c r="K221" s="1977"/>
      <c r="L221" s="1050"/>
      <c r="N221" s="1982"/>
      <c r="O221" s="1982"/>
      <c r="P221" s="1982"/>
      <c r="Q221" s="1982"/>
      <c r="R221" s="1982"/>
      <c r="T221" s="2135"/>
      <c r="U221" s="2135"/>
      <c r="V221" s="2135"/>
      <c r="W221" s="2135"/>
      <c r="X221" s="2135"/>
      <c r="Y221" s="2135"/>
      <c r="Z221" s="885"/>
      <c r="AA221" s="885"/>
      <c r="AB221" s="1979">
        <f t="shared" si="0"/>
        <v>0</v>
      </c>
      <c r="AC221" s="1979"/>
      <c r="AD221" s="1979"/>
      <c r="AE221" s="1979"/>
      <c r="AF221" s="1979"/>
      <c r="AG221" s="1979"/>
      <c r="AH221" s="861"/>
      <c r="AI221" s="861"/>
      <c r="AJ221" s="861"/>
      <c r="AK221" s="644"/>
    </row>
    <row r="222" spans="1:37">
      <c r="A222" s="639"/>
      <c r="B222" s="1978" t="s">
        <v>1289</v>
      </c>
      <c r="C222" s="1978"/>
      <c r="D222" s="1978"/>
      <c r="E222" s="1978"/>
      <c r="F222" s="1978"/>
      <c r="G222" s="1978"/>
      <c r="I222" s="1980"/>
      <c r="J222" s="1980"/>
      <c r="K222" s="1980"/>
      <c r="L222" s="1050"/>
      <c r="N222" s="1982"/>
      <c r="O222" s="1982"/>
      <c r="P222" s="1982"/>
      <c r="Q222" s="1982"/>
      <c r="R222" s="1982"/>
      <c r="T222" s="2135"/>
      <c r="U222" s="2135"/>
      <c r="V222" s="2135"/>
      <c r="W222" s="2135"/>
      <c r="X222" s="2135"/>
      <c r="Y222" s="2135"/>
      <c r="Z222" s="885"/>
      <c r="AA222" s="885"/>
      <c r="AB222" s="2133">
        <f t="shared" si="0"/>
        <v>0</v>
      </c>
      <c r="AC222" s="2133"/>
      <c r="AD222" s="2133"/>
      <c r="AE222" s="2133"/>
      <c r="AF222" s="2133"/>
      <c r="AG222" s="213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79">
        <f>SUM(AB213:AB222)</f>
        <v>702720</v>
      </c>
      <c r="AC223" s="1979"/>
      <c r="AD223" s="1979"/>
      <c r="AE223" s="1979"/>
      <c r="AF223" s="1979"/>
      <c r="AG223" s="197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38"/>
      <c r="AC229" s="2138"/>
      <c r="AD229" s="2138"/>
      <c r="AE229" s="2138"/>
      <c r="AF229" s="2138"/>
      <c r="AG229" s="21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38"/>
      <c r="AC232" s="2138"/>
      <c r="AD232" s="2138"/>
      <c r="AE232" s="2138"/>
      <c r="AF232" s="2138"/>
      <c r="AG232" s="21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61"/>
      <c r="AC233" s="2161"/>
      <c r="AD233" s="2161"/>
      <c r="AE233" s="2161"/>
      <c r="AF233" s="2161"/>
      <c r="AG233" s="2161"/>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4">
        <f>IFERROR(AB232/AB233,0)</f>
        <v>0</v>
      </c>
      <c r="AC234" s="2144"/>
      <c r="AD234" s="2144"/>
      <c r="AE234" s="2144"/>
      <c r="AF234" s="2144"/>
      <c r="AG234" s="214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3">
        <f>MAX(AB229,AB234)</f>
        <v>0</v>
      </c>
      <c r="AC236" s="2133"/>
      <c r="AD236" s="2133"/>
      <c r="AE236" s="2133"/>
      <c r="AF236" s="2133"/>
      <c r="AG236" s="213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79">
        <f>AB223+AB236</f>
        <v>702720</v>
      </c>
      <c r="AC239" s="1979"/>
      <c r="AD239" s="1979"/>
      <c r="AE239" s="1979"/>
      <c r="AF239" s="1979"/>
      <c r="AG239" s="197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09">
        <v>0.05</v>
      </c>
      <c r="AC240" s="2009"/>
      <c r="AD240" s="2009"/>
      <c r="AE240" s="2009"/>
      <c r="AF240" s="2009"/>
      <c r="AG240" s="200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10">
        <f>AB239-(AB239*AB240)</f>
        <v>667584</v>
      </c>
      <c r="AC241" s="2010"/>
      <c r="AD241" s="2010"/>
      <c r="AE241" s="2010"/>
      <c r="AF241" s="2010"/>
      <c r="AG241" s="201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79">
        <f>AB241/AB247</f>
        <v>580507.82608695654</v>
      </c>
      <c r="AC243" s="1979"/>
      <c r="AD243" s="1979"/>
      <c r="AE243" s="1979"/>
      <c r="AF243" s="1979"/>
      <c r="AG243" s="197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71">
        <v>15</v>
      </c>
      <c r="AC245" s="1971"/>
      <c r="AD245" s="1971"/>
      <c r="AE245" s="1971"/>
      <c r="AF245" s="1971"/>
      <c r="AG245" s="197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11">
        <v>0.04</v>
      </c>
      <c r="AC246" s="2011"/>
      <c r="AD246" s="2011"/>
      <c r="AE246" s="2011"/>
      <c r="AF246" s="2011"/>
      <c r="AG246" s="2011"/>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3">
        <v>1.1499999999999999</v>
      </c>
      <c r="AC247" s="1983"/>
      <c r="AD247" s="1983"/>
      <c r="AE247" s="1983"/>
      <c r="AF247" s="1983"/>
      <c r="AG247" s="19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02">
        <f>PV(AB246/12,AB245*12,-AB243/12, ,0)</f>
        <v>6540008.3601564365</v>
      </c>
      <c r="AC249" s="2003"/>
      <c r="AD249" s="2003"/>
      <c r="AE249" s="2003"/>
      <c r="AF249" s="2003"/>
      <c r="AG249" s="200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06">
        <f>IFERROR(('Sources and Uses Budget'!D105/'Sources and Uses Budget'!B105),0)</f>
        <v>0</v>
      </c>
      <c r="AC255" s="2007"/>
      <c r="AD255" s="2007"/>
      <c r="AE255" s="2007"/>
      <c r="AF255" s="2007"/>
      <c r="AG255" s="200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96">
        <f>AD200*(1-AB255)</f>
        <v>28091074.360156436</v>
      </c>
      <c r="AH257" s="1996"/>
      <c r="AI257" s="1996"/>
      <c r="AJ257" s="1996"/>
      <c r="AK257" s="1996"/>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96">
        <f>'Sources and Uses Budget'!C105</f>
        <v>158715116</v>
      </c>
      <c r="AH258" s="1996"/>
      <c r="AI258" s="1996"/>
      <c r="AJ258" s="1996"/>
      <c r="AK258" s="199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97">
        <f>ROUNDDOWN(IF(AND(C281="Yes",AK78=10),((AG257*2)/AG258),AG257/AG258),2)</f>
        <v>0.35</v>
      </c>
      <c r="AH259" s="1997"/>
      <c r="AI259" s="1997"/>
      <c r="AJ259" s="1997"/>
      <c r="AK259" s="199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98">
        <f>IFERROR(IF(AG259=0,0,IF((AG259*100)&gt;8,8,(AG259*100))),0)</f>
        <v>8</v>
      </c>
      <c r="AL262" s="1998"/>
      <c r="AM262" s="199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90" t="s">
        <v>553</v>
      </c>
      <c r="D267" s="1990"/>
      <c r="E267" s="581"/>
      <c r="F267" s="2147" t="s">
        <v>2338</v>
      </c>
      <c r="G267" s="2148"/>
      <c r="H267" s="2148"/>
      <c r="I267" s="2148"/>
      <c r="J267" s="2148"/>
      <c r="K267" s="2148"/>
      <c r="L267" s="2148"/>
      <c r="M267" s="2148"/>
      <c r="N267" s="2148"/>
      <c r="O267" s="2148"/>
      <c r="P267" s="2148"/>
      <c r="Q267" s="2148"/>
      <c r="R267" s="2148"/>
      <c r="S267" s="2148"/>
      <c r="T267" s="2148"/>
      <c r="U267" s="2148"/>
      <c r="V267" s="2148"/>
      <c r="W267" s="2148"/>
      <c r="X267" s="2148"/>
      <c r="Y267" s="2148"/>
      <c r="Z267" s="2148"/>
      <c r="AA267" s="2148"/>
      <c r="AB267" s="2148"/>
      <c r="AC267" s="2148"/>
      <c r="AD267" s="2149"/>
      <c r="AE267" s="584"/>
      <c r="AF267" s="669"/>
      <c r="AG267" s="1991" t="s">
        <v>1473</v>
      </c>
      <c r="AH267" s="1991"/>
      <c r="AI267" s="1991"/>
      <c r="AJ267" s="1991"/>
      <c r="AK267" s="584"/>
      <c r="AL267" s="584"/>
      <c r="AM267" s="584"/>
      <c r="AO267" s="584"/>
    </row>
    <row r="268" spans="1:52" ht="13.7" customHeight="1">
      <c r="A268" s="584"/>
      <c r="B268" s="630"/>
      <c r="C268" s="670"/>
      <c r="D268" s="584"/>
      <c r="E268" s="581"/>
      <c r="F268" s="2150"/>
      <c r="G268" s="2151"/>
      <c r="H268" s="2151"/>
      <c r="I268" s="2151"/>
      <c r="J268" s="2151"/>
      <c r="K268" s="2151"/>
      <c r="L268" s="2151"/>
      <c r="M268" s="2151"/>
      <c r="N268" s="2151"/>
      <c r="O268" s="2151"/>
      <c r="P268" s="2151"/>
      <c r="Q268" s="2151"/>
      <c r="R268" s="2151"/>
      <c r="S268" s="2151"/>
      <c r="T268" s="2151"/>
      <c r="U268" s="2151"/>
      <c r="V268" s="2151"/>
      <c r="W268" s="2151"/>
      <c r="X268" s="2151"/>
      <c r="Y268" s="2151"/>
      <c r="Z268" s="2151"/>
      <c r="AA268" s="2151"/>
      <c r="AB268" s="2151"/>
      <c r="AC268" s="2151"/>
      <c r="AD268" s="2152"/>
      <c r="AE268" s="584"/>
      <c r="AF268" s="669"/>
      <c r="AG268" s="669"/>
      <c r="AH268" s="669"/>
      <c r="AI268" s="669"/>
      <c r="AJ268" s="584"/>
      <c r="AK268" s="584"/>
      <c r="AL268" s="584"/>
      <c r="AM268" s="584"/>
      <c r="AO268" s="584"/>
    </row>
    <row r="269" spans="1:52">
      <c r="A269" s="584"/>
      <c r="B269" s="630"/>
      <c r="C269" s="670"/>
      <c r="D269" s="584"/>
      <c r="E269" s="581"/>
      <c r="F269" s="2150"/>
      <c r="G269" s="2151"/>
      <c r="H269" s="2151"/>
      <c r="I269" s="2151"/>
      <c r="J269" s="2151"/>
      <c r="K269" s="2151"/>
      <c r="L269" s="2151"/>
      <c r="M269" s="2151"/>
      <c r="N269" s="2151"/>
      <c r="O269" s="2151"/>
      <c r="P269" s="2151"/>
      <c r="Q269" s="2151"/>
      <c r="R269" s="2151"/>
      <c r="S269" s="2151"/>
      <c r="T269" s="2151"/>
      <c r="U269" s="2151"/>
      <c r="V269" s="2151"/>
      <c r="W269" s="2151"/>
      <c r="X269" s="2151"/>
      <c r="Y269" s="2151"/>
      <c r="Z269" s="2151"/>
      <c r="AA269" s="2151"/>
      <c r="AB269" s="2151"/>
      <c r="AC269" s="2151"/>
      <c r="AD269" s="2152"/>
      <c r="AE269" s="584"/>
      <c r="AF269" s="669"/>
      <c r="AG269" s="669"/>
      <c r="AH269" s="669"/>
      <c r="AI269" s="669"/>
      <c r="AJ269" s="584"/>
      <c r="AK269" s="584"/>
      <c r="AL269" s="584"/>
      <c r="AM269" s="584"/>
      <c r="AO269" s="584"/>
      <c r="AP269" s="671"/>
    </row>
    <row r="270" spans="1:52">
      <c r="A270" s="584"/>
      <c r="B270" s="630"/>
      <c r="C270" s="670"/>
      <c r="D270" s="584"/>
      <c r="E270" s="581"/>
      <c r="F270" s="2150"/>
      <c r="G270" s="2151"/>
      <c r="H270" s="2151"/>
      <c r="I270" s="2151"/>
      <c r="J270" s="2151"/>
      <c r="K270" s="2151"/>
      <c r="L270" s="2151"/>
      <c r="M270" s="2151"/>
      <c r="N270" s="2151"/>
      <c r="O270" s="2151"/>
      <c r="P270" s="2151"/>
      <c r="Q270" s="2151"/>
      <c r="R270" s="2151"/>
      <c r="S270" s="2151"/>
      <c r="T270" s="2151"/>
      <c r="U270" s="2151"/>
      <c r="V270" s="2151"/>
      <c r="W270" s="2151"/>
      <c r="X270" s="2151"/>
      <c r="Y270" s="2151"/>
      <c r="Z270" s="2151"/>
      <c r="AA270" s="2151"/>
      <c r="AB270" s="2151"/>
      <c r="AC270" s="2151"/>
      <c r="AD270" s="2152"/>
      <c r="AE270" s="584"/>
      <c r="AF270" s="669"/>
      <c r="AG270" s="669"/>
      <c r="AH270" s="669"/>
      <c r="AI270" s="669"/>
      <c r="AJ270" s="584"/>
      <c r="AK270" s="584"/>
      <c r="AL270" s="584"/>
      <c r="AM270" s="584"/>
      <c r="AO270" s="584"/>
      <c r="AP270" s="671"/>
    </row>
    <row r="271" spans="1:52" ht="13.7" customHeight="1">
      <c r="A271" s="584"/>
      <c r="B271" s="630"/>
      <c r="C271" s="1992"/>
      <c r="D271" s="1992"/>
      <c r="E271" s="581"/>
      <c r="F271" s="2153"/>
      <c r="G271" s="2154"/>
      <c r="H271" s="2154"/>
      <c r="I271" s="2154"/>
      <c r="J271" s="2154"/>
      <c r="K271" s="2154"/>
      <c r="L271" s="2154"/>
      <c r="M271" s="2154"/>
      <c r="N271" s="2154"/>
      <c r="O271" s="2154"/>
      <c r="P271" s="2154"/>
      <c r="Q271" s="2154"/>
      <c r="R271" s="2154"/>
      <c r="S271" s="2154"/>
      <c r="T271" s="2154"/>
      <c r="U271" s="2154"/>
      <c r="V271" s="2154"/>
      <c r="W271" s="2154"/>
      <c r="X271" s="2154"/>
      <c r="Y271" s="2154"/>
      <c r="Z271" s="2154"/>
      <c r="AA271" s="2154"/>
      <c r="AB271" s="2154"/>
      <c r="AC271" s="2154"/>
      <c r="AD271" s="2155"/>
      <c r="AE271" s="584"/>
      <c r="AF271" s="669"/>
      <c r="AG271" s="1991"/>
      <c r="AH271" s="1991"/>
      <c r="AI271" s="1991"/>
      <c r="AJ271" s="199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98">
        <f>IF($C$267="yes",10,0)</f>
        <v>10</v>
      </c>
      <c r="AL274" s="1998"/>
      <c r="AM274" s="199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1492</v>
      </c>
      <c r="B281" s="1663"/>
      <c r="C281" s="1987" t="s">
        <v>553</v>
      </c>
      <c r="D281" s="1990"/>
      <c r="E281" s="581"/>
      <c r="F281" s="2018" t="s">
        <v>1493</v>
      </c>
      <c r="G281" s="2019"/>
      <c r="H281" s="2019"/>
      <c r="I281" s="2019"/>
      <c r="J281" s="2019"/>
      <c r="K281" s="2019"/>
      <c r="L281" s="2019"/>
      <c r="M281" s="2019"/>
      <c r="N281" s="2019"/>
      <c r="O281" s="2019"/>
      <c r="P281" s="2019"/>
      <c r="Q281" s="2019"/>
      <c r="R281" s="2019"/>
      <c r="S281" s="2019"/>
      <c r="T281" s="2019"/>
      <c r="U281" s="2019"/>
      <c r="V281" s="2019"/>
      <c r="W281" s="2019"/>
      <c r="X281" s="2019"/>
      <c r="Y281" s="2019"/>
      <c r="Z281" s="2019"/>
      <c r="AA281" s="2019"/>
      <c r="AB281" s="2019"/>
      <c r="AC281" s="2019"/>
      <c r="AD281" s="2020"/>
      <c r="AE281" s="676"/>
      <c r="AF281" s="584"/>
      <c r="AG281" s="2021" t="s">
        <v>2331</v>
      </c>
      <c r="AH281" s="2021"/>
      <c r="AI281" s="2021"/>
      <c r="AJ281" s="2021"/>
      <c r="AK281" s="2021"/>
      <c r="AL281" s="584"/>
      <c r="AM281" s="584"/>
      <c r="AN281" s="73"/>
      <c r="AO281" s="14"/>
      <c r="AP281" s="30"/>
      <c r="AS281" s="604"/>
      <c r="AT281" s="604"/>
      <c r="AU281" s="604"/>
      <c r="AV281" s="32"/>
      <c r="AW281" s="32"/>
    </row>
    <row r="282" spans="1:49">
      <c r="A282" s="674"/>
      <c r="B282" s="630"/>
      <c r="F282" s="2012"/>
      <c r="G282" s="2013"/>
      <c r="H282" s="2013"/>
      <c r="I282" s="2013"/>
      <c r="J282" s="2013"/>
      <c r="K282" s="2013"/>
      <c r="L282" s="2013"/>
      <c r="M282" s="2013"/>
      <c r="N282" s="2013"/>
      <c r="O282" s="2013"/>
      <c r="P282" s="2013"/>
      <c r="Q282" s="2013"/>
      <c r="R282" s="2013"/>
      <c r="S282" s="2013"/>
      <c r="T282" s="2013"/>
      <c r="U282" s="2013"/>
      <c r="V282" s="2013"/>
      <c r="W282" s="2013"/>
      <c r="X282" s="2013"/>
      <c r="Y282" s="2013"/>
      <c r="Z282" s="2013"/>
      <c r="AA282" s="2013"/>
      <c r="AB282" s="2013"/>
      <c r="AC282" s="2013"/>
      <c r="AD282" s="201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12"/>
      <c r="G283" s="2013"/>
      <c r="H283" s="2013"/>
      <c r="I283" s="2013"/>
      <c r="J283" s="2013"/>
      <c r="K283" s="2013"/>
      <c r="L283" s="2013"/>
      <c r="M283" s="2013"/>
      <c r="N283" s="2013"/>
      <c r="O283" s="2013"/>
      <c r="P283" s="2013"/>
      <c r="Q283" s="2013"/>
      <c r="R283" s="2013"/>
      <c r="S283" s="2013"/>
      <c r="T283" s="2013"/>
      <c r="U283" s="2013"/>
      <c r="V283" s="2013"/>
      <c r="W283" s="2013"/>
      <c r="X283" s="2013"/>
      <c r="Y283" s="2013"/>
      <c r="Z283" s="2013"/>
      <c r="AA283" s="2013"/>
      <c r="AB283" s="2013"/>
      <c r="AC283" s="2013"/>
      <c r="AD283" s="201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12" t="s">
        <v>2339</v>
      </c>
      <c r="G284" s="2013"/>
      <c r="H284" s="2013"/>
      <c r="I284" s="2013"/>
      <c r="J284" s="2013"/>
      <c r="K284" s="2013"/>
      <c r="L284" s="2013"/>
      <c r="M284" s="2013"/>
      <c r="N284" s="2013"/>
      <c r="O284" s="2013"/>
      <c r="P284" s="2013"/>
      <c r="Q284" s="2013"/>
      <c r="R284" s="2013"/>
      <c r="S284" s="2013"/>
      <c r="T284" s="2013"/>
      <c r="U284" s="2013"/>
      <c r="V284" s="2013"/>
      <c r="W284" s="2013"/>
      <c r="X284" s="2013"/>
      <c r="Y284" s="2013"/>
      <c r="Z284" s="2013"/>
      <c r="AA284" s="2013"/>
      <c r="AB284" s="2013"/>
      <c r="AC284" s="2013"/>
      <c r="AD284" s="2014"/>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2012"/>
      <c r="G285" s="2013"/>
      <c r="H285" s="2013"/>
      <c r="I285" s="2013"/>
      <c r="J285" s="2013"/>
      <c r="K285" s="2013"/>
      <c r="L285" s="2013"/>
      <c r="M285" s="2013"/>
      <c r="N285" s="2013"/>
      <c r="O285" s="2013"/>
      <c r="P285" s="2013"/>
      <c r="Q285" s="2013"/>
      <c r="R285" s="2013"/>
      <c r="S285" s="2013"/>
      <c r="T285" s="2013"/>
      <c r="U285" s="2013"/>
      <c r="V285" s="2013"/>
      <c r="W285" s="2013"/>
      <c r="X285" s="2013"/>
      <c r="Y285" s="2013"/>
      <c r="Z285" s="2013"/>
      <c r="AA285" s="2013"/>
      <c r="AB285" s="2013"/>
      <c r="AC285" s="2013"/>
      <c r="AD285" s="20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12" t="s">
        <v>1494</v>
      </c>
      <c r="G286" s="2013"/>
      <c r="H286" s="2013"/>
      <c r="I286" s="2013"/>
      <c r="J286" s="2013"/>
      <c r="K286" s="2013"/>
      <c r="L286" s="2013"/>
      <c r="M286" s="2013"/>
      <c r="N286" s="2013"/>
      <c r="O286" s="2013"/>
      <c r="P286" s="2013"/>
      <c r="Q286" s="2013"/>
      <c r="R286" s="2013"/>
      <c r="S286" s="2013"/>
      <c r="T286" s="2013"/>
      <c r="U286" s="2013"/>
      <c r="V286" s="2013"/>
      <c r="W286" s="2013"/>
      <c r="X286" s="2013"/>
      <c r="Y286" s="2013"/>
      <c r="Z286" s="2013"/>
      <c r="AA286" s="2013"/>
      <c r="AB286" s="2013"/>
      <c r="AC286" s="2013"/>
      <c r="AD286" s="20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12"/>
      <c r="G287" s="2013"/>
      <c r="H287" s="2013"/>
      <c r="I287" s="2013"/>
      <c r="J287" s="2013"/>
      <c r="K287" s="2013"/>
      <c r="L287" s="2013"/>
      <c r="M287" s="2013"/>
      <c r="N287" s="2013"/>
      <c r="O287" s="2013"/>
      <c r="P287" s="2013"/>
      <c r="Q287" s="2013"/>
      <c r="R287" s="2013"/>
      <c r="S287" s="2013"/>
      <c r="T287" s="2013"/>
      <c r="U287" s="2013"/>
      <c r="V287" s="2013"/>
      <c r="W287" s="2013"/>
      <c r="X287" s="2013"/>
      <c r="Y287" s="2013"/>
      <c r="Z287" s="2013"/>
      <c r="AA287" s="2013"/>
      <c r="AB287" s="2013"/>
      <c r="AC287" s="2013"/>
      <c r="AD287" s="20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12" t="s">
        <v>1495</v>
      </c>
      <c r="G288" s="2013"/>
      <c r="H288" s="2013"/>
      <c r="I288" s="2013"/>
      <c r="J288" s="2013"/>
      <c r="K288" s="2013"/>
      <c r="L288" s="2013"/>
      <c r="M288" s="2013"/>
      <c r="N288" s="2013"/>
      <c r="O288" s="2013"/>
      <c r="P288" s="2013"/>
      <c r="Q288" s="2013"/>
      <c r="R288" s="2013"/>
      <c r="S288" s="2013"/>
      <c r="T288" s="2013"/>
      <c r="U288" s="2013"/>
      <c r="V288" s="2013"/>
      <c r="W288" s="2013"/>
      <c r="X288" s="2013"/>
      <c r="Y288" s="2013"/>
      <c r="Z288" s="2013"/>
      <c r="AA288" s="2013"/>
      <c r="AB288" s="2013"/>
      <c r="AC288" s="2013"/>
      <c r="AD288" s="20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15"/>
      <c r="G289" s="2016"/>
      <c r="H289" s="2016"/>
      <c r="I289" s="2016"/>
      <c r="J289" s="2016"/>
      <c r="K289" s="2016"/>
      <c r="L289" s="2016"/>
      <c r="M289" s="2016"/>
      <c r="N289" s="2016"/>
      <c r="O289" s="2016"/>
      <c r="P289" s="2016"/>
      <c r="Q289" s="2016"/>
      <c r="R289" s="2016"/>
      <c r="S289" s="2016"/>
      <c r="T289" s="2016"/>
      <c r="U289" s="2016"/>
      <c r="V289" s="2016"/>
      <c r="W289" s="2016"/>
      <c r="X289" s="2016"/>
      <c r="Y289" s="2016"/>
      <c r="Z289" s="2016"/>
      <c r="AA289" s="2016"/>
      <c r="AB289" s="2016"/>
      <c r="AC289" s="2016"/>
      <c r="AD289" s="201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1496</v>
      </c>
      <c r="B291" s="1663"/>
      <c r="C291" s="1990" t="s">
        <v>599</v>
      </c>
      <c r="D291" s="199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25" t="s">
        <v>2333</v>
      </c>
      <c r="G292" s="1926"/>
      <c r="H292" s="1926"/>
      <c r="I292" s="1926"/>
      <c r="J292" s="1926"/>
      <c r="K292" s="1926"/>
      <c r="L292" s="1926"/>
      <c r="M292" s="1926"/>
      <c r="N292" s="1926"/>
      <c r="O292" s="1926"/>
      <c r="P292" s="1926"/>
      <c r="Q292" s="1926"/>
      <c r="R292" s="1926"/>
      <c r="S292" s="1926"/>
      <c r="T292" s="1926"/>
      <c r="U292" s="1926"/>
      <c r="V292" s="1926"/>
      <c r="W292" s="1926"/>
      <c r="X292" s="1926"/>
      <c r="Y292" s="1926"/>
      <c r="Z292" s="1926"/>
      <c r="AA292" s="1926"/>
      <c r="AB292" s="1926"/>
      <c r="AC292" s="1926"/>
      <c r="AD292" s="1927"/>
      <c r="AE292" s="585"/>
      <c r="AF292" s="585"/>
      <c r="AG292" s="585"/>
      <c r="AH292" s="585"/>
      <c r="AI292" s="585"/>
      <c r="AJ292" s="584"/>
      <c r="AK292" s="584"/>
      <c r="AL292" s="584"/>
      <c r="AM292" s="584"/>
      <c r="AR292" s="682"/>
    </row>
    <row r="293" spans="1:49" ht="15" customHeight="1">
      <c r="A293" s="584"/>
      <c r="B293" s="585"/>
      <c r="C293" s="584"/>
      <c r="D293" s="585"/>
      <c r="E293" s="584"/>
      <c r="F293" s="1925"/>
      <c r="G293" s="1926"/>
      <c r="H293" s="1926"/>
      <c r="I293" s="1926"/>
      <c r="J293" s="1926"/>
      <c r="K293" s="1926"/>
      <c r="L293" s="1926"/>
      <c r="M293" s="1926"/>
      <c r="N293" s="1926"/>
      <c r="O293" s="1926"/>
      <c r="P293" s="1926"/>
      <c r="Q293" s="1926"/>
      <c r="R293" s="1926"/>
      <c r="S293" s="1926"/>
      <c r="T293" s="1926"/>
      <c r="U293" s="1926"/>
      <c r="V293" s="1926"/>
      <c r="W293" s="1926"/>
      <c r="X293" s="1926"/>
      <c r="Y293" s="1926"/>
      <c r="Z293" s="1926"/>
      <c r="AA293" s="1926"/>
      <c r="AB293" s="1926"/>
      <c r="AC293" s="1926"/>
      <c r="AD293" s="1927"/>
      <c r="AE293" s="585"/>
      <c r="AF293" s="585"/>
      <c r="AG293" s="585"/>
      <c r="AH293" s="585"/>
      <c r="AI293" s="585"/>
      <c r="AJ293" s="584"/>
      <c r="AK293" s="584"/>
      <c r="AL293" s="584"/>
      <c r="AM293" s="584"/>
      <c r="AR293" s="682"/>
    </row>
    <row r="294" spans="1:49">
      <c r="A294" s="584"/>
      <c r="B294" s="585"/>
      <c r="C294" s="584"/>
      <c r="D294" s="585"/>
      <c r="E294" s="584"/>
      <c r="F294" s="1925"/>
      <c r="G294" s="1926"/>
      <c r="H294" s="1926"/>
      <c r="I294" s="1926"/>
      <c r="J294" s="1926"/>
      <c r="K294" s="1926"/>
      <c r="L294" s="1926"/>
      <c r="M294" s="1926"/>
      <c r="N294" s="1926"/>
      <c r="O294" s="1926"/>
      <c r="P294" s="1926"/>
      <c r="Q294" s="1926"/>
      <c r="R294" s="1926"/>
      <c r="S294" s="1926"/>
      <c r="T294" s="1926"/>
      <c r="U294" s="1926"/>
      <c r="V294" s="1926"/>
      <c r="W294" s="1926"/>
      <c r="X294" s="1926"/>
      <c r="Y294" s="1926"/>
      <c r="Z294" s="1926"/>
      <c r="AA294" s="1926"/>
      <c r="AB294" s="1926"/>
      <c r="AC294" s="1926"/>
      <c r="AD294" s="192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22"/>
      <c r="G295" s="1923"/>
      <c r="H295" s="1923"/>
      <c r="I295" s="1923"/>
      <c r="J295" s="1923"/>
      <c r="K295" s="1923"/>
      <c r="L295" s="1923"/>
      <c r="M295" s="1923"/>
      <c r="N295" s="1923"/>
      <c r="O295" s="1923"/>
      <c r="P295" s="1923"/>
      <c r="Q295" s="1923"/>
      <c r="R295" s="1923"/>
      <c r="S295" s="1923"/>
      <c r="T295" s="1923"/>
      <c r="U295" s="1923"/>
      <c r="V295" s="1923"/>
      <c r="W295" s="1923"/>
      <c r="X295" s="1923"/>
      <c r="Y295" s="1923"/>
      <c r="Z295" s="1923"/>
      <c r="AA295" s="1923"/>
      <c r="AB295" s="1923"/>
      <c r="AC295" s="1923"/>
      <c r="AD295" s="192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3" t="s">
        <v>1499</v>
      </c>
      <c r="B299" s="1663"/>
      <c r="C299" s="1990" t="s">
        <v>599</v>
      </c>
      <c r="D299" s="199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2012" t="s">
        <v>2340</v>
      </c>
      <c r="G300" s="2013"/>
      <c r="H300" s="2013"/>
      <c r="I300" s="2013"/>
      <c r="J300" s="2013"/>
      <c r="K300" s="2013"/>
      <c r="L300" s="2013"/>
      <c r="M300" s="2013"/>
      <c r="N300" s="2013"/>
      <c r="O300" s="2013"/>
      <c r="P300" s="2013"/>
      <c r="Q300" s="2013"/>
      <c r="R300" s="2013"/>
      <c r="S300" s="2013"/>
      <c r="T300" s="2013"/>
      <c r="U300" s="2013"/>
      <c r="V300" s="2013"/>
      <c r="W300" s="2013"/>
      <c r="X300" s="2013"/>
      <c r="Y300" s="2013"/>
      <c r="Z300" s="2013"/>
      <c r="AA300" s="2013"/>
      <c r="AB300" s="2013"/>
      <c r="AC300" s="2013"/>
      <c r="AD300" s="2014"/>
      <c r="AE300" s="585"/>
      <c r="AF300" s="585"/>
      <c r="AG300" s="573"/>
      <c r="AH300" s="585"/>
      <c r="AI300" s="585"/>
      <c r="AJ300" s="584"/>
      <c r="AK300" s="584"/>
      <c r="AL300" s="584"/>
      <c r="AM300" s="584"/>
      <c r="AN300" s="73"/>
      <c r="AO300" s="14"/>
      <c r="AP300" s="591" t="s">
        <v>1289</v>
      </c>
    </row>
    <row r="301" spans="1:49" hidden="1">
      <c r="F301" s="2012"/>
      <c r="G301" s="2013"/>
      <c r="H301" s="2013"/>
      <c r="I301" s="2013"/>
      <c r="J301" s="2013"/>
      <c r="K301" s="2013"/>
      <c r="L301" s="2013"/>
      <c r="M301" s="2013"/>
      <c r="N301" s="2013"/>
      <c r="O301" s="2013"/>
      <c r="P301" s="2013"/>
      <c r="Q301" s="2013"/>
      <c r="R301" s="2013"/>
      <c r="S301" s="2013"/>
      <c r="T301" s="2013"/>
      <c r="U301" s="2013"/>
      <c r="V301" s="2013"/>
      <c r="W301" s="2013"/>
      <c r="X301" s="2013"/>
      <c r="Y301" s="2013"/>
      <c r="Z301" s="2013"/>
      <c r="AA301" s="2013"/>
      <c r="AB301" s="2013"/>
      <c r="AC301" s="2013"/>
      <c r="AD301" s="2014"/>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2" t="s">
        <v>1289</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6"/>
      <c r="AF305" s="676"/>
      <c r="AG305" s="676"/>
      <c r="AH305" s="676"/>
      <c r="AI305" s="676"/>
      <c r="AJ305" s="676"/>
      <c r="AK305" s="676"/>
      <c r="AL305" s="584"/>
      <c r="AM305" s="584"/>
      <c r="AN305" s="73"/>
      <c r="AO305" s="14"/>
      <c r="AP305" s="30"/>
    </row>
    <row r="306" spans="1:42" hidden="1">
      <c r="A306" s="584"/>
      <c r="B306" s="585"/>
      <c r="C306" s="764"/>
      <c r="D306" s="764"/>
      <c r="E306" s="581"/>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5"/>
      <c r="AF306" s="585"/>
      <c r="AG306" s="573"/>
      <c r="AH306" s="585"/>
      <c r="AI306" s="585"/>
      <c r="AJ306" s="584"/>
      <c r="AK306" s="584"/>
      <c r="AL306" s="584"/>
      <c r="AM306" s="584"/>
      <c r="AN306" s="73"/>
      <c r="AO306" s="14"/>
      <c r="AP306" s="30"/>
    </row>
    <row r="307" spans="1:42" hidden="1">
      <c r="A307" s="584"/>
      <c r="B307" s="585"/>
      <c r="C307" s="764"/>
      <c r="D307" s="764"/>
      <c r="E307" s="581"/>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5"/>
      <c r="AF307" s="585"/>
      <c r="AG307" s="573"/>
      <c r="AH307" s="585"/>
      <c r="AI307" s="585"/>
      <c r="AJ307" s="584"/>
      <c r="AK307" s="584"/>
      <c r="AL307" s="584"/>
      <c r="AM307" s="584"/>
      <c r="AN307" s="73"/>
      <c r="AO307" s="14"/>
      <c r="AP307" s="30"/>
    </row>
    <row r="308" spans="1:42" hidden="1">
      <c r="A308" s="584"/>
      <c r="B308" s="585"/>
      <c r="C308" s="764"/>
      <c r="D308" s="764"/>
      <c r="E308" s="581"/>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5"/>
      <c r="AF308" s="585"/>
      <c r="AG308" s="573"/>
      <c r="AH308" s="585"/>
      <c r="AI308" s="585"/>
      <c r="AJ308" s="584"/>
      <c r="AK308" s="584"/>
      <c r="AL308" s="584"/>
      <c r="AM308" s="584"/>
      <c r="AN308" s="73"/>
      <c r="AO308" s="14"/>
      <c r="AP308" s="30"/>
    </row>
    <row r="309" spans="1:42" hidden="1">
      <c r="A309" s="584"/>
      <c r="B309" s="585"/>
      <c r="C309" s="764"/>
      <c r="D309" s="764"/>
      <c r="E309" s="581"/>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28" t="s">
        <v>1289</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28" t="s">
        <v>1289</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63" t="s">
        <v>1502</v>
      </c>
      <c r="B322" s="1663"/>
      <c r="C322" s="1990" t="s">
        <v>599</v>
      </c>
      <c r="D322" s="1990"/>
      <c r="E322" s="581"/>
      <c r="F322" s="1919" t="s">
        <v>2341</v>
      </c>
      <c r="G322" s="1920"/>
      <c r="H322" s="1920"/>
      <c r="I322" s="1920"/>
      <c r="J322" s="1920"/>
      <c r="K322" s="1920"/>
      <c r="L322" s="1920"/>
      <c r="M322" s="1920"/>
      <c r="N322" s="1920"/>
      <c r="O322" s="1920"/>
      <c r="P322" s="1920"/>
      <c r="Q322" s="1920"/>
      <c r="R322" s="1920"/>
      <c r="S322" s="1920"/>
      <c r="T322" s="1920"/>
      <c r="U322" s="1920"/>
      <c r="V322" s="1920"/>
      <c r="W322" s="1920"/>
      <c r="X322" s="1920"/>
      <c r="Y322" s="1920"/>
      <c r="Z322" s="1920"/>
      <c r="AA322" s="1920"/>
      <c r="AB322" s="1920"/>
      <c r="AC322" s="1920"/>
      <c r="AD322" s="192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25"/>
      <c r="G323" s="1926"/>
      <c r="H323" s="1926"/>
      <c r="I323" s="1926"/>
      <c r="J323" s="1926"/>
      <c r="K323" s="1926"/>
      <c r="L323" s="1926"/>
      <c r="M323" s="1926"/>
      <c r="N323" s="1926"/>
      <c r="O323" s="1926"/>
      <c r="P323" s="1926"/>
      <c r="Q323" s="1926"/>
      <c r="R323" s="1926"/>
      <c r="S323" s="1926"/>
      <c r="T323" s="1926"/>
      <c r="U323" s="1926"/>
      <c r="V323" s="1926"/>
      <c r="W323" s="1926"/>
      <c r="X323" s="1926"/>
      <c r="Y323" s="1926"/>
      <c r="Z323" s="1926"/>
      <c r="AA323" s="1926"/>
      <c r="AB323" s="1926"/>
      <c r="AC323" s="1926"/>
      <c r="AD323" s="1927"/>
      <c r="AE323" s="585"/>
      <c r="AF323" s="585"/>
      <c r="AG323" s="585"/>
      <c r="AH323" s="585"/>
      <c r="AI323" s="585"/>
      <c r="AJ323" s="584"/>
      <c r="AK323" s="584"/>
      <c r="AL323" s="584"/>
      <c r="AM323" s="584"/>
      <c r="AN323" s="73"/>
      <c r="AO323" s="14"/>
    </row>
    <row r="324" spans="1:44" ht="15" hidden="1" customHeight="1">
      <c r="A324" s="584"/>
      <c r="B324" s="585"/>
      <c r="C324" s="585"/>
      <c r="D324" s="585"/>
      <c r="E324" s="585"/>
      <c r="F324" s="1925"/>
      <c r="G324" s="1926"/>
      <c r="H324" s="1926"/>
      <c r="I324" s="1926"/>
      <c r="J324" s="1926"/>
      <c r="K324" s="1926"/>
      <c r="L324" s="1926"/>
      <c r="M324" s="1926"/>
      <c r="N324" s="1926"/>
      <c r="O324" s="1926"/>
      <c r="P324" s="1926"/>
      <c r="Q324" s="1926"/>
      <c r="R324" s="1926"/>
      <c r="S324" s="1926"/>
      <c r="T324" s="1926"/>
      <c r="U324" s="1926"/>
      <c r="V324" s="1926"/>
      <c r="W324" s="1926"/>
      <c r="X324" s="1926"/>
      <c r="Y324" s="1926"/>
      <c r="Z324" s="1926"/>
      <c r="AA324" s="1926"/>
      <c r="AB324" s="1926"/>
      <c r="AC324" s="1926"/>
      <c r="AD324" s="192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93">
        <f>IF(NOT(OR(Application!M355="Yes",Application!M356="Yes")),0,AP284)</f>
        <v>10</v>
      </c>
      <c r="AL327" s="1994"/>
      <c r="AM327" s="199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28" t="s">
        <v>1424</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32" t="s">
        <v>1564</v>
      </c>
      <c r="D332" s="2032"/>
      <c r="E332" s="2032"/>
      <c r="F332" s="2032"/>
      <c r="G332" s="2032"/>
      <c r="H332" s="2032"/>
      <c r="I332" s="2032"/>
      <c r="J332" s="2032"/>
      <c r="K332" s="2032"/>
      <c r="L332" s="2032"/>
      <c r="M332" s="2032"/>
      <c r="N332" s="2032"/>
      <c r="O332" s="2032"/>
      <c r="P332" s="2032"/>
      <c r="Q332" s="2032"/>
      <c r="R332" s="2032"/>
      <c r="S332" s="2032"/>
      <c r="T332" s="2032"/>
      <c r="U332" s="2032"/>
      <c r="V332" s="2032"/>
      <c r="W332" s="2032"/>
      <c r="X332" s="2032"/>
      <c r="Y332" s="2032"/>
      <c r="Z332" s="2032"/>
      <c r="AA332" s="2032"/>
      <c r="AB332" s="2032"/>
      <c r="AC332" s="2032"/>
      <c r="AD332" s="2032"/>
      <c r="AE332" s="2032"/>
      <c r="AF332" s="2032"/>
      <c r="AG332" s="2032"/>
      <c r="AH332" s="2032"/>
      <c r="AI332" s="2032"/>
      <c r="AJ332" s="2032"/>
      <c r="AK332" s="637"/>
      <c r="AL332" s="637"/>
      <c r="AM332" s="637"/>
      <c r="AN332" s="631"/>
    </row>
    <row r="333" spans="1:44" s="584" customFormat="1" ht="12.75" customHeight="1">
      <c r="A333" s="637"/>
      <c r="B333" s="645"/>
      <c r="C333" s="2032"/>
      <c r="D333" s="2032"/>
      <c r="E333" s="2032"/>
      <c r="F333" s="2032"/>
      <c r="G333" s="2032"/>
      <c r="H333" s="2032"/>
      <c r="I333" s="2032"/>
      <c r="J333" s="2032"/>
      <c r="K333" s="2032"/>
      <c r="L333" s="2032"/>
      <c r="M333" s="2032"/>
      <c r="N333" s="2032"/>
      <c r="O333" s="2032"/>
      <c r="P333" s="2032"/>
      <c r="Q333" s="2032"/>
      <c r="R333" s="2032"/>
      <c r="S333" s="2032"/>
      <c r="T333" s="2032"/>
      <c r="U333" s="2032"/>
      <c r="V333" s="2032"/>
      <c r="W333" s="2032"/>
      <c r="X333" s="2032"/>
      <c r="Y333" s="2032"/>
      <c r="Z333" s="2032"/>
      <c r="AA333" s="2032"/>
      <c r="AB333" s="2032"/>
      <c r="AC333" s="2032"/>
      <c r="AD333" s="2032"/>
      <c r="AE333" s="2032"/>
      <c r="AF333" s="2032"/>
      <c r="AG333" s="2032"/>
      <c r="AH333" s="2032"/>
      <c r="AI333" s="2032"/>
      <c r="AJ333" s="2032"/>
      <c r="AK333" s="637"/>
      <c r="AL333" s="637"/>
      <c r="AM333" s="637"/>
      <c r="AN333" s="631"/>
    </row>
    <row r="334" spans="1:44" s="584" customFormat="1" ht="12.75" customHeight="1">
      <c r="A334" s="637"/>
      <c r="B334" s="645"/>
      <c r="C334" s="2032"/>
      <c r="D334" s="2032"/>
      <c r="E334" s="2032"/>
      <c r="F334" s="2032"/>
      <c r="G334" s="2032"/>
      <c r="H334" s="2032"/>
      <c r="I334" s="2032"/>
      <c r="J334" s="2032"/>
      <c r="K334" s="2032"/>
      <c r="L334" s="2032"/>
      <c r="M334" s="2032"/>
      <c r="N334" s="2032"/>
      <c r="O334" s="2032"/>
      <c r="P334" s="2032"/>
      <c r="Q334" s="2032"/>
      <c r="R334" s="2032"/>
      <c r="S334" s="2032"/>
      <c r="T334" s="2032"/>
      <c r="U334" s="2032"/>
      <c r="V334" s="2032"/>
      <c r="W334" s="2032"/>
      <c r="X334" s="2032"/>
      <c r="Y334" s="2032"/>
      <c r="Z334" s="2032"/>
      <c r="AA334" s="2032"/>
      <c r="AB334" s="2032"/>
      <c r="AC334" s="2032"/>
      <c r="AD334" s="2032"/>
      <c r="AE334" s="2032"/>
      <c r="AF334" s="2032"/>
      <c r="AG334" s="2032"/>
      <c r="AH334" s="2032"/>
      <c r="AI334" s="2032"/>
      <c r="AJ334" s="2032"/>
      <c r="AK334" s="637"/>
      <c r="AL334" s="637"/>
      <c r="AM334" s="637"/>
      <c r="AN334" s="631"/>
      <c r="AQ334" s="604"/>
    </row>
    <row r="335" spans="1:44" s="584" customFormat="1" ht="12.75" customHeight="1">
      <c r="A335" s="637"/>
      <c r="B335" s="645"/>
      <c r="C335" s="2032"/>
      <c r="D335" s="2032"/>
      <c r="E335" s="2032"/>
      <c r="F335" s="2032"/>
      <c r="G335" s="2032"/>
      <c r="H335" s="2032"/>
      <c r="I335" s="2032"/>
      <c r="J335" s="2032"/>
      <c r="K335" s="2032"/>
      <c r="L335" s="2032"/>
      <c r="M335" s="2032"/>
      <c r="N335" s="2032"/>
      <c r="O335" s="2032"/>
      <c r="P335" s="2032"/>
      <c r="Q335" s="2032"/>
      <c r="R335" s="2032"/>
      <c r="S335" s="2032"/>
      <c r="T335" s="2032"/>
      <c r="U335" s="2032"/>
      <c r="V335" s="2032"/>
      <c r="W335" s="2032"/>
      <c r="X335" s="2032"/>
      <c r="Y335" s="2032"/>
      <c r="Z335" s="2032"/>
      <c r="AA335" s="2032"/>
      <c r="AB335" s="2032"/>
      <c r="AC335" s="2032"/>
      <c r="AD335" s="2032"/>
      <c r="AE335" s="2032"/>
      <c r="AF335" s="2032"/>
      <c r="AG335" s="2032"/>
      <c r="AH335" s="2032"/>
      <c r="AI335" s="2032"/>
      <c r="AJ335" s="2032"/>
      <c r="AK335" s="637"/>
      <c r="AL335" s="637"/>
      <c r="AM335" s="637"/>
      <c r="AN335" s="631"/>
      <c r="AQ335" s="604"/>
    </row>
    <row r="336" spans="1:44" s="584" customFormat="1" ht="12.4" customHeight="1">
      <c r="A336" s="637"/>
      <c r="B336" s="645"/>
      <c r="C336" s="2032"/>
      <c r="D336" s="2032"/>
      <c r="E336" s="2032"/>
      <c r="F336" s="2032"/>
      <c r="G336" s="2032"/>
      <c r="H336" s="2032"/>
      <c r="I336" s="2032"/>
      <c r="J336" s="2032"/>
      <c r="K336" s="2032"/>
      <c r="L336" s="2032"/>
      <c r="M336" s="2032"/>
      <c r="N336" s="2032"/>
      <c r="O336" s="2032"/>
      <c r="P336" s="2032"/>
      <c r="Q336" s="2032"/>
      <c r="R336" s="2032"/>
      <c r="S336" s="2032"/>
      <c r="T336" s="2032"/>
      <c r="U336" s="2032"/>
      <c r="V336" s="2032"/>
      <c r="W336" s="2032"/>
      <c r="X336" s="2032"/>
      <c r="Y336" s="2032"/>
      <c r="Z336" s="2032"/>
      <c r="AA336" s="2032"/>
      <c r="AB336" s="2032"/>
      <c r="AC336" s="2032"/>
      <c r="AD336" s="2032"/>
      <c r="AE336" s="2032"/>
      <c r="AF336" s="2032"/>
      <c r="AG336" s="2032"/>
      <c r="AH336" s="2032"/>
      <c r="AI336" s="2032"/>
      <c r="AJ336" s="2032"/>
      <c r="AK336" s="637"/>
      <c r="AL336" s="637"/>
      <c r="AM336" s="637"/>
      <c r="AN336" s="631"/>
      <c r="AQ336" s="604"/>
      <c r="AR336" s="604"/>
    </row>
    <row r="337" spans="1:46" s="584" customFormat="1" ht="45.75" customHeight="1">
      <c r="A337" s="637"/>
      <c r="B337" s="645"/>
      <c r="C337" s="2032" t="s">
        <v>2408</v>
      </c>
      <c r="D337" s="2032"/>
      <c r="E337" s="2032"/>
      <c r="F337" s="2032"/>
      <c r="G337" s="2032"/>
      <c r="H337" s="2032"/>
      <c r="I337" s="2032"/>
      <c r="J337" s="2032"/>
      <c r="K337" s="2032"/>
      <c r="L337" s="2032"/>
      <c r="M337" s="2032"/>
      <c r="N337" s="2032"/>
      <c r="O337" s="2032"/>
      <c r="P337" s="2032"/>
      <c r="Q337" s="2032"/>
      <c r="R337" s="2032"/>
      <c r="S337" s="2032"/>
      <c r="T337" s="2032"/>
      <c r="U337" s="2032"/>
      <c r="V337" s="2032"/>
      <c r="W337" s="2032"/>
      <c r="X337" s="2032"/>
      <c r="Y337" s="2032"/>
      <c r="Z337" s="2032"/>
      <c r="AA337" s="2032"/>
      <c r="AB337" s="2032"/>
      <c r="AC337" s="2032"/>
      <c r="AD337" s="2032"/>
      <c r="AE337" s="2032"/>
      <c r="AF337" s="2032"/>
      <c r="AG337" s="2032"/>
      <c r="AH337" s="2032"/>
      <c r="AI337" s="2032"/>
      <c r="AJ337" s="20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32" t="s">
        <v>2572</v>
      </c>
      <c r="D339" s="2032"/>
      <c r="E339" s="2032"/>
      <c r="F339" s="2032"/>
      <c r="G339" s="2032"/>
      <c r="H339" s="2032"/>
      <c r="I339" s="2032"/>
      <c r="J339" s="2032"/>
      <c r="K339" s="2032"/>
      <c r="L339" s="2032"/>
      <c r="M339" s="2032"/>
      <c r="N339" s="2032"/>
      <c r="O339" s="2032"/>
      <c r="P339" s="2032"/>
      <c r="Q339" s="2032"/>
      <c r="R339" s="2032"/>
      <c r="S339" s="2032"/>
      <c r="T339" s="2032"/>
      <c r="U339" s="2032"/>
      <c r="V339" s="2032"/>
      <c r="W339" s="2032"/>
      <c r="X339" s="2032"/>
      <c r="Y339" s="2032"/>
      <c r="Z339" s="2032"/>
      <c r="AA339" s="2032"/>
      <c r="AB339" s="2032"/>
      <c r="AC339" s="2032"/>
      <c r="AD339" s="2032"/>
      <c r="AE339" s="2032"/>
      <c r="AF339" s="2032"/>
      <c r="AG339" s="2032"/>
      <c r="AH339" s="2032"/>
      <c r="AI339" s="2032"/>
      <c r="AJ339" s="2032"/>
      <c r="AK339" s="637"/>
      <c r="AL339" s="637"/>
      <c r="AM339" s="637"/>
      <c r="AN339" s="631"/>
      <c r="AQ339" s="604"/>
      <c r="AR339" s="604"/>
    </row>
    <row r="340" spans="1:46" s="584" customFormat="1" ht="30" customHeight="1">
      <c r="A340" s="637"/>
      <c r="B340" s="645"/>
      <c r="C340" s="2032"/>
      <c r="D340" s="2032"/>
      <c r="E340" s="2032"/>
      <c r="F340" s="2032"/>
      <c r="G340" s="2032"/>
      <c r="H340" s="2032"/>
      <c r="I340" s="2032"/>
      <c r="J340" s="2032"/>
      <c r="K340" s="2032"/>
      <c r="L340" s="2032"/>
      <c r="M340" s="2032"/>
      <c r="N340" s="2032"/>
      <c r="O340" s="2032"/>
      <c r="P340" s="2032"/>
      <c r="Q340" s="2032"/>
      <c r="R340" s="2032"/>
      <c r="S340" s="2032"/>
      <c r="T340" s="2032"/>
      <c r="U340" s="2032"/>
      <c r="V340" s="2032"/>
      <c r="W340" s="2032"/>
      <c r="X340" s="2032"/>
      <c r="Y340" s="2032"/>
      <c r="Z340" s="2032"/>
      <c r="AA340" s="2032"/>
      <c r="AB340" s="2032"/>
      <c r="AC340" s="2032"/>
      <c r="AD340" s="2032"/>
      <c r="AE340" s="2032"/>
      <c r="AF340" s="2032"/>
      <c r="AG340" s="2032"/>
      <c r="AH340" s="2032"/>
      <c r="AI340" s="2032"/>
      <c r="AJ340" s="2032"/>
      <c r="AK340" s="637"/>
      <c r="AL340" s="637"/>
      <c r="AM340" s="637"/>
      <c r="AN340" s="631"/>
      <c r="AR340" s="604"/>
    </row>
    <row r="341" spans="1:46" s="584" customFormat="1" ht="12.75" customHeight="1">
      <c r="A341" s="637"/>
      <c r="B341" s="645"/>
      <c r="C341" s="2032"/>
      <c r="D341" s="2032"/>
      <c r="E341" s="2032"/>
      <c r="F341" s="2032"/>
      <c r="G341" s="2032"/>
      <c r="H341" s="2032"/>
      <c r="I341" s="2032"/>
      <c r="J341" s="2032"/>
      <c r="K341" s="2032"/>
      <c r="L341" s="2032"/>
      <c r="M341" s="2032"/>
      <c r="N341" s="2032"/>
      <c r="O341" s="2032"/>
      <c r="P341" s="2032"/>
      <c r="Q341" s="2032"/>
      <c r="R341" s="2032"/>
      <c r="S341" s="2032"/>
      <c r="T341" s="2032"/>
      <c r="U341" s="2032"/>
      <c r="V341" s="2032"/>
      <c r="W341" s="2032"/>
      <c r="X341" s="2032"/>
      <c r="Y341" s="2032"/>
      <c r="Z341" s="2032"/>
      <c r="AA341" s="2032"/>
      <c r="AB341" s="2032"/>
      <c r="AC341" s="2032"/>
      <c r="AD341" s="2032"/>
      <c r="AE341" s="2032"/>
      <c r="AF341" s="2032"/>
      <c r="AG341" s="2032"/>
      <c r="AH341" s="2032"/>
      <c r="AI341" s="2032"/>
      <c r="AJ341" s="2032"/>
      <c r="AK341" s="637"/>
      <c r="AL341" s="637"/>
      <c r="AM341" s="637"/>
      <c r="AN341" s="631"/>
      <c r="AR341" s="604"/>
    </row>
    <row r="342" spans="1:46" s="584" customFormat="1" ht="12.75" customHeight="1">
      <c r="A342" s="637"/>
      <c r="B342" s="645"/>
      <c r="C342" s="2032" t="s">
        <v>1565</v>
      </c>
      <c r="D342" s="2032"/>
      <c r="E342" s="2032"/>
      <c r="F342" s="2032"/>
      <c r="G342" s="2032"/>
      <c r="H342" s="2032"/>
      <c r="I342" s="2032"/>
      <c r="J342" s="2032"/>
      <c r="K342" s="2032"/>
      <c r="L342" s="2032"/>
      <c r="M342" s="2032"/>
      <c r="N342" s="2032"/>
      <c r="O342" s="2032"/>
      <c r="P342" s="2032"/>
      <c r="Q342" s="2032"/>
      <c r="R342" s="2032"/>
      <c r="S342" s="2032"/>
      <c r="T342" s="2032"/>
      <c r="U342" s="2032"/>
      <c r="V342" s="2032"/>
      <c r="W342" s="2032"/>
      <c r="X342" s="2032"/>
      <c r="Y342" s="2032"/>
      <c r="Z342" s="2032"/>
      <c r="AA342" s="2032"/>
      <c r="AB342" s="2032"/>
      <c r="AC342" s="2032"/>
      <c r="AD342" s="2032"/>
      <c r="AE342" s="2032"/>
      <c r="AF342" s="2032"/>
      <c r="AG342" s="2032"/>
      <c r="AH342" s="2032"/>
      <c r="AI342" s="2032"/>
      <c r="AJ342" s="2032"/>
      <c r="AK342" s="637"/>
      <c r="AL342" s="637"/>
      <c r="AM342" s="637"/>
      <c r="AN342" s="631"/>
      <c r="AQ342" s="604"/>
      <c r="AR342" s="604"/>
    </row>
    <row r="343" spans="1:46" s="584" customFormat="1" ht="12.75" customHeight="1">
      <c r="A343" s="637"/>
      <c r="B343" s="645"/>
      <c r="C343" s="2032"/>
      <c r="D343" s="2032"/>
      <c r="E343" s="2032"/>
      <c r="F343" s="2032"/>
      <c r="G343" s="2032"/>
      <c r="H343" s="2032"/>
      <c r="I343" s="2032"/>
      <c r="J343" s="2032"/>
      <c r="K343" s="2032"/>
      <c r="L343" s="2032"/>
      <c r="M343" s="2032"/>
      <c r="N343" s="2032"/>
      <c r="O343" s="2032"/>
      <c r="P343" s="2032"/>
      <c r="Q343" s="2032"/>
      <c r="R343" s="2032"/>
      <c r="S343" s="2032"/>
      <c r="T343" s="2032"/>
      <c r="U343" s="2032"/>
      <c r="V343" s="2032"/>
      <c r="W343" s="2032"/>
      <c r="X343" s="2032"/>
      <c r="Y343" s="2032"/>
      <c r="Z343" s="2032"/>
      <c r="AA343" s="2032"/>
      <c r="AB343" s="2032"/>
      <c r="AC343" s="2032"/>
      <c r="AD343" s="2032"/>
      <c r="AE343" s="2032"/>
      <c r="AF343" s="2032"/>
      <c r="AG343" s="2032"/>
      <c r="AH343" s="2032"/>
      <c r="AI343" s="2032"/>
      <c r="AJ343" s="2032"/>
      <c r="AK343" s="637"/>
      <c r="AL343" s="637"/>
      <c r="AM343" s="637"/>
      <c r="AN343" s="631"/>
      <c r="AQ343" s="604"/>
      <c r="AR343" s="604"/>
    </row>
    <row r="344" spans="1:46" s="584" customFormat="1" ht="13.15" customHeight="1">
      <c r="A344" s="637"/>
      <c r="B344" s="645"/>
      <c r="C344" s="2032"/>
      <c r="D344" s="2032"/>
      <c r="E344" s="2032"/>
      <c r="F344" s="2032"/>
      <c r="G344" s="2032"/>
      <c r="H344" s="2032"/>
      <c r="I344" s="2032"/>
      <c r="J344" s="2032"/>
      <c r="K344" s="2032"/>
      <c r="L344" s="2032"/>
      <c r="M344" s="2032"/>
      <c r="N344" s="2032"/>
      <c r="O344" s="2032"/>
      <c r="P344" s="2032"/>
      <c r="Q344" s="2032"/>
      <c r="R344" s="2032"/>
      <c r="S344" s="2032"/>
      <c r="T344" s="2032"/>
      <c r="U344" s="2032"/>
      <c r="V344" s="2032"/>
      <c r="W344" s="2032"/>
      <c r="X344" s="2032"/>
      <c r="Y344" s="2032"/>
      <c r="Z344" s="2032"/>
      <c r="AA344" s="2032"/>
      <c r="AB344" s="2032"/>
      <c r="AC344" s="2032"/>
      <c r="AD344" s="2032"/>
      <c r="AE344" s="2032"/>
      <c r="AF344" s="2032"/>
      <c r="AG344" s="2032"/>
      <c r="AH344" s="2032"/>
      <c r="AI344" s="2032"/>
      <c r="AJ344" s="2032"/>
      <c r="AK344" s="637"/>
      <c r="AL344" s="637"/>
      <c r="AM344" s="637"/>
      <c r="AN344" s="631"/>
      <c r="AQ344" s="604"/>
      <c r="AR344" s="604"/>
    </row>
    <row r="345" spans="1:46" s="584" customFormat="1" ht="12.75" customHeight="1">
      <c r="A345" s="637"/>
      <c r="B345" s="645"/>
      <c r="C345" s="2032"/>
      <c r="D345" s="2032"/>
      <c r="E345" s="2032"/>
      <c r="F345" s="2032"/>
      <c r="G345" s="2032"/>
      <c r="H345" s="2032"/>
      <c r="I345" s="2032"/>
      <c r="J345" s="2032"/>
      <c r="K345" s="2032"/>
      <c r="L345" s="2032"/>
      <c r="M345" s="2032"/>
      <c r="N345" s="2032"/>
      <c r="O345" s="2032"/>
      <c r="P345" s="2032"/>
      <c r="Q345" s="2032"/>
      <c r="R345" s="2032"/>
      <c r="S345" s="2032"/>
      <c r="T345" s="2032"/>
      <c r="U345" s="2032"/>
      <c r="V345" s="2032"/>
      <c r="W345" s="2032"/>
      <c r="X345" s="2032"/>
      <c r="Y345" s="2032"/>
      <c r="Z345" s="2032"/>
      <c r="AA345" s="2032"/>
      <c r="AB345" s="2032"/>
      <c r="AC345" s="2032"/>
      <c r="AD345" s="2032"/>
      <c r="AE345" s="2032"/>
      <c r="AF345" s="2032"/>
      <c r="AG345" s="2032"/>
      <c r="AH345" s="2032"/>
      <c r="AI345" s="2032"/>
      <c r="AJ345" s="2032"/>
      <c r="AK345" s="637"/>
      <c r="AL345" s="637"/>
      <c r="AM345" s="637"/>
      <c r="AN345" s="631"/>
      <c r="AO345" s="728"/>
      <c r="AP345" s="728"/>
      <c r="AQ345" s="604"/>
    </row>
    <row r="346" spans="1:46" s="584" customFormat="1" ht="11.85" customHeight="1">
      <c r="A346" s="637"/>
      <c r="B346" s="645"/>
      <c r="C346" s="2032"/>
      <c r="D346" s="2032"/>
      <c r="E346" s="2032"/>
      <c r="F346" s="2032"/>
      <c r="G346" s="2032"/>
      <c r="H346" s="2032"/>
      <c r="I346" s="2032"/>
      <c r="J346" s="2032"/>
      <c r="K346" s="2032"/>
      <c r="L346" s="2032"/>
      <c r="M346" s="2032"/>
      <c r="N346" s="2032"/>
      <c r="O346" s="2032"/>
      <c r="P346" s="2032"/>
      <c r="Q346" s="2032"/>
      <c r="R346" s="2032"/>
      <c r="S346" s="2032"/>
      <c r="T346" s="2032"/>
      <c r="U346" s="2032"/>
      <c r="V346" s="2032"/>
      <c r="W346" s="2032"/>
      <c r="X346" s="2032"/>
      <c r="Y346" s="2032"/>
      <c r="Z346" s="2032"/>
      <c r="AA346" s="2032"/>
      <c r="AB346" s="2032"/>
      <c r="AC346" s="2032"/>
      <c r="AD346" s="2032"/>
      <c r="AE346" s="2032"/>
      <c r="AF346" s="2032"/>
      <c r="AG346" s="2032"/>
      <c r="AH346" s="2032"/>
      <c r="AI346" s="2032"/>
      <c r="AJ346" s="2032"/>
      <c r="AK346" s="637"/>
      <c r="AL346" s="637"/>
      <c r="AM346" s="637"/>
      <c r="AN346" s="631"/>
      <c r="AO346" s="729" t="s">
        <v>112</v>
      </c>
      <c r="AP346" s="730">
        <f>IF(C370="Yes",5,0)</f>
        <v>5</v>
      </c>
      <c r="AS346" s="573" t="s">
        <v>1566</v>
      </c>
    </row>
    <row r="347" spans="1:46" s="584" customFormat="1" ht="12.75" customHeight="1">
      <c r="A347" s="637"/>
      <c r="B347" s="645"/>
      <c r="C347" s="2032"/>
      <c r="D347" s="2032"/>
      <c r="E347" s="2032"/>
      <c r="F347" s="2032"/>
      <c r="G347" s="2032"/>
      <c r="H347" s="2032"/>
      <c r="I347" s="2032"/>
      <c r="J347" s="2032"/>
      <c r="K347" s="2032"/>
      <c r="L347" s="2032"/>
      <c r="M347" s="2032"/>
      <c r="N347" s="2032"/>
      <c r="O347" s="2032"/>
      <c r="P347" s="2032"/>
      <c r="Q347" s="2032"/>
      <c r="R347" s="2032"/>
      <c r="S347" s="2032"/>
      <c r="T347" s="2032"/>
      <c r="U347" s="2032"/>
      <c r="V347" s="2032"/>
      <c r="W347" s="2032"/>
      <c r="X347" s="2032"/>
      <c r="Y347" s="2032"/>
      <c r="Z347" s="2032"/>
      <c r="AA347" s="2032"/>
      <c r="AB347" s="2032"/>
      <c r="AC347" s="2032"/>
      <c r="AD347" s="2032"/>
      <c r="AE347" s="2032"/>
      <c r="AF347" s="2032"/>
      <c r="AG347" s="2032"/>
      <c r="AH347" s="2032"/>
      <c r="AI347" s="2032"/>
      <c r="AJ347" s="2032"/>
      <c r="AK347" s="637"/>
      <c r="AL347" s="637"/>
      <c r="AM347" s="637"/>
      <c r="AN347" s="631"/>
      <c r="AO347" s="729" t="s">
        <v>113</v>
      </c>
      <c r="AP347" s="730">
        <f>IF(C378="Yes",5,0)</f>
        <v>0</v>
      </c>
      <c r="AS347" s="2053">
        <f>IF(Application!D211="Non-Targeted",(SUM(AQ355+AQ364)),AS351)</f>
        <v>10</v>
      </c>
      <c r="AT347" s="2053"/>
    </row>
    <row r="348" spans="1:46" s="584" customFormat="1" ht="12.75" customHeight="1">
      <c r="A348" s="637"/>
      <c r="B348" s="645"/>
      <c r="C348" s="2032"/>
      <c r="D348" s="2032"/>
      <c r="E348" s="2032"/>
      <c r="F348" s="2032"/>
      <c r="G348" s="2032"/>
      <c r="H348" s="2032"/>
      <c r="I348" s="2032"/>
      <c r="J348" s="2032"/>
      <c r="K348" s="2032"/>
      <c r="L348" s="2032"/>
      <c r="M348" s="2032"/>
      <c r="N348" s="2032"/>
      <c r="O348" s="2032"/>
      <c r="P348" s="2032"/>
      <c r="Q348" s="2032"/>
      <c r="R348" s="2032"/>
      <c r="S348" s="2032"/>
      <c r="T348" s="2032"/>
      <c r="U348" s="2032"/>
      <c r="V348" s="2032"/>
      <c r="W348" s="2032"/>
      <c r="X348" s="2032"/>
      <c r="Y348" s="2032"/>
      <c r="Z348" s="2032"/>
      <c r="AA348" s="2032"/>
      <c r="AB348" s="2032"/>
      <c r="AC348" s="2032"/>
      <c r="AD348" s="2032"/>
      <c r="AE348" s="2032"/>
      <c r="AF348" s="2032"/>
      <c r="AG348" s="2032"/>
      <c r="AH348" s="2032"/>
      <c r="AI348" s="2032"/>
      <c r="AJ348" s="2032"/>
      <c r="AK348" s="637"/>
      <c r="AL348" s="637"/>
      <c r="AM348" s="637"/>
      <c r="AN348" s="631"/>
      <c r="AO348" s="729" t="s">
        <v>119</v>
      </c>
      <c r="AP348" s="730">
        <f>IF(C386="Yes",7,0)</f>
        <v>0</v>
      </c>
      <c r="AS348" s="573" t="s">
        <v>1567</v>
      </c>
    </row>
    <row r="349" spans="1:46" s="584" customFormat="1" ht="12.75" customHeight="1">
      <c r="A349" s="637"/>
      <c r="B349" s="645"/>
      <c r="C349" s="2032"/>
      <c r="D349" s="2032"/>
      <c r="E349" s="2032"/>
      <c r="F349" s="2032"/>
      <c r="G349" s="2032"/>
      <c r="H349" s="2032"/>
      <c r="I349" s="2032"/>
      <c r="J349" s="2032"/>
      <c r="K349" s="2032"/>
      <c r="L349" s="2032"/>
      <c r="M349" s="2032"/>
      <c r="N349" s="2032"/>
      <c r="O349" s="2032"/>
      <c r="P349" s="2032"/>
      <c r="Q349" s="2032"/>
      <c r="R349" s="2032"/>
      <c r="S349" s="2032"/>
      <c r="T349" s="2032"/>
      <c r="U349" s="2032"/>
      <c r="V349" s="2032"/>
      <c r="W349" s="2032"/>
      <c r="X349" s="2032"/>
      <c r="Y349" s="2032"/>
      <c r="Z349" s="2032"/>
      <c r="AA349" s="2032"/>
      <c r="AB349" s="2032"/>
      <c r="AC349" s="2032"/>
      <c r="AD349" s="2032"/>
      <c r="AE349" s="2032"/>
      <c r="AF349" s="2032"/>
      <c r="AG349" s="2032"/>
      <c r="AH349" s="2032"/>
      <c r="AI349" s="2032"/>
      <c r="AJ349" s="2032"/>
      <c r="AK349" s="637"/>
      <c r="AL349" s="637"/>
      <c r="AM349" s="637"/>
      <c r="AN349" s="631"/>
      <c r="AO349" s="631"/>
      <c r="AP349" s="730">
        <f>IF(C388="Yes",5,0)</f>
        <v>5</v>
      </c>
      <c r="AS349" s="2053">
        <f>IF(AND(AQ355&gt;0,AQ364&gt;0),(AQ355+AQ364)/2,0)</f>
        <v>0</v>
      </c>
      <c r="AT349" s="2053"/>
    </row>
    <row r="350" spans="1:46" s="584" customFormat="1" ht="12.75" customHeight="1">
      <c r="A350" s="637"/>
      <c r="B350" s="645"/>
      <c r="C350" s="2032"/>
      <c r="D350" s="2032"/>
      <c r="E350" s="2032"/>
      <c r="F350" s="2032"/>
      <c r="G350" s="2032"/>
      <c r="H350" s="2032"/>
      <c r="I350" s="2032"/>
      <c r="J350" s="2032"/>
      <c r="K350" s="2032"/>
      <c r="L350" s="2032"/>
      <c r="M350" s="2032"/>
      <c r="N350" s="2032"/>
      <c r="O350" s="2032"/>
      <c r="P350" s="2032"/>
      <c r="Q350" s="2032"/>
      <c r="R350" s="2032"/>
      <c r="S350" s="2032"/>
      <c r="T350" s="2032"/>
      <c r="U350" s="2032"/>
      <c r="V350" s="2032"/>
      <c r="W350" s="2032"/>
      <c r="X350" s="2032"/>
      <c r="Y350" s="2032"/>
      <c r="Z350" s="2032"/>
      <c r="AA350" s="2032"/>
      <c r="AB350" s="2032"/>
      <c r="AC350" s="2032"/>
      <c r="AD350" s="2032"/>
      <c r="AE350" s="2032"/>
      <c r="AF350" s="2032"/>
      <c r="AG350" s="2032"/>
      <c r="AH350" s="2032"/>
      <c r="AI350" s="2032"/>
      <c r="AJ350" s="2032"/>
      <c r="AK350" s="637"/>
      <c r="AL350" s="637"/>
      <c r="AM350" s="637"/>
      <c r="AN350" s="631"/>
      <c r="AO350" s="729" t="s">
        <v>589</v>
      </c>
      <c r="AP350" s="730">
        <f>IF(C396="Yes",5,0)</f>
        <v>0</v>
      </c>
      <c r="AS350" s="573" t="s">
        <v>2069</v>
      </c>
    </row>
    <row r="351" spans="1:46" s="584" customFormat="1" ht="12.75" customHeight="1">
      <c r="A351" s="637"/>
      <c r="B351" s="645"/>
      <c r="C351" s="2054" t="s">
        <v>1568</v>
      </c>
      <c r="D351" s="2054"/>
      <c r="E351" s="2054"/>
      <c r="F351" s="2054"/>
      <c r="G351" s="2054"/>
      <c r="H351" s="2054"/>
      <c r="I351" s="2054"/>
      <c r="J351" s="2054"/>
      <c r="K351" s="2054"/>
      <c r="L351" s="2054"/>
      <c r="M351" s="2054"/>
      <c r="N351" s="2054"/>
      <c r="O351" s="2054"/>
      <c r="P351" s="2054"/>
      <c r="Q351" s="2054"/>
      <c r="R351" s="2054"/>
      <c r="S351" s="2054"/>
      <c r="T351" s="2054"/>
      <c r="U351" s="2054"/>
      <c r="V351" s="2054"/>
      <c r="W351" s="2054"/>
      <c r="X351" s="2054"/>
      <c r="Y351" s="2054"/>
      <c r="Z351" s="2054"/>
      <c r="AA351" s="2054"/>
      <c r="AB351" s="2054"/>
      <c r="AC351" s="2054"/>
      <c r="AD351" s="2054"/>
      <c r="AE351" s="2054"/>
      <c r="AF351" s="2054"/>
      <c r="AG351" s="2054"/>
      <c r="AH351" s="2054"/>
      <c r="AI351" s="2054"/>
      <c r="AJ351" s="2054"/>
      <c r="AK351" s="637"/>
      <c r="AL351" s="637"/>
      <c r="AM351" s="637"/>
      <c r="AN351" s="631"/>
      <c r="AO351" s="631"/>
      <c r="AP351" s="730">
        <f>IF(C398="Yes",3,0)</f>
        <v>0</v>
      </c>
      <c r="AS351" s="2053">
        <f>IF(AQ355=0,AQ364,AQ355)</f>
        <v>10</v>
      </c>
      <c r="AT351" s="2053"/>
    </row>
    <row r="352" spans="1:46" s="584" customFormat="1" ht="12.75" customHeight="1">
      <c r="A352" s="637"/>
      <c r="B352" s="645"/>
      <c r="C352" s="2054"/>
      <c r="D352" s="2054"/>
      <c r="E352" s="2054"/>
      <c r="F352" s="2054"/>
      <c r="G352" s="2054"/>
      <c r="H352" s="2054"/>
      <c r="I352" s="2054"/>
      <c r="J352" s="2054"/>
      <c r="K352" s="2054"/>
      <c r="L352" s="2054"/>
      <c r="M352" s="2054"/>
      <c r="N352" s="2054"/>
      <c r="O352" s="2054"/>
      <c r="P352" s="2054"/>
      <c r="Q352" s="2054"/>
      <c r="R352" s="2054"/>
      <c r="S352" s="2054"/>
      <c r="T352" s="2054"/>
      <c r="U352" s="2054"/>
      <c r="V352" s="2054"/>
      <c r="W352" s="2054"/>
      <c r="X352" s="2054"/>
      <c r="Y352" s="2054"/>
      <c r="Z352" s="2054"/>
      <c r="AA352" s="2054"/>
      <c r="AB352" s="2054"/>
      <c r="AC352" s="2054"/>
      <c r="AD352" s="2054"/>
      <c r="AE352" s="2054"/>
      <c r="AF352" s="2054"/>
      <c r="AG352" s="2054"/>
      <c r="AH352" s="2054"/>
      <c r="AI352" s="2054"/>
      <c r="AJ352" s="2054"/>
      <c r="AK352" s="637"/>
      <c r="AL352" s="637"/>
      <c r="AM352" s="637"/>
      <c r="AN352" s="631"/>
      <c r="AO352" s="729" t="s">
        <v>772</v>
      </c>
      <c r="AP352" s="730">
        <f>IF(C401="Yes",5,0)</f>
        <v>0</v>
      </c>
    </row>
    <row r="353" spans="1:81" s="584" customFormat="1" ht="12.75" customHeight="1">
      <c r="A353" s="637"/>
      <c r="B353" s="645"/>
      <c r="C353" s="2054"/>
      <c r="D353" s="2054"/>
      <c r="E353" s="2054"/>
      <c r="F353" s="2054"/>
      <c r="G353" s="2054"/>
      <c r="H353" s="2054"/>
      <c r="I353" s="2054"/>
      <c r="J353" s="2054"/>
      <c r="K353" s="2054"/>
      <c r="L353" s="2054"/>
      <c r="M353" s="2054"/>
      <c r="N353" s="2054"/>
      <c r="O353" s="2054"/>
      <c r="P353" s="2054"/>
      <c r="Q353" s="2054"/>
      <c r="R353" s="2054"/>
      <c r="S353" s="2054"/>
      <c r="T353" s="2054"/>
      <c r="U353" s="2054"/>
      <c r="V353" s="2054"/>
      <c r="W353" s="2054"/>
      <c r="X353" s="2054"/>
      <c r="Y353" s="2054"/>
      <c r="Z353" s="2054"/>
      <c r="AA353" s="2054"/>
      <c r="AB353" s="2054"/>
      <c r="AC353" s="2054"/>
      <c r="AD353" s="2054"/>
      <c r="AE353" s="2054"/>
      <c r="AF353" s="2054"/>
      <c r="AG353" s="2054"/>
      <c r="AH353" s="2054"/>
      <c r="AI353" s="2054"/>
      <c r="AJ353" s="2054"/>
      <c r="AK353" s="637"/>
      <c r="AL353" s="637"/>
      <c r="AM353" s="637"/>
      <c r="AN353" s="631"/>
      <c r="AO353" s="729" t="s">
        <v>592</v>
      </c>
      <c r="AP353" s="730">
        <f>IF(C410="Yes",5,0)</f>
        <v>0</v>
      </c>
    </row>
    <row r="354" spans="1:81" s="584" customFormat="1" ht="11.85" customHeight="1">
      <c r="A354" s="637"/>
      <c r="B354" s="645"/>
      <c r="C354" s="2054"/>
      <c r="D354" s="2054"/>
      <c r="E354" s="2054"/>
      <c r="F354" s="2054"/>
      <c r="G354" s="2054"/>
      <c r="H354" s="2054"/>
      <c r="I354" s="2054"/>
      <c r="J354" s="2054"/>
      <c r="K354" s="2054"/>
      <c r="L354" s="2054"/>
      <c r="M354" s="2054"/>
      <c r="N354" s="2054"/>
      <c r="O354" s="2054"/>
      <c r="P354" s="2054"/>
      <c r="Q354" s="2054"/>
      <c r="R354" s="2054"/>
      <c r="S354" s="2054"/>
      <c r="T354" s="2054"/>
      <c r="U354" s="2054"/>
      <c r="V354" s="2054"/>
      <c r="W354" s="2054"/>
      <c r="X354" s="2054"/>
      <c r="Y354" s="2054"/>
      <c r="Z354" s="2054"/>
      <c r="AA354" s="2054"/>
      <c r="AB354" s="2054"/>
      <c r="AC354" s="2054"/>
      <c r="AD354" s="2054"/>
      <c r="AE354" s="2054"/>
      <c r="AF354" s="2054"/>
      <c r="AG354" s="2054"/>
      <c r="AH354" s="2054"/>
      <c r="AI354" s="2054"/>
      <c r="AJ354" s="2054"/>
      <c r="AK354" s="637"/>
      <c r="AL354" s="637"/>
      <c r="AM354" s="637"/>
      <c r="AN354" s="631"/>
      <c r="AO354" s="731"/>
      <c r="AP354" s="732">
        <f>IF(C412="Yes",3,0)</f>
        <v>0</v>
      </c>
    </row>
    <row r="355" spans="1:81" s="584" customFormat="1" ht="12.4" customHeight="1">
      <c r="A355" s="637"/>
      <c r="B355" s="645"/>
      <c r="C355" s="2054"/>
      <c r="D355" s="2054"/>
      <c r="E355" s="2054"/>
      <c r="F355" s="2054"/>
      <c r="G355" s="2054"/>
      <c r="H355" s="2054"/>
      <c r="I355" s="2054"/>
      <c r="J355" s="2054"/>
      <c r="K355" s="2054"/>
      <c r="L355" s="2054"/>
      <c r="M355" s="2054"/>
      <c r="N355" s="2054"/>
      <c r="O355" s="2054"/>
      <c r="P355" s="2054"/>
      <c r="Q355" s="2054"/>
      <c r="R355" s="2054"/>
      <c r="S355" s="2054"/>
      <c r="T355" s="2054"/>
      <c r="U355" s="2054"/>
      <c r="V355" s="2054"/>
      <c r="W355" s="2054"/>
      <c r="X355" s="2054"/>
      <c r="Y355" s="2054"/>
      <c r="Z355" s="2054"/>
      <c r="AA355" s="2054"/>
      <c r="AB355" s="2054"/>
      <c r="AC355" s="2054"/>
      <c r="AD355" s="2054"/>
      <c r="AE355" s="2054"/>
      <c r="AF355" s="2054"/>
      <c r="AG355" s="2054"/>
      <c r="AH355" s="2054"/>
      <c r="AI355" s="2054"/>
      <c r="AJ355" s="2054"/>
      <c r="AK355" s="637"/>
      <c r="AL355" s="637"/>
      <c r="AM355" s="637"/>
      <c r="AN355" s="631"/>
      <c r="AO355" s="733" t="s">
        <v>228</v>
      </c>
      <c r="AP355" s="734">
        <f>SUM(AP346:AP354)</f>
        <v>10</v>
      </c>
      <c r="AQ355" s="2055">
        <f>IF(AP355&gt;0,AP355,0)</f>
        <v>10</v>
      </c>
      <c r="AR355" s="2055"/>
    </row>
    <row r="356" spans="1:81" s="584" customFormat="1" ht="12.75" customHeight="1">
      <c r="A356" s="637"/>
      <c r="B356" s="645"/>
      <c r="C356" s="2054"/>
      <c r="D356" s="2054"/>
      <c r="E356" s="2054"/>
      <c r="F356" s="2054"/>
      <c r="G356" s="2054"/>
      <c r="H356" s="2054"/>
      <c r="I356" s="2054"/>
      <c r="J356" s="2054"/>
      <c r="K356" s="2054"/>
      <c r="L356" s="2054"/>
      <c r="M356" s="2054"/>
      <c r="N356" s="2054"/>
      <c r="O356" s="2054"/>
      <c r="P356" s="2054"/>
      <c r="Q356" s="2054"/>
      <c r="R356" s="2054"/>
      <c r="S356" s="2054"/>
      <c r="T356" s="2054"/>
      <c r="U356" s="2054"/>
      <c r="V356" s="2054"/>
      <c r="W356" s="2054"/>
      <c r="X356" s="2054"/>
      <c r="Y356" s="2054"/>
      <c r="Z356" s="2054"/>
      <c r="AA356" s="2054"/>
      <c r="AB356" s="2054"/>
      <c r="AC356" s="2054"/>
      <c r="AD356" s="2054"/>
      <c r="AE356" s="2054"/>
      <c r="AF356" s="2054"/>
      <c r="AG356" s="2054"/>
      <c r="AH356" s="2054"/>
      <c r="AI356" s="2054"/>
      <c r="AJ356" s="205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32" t="s">
        <v>1569</v>
      </c>
      <c r="D358" s="2032"/>
      <c r="E358" s="2032"/>
      <c r="F358" s="2032"/>
      <c r="G358" s="2032"/>
      <c r="H358" s="2032"/>
      <c r="I358" s="2032"/>
      <c r="J358" s="2032"/>
      <c r="K358" s="2032"/>
      <c r="L358" s="2032"/>
      <c r="M358" s="2032"/>
      <c r="N358" s="2032"/>
      <c r="O358" s="2032"/>
      <c r="P358" s="2032"/>
      <c r="Q358" s="2032"/>
      <c r="R358" s="2032"/>
      <c r="S358" s="2032"/>
      <c r="T358" s="2032"/>
      <c r="U358" s="2032"/>
      <c r="V358" s="2032"/>
      <c r="W358" s="2032"/>
      <c r="X358" s="2032"/>
      <c r="Y358" s="2032"/>
      <c r="Z358" s="2032"/>
      <c r="AA358" s="2032"/>
      <c r="AB358" s="2032"/>
      <c r="AC358" s="2032"/>
      <c r="AD358" s="2032"/>
      <c r="AE358" s="2032"/>
      <c r="AF358" s="2032"/>
      <c r="AG358" s="2032"/>
      <c r="AH358" s="2032"/>
      <c r="AI358" s="2032"/>
      <c r="AJ358" s="2032"/>
      <c r="AK358" s="637"/>
      <c r="AL358" s="637"/>
      <c r="AM358" s="637"/>
      <c r="AN358" s="631"/>
      <c r="AO358" s="729" t="s">
        <v>464</v>
      </c>
      <c r="AP358" s="730">
        <f>IF(C431="Yes",5,0)</f>
        <v>0</v>
      </c>
    </row>
    <row r="359" spans="1:81" s="584" customFormat="1" ht="12.75" customHeight="1">
      <c r="A359" s="637"/>
      <c r="B359" s="645"/>
      <c r="C359" s="2032"/>
      <c r="D359" s="2032"/>
      <c r="E359" s="2032"/>
      <c r="F359" s="2032"/>
      <c r="G359" s="2032"/>
      <c r="H359" s="2032"/>
      <c r="I359" s="2032"/>
      <c r="J359" s="2032"/>
      <c r="K359" s="2032"/>
      <c r="L359" s="2032"/>
      <c r="M359" s="2032"/>
      <c r="N359" s="2032"/>
      <c r="O359" s="2032"/>
      <c r="P359" s="2032"/>
      <c r="Q359" s="2032"/>
      <c r="R359" s="2032"/>
      <c r="S359" s="2032"/>
      <c r="T359" s="2032"/>
      <c r="U359" s="2032"/>
      <c r="V359" s="2032"/>
      <c r="W359" s="2032"/>
      <c r="X359" s="2032"/>
      <c r="Y359" s="2032"/>
      <c r="Z359" s="2032"/>
      <c r="AA359" s="2032"/>
      <c r="AB359" s="2032"/>
      <c r="AC359" s="2032"/>
      <c r="AD359" s="2032"/>
      <c r="AE359" s="2032"/>
      <c r="AF359" s="2032"/>
      <c r="AG359" s="2032"/>
      <c r="AH359" s="2032"/>
      <c r="AI359" s="2032"/>
      <c r="AJ359" s="2032"/>
      <c r="AK359" s="637"/>
      <c r="AL359" s="637"/>
      <c r="AM359" s="637"/>
      <c r="AN359" s="631"/>
      <c r="AO359" s="729" t="s">
        <v>469</v>
      </c>
      <c r="AP359" s="730">
        <f>IF(C438="Yes",5,0)</f>
        <v>0</v>
      </c>
    </row>
    <row r="360" spans="1:81" s="584" customFormat="1" ht="68.099999999999994" customHeight="1">
      <c r="A360" s="637"/>
      <c r="B360" s="645"/>
      <c r="C360" s="2032"/>
      <c r="D360" s="2032"/>
      <c r="E360" s="2032"/>
      <c r="F360" s="2032"/>
      <c r="G360" s="2032"/>
      <c r="H360" s="2032"/>
      <c r="I360" s="2032"/>
      <c r="J360" s="2032"/>
      <c r="K360" s="2032"/>
      <c r="L360" s="2032"/>
      <c r="M360" s="2032"/>
      <c r="N360" s="2032"/>
      <c r="O360" s="2032"/>
      <c r="P360" s="2032"/>
      <c r="Q360" s="2032"/>
      <c r="R360" s="2032"/>
      <c r="S360" s="2032"/>
      <c r="T360" s="2032"/>
      <c r="U360" s="2032"/>
      <c r="V360" s="2032"/>
      <c r="W360" s="2032"/>
      <c r="X360" s="2032"/>
      <c r="Y360" s="2032"/>
      <c r="Z360" s="2032"/>
      <c r="AA360" s="2032"/>
      <c r="AB360" s="2032"/>
      <c r="AC360" s="2032"/>
      <c r="AD360" s="2032"/>
      <c r="AE360" s="2032"/>
      <c r="AF360" s="2032"/>
      <c r="AG360" s="2032"/>
      <c r="AH360" s="2032"/>
      <c r="AI360" s="2032"/>
      <c r="AJ360" s="2032"/>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41">
        <f>Application!CS660-U363</f>
        <v>283</v>
      </c>
      <c r="V362" s="2141"/>
      <c r="W362" s="214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42">
        <f>Application!AG756</f>
        <v>50</v>
      </c>
      <c r="V363" s="2142"/>
      <c r="W363" s="214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55">
        <f>IF(AP364&gt;0,AP364,0)</f>
        <v>0</v>
      </c>
      <c r="AR364" s="2055"/>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36" t="s">
        <v>1571</v>
      </c>
      <c r="G366" s="2036"/>
      <c r="H366" s="2036"/>
      <c r="I366" s="2036"/>
      <c r="J366" s="2036"/>
      <c r="K366" s="2036"/>
      <c r="L366" s="2036"/>
      <c r="M366" s="2036"/>
      <c r="N366" s="2036"/>
      <c r="O366" s="2036"/>
      <c r="P366" s="2036"/>
      <c r="Q366" s="2036"/>
      <c r="R366" s="2036"/>
      <c r="S366" s="2036"/>
      <c r="T366" s="2036"/>
      <c r="U366" s="2036"/>
      <c r="V366" s="2036"/>
      <c r="W366" s="2036"/>
      <c r="X366" s="2036"/>
      <c r="Y366" s="2036"/>
      <c r="Z366" s="2036"/>
      <c r="AA366" s="2036"/>
      <c r="AB366" s="2036"/>
      <c r="AC366" s="2036"/>
      <c r="AD366" s="2036"/>
      <c r="AE366" s="2036"/>
      <c r="AF366" s="203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37"/>
      <c r="G367" s="2037"/>
      <c r="H367" s="2037"/>
      <c r="I367" s="2037"/>
      <c r="J367" s="2037"/>
      <c r="K367" s="2037"/>
      <c r="L367" s="2037"/>
      <c r="M367" s="2037"/>
      <c r="N367" s="2037"/>
      <c r="O367" s="2037"/>
      <c r="P367" s="2037"/>
      <c r="Q367" s="2037"/>
      <c r="R367" s="2037"/>
      <c r="S367" s="2037"/>
      <c r="T367" s="2037"/>
      <c r="U367" s="2037"/>
      <c r="V367" s="2037"/>
      <c r="W367" s="2037"/>
      <c r="X367" s="2037"/>
      <c r="Y367" s="2037"/>
      <c r="Z367" s="2037"/>
      <c r="AA367" s="2037"/>
      <c r="AB367" s="2037"/>
      <c r="AC367" s="2037"/>
      <c r="AD367" s="2037"/>
      <c r="AE367" s="2037"/>
      <c r="AF367" s="203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37"/>
      <c r="G368" s="2037"/>
      <c r="H368" s="2037"/>
      <c r="I368" s="2037"/>
      <c r="J368" s="2037"/>
      <c r="K368" s="2037"/>
      <c r="L368" s="2037"/>
      <c r="M368" s="2037"/>
      <c r="N368" s="2037"/>
      <c r="O368" s="2037"/>
      <c r="P368" s="2037"/>
      <c r="Q368" s="2037"/>
      <c r="R368" s="2037"/>
      <c r="S368" s="2037"/>
      <c r="T368" s="2037"/>
      <c r="U368" s="2037"/>
      <c r="V368" s="2037"/>
      <c r="W368" s="2037"/>
      <c r="X368" s="2037"/>
      <c r="Y368" s="2037"/>
      <c r="Z368" s="2037"/>
      <c r="AA368" s="2037"/>
      <c r="AB368" s="2037"/>
      <c r="AC368" s="2037"/>
      <c r="AD368" s="2037"/>
      <c r="AE368" s="2037"/>
      <c r="AF368" s="203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37"/>
      <c r="G369" s="2037"/>
      <c r="H369" s="2037"/>
      <c r="I369" s="2037"/>
      <c r="J369" s="2037"/>
      <c r="K369" s="2037"/>
      <c r="L369" s="2037"/>
      <c r="M369" s="2037"/>
      <c r="N369" s="2037"/>
      <c r="O369" s="2037"/>
      <c r="P369" s="2037"/>
      <c r="Q369" s="2037"/>
      <c r="R369" s="2037"/>
      <c r="S369" s="2037"/>
      <c r="T369" s="2037"/>
      <c r="U369" s="2037"/>
      <c r="V369" s="2037"/>
      <c r="W369" s="2037"/>
      <c r="X369" s="2037"/>
      <c r="Y369" s="2037"/>
      <c r="Z369" s="2037"/>
      <c r="AA369" s="2037"/>
      <c r="AB369" s="2037"/>
      <c r="AC369" s="2037"/>
      <c r="AD369" s="2037"/>
      <c r="AE369" s="2037"/>
      <c r="AF369" s="203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3" t="s">
        <v>553</v>
      </c>
      <c r="D370" s="199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4" t="s">
        <v>1573</v>
      </c>
      <c r="AG370" s="2034"/>
      <c r="AH370" s="2034"/>
      <c r="AI370" s="2034"/>
      <c r="AJ370" s="2034"/>
      <c r="AK370" s="2034"/>
      <c r="AL370" s="20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36" t="s">
        <v>1574</v>
      </c>
      <c r="G373" s="2036"/>
      <c r="H373" s="2036"/>
      <c r="I373" s="2036"/>
      <c r="J373" s="2036"/>
      <c r="K373" s="2036"/>
      <c r="L373" s="2036"/>
      <c r="M373" s="2036"/>
      <c r="N373" s="2036"/>
      <c r="O373" s="2036"/>
      <c r="P373" s="2036"/>
      <c r="Q373" s="2036"/>
      <c r="R373" s="2036"/>
      <c r="S373" s="2036"/>
      <c r="T373" s="2036"/>
      <c r="U373" s="2036"/>
      <c r="V373" s="2036"/>
      <c r="W373" s="2036"/>
      <c r="X373" s="2036"/>
      <c r="Y373" s="2036"/>
      <c r="Z373" s="2036"/>
      <c r="AA373" s="2036"/>
      <c r="AB373" s="2036"/>
      <c r="AC373" s="2036"/>
      <c r="AD373" s="2036"/>
      <c r="AE373" s="2036"/>
      <c r="AF373" s="203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37"/>
      <c r="G374" s="2037"/>
      <c r="H374" s="2037"/>
      <c r="I374" s="2037"/>
      <c r="J374" s="2037"/>
      <c r="K374" s="2037"/>
      <c r="L374" s="2037"/>
      <c r="M374" s="2037"/>
      <c r="N374" s="2037"/>
      <c r="O374" s="2037"/>
      <c r="P374" s="2037"/>
      <c r="Q374" s="2037"/>
      <c r="R374" s="2037"/>
      <c r="S374" s="2037"/>
      <c r="T374" s="2037"/>
      <c r="U374" s="2037"/>
      <c r="V374" s="2037"/>
      <c r="W374" s="2037"/>
      <c r="X374" s="2037"/>
      <c r="Y374" s="2037"/>
      <c r="Z374" s="2037"/>
      <c r="AA374" s="2037"/>
      <c r="AB374" s="2037"/>
      <c r="AC374" s="2037"/>
      <c r="AD374" s="2037"/>
      <c r="AE374" s="2037"/>
      <c r="AF374" s="203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37"/>
      <c r="G375" s="2037"/>
      <c r="H375" s="2037"/>
      <c r="I375" s="2037"/>
      <c r="J375" s="2037"/>
      <c r="K375" s="2037"/>
      <c r="L375" s="2037"/>
      <c r="M375" s="2037"/>
      <c r="N375" s="2037"/>
      <c r="O375" s="2037"/>
      <c r="P375" s="2037"/>
      <c r="Q375" s="2037"/>
      <c r="R375" s="2037"/>
      <c r="S375" s="2037"/>
      <c r="T375" s="2037"/>
      <c r="U375" s="2037"/>
      <c r="V375" s="2037"/>
      <c r="W375" s="2037"/>
      <c r="X375" s="2037"/>
      <c r="Y375" s="2037"/>
      <c r="Z375" s="2037"/>
      <c r="AA375" s="2037"/>
      <c r="AB375" s="2037"/>
      <c r="AC375" s="2037"/>
      <c r="AD375" s="2037"/>
      <c r="AE375" s="2037"/>
      <c r="AF375" s="203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37"/>
      <c r="G376" s="2037"/>
      <c r="H376" s="2037"/>
      <c r="I376" s="2037"/>
      <c r="J376" s="2037"/>
      <c r="K376" s="2037"/>
      <c r="L376" s="2037"/>
      <c r="M376" s="2037"/>
      <c r="N376" s="2037"/>
      <c r="O376" s="2037"/>
      <c r="P376" s="2037"/>
      <c r="Q376" s="2037"/>
      <c r="R376" s="2037"/>
      <c r="S376" s="2037"/>
      <c r="T376" s="2037"/>
      <c r="U376" s="2037"/>
      <c r="V376" s="2037"/>
      <c r="W376" s="2037"/>
      <c r="X376" s="2037"/>
      <c r="Y376" s="2037"/>
      <c r="Z376" s="2037"/>
      <c r="AA376" s="2037"/>
      <c r="AB376" s="2037"/>
      <c r="AC376" s="2037"/>
      <c r="AD376" s="2037"/>
      <c r="AE376" s="2037"/>
      <c r="AF376" s="203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37"/>
      <c r="G377" s="2037"/>
      <c r="H377" s="2037"/>
      <c r="I377" s="2037"/>
      <c r="J377" s="2037"/>
      <c r="K377" s="2037"/>
      <c r="L377" s="2037"/>
      <c r="M377" s="2037"/>
      <c r="N377" s="2037"/>
      <c r="O377" s="2037"/>
      <c r="P377" s="2037"/>
      <c r="Q377" s="2037"/>
      <c r="R377" s="2037"/>
      <c r="S377" s="2037"/>
      <c r="T377" s="2037"/>
      <c r="U377" s="2037"/>
      <c r="V377" s="2037"/>
      <c r="W377" s="2037"/>
      <c r="X377" s="2037"/>
      <c r="Y377" s="2037"/>
      <c r="Z377" s="2037"/>
      <c r="AA377" s="2037"/>
      <c r="AB377" s="2037"/>
      <c r="AC377" s="2037"/>
      <c r="AD377" s="2037"/>
      <c r="AE377" s="2037"/>
      <c r="AF377" s="2037"/>
      <c r="AL377" s="766"/>
      <c r="AN377" s="631"/>
      <c r="BS377" s="30"/>
      <c r="BT377" s="30"/>
      <c r="BU377" s="14"/>
      <c r="BV377" s="14"/>
      <c r="BW377" s="14"/>
      <c r="BX377" s="14"/>
      <c r="BY377" s="14"/>
      <c r="BZ377" s="14"/>
      <c r="CA377" s="14"/>
      <c r="CB377" s="14"/>
      <c r="CC377" s="14"/>
    </row>
    <row r="378" spans="1:81" s="584" customFormat="1" ht="12.75" customHeight="1">
      <c r="A378" s="570"/>
      <c r="B378" s="14"/>
      <c r="C378" s="2033" t="s">
        <v>599</v>
      </c>
      <c r="D378" s="199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4" t="s">
        <v>1573</v>
      </c>
      <c r="AG378" s="2034"/>
      <c r="AH378" s="2034"/>
      <c r="AI378" s="2034"/>
      <c r="AJ378" s="2034"/>
      <c r="AK378" s="2034"/>
      <c r="AL378" s="20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36" t="s">
        <v>1576</v>
      </c>
      <c r="G381" s="2036"/>
      <c r="H381" s="2036"/>
      <c r="I381" s="2036"/>
      <c r="J381" s="2036"/>
      <c r="K381" s="2036"/>
      <c r="L381" s="2036"/>
      <c r="M381" s="2036"/>
      <c r="N381" s="2036"/>
      <c r="O381" s="2036"/>
      <c r="P381" s="2036"/>
      <c r="Q381" s="2036"/>
      <c r="R381" s="2036"/>
      <c r="S381" s="2036"/>
      <c r="T381" s="2036"/>
      <c r="U381" s="2036"/>
      <c r="V381" s="2036"/>
      <c r="W381" s="2036"/>
      <c r="X381" s="2036"/>
      <c r="Y381" s="2036"/>
      <c r="Z381" s="2036"/>
      <c r="AA381" s="2036"/>
      <c r="AB381" s="2036"/>
      <c r="AC381" s="2036"/>
      <c r="AD381" s="2036"/>
      <c r="AE381" s="2036"/>
      <c r="AF381" s="203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37"/>
      <c r="G382" s="2037"/>
      <c r="H382" s="2037"/>
      <c r="I382" s="2037"/>
      <c r="J382" s="2037"/>
      <c r="K382" s="2037"/>
      <c r="L382" s="2037"/>
      <c r="M382" s="2037"/>
      <c r="N382" s="2037"/>
      <c r="O382" s="2037"/>
      <c r="P382" s="2037"/>
      <c r="Q382" s="2037"/>
      <c r="R382" s="2037"/>
      <c r="S382" s="2037"/>
      <c r="T382" s="2037"/>
      <c r="U382" s="2037"/>
      <c r="V382" s="2037"/>
      <c r="W382" s="2037"/>
      <c r="X382" s="2037"/>
      <c r="Y382" s="2037"/>
      <c r="Z382" s="2037"/>
      <c r="AA382" s="2037"/>
      <c r="AB382" s="2037"/>
      <c r="AC382" s="2037"/>
      <c r="AD382" s="2037"/>
      <c r="AE382" s="2037"/>
      <c r="AF382" s="203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37"/>
      <c r="G383" s="2037"/>
      <c r="H383" s="2037"/>
      <c r="I383" s="2037"/>
      <c r="J383" s="2037"/>
      <c r="K383" s="2037"/>
      <c r="L383" s="2037"/>
      <c r="M383" s="2037"/>
      <c r="N383" s="2037"/>
      <c r="O383" s="2037"/>
      <c r="P383" s="2037"/>
      <c r="Q383" s="2037"/>
      <c r="R383" s="2037"/>
      <c r="S383" s="2037"/>
      <c r="T383" s="2037"/>
      <c r="U383" s="2037"/>
      <c r="V383" s="2037"/>
      <c r="W383" s="2037"/>
      <c r="X383" s="2037"/>
      <c r="Y383" s="2037"/>
      <c r="Z383" s="2037"/>
      <c r="AA383" s="2037"/>
      <c r="AB383" s="2037"/>
      <c r="AC383" s="2037"/>
      <c r="AD383" s="2037"/>
      <c r="AE383" s="2037"/>
      <c r="AF383" s="203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37"/>
      <c r="G384" s="2037"/>
      <c r="H384" s="2037"/>
      <c r="I384" s="2037"/>
      <c r="J384" s="2037"/>
      <c r="K384" s="2037"/>
      <c r="L384" s="2037"/>
      <c r="M384" s="2037"/>
      <c r="N384" s="2037"/>
      <c r="O384" s="2037"/>
      <c r="P384" s="2037"/>
      <c r="Q384" s="2037"/>
      <c r="R384" s="2037"/>
      <c r="S384" s="2037"/>
      <c r="T384" s="2037"/>
      <c r="U384" s="2037"/>
      <c r="V384" s="2037"/>
      <c r="W384" s="2037"/>
      <c r="X384" s="2037"/>
      <c r="Y384" s="2037"/>
      <c r="Z384" s="2037"/>
      <c r="AA384" s="2037"/>
      <c r="AB384" s="2037"/>
      <c r="AC384" s="2037"/>
      <c r="AD384" s="2037"/>
      <c r="AE384" s="2037"/>
      <c r="AF384" s="203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37"/>
      <c r="G385" s="2037"/>
      <c r="H385" s="2037"/>
      <c r="I385" s="2037"/>
      <c r="J385" s="2037"/>
      <c r="K385" s="2037"/>
      <c r="L385" s="2037"/>
      <c r="M385" s="2037"/>
      <c r="N385" s="2037"/>
      <c r="O385" s="2037"/>
      <c r="P385" s="2037"/>
      <c r="Q385" s="2037"/>
      <c r="R385" s="2037"/>
      <c r="S385" s="2037"/>
      <c r="T385" s="2037"/>
      <c r="U385" s="2037"/>
      <c r="V385" s="2037"/>
      <c r="W385" s="2037"/>
      <c r="X385" s="2037"/>
      <c r="Y385" s="2037"/>
      <c r="Z385" s="2037"/>
      <c r="AA385" s="2037"/>
      <c r="AB385" s="2037"/>
      <c r="AC385" s="2037"/>
      <c r="AD385" s="2037"/>
      <c r="AE385" s="2037"/>
      <c r="AF385" s="203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3" t="s">
        <v>599</v>
      </c>
      <c r="D386" s="199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4" t="s">
        <v>1578</v>
      </c>
      <c r="AG386" s="2034"/>
      <c r="AH386" s="2034"/>
      <c r="AI386" s="2034"/>
      <c r="AJ386" s="2034"/>
      <c r="AK386" s="2034"/>
      <c r="AL386" s="20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3" t="s">
        <v>553</v>
      </c>
      <c r="D388" s="199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4" t="s">
        <v>1573</v>
      </c>
      <c r="AG388" s="2034"/>
      <c r="AH388" s="2034"/>
      <c r="AI388" s="2034"/>
      <c r="AJ388" s="2034"/>
      <c r="AK388" s="2034"/>
      <c r="AL388" s="20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36" t="s">
        <v>1582</v>
      </c>
      <c r="G392" s="2036"/>
      <c r="H392" s="2036"/>
      <c r="I392" s="2036"/>
      <c r="J392" s="2036"/>
      <c r="K392" s="2036"/>
      <c r="L392" s="2036"/>
      <c r="M392" s="2036"/>
      <c r="N392" s="2036"/>
      <c r="O392" s="2036"/>
      <c r="P392" s="2036"/>
      <c r="Q392" s="2036"/>
      <c r="R392" s="2036"/>
      <c r="S392" s="2036"/>
      <c r="T392" s="2036"/>
      <c r="U392" s="2036"/>
      <c r="V392" s="2036"/>
      <c r="W392" s="2036"/>
      <c r="X392" s="2036"/>
      <c r="Y392" s="2036"/>
      <c r="Z392" s="2036"/>
      <c r="AA392" s="2036"/>
      <c r="AB392" s="2036"/>
      <c r="AC392" s="2036"/>
      <c r="AD392" s="2036"/>
      <c r="AE392" s="2036"/>
      <c r="AF392" s="203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37"/>
      <c r="G393" s="2037"/>
      <c r="H393" s="2037"/>
      <c r="I393" s="2037"/>
      <c r="J393" s="2037"/>
      <c r="K393" s="2037"/>
      <c r="L393" s="2037"/>
      <c r="M393" s="2037"/>
      <c r="N393" s="2037"/>
      <c r="O393" s="2037"/>
      <c r="P393" s="2037"/>
      <c r="Q393" s="2037"/>
      <c r="R393" s="2037"/>
      <c r="S393" s="2037"/>
      <c r="T393" s="2037"/>
      <c r="U393" s="2037"/>
      <c r="V393" s="2037"/>
      <c r="W393" s="2037"/>
      <c r="X393" s="2037"/>
      <c r="Y393" s="2037"/>
      <c r="Z393" s="2037"/>
      <c r="AA393" s="2037"/>
      <c r="AB393" s="2037"/>
      <c r="AC393" s="2037"/>
      <c r="AD393" s="2037"/>
      <c r="AE393" s="2037"/>
      <c r="AF393" s="203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37"/>
      <c r="G394" s="2037"/>
      <c r="H394" s="2037"/>
      <c r="I394" s="2037"/>
      <c r="J394" s="2037"/>
      <c r="K394" s="2037"/>
      <c r="L394" s="2037"/>
      <c r="M394" s="2037"/>
      <c r="N394" s="2037"/>
      <c r="O394" s="2037"/>
      <c r="P394" s="2037"/>
      <c r="Q394" s="2037"/>
      <c r="R394" s="2037"/>
      <c r="S394" s="2037"/>
      <c r="T394" s="2037"/>
      <c r="U394" s="2037"/>
      <c r="V394" s="2037"/>
      <c r="W394" s="2037"/>
      <c r="X394" s="2037"/>
      <c r="Y394" s="2037"/>
      <c r="Z394" s="2037"/>
      <c r="AA394" s="2037"/>
      <c r="AB394" s="2037"/>
      <c r="AC394" s="2037"/>
      <c r="AD394" s="2037"/>
      <c r="AE394" s="2037"/>
      <c r="AF394" s="203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37"/>
      <c r="G395" s="2037"/>
      <c r="H395" s="2037"/>
      <c r="I395" s="2037"/>
      <c r="J395" s="2037"/>
      <c r="K395" s="2037"/>
      <c r="L395" s="2037"/>
      <c r="M395" s="2037"/>
      <c r="N395" s="2037"/>
      <c r="O395" s="2037"/>
      <c r="P395" s="2037"/>
      <c r="Q395" s="2037"/>
      <c r="R395" s="2037"/>
      <c r="S395" s="2037"/>
      <c r="T395" s="2037"/>
      <c r="U395" s="2037"/>
      <c r="V395" s="2037"/>
      <c r="W395" s="2037"/>
      <c r="X395" s="2037"/>
      <c r="Y395" s="2037"/>
      <c r="Z395" s="2037"/>
      <c r="AA395" s="2037"/>
      <c r="AB395" s="2037"/>
      <c r="AC395" s="2037"/>
      <c r="AD395" s="2037"/>
      <c r="AE395" s="2037"/>
      <c r="AF395" s="203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3" t="s">
        <v>599</v>
      </c>
      <c r="D396" s="199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4" t="s">
        <v>1573</v>
      </c>
      <c r="AG396" s="2034"/>
      <c r="AH396" s="2034"/>
      <c r="AI396" s="2034"/>
      <c r="AJ396" s="2034"/>
      <c r="AK396" s="2034"/>
      <c r="AL396" s="20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3" t="s">
        <v>599</v>
      </c>
      <c r="D398" s="199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4" t="s">
        <v>1585</v>
      </c>
      <c r="AG398" s="2034"/>
      <c r="AH398" s="2034"/>
      <c r="AI398" s="2034"/>
      <c r="AJ398" s="2034"/>
      <c r="AK398" s="2034"/>
      <c r="AL398" s="20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3" t="s">
        <v>599</v>
      </c>
      <c r="D401" s="1990"/>
      <c r="E401" s="749" t="s">
        <v>1586</v>
      </c>
      <c r="F401" s="2036" t="s">
        <v>1587</v>
      </c>
      <c r="G401" s="2036"/>
      <c r="H401" s="2036"/>
      <c r="I401" s="2036"/>
      <c r="J401" s="2036"/>
      <c r="K401" s="2036"/>
      <c r="L401" s="2036"/>
      <c r="M401" s="2036"/>
      <c r="N401" s="2036"/>
      <c r="O401" s="2036"/>
      <c r="P401" s="2036"/>
      <c r="Q401" s="2036"/>
      <c r="R401" s="2036"/>
      <c r="S401" s="2036"/>
      <c r="T401" s="2036"/>
      <c r="U401" s="2036"/>
      <c r="V401" s="2036"/>
      <c r="W401" s="2036"/>
      <c r="X401" s="2036"/>
      <c r="Y401" s="2036"/>
      <c r="Z401" s="2036"/>
      <c r="AA401" s="2036"/>
      <c r="AB401" s="2036"/>
      <c r="AC401" s="2036"/>
      <c r="AD401" s="2036"/>
      <c r="AE401" s="203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37"/>
      <c r="G402" s="2037"/>
      <c r="H402" s="2037"/>
      <c r="I402" s="2037"/>
      <c r="J402" s="2037"/>
      <c r="K402" s="2037"/>
      <c r="L402" s="2037"/>
      <c r="M402" s="2037"/>
      <c r="N402" s="2037"/>
      <c r="O402" s="2037"/>
      <c r="P402" s="2037"/>
      <c r="Q402" s="2037"/>
      <c r="R402" s="2037"/>
      <c r="S402" s="2037"/>
      <c r="T402" s="2037"/>
      <c r="U402" s="2037"/>
      <c r="V402" s="2037"/>
      <c r="W402" s="2037"/>
      <c r="X402" s="2037"/>
      <c r="Y402" s="2037"/>
      <c r="Z402" s="2037"/>
      <c r="AA402" s="2037"/>
      <c r="AB402" s="2037"/>
      <c r="AC402" s="2037"/>
      <c r="AD402" s="2037"/>
      <c r="AE402" s="2037"/>
      <c r="AF402" s="1960" t="s">
        <v>1573</v>
      </c>
      <c r="AG402" s="1960"/>
      <c r="AH402" s="1960"/>
      <c r="AI402" s="1960"/>
      <c r="AJ402" s="1960"/>
      <c r="AK402" s="1960"/>
      <c r="AL402" s="2038"/>
      <c r="AM402" s="604"/>
      <c r="AN402" s="631"/>
      <c r="BS402" s="604"/>
      <c r="BT402" s="604"/>
      <c r="BY402" s="604"/>
      <c r="BZ402" s="604"/>
      <c r="CA402" s="604"/>
      <c r="CB402" s="604"/>
      <c r="CC402" s="604"/>
    </row>
    <row r="403" spans="1:81" s="584" customFormat="1" ht="12.75" customHeight="1">
      <c r="A403" s="570"/>
      <c r="B403" s="14"/>
      <c r="C403" s="765"/>
      <c r="D403" s="14"/>
      <c r="E403" s="725"/>
      <c r="F403" s="2037"/>
      <c r="G403" s="2037"/>
      <c r="H403" s="2037"/>
      <c r="I403" s="2037"/>
      <c r="J403" s="2037"/>
      <c r="K403" s="2037"/>
      <c r="L403" s="2037"/>
      <c r="M403" s="2037"/>
      <c r="N403" s="2037"/>
      <c r="O403" s="2037"/>
      <c r="P403" s="2037"/>
      <c r="Q403" s="2037"/>
      <c r="R403" s="2037"/>
      <c r="S403" s="2037"/>
      <c r="T403" s="2037"/>
      <c r="U403" s="2037"/>
      <c r="V403" s="2037"/>
      <c r="W403" s="2037"/>
      <c r="X403" s="2037"/>
      <c r="Y403" s="2037"/>
      <c r="Z403" s="2037"/>
      <c r="AA403" s="2037"/>
      <c r="AB403" s="2037"/>
      <c r="AC403" s="2037"/>
      <c r="AD403" s="2037"/>
      <c r="AE403" s="203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56"/>
      <c r="G404" s="2056"/>
      <c r="H404" s="2056"/>
      <c r="I404" s="2056"/>
      <c r="J404" s="2056"/>
      <c r="K404" s="2056"/>
      <c r="L404" s="2056"/>
      <c r="M404" s="2056"/>
      <c r="N404" s="2056"/>
      <c r="O404" s="2056"/>
      <c r="P404" s="2056"/>
      <c r="Q404" s="2056"/>
      <c r="R404" s="2056"/>
      <c r="S404" s="2056"/>
      <c r="T404" s="2056"/>
      <c r="U404" s="2056"/>
      <c r="V404" s="2056"/>
      <c r="W404" s="2056"/>
      <c r="X404" s="2056"/>
      <c r="Y404" s="2056"/>
      <c r="Z404" s="2056"/>
      <c r="AA404" s="2056"/>
      <c r="AB404" s="2056"/>
      <c r="AC404" s="2056"/>
      <c r="AD404" s="2056"/>
      <c r="AE404" s="205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36" t="s">
        <v>1589</v>
      </c>
      <c r="G406" s="2036"/>
      <c r="H406" s="2036"/>
      <c r="I406" s="2036"/>
      <c r="J406" s="2036"/>
      <c r="K406" s="2036"/>
      <c r="L406" s="2036"/>
      <c r="M406" s="2036"/>
      <c r="N406" s="2036"/>
      <c r="O406" s="2036"/>
      <c r="P406" s="2036"/>
      <c r="Q406" s="2036"/>
      <c r="R406" s="2036"/>
      <c r="S406" s="2036"/>
      <c r="T406" s="2036"/>
      <c r="U406" s="2036"/>
      <c r="V406" s="2036"/>
      <c r="W406" s="2036"/>
      <c r="X406" s="2036"/>
      <c r="Y406" s="2036"/>
      <c r="Z406" s="2036"/>
      <c r="AA406" s="2036"/>
      <c r="AB406" s="2036"/>
      <c r="AC406" s="2036"/>
      <c r="AD406" s="2036"/>
      <c r="AE406" s="2036"/>
      <c r="AF406" s="781"/>
      <c r="AG406" s="781"/>
      <c r="AH406" s="781"/>
      <c r="AI406" s="781"/>
      <c r="AJ406" s="781"/>
      <c r="AK406" s="781"/>
      <c r="AL406" s="782"/>
      <c r="AM406" s="604"/>
    </row>
    <row r="407" spans="1:81">
      <c r="A407" s="570"/>
      <c r="C407" s="765"/>
      <c r="E407" s="725"/>
      <c r="F407" s="2037"/>
      <c r="G407" s="2037"/>
      <c r="H407" s="2037"/>
      <c r="I407" s="2037"/>
      <c r="J407" s="2037"/>
      <c r="K407" s="2037"/>
      <c r="L407" s="2037"/>
      <c r="M407" s="2037"/>
      <c r="N407" s="2037"/>
      <c r="O407" s="2037"/>
      <c r="P407" s="2037"/>
      <c r="Q407" s="2037"/>
      <c r="R407" s="2037"/>
      <c r="S407" s="2037"/>
      <c r="T407" s="2037"/>
      <c r="U407" s="2037"/>
      <c r="V407" s="2037"/>
      <c r="W407" s="2037"/>
      <c r="X407" s="2037"/>
      <c r="Y407" s="2037"/>
      <c r="Z407" s="2037"/>
      <c r="AA407" s="2037"/>
      <c r="AB407" s="2037"/>
      <c r="AC407" s="2037"/>
      <c r="AD407" s="2037"/>
      <c r="AE407" s="2037"/>
      <c r="AF407" s="573"/>
      <c r="AG407" s="570"/>
      <c r="AH407" s="584"/>
      <c r="AI407" s="584"/>
      <c r="AJ407" s="584"/>
      <c r="AK407" s="584"/>
      <c r="AL407" s="766"/>
      <c r="AM407" s="604"/>
    </row>
    <row r="408" spans="1:81" s="584" customFormat="1" ht="12.75" customHeight="1">
      <c r="A408" s="570"/>
      <c r="B408" s="14"/>
      <c r="C408" s="765"/>
      <c r="D408" s="14"/>
      <c r="E408" s="725"/>
      <c r="F408" s="2037"/>
      <c r="G408" s="2037"/>
      <c r="H408" s="2037"/>
      <c r="I408" s="2037"/>
      <c r="J408" s="2037"/>
      <c r="K408" s="2037"/>
      <c r="L408" s="2037"/>
      <c r="M408" s="2037"/>
      <c r="N408" s="2037"/>
      <c r="O408" s="2037"/>
      <c r="P408" s="2037"/>
      <c r="Q408" s="2037"/>
      <c r="R408" s="2037"/>
      <c r="S408" s="2037"/>
      <c r="T408" s="2037"/>
      <c r="U408" s="2037"/>
      <c r="V408" s="2037"/>
      <c r="W408" s="2037"/>
      <c r="X408" s="2037"/>
      <c r="Y408" s="2037"/>
      <c r="Z408" s="2037"/>
      <c r="AA408" s="2037"/>
      <c r="AB408" s="2037"/>
      <c r="AC408" s="2037"/>
      <c r="AD408" s="2037"/>
      <c r="AE408" s="2037"/>
      <c r="AL408" s="766"/>
      <c r="AM408" s="604"/>
      <c r="AN408" s="631"/>
    </row>
    <row r="409" spans="1:81" s="584" customFormat="1" ht="12.75" customHeight="1">
      <c r="A409" s="570"/>
      <c r="B409" s="14"/>
      <c r="C409" s="773"/>
      <c r="F409" s="2037"/>
      <c r="G409" s="2037"/>
      <c r="H409" s="2037"/>
      <c r="I409" s="2037"/>
      <c r="J409" s="2037"/>
      <c r="K409" s="2037"/>
      <c r="L409" s="2037"/>
      <c r="M409" s="2037"/>
      <c r="N409" s="2037"/>
      <c r="O409" s="2037"/>
      <c r="P409" s="2037"/>
      <c r="Q409" s="2037"/>
      <c r="R409" s="2037"/>
      <c r="S409" s="2037"/>
      <c r="T409" s="2037"/>
      <c r="U409" s="2037"/>
      <c r="V409" s="2037"/>
      <c r="W409" s="2037"/>
      <c r="X409" s="2037"/>
      <c r="Y409" s="2037"/>
      <c r="Z409" s="2037"/>
      <c r="AA409" s="2037"/>
      <c r="AB409" s="2037"/>
      <c r="AC409" s="2037"/>
      <c r="AD409" s="2037"/>
      <c r="AE409" s="2037"/>
      <c r="AL409" s="766"/>
      <c r="AM409" s="604"/>
      <c r="AN409" s="631"/>
    </row>
    <row r="410" spans="1:81" s="584" customFormat="1" ht="12.75" customHeight="1">
      <c r="A410" s="570"/>
      <c r="B410" s="14"/>
      <c r="C410" s="2033" t="s">
        <v>599</v>
      </c>
      <c r="D410" s="199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60" t="s">
        <v>1573</v>
      </c>
      <c r="AG410" s="1960"/>
      <c r="AH410" s="1960"/>
      <c r="AI410" s="1960"/>
      <c r="AJ410" s="1960"/>
      <c r="AK410" s="1960"/>
      <c r="AL410" s="2038"/>
      <c r="AM410" s="604"/>
      <c r="AN410" s="631"/>
    </row>
    <row r="411" spans="1:81" s="584" customFormat="1" ht="12.75" customHeight="1">
      <c r="A411" s="570"/>
      <c r="B411" s="14"/>
      <c r="C411" s="773"/>
      <c r="AL411" s="766"/>
      <c r="AM411" s="604"/>
      <c r="AN411" s="631"/>
    </row>
    <row r="412" spans="1:81" s="584" customFormat="1" ht="12.75" customHeight="1">
      <c r="A412" s="570"/>
      <c r="B412" s="14"/>
      <c r="C412" s="2033" t="s">
        <v>599</v>
      </c>
      <c r="D412" s="199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60" t="s">
        <v>1585</v>
      </c>
      <c r="AG412" s="1960"/>
      <c r="AH412" s="1960"/>
      <c r="AI412" s="1960"/>
      <c r="AJ412" s="1960"/>
      <c r="AK412" s="1960"/>
      <c r="AL412" s="203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36" t="s">
        <v>1593</v>
      </c>
      <c r="G416" s="2036"/>
      <c r="H416" s="2036"/>
      <c r="I416" s="2036"/>
      <c r="J416" s="2036"/>
      <c r="K416" s="2036"/>
      <c r="L416" s="2036"/>
      <c r="M416" s="2036"/>
      <c r="N416" s="2036"/>
      <c r="O416" s="2036"/>
      <c r="P416" s="2036"/>
      <c r="Q416" s="2036"/>
      <c r="R416" s="2036"/>
      <c r="S416" s="2036"/>
      <c r="T416" s="2036"/>
      <c r="U416" s="2036"/>
      <c r="V416" s="2036"/>
      <c r="W416" s="2036"/>
      <c r="X416" s="2036"/>
      <c r="Y416" s="2036"/>
      <c r="Z416" s="2036"/>
      <c r="AA416" s="2036"/>
      <c r="AB416" s="2036"/>
      <c r="AC416" s="2036"/>
      <c r="AD416" s="2036"/>
      <c r="AE416" s="2036"/>
      <c r="AF416" s="748"/>
      <c r="AG416" s="748"/>
      <c r="AH416" s="748"/>
      <c r="AI416" s="748"/>
      <c r="AJ416" s="748"/>
      <c r="AK416" s="748"/>
      <c r="AL416" s="779"/>
      <c r="AM416" s="604"/>
      <c r="AN416" s="631"/>
    </row>
    <row r="417" spans="1:60" s="584" customFormat="1" ht="12.75" customHeight="1">
      <c r="A417" s="570"/>
      <c r="B417" s="14"/>
      <c r="C417" s="765"/>
      <c r="D417" s="14"/>
      <c r="E417" s="725"/>
      <c r="F417" s="2037"/>
      <c r="G417" s="2037"/>
      <c r="H417" s="2037"/>
      <c r="I417" s="2037"/>
      <c r="J417" s="2037"/>
      <c r="K417" s="2037"/>
      <c r="L417" s="2037"/>
      <c r="M417" s="2037"/>
      <c r="N417" s="2037"/>
      <c r="O417" s="2037"/>
      <c r="P417" s="2037"/>
      <c r="Q417" s="2037"/>
      <c r="R417" s="2037"/>
      <c r="S417" s="2037"/>
      <c r="T417" s="2037"/>
      <c r="U417" s="2037"/>
      <c r="V417" s="2037"/>
      <c r="W417" s="2037"/>
      <c r="X417" s="2037"/>
      <c r="Y417" s="2037"/>
      <c r="Z417" s="2037"/>
      <c r="AA417" s="2037"/>
      <c r="AB417" s="2037"/>
      <c r="AC417" s="2037"/>
      <c r="AD417" s="2037"/>
      <c r="AE417" s="2037"/>
      <c r="AF417" s="573"/>
      <c r="AG417" s="570"/>
      <c r="AL417" s="766"/>
      <c r="AM417" s="604"/>
      <c r="AN417" s="631"/>
    </row>
    <row r="418" spans="1:60" s="584" customFormat="1" ht="12.4" customHeight="1">
      <c r="A418" s="570"/>
      <c r="B418" s="14"/>
      <c r="C418" s="765"/>
      <c r="D418" s="14"/>
      <c r="E418" s="725"/>
      <c r="F418" s="2037"/>
      <c r="G418" s="2037"/>
      <c r="H418" s="2037"/>
      <c r="I418" s="2037"/>
      <c r="J418" s="2037"/>
      <c r="K418" s="2037"/>
      <c r="L418" s="2037"/>
      <c r="M418" s="2037"/>
      <c r="N418" s="2037"/>
      <c r="O418" s="2037"/>
      <c r="P418" s="2037"/>
      <c r="Q418" s="2037"/>
      <c r="R418" s="2037"/>
      <c r="S418" s="2037"/>
      <c r="T418" s="2037"/>
      <c r="U418" s="2037"/>
      <c r="V418" s="2037"/>
      <c r="W418" s="2037"/>
      <c r="X418" s="2037"/>
      <c r="Y418" s="2037"/>
      <c r="Z418" s="2037"/>
      <c r="AA418" s="2037"/>
      <c r="AB418" s="2037"/>
      <c r="AC418" s="2037"/>
      <c r="AD418" s="2037"/>
      <c r="AE418" s="2037"/>
      <c r="AL418" s="766"/>
      <c r="AM418" s="604"/>
      <c r="AN418" s="631"/>
    </row>
    <row r="419" spans="1:60" s="584" customFormat="1" ht="12.75" customHeight="1">
      <c r="A419" s="570"/>
      <c r="B419" s="14"/>
      <c r="C419" s="2033" t="s">
        <v>599</v>
      </c>
      <c r="D419" s="199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60" t="s">
        <v>1573</v>
      </c>
      <c r="AG419" s="1960"/>
      <c r="AH419" s="1960"/>
      <c r="AI419" s="1960"/>
      <c r="AJ419" s="1960"/>
      <c r="AK419" s="1960"/>
      <c r="AL419" s="203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36" t="s">
        <v>1596</v>
      </c>
      <c r="G422" s="2036"/>
      <c r="H422" s="2036"/>
      <c r="I422" s="2036"/>
      <c r="J422" s="2036"/>
      <c r="K422" s="2036"/>
      <c r="L422" s="2036"/>
      <c r="M422" s="2036"/>
      <c r="N422" s="2036"/>
      <c r="O422" s="2036"/>
      <c r="P422" s="2036"/>
      <c r="Q422" s="2036"/>
      <c r="R422" s="2036"/>
      <c r="S422" s="2036"/>
      <c r="T422" s="2036"/>
      <c r="U422" s="2036"/>
      <c r="V422" s="2036"/>
      <c r="W422" s="2036"/>
      <c r="X422" s="2036"/>
      <c r="Y422" s="2036"/>
      <c r="Z422" s="2036"/>
      <c r="AA422" s="2036"/>
      <c r="AB422" s="2036"/>
      <c r="AC422" s="2036"/>
      <c r="AD422" s="2036"/>
      <c r="AE422" s="2036"/>
      <c r="AF422" s="781"/>
      <c r="AG422" s="781"/>
      <c r="AH422" s="781"/>
      <c r="AI422" s="781"/>
      <c r="AJ422" s="781"/>
      <c r="AK422" s="781"/>
      <c r="AL422" s="782"/>
      <c r="AM422" s="604"/>
      <c r="AO422" s="584"/>
      <c r="AP422" s="584"/>
      <c r="BD422" s="14"/>
      <c r="BE422" s="14"/>
      <c r="BF422" s="14"/>
      <c r="BG422" s="14"/>
      <c r="BH422" s="14"/>
    </row>
    <row r="423" spans="1:60">
      <c r="A423" s="570"/>
      <c r="C423" s="765"/>
      <c r="E423" s="725"/>
      <c r="F423" s="2037"/>
      <c r="G423" s="2037"/>
      <c r="H423" s="2037"/>
      <c r="I423" s="2037"/>
      <c r="J423" s="2037"/>
      <c r="K423" s="2037"/>
      <c r="L423" s="2037"/>
      <c r="M423" s="2037"/>
      <c r="N423" s="2037"/>
      <c r="O423" s="2037"/>
      <c r="P423" s="2037"/>
      <c r="Q423" s="2037"/>
      <c r="R423" s="2037"/>
      <c r="S423" s="2037"/>
      <c r="T423" s="2037"/>
      <c r="U423" s="2037"/>
      <c r="V423" s="2037"/>
      <c r="W423" s="2037"/>
      <c r="X423" s="2037"/>
      <c r="Y423" s="2037"/>
      <c r="Z423" s="2037"/>
      <c r="AA423" s="2037"/>
      <c r="AB423" s="2037"/>
      <c r="AC423" s="2037"/>
      <c r="AD423" s="2037"/>
      <c r="AE423" s="2037"/>
      <c r="AF423" s="628"/>
      <c r="AG423" s="628"/>
      <c r="AH423" s="628"/>
      <c r="AI423" s="628"/>
      <c r="AJ423" s="628"/>
      <c r="AK423" s="628"/>
      <c r="AL423" s="784"/>
      <c r="AM423" s="604"/>
      <c r="AO423" s="584"/>
      <c r="AP423" s="584"/>
    </row>
    <row r="424" spans="1:60" s="584" customFormat="1" ht="12.75" customHeight="1">
      <c r="A424" s="570"/>
      <c r="B424" s="14"/>
      <c r="C424" s="765"/>
      <c r="D424" s="14"/>
      <c r="E424" s="725"/>
      <c r="F424" s="2037"/>
      <c r="G424" s="2037"/>
      <c r="H424" s="2037"/>
      <c r="I424" s="2037"/>
      <c r="J424" s="2037"/>
      <c r="K424" s="2037"/>
      <c r="L424" s="2037"/>
      <c r="M424" s="2037"/>
      <c r="N424" s="2037"/>
      <c r="O424" s="2037"/>
      <c r="P424" s="2037"/>
      <c r="Q424" s="2037"/>
      <c r="R424" s="2037"/>
      <c r="S424" s="2037"/>
      <c r="T424" s="2037"/>
      <c r="U424" s="2037"/>
      <c r="V424" s="2037"/>
      <c r="W424" s="2037"/>
      <c r="X424" s="2037"/>
      <c r="Y424" s="2037"/>
      <c r="Z424" s="2037"/>
      <c r="AA424" s="2037"/>
      <c r="AB424" s="2037"/>
      <c r="AC424" s="2037"/>
      <c r="AD424" s="2037"/>
      <c r="AE424" s="2037"/>
      <c r="AF424" s="628"/>
      <c r="AG424" s="628"/>
      <c r="AH424" s="628"/>
      <c r="AI424" s="628"/>
      <c r="AJ424" s="628"/>
      <c r="AK424" s="628"/>
      <c r="AL424" s="784"/>
      <c r="AM424" s="604"/>
      <c r="AN424" s="631"/>
    </row>
    <row r="425" spans="1:60" s="584" customFormat="1" ht="12.75" customHeight="1">
      <c r="A425" s="570"/>
      <c r="B425" s="14"/>
      <c r="C425" s="785"/>
      <c r="D425" s="764"/>
      <c r="E425" s="753"/>
      <c r="F425" s="2037"/>
      <c r="G425" s="2037"/>
      <c r="H425" s="2037"/>
      <c r="I425" s="2037"/>
      <c r="J425" s="2037"/>
      <c r="K425" s="2037"/>
      <c r="L425" s="2037"/>
      <c r="M425" s="2037"/>
      <c r="N425" s="2037"/>
      <c r="O425" s="2037"/>
      <c r="P425" s="2037"/>
      <c r="Q425" s="2037"/>
      <c r="R425" s="2037"/>
      <c r="S425" s="2037"/>
      <c r="T425" s="2037"/>
      <c r="U425" s="2037"/>
      <c r="V425" s="2037"/>
      <c r="W425" s="2037"/>
      <c r="X425" s="2037"/>
      <c r="Y425" s="2037"/>
      <c r="Z425" s="2037"/>
      <c r="AA425" s="2037"/>
      <c r="AB425" s="2037"/>
      <c r="AC425" s="2037"/>
      <c r="AD425" s="2037"/>
      <c r="AE425" s="203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37"/>
      <c r="G426" s="2037"/>
      <c r="H426" s="2037"/>
      <c r="I426" s="2037"/>
      <c r="J426" s="2037"/>
      <c r="K426" s="2037"/>
      <c r="L426" s="2037"/>
      <c r="M426" s="2037"/>
      <c r="N426" s="2037"/>
      <c r="O426" s="2037"/>
      <c r="P426" s="2037"/>
      <c r="Q426" s="2037"/>
      <c r="R426" s="2037"/>
      <c r="S426" s="2037"/>
      <c r="T426" s="2037"/>
      <c r="U426" s="2037"/>
      <c r="V426" s="2037"/>
      <c r="W426" s="2037"/>
      <c r="X426" s="2037"/>
      <c r="Y426" s="2037"/>
      <c r="Z426" s="2037"/>
      <c r="AA426" s="2037"/>
      <c r="AB426" s="2037"/>
      <c r="AC426" s="2037"/>
      <c r="AD426" s="2037"/>
      <c r="AE426" s="2037"/>
      <c r="AF426" s="628"/>
      <c r="AG426" s="628"/>
      <c r="AH426" s="628"/>
      <c r="AI426" s="628"/>
      <c r="AJ426" s="628"/>
      <c r="AK426" s="628"/>
      <c r="AL426" s="784"/>
      <c r="AM426" s="604"/>
      <c r="AN426" s="631"/>
    </row>
    <row r="427" spans="1:60" s="584" customFormat="1" ht="12.75" customHeight="1">
      <c r="A427" s="570"/>
      <c r="B427" s="14"/>
      <c r="C427" s="785"/>
      <c r="D427" s="764"/>
      <c r="E427" s="753"/>
      <c r="F427" s="2037"/>
      <c r="G427" s="2037"/>
      <c r="H427" s="2037"/>
      <c r="I427" s="2037"/>
      <c r="J427" s="2037"/>
      <c r="K427" s="2037"/>
      <c r="L427" s="2037"/>
      <c r="M427" s="2037"/>
      <c r="N427" s="2037"/>
      <c r="O427" s="2037"/>
      <c r="P427" s="2037"/>
      <c r="Q427" s="2037"/>
      <c r="R427" s="2037"/>
      <c r="S427" s="2037"/>
      <c r="T427" s="2037"/>
      <c r="U427" s="2037"/>
      <c r="V427" s="2037"/>
      <c r="W427" s="2037"/>
      <c r="X427" s="2037"/>
      <c r="Y427" s="2037"/>
      <c r="Z427" s="2037"/>
      <c r="AA427" s="2037"/>
      <c r="AB427" s="2037"/>
      <c r="AC427" s="2037"/>
      <c r="AD427" s="2037"/>
      <c r="AE427" s="2037"/>
      <c r="AF427" s="628"/>
      <c r="AG427" s="628"/>
      <c r="AH427" s="628"/>
      <c r="AI427" s="628"/>
      <c r="AJ427" s="628"/>
      <c r="AK427" s="628"/>
      <c r="AL427" s="784"/>
      <c r="AM427" s="604"/>
      <c r="AN427" s="631"/>
    </row>
    <row r="428" spans="1:60" s="584" customFormat="1" ht="12.75" customHeight="1">
      <c r="A428" s="570"/>
      <c r="B428" s="14"/>
      <c r="C428" s="785"/>
      <c r="D428" s="764"/>
      <c r="E428" s="753"/>
      <c r="F428" s="2037"/>
      <c r="G428" s="2037"/>
      <c r="H428" s="2037"/>
      <c r="I428" s="2037"/>
      <c r="J428" s="2037"/>
      <c r="K428" s="2037"/>
      <c r="L428" s="2037"/>
      <c r="M428" s="2037"/>
      <c r="N428" s="2037"/>
      <c r="O428" s="2037"/>
      <c r="P428" s="2037"/>
      <c r="Q428" s="2037"/>
      <c r="R428" s="2037"/>
      <c r="S428" s="2037"/>
      <c r="T428" s="2037"/>
      <c r="U428" s="2037"/>
      <c r="V428" s="2037"/>
      <c r="W428" s="2037"/>
      <c r="X428" s="2037"/>
      <c r="Y428" s="2037"/>
      <c r="Z428" s="2037"/>
      <c r="AA428" s="2037"/>
      <c r="AB428" s="2037"/>
      <c r="AC428" s="2037"/>
      <c r="AD428" s="2037"/>
      <c r="AE428" s="2037"/>
      <c r="AF428" s="628"/>
      <c r="AG428" s="628"/>
      <c r="AH428" s="628"/>
      <c r="AI428" s="628"/>
      <c r="AJ428" s="628"/>
      <c r="AK428" s="628"/>
      <c r="AL428" s="784"/>
      <c r="AM428" s="604"/>
      <c r="AN428" s="631"/>
    </row>
    <row r="429" spans="1:60" s="584" customFormat="1" ht="12.75" customHeight="1">
      <c r="A429" s="570"/>
      <c r="B429" s="14"/>
      <c r="C429" s="785"/>
      <c r="D429" s="764"/>
      <c r="E429" s="753"/>
      <c r="F429" s="2037"/>
      <c r="G429" s="2037"/>
      <c r="H429" s="2037"/>
      <c r="I429" s="2037"/>
      <c r="J429" s="2037"/>
      <c r="K429" s="2037"/>
      <c r="L429" s="2037"/>
      <c r="M429" s="2037"/>
      <c r="N429" s="2037"/>
      <c r="O429" s="2037"/>
      <c r="P429" s="2037"/>
      <c r="Q429" s="2037"/>
      <c r="R429" s="2037"/>
      <c r="S429" s="2037"/>
      <c r="T429" s="2037"/>
      <c r="U429" s="2037"/>
      <c r="V429" s="2037"/>
      <c r="W429" s="2037"/>
      <c r="X429" s="2037"/>
      <c r="Y429" s="2037"/>
      <c r="Z429" s="2037"/>
      <c r="AA429" s="2037"/>
      <c r="AB429" s="2037"/>
      <c r="AC429" s="2037"/>
      <c r="AD429" s="2037"/>
      <c r="AE429" s="2037"/>
      <c r="AF429" s="628"/>
      <c r="AG429" s="628"/>
      <c r="AH429" s="628"/>
      <c r="AI429" s="628"/>
      <c r="AJ429" s="628"/>
      <c r="AK429" s="628"/>
      <c r="AL429" s="784"/>
      <c r="AM429" s="604"/>
      <c r="AN429" s="631"/>
    </row>
    <row r="430" spans="1:60" s="584" customFormat="1" ht="17.25" customHeight="1">
      <c r="A430" s="570"/>
      <c r="B430" s="14"/>
      <c r="C430" s="785"/>
      <c r="D430" s="764"/>
      <c r="E430" s="753"/>
      <c r="F430" s="2037"/>
      <c r="G430" s="2037"/>
      <c r="H430" s="2037"/>
      <c r="I430" s="2037"/>
      <c r="J430" s="2037"/>
      <c r="K430" s="2037"/>
      <c r="L430" s="2037"/>
      <c r="M430" s="2037"/>
      <c r="N430" s="2037"/>
      <c r="O430" s="2037"/>
      <c r="P430" s="2037"/>
      <c r="Q430" s="2037"/>
      <c r="R430" s="2037"/>
      <c r="S430" s="2037"/>
      <c r="T430" s="2037"/>
      <c r="U430" s="2037"/>
      <c r="V430" s="2037"/>
      <c r="W430" s="2037"/>
      <c r="X430" s="2037"/>
      <c r="Y430" s="2037"/>
      <c r="Z430" s="2037"/>
      <c r="AA430" s="2037"/>
      <c r="AB430" s="2037"/>
      <c r="AC430" s="2037"/>
      <c r="AD430" s="2037"/>
      <c r="AE430" s="2037"/>
      <c r="AL430" s="766"/>
      <c r="AM430" s="604"/>
      <c r="AN430" s="631"/>
    </row>
    <row r="431" spans="1:60" s="584" customFormat="1" ht="12.75" customHeight="1">
      <c r="A431" s="570"/>
      <c r="B431" s="14"/>
      <c r="C431" s="2033" t="s">
        <v>599</v>
      </c>
      <c r="D431" s="199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60" t="s">
        <v>1573</v>
      </c>
      <c r="AG431" s="1960"/>
      <c r="AH431" s="1960"/>
      <c r="AI431" s="1960"/>
      <c r="AJ431" s="1960"/>
      <c r="AK431" s="1960"/>
      <c r="AL431" s="203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36" t="s">
        <v>1599</v>
      </c>
      <c r="G434" s="2036"/>
      <c r="H434" s="2036"/>
      <c r="I434" s="2036"/>
      <c r="J434" s="2036"/>
      <c r="K434" s="2036"/>
      <c r="L434" s="2036"/>
      <c r="M434" s="2036"/>
      <c r="N434" s="2036"/>
      <c r="O434" s="2036"/>
      <c r="P434" s="2036"/>
      <c r="Q434" s="2036"/>
      <c r="R434" s="2036"/>
      <c r="S434" s="2036"/>
      <c r="T434" s="2036"/>
      <c r="U434" s="2036"/>
      <c r="V434" s="2036"/>
      <c r="W434" s="2036"/>
      <c r="X434" s="2036"/>
      <c r="Y434" s="2036"/>
      <c r="Z434" s="2036"/>
      <c r="AA434" s="2036"/>
      <c r="AB434" s="2036"/>
      <c r="AC434" s="2036"/>
      <c r="AD434" s="2036"/>
      <c r="AE434" s="2036"/>
      <c r="AF434" s="748"/>
      <c r="AG434" s="748"/>
      <c r="AH434" s="748"/>
      <c r="AI434" s="748"/>
      <c r="AJ434" s="748"/>
      <c r="AK434" s="748"/>
      <c r="AL434" s="779"/>
      <c r="AM434" s="604"/>
      <c r="AN434" s="631"/>
    </row>
    <row r="435" spans="1:40" s="584" customFormat="1" ht="12.75" customHeight="1">
      <c r="A435" s="570"/>
      <c r="B435" s="14"/>
      <c r="C435" s="785"/>
      <c r="D435" s="764"/>
      <c r="E435" s="753"/>
      <c r="F435" s="2037"/>
      <c r="G435" s="2037"/>
      <c r="H435" s="2037"/>
      <c r="I435" s="2037"/>
      <c r="J435" s="2037"/>
      <c r="K435" s="2037"/>
      <c r="L435" s="2037"/>
      <c r="M435" s="2037"/>
      <c r="N435" s="2037"/>
      <c r="O435" s="2037"/>
      <c r="P435" s="2037"/>
      <c r="Q435" s="2037"/>
      <c r="R435" s="2037"/>
      <c r="S435" s="2037"/>
      <c r="T435" s="2037"/>
      <c r="U435" s="2037"/>
      <c r="V435" s="2037"/>
      <c r="W435" s="2037"/>
      <c r="X435" s="2037"/>
      <c r="Y435" s="2037"/>
      <c r="Z435" s="2037"/>
      <c r="AA435" s="2037"/>
      <c r="AB435" s="2037"/>
      <c r="AC435" s="2037"/>
      <c r="AD435" s="2037"/>
      <c r="AE435" s="2037"/>
      <c r="AF435" s="625"/>
      <c r="AG435" s="625"/>
      <c r="AH435" s="625"/>
      <c r="AI435" s="625"/>
      <c r="AJ435" s="625"/>
      <c r="AK435" s="625"/>
      <c r="AL435" s="754"/>
      <c r="AM435" s="604"/>
      <c r="AN435" s="631"/>
    </row>
    <row r="436" spans="1:40" s="584" customFormat="1" ht="12.75" customHeight="1">
      <c r="A436" s="570"/>
      <c r="B436" s="14"/>
      <c r="C436" s="785"/>
      <c r="D436" s="764"/>
      <c r="E436" s="753"/>
      <c r="F436" s="2037"/>
      <c r="G436" s="2037"/>
      <c r="H436" s="2037"/>
      <c r="I436" s="2037"/>
      <c r="J436" s="2037"/>
      <c r="K436" s="2037"/>
      <c r="L436" s="2037"/>
      <c r="M436" s="2037"/>
      <c r="N436" s="2037"/>
      <c r="O436" s="2037"/>
      <c r="P436" s="2037"/>
      <c r="Q436" s="2037"/>
      <c r="R436" s="2037"/>
      <c r="S436" s="2037"/>
      <c r="T436" s="2037"/>
      <c r="U436" s="2037"/>
      <c r="V436" s="2037"/>
      <c r="W436" s="2037"/>
      <c r="X436" s="2037"/>
      <c r="Y436" s="2037"/>
      <c r="Z436" s="2037"/>
      <c r="AA436" s="2037"/>
      <c r="AB436" s="2037"/>
      <c r="AC436" s="2037"/>
      <c r="AD436" s="2037"/>
      <c r="AE436" s="2037"/>
      <c r="AF436" s="625"/>
      <c r="AG436" s="625"/>
      <c r="AH436" s="625"/>
      <c r="AI436" s="625"/>
      <c r="AJ436" s="625"/>
      <c r="AK436" s="625"/>
      <c r="AL436" s="754"/>
      <c r="AM436" s="604"/>
      <c r="AN436" s="631"/>
    </row>
    <row r="437" spans="1:40" s="584" customFormat="1" ht="12.75" customHeight="1">
      <c r="A437" s="570"/>
      <c r="B437" s="14"/>
      <c r="C437" s="785"/>
      <c r="D437" s="764"/>
      <c r="E437" s="753"/>
      <c r="F437" s="2037"/>
      <c r="G437" s="2037"/>
      <c r="H437" s="2037"/>
      <c r="I437" s="2037"/>
      <c r="J437" s="2037"/>
      <c r="K437" s="2037"/>
      <c r="L437" s="2037"/>
      <c r="M437" s="2037"/>
      <c r="N437" s="2037"/>
      <c r="O437" s="2037"/>
      <c r="P437" s="2037"/>
      <c r="Q437" s="2037"/>
      <c r="R437" s="2037"/>
      <c r="S437" s="2037"/>
      <c r="T437" s="2037"/>
      <c r="U437" s="2037"/>
      <c r="V437" s="2037"/>
      <c r="W437" s="2037"/>
      <c r="X437" s="2037"/>
      <c r="Y437" s="2037"/>
      <c r="Z437" s="2037"/>
      <c r="AA437" s="2037"/>
      <c r="AB437" s="2037"/>
      <c r="AC437" s="2037"/>
      <c r="AD437" s="2037"/>
      <c r="AE437" s="2037"/>
      <c r="AL437" s="766"/>
      <c r="AM437" s="604"/>
      <c r="AN437" s="631"/>
    </row>
    <row r="438" spans="1:40" s="584" customFormat="1" ht="12.75" customHeight="1">
      <c r="A438" s="570"/>
      <c r="B438" s="14"/>
      <c r="C438" s="2033" t="s">
        <v>599</v>
      </c>
      <c r="D438" s="199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60" t="s">
        <v>1573</v>
      </c>
      <c r="AG438" s="1960"/>
      <c r="AH438" s="1960"/>
      <c r="AI438" s="1960"/>
      <c r="AJ438" s="1960"/>
      <c r="AK438" s="1960"/>
      <c r="AL438" s="203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39" t="s">
        <v>599</v>
      </c>
      <c r="D442" s="2040"/>
      <c r="E442" s="749" t="s">
        <v>1608</v>
      </c>
      <c r="F442" s="2036" t="s">
        <v>1609</v>
      </c>
      <c r="G442" s="2036"/>
      <c r="H442" s="2036"/>
      <c r="I442" s="2036"/>
      <c r="J442" s="2036"/>
      <c r="K442" s="2036"/>
      <c r="L442" s="2036"/>
      <c r="M442" s="2036"/>
      <c r="N442" s="2036"/>
      <c r="O442" s="2036"/>
      <c r="P442" s="2036"/>
      <c r="Q442" s="2036"/>
      <c r="R442" s="2036"/>
      <c r="S442" s="2036"/>
      <c r="T442" s="2036"/>
      <c r="U442" s="2036"/>
      <c r="V442" s="2036"/>
      <c r="W442" s="2036"/>
      <c r="X442" s="2036"/>
      <c r="Y442" s="2036"/>
      <c r="Z442" s="2036"/>
      <c r="AA442" s="2036"/>
      <c r="AB442" s="2036"/>
      <c r="AC442" s="2036"/>
      <c r="AD442" s="2036"/>
      <c r="AE442" s="2036"/>
      <c r="AF442" s="2057" t="s">
        <v>1573</v>
      </c>
      <c r="AG442" s="2057"/>
      <c r="AH442" s="2057"/>
      <c r="AI442" s="2057"/>
      <c r="AJ442" s="2057"/>
      <c r="AK442" s="2057"/>
      <c r="AL442" s="2058"/>
      <c r="AM442" s="604"/>
      <c r="AN442" s="787"/>
    </row>
    <row r="443" spans="1:40" s="584" customFormat="1" ht="12.75" customHeight="1">
      <c r="A443" s="570"/>
      <c r="B443" s="14"/>
      <c r="C443" s="785"/>
      <c r="D443" s="764"/>
      <c r="E443" s="753"/>
      <c r="F443" s="2037"/>
      <c r="G443" s="2037"/>
      <c r="H443" s="2037"/>
      <c r="I443" s="2037"/>
      <c r="J443" s="2037"/>
      <c r="K443" s="2037"/>
      <c r="L443" s="2037"/>
      <c r="M443" s="2037"/>
      <c r="N443" s="2037"/>
      <c r="O443" s="2037"/>
      <c r="P443" s="2037"/>
      <c r="Q443" s="2037"/>
      <c r="R443" s="2037"/>
      <c r="S443" s="2037"/>
      <c r="T443" s="2037"/>
      <c r="U443" s="2037"/>
      <c r="V443" s="2037"/>
      <c r="W443" s="2037"/>
      <c r="X443" s="2037"/>
      <c r="Y443" s="2037"/>
      <c r="Z443" s="2037"/>
      <c r="AA443" s="2037"/>
      <c r="AB443" s="2037"/>
      <c r="AC443" s="2037"/>
      <c r="AD443" s="2037"/>
      <c r="AE443" s="2037"/>
      <c r="AF443" s="625"/>
      <c r="AG443" s="625"/>
      <c r="AH443" s="625"/>
      <c r="AI443" s="625"/>
      <c r="AJ443" s="625"/>
      <c r="AK443" s="625"/>
      <c r="AL443" s="754"/>
      <c r="AM443" s="604"/>
      <c r="AN443" s="788"/>
    </row>
    <row r="444" spans="1:40" s="584" customFormat="1" ht="17.649999999999999" customHeight="1">
      <c r="A444" s="570"/>
      <c r="B444" s="14"/>
      <c r="C444" s="790"/>
      <c r="D444" s="757"/>
      <c r="E444" s="758"/>
      <c r="F444" s="2056"/>
      <c r="G444" s="2056"/>
      <c r="H444" s="2056"/>
      <c r="I444" s="2056"/>
      <c r="J444" s="2056"/>
      <c r="K444" s="2056"/>
      <c r="L444" s="2056"/>
      <c r="M444" s="2056"/>
      <c r="N444" s="2056"/>
      <c r="O444" s="2056"/>
      <c r="P444" s="2056"/>
      <c r="Q444" s="2056"/>
      <c r="R444" s="2056"/>
      <c r="S444" s="2056"/>
      <c r="T444" s="2056"/>
      <c r="U444" s="2056"/>
      <c r="V444" s="2056"/>
      <c r="W444" s="2056"/>
      <c r="X444" s="2056"/>
      <c r="Y444" s="2056"/>
      <c r="Z444" s="2056"/>
      <c r="AA444" s="2056"/>
      <c r="AB444" s="2056"/>
      <c r="AC444" s="2056"/>
      <c r="AD444" s="2056"/>
      <c r="AE444" s="205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3" t="s">
        <v>599</v>
      </c>
      <c r="D446" s="1990"/>
      <c r="E446" s="749" t="s">
        <v>1614</v>
      </c>
      <c r="F446" s="2036" t="s">
        <v>1615</v>
      </c>
      <c r="G446" s="2036"/>
      <c r="H446" s="2036"/>
      <c r="I446" s="2036"/>
      <c r="J446" s="2036"/>
      <c r="K446" s="2036"/>
      <c r="L446" s="2036"/>
      <c r="M446" s="2036"/>
      <c r="N446" s="2036"/>
      <c r="O446" s="2036"/>
      <c r="P446" s="2036"/>
      <c r="Q446" s="2036"/>
      <c r="R446" s="2036"/>
      <c r="S446" s="2036"/>
      <c r="T446" s="2036"/>
      <c r="U446" s="2036"/>
      <c r="V446" s="2036"/>
      <c r="W446" s="2036"/>
      <c r="X446" s="2036"/>
      <c r="Y446" s="2036"/>
      <c r="Z446" s="2036"/>
      <c r="AA446" s="2036"/>
      <c r="AB446" s="2036"/>
      <c r="AC446" s="2036"/>
      <c r="AD446" s="2036"/>
      <c r="AE446" s="2036"/>
      <c r="AF446" s="2057" t="s">
        <v>1573</v>
      </c>
      <c r="AG446" s="2057"/>
      <c r="AH446" s="2057"/>
      <c r="AI446" s="2057"/>
      <c r="AJ446" s="2057"/>
      <c r="AK446" s="2057"/>
      <c r="AL446" s="2058"/>
      <c r="AM446" s="604"/>
      <c r="AN446" s="569"/>
    </row>
    <row r="447" spans="1:40" s="584" customFormat="1" ht="12.75" customHeight="1">
      <c r="A447" s="570"/>
      <c r="B447" s="14"/>
      <c r="C447" s="765"/>
      <c r="D447" s="14"/>
      <c r="E447" s="725"/>
      <c r="F447" s="2037"/>
      <c r="G447" s="2037"/>
      <c r="H447" s="2037"/>
      <c r="I447" s="2037"/>
      <c r="J447" s="2037"/>
      <c r="K447" s="2037"/>
      <c r="L447" s="2037"/>
      <c r="M447" s="2037"/>
      <c r="N447" s="2037"/>
      <c r="O447" s="2037"/>
      <c r="P447" s="2037"/>
      <c r="Q447" s="2037"/>
      <c r="R447" s="2037"/>
      <c r="S447" s="2037"/>
      <c r="T447" s="2037"/>
      <c r="U447" s="2037"/>
      <c r="V447" s="2037"/>
      <c r="W447" s="2037"/>
      <c r="X447" s="2037"/>
      <c r="Y447" s="2037"/>
      <c r="Z447" s="2037"/>
      <c r="AA447" s="2037"/>
      <c r="AB447" s="2037"/>
      <c r="AC447" s="2037"/>
      <c r="AD447" s="2037"/>
      <c r="AE447" s="2037"/>
      <c r="AF447" s="573"/>
      <c r="AG447" s="570"/>
      <c r="AL447" s="766"/>
      <c r="AM447" s="604"/>
      <c r="AN447" s="569"/>
    </row>
    <row r="448" spans="1:40" s="584" customFormat="1" ht="12.75" customHeight="1">
      <c r="A448" s="570"/>
      <c r="B448" s="14"/>
      <c r="C448" s="765"/>
      <c r="D448" s="14"/>
      <c r="E448" s="725"/>
      <c r="F448" s="2037"/>
      <c r="G448" s="2037"/>
      <c r="H448" s="2037"/>
      <c r="I448" s="2037"/>
      <c r="J448" s="2037"/>
      <c r="K448" s="2037"/>
      <c r="L448" s="2037"/>
      <c r="M448" s="2037"/>
      <c r="N448" s="2037"/>
      <c r="O448" s="2037"/>
      <c r="P448" s="2037"/>
      <c r="Q448" s="2037"/>
      <c r="R448" s="2037"/>
      <c r="S448" s="2037"/>
      <c r="T448" s="2037"/>
      <c r="U448" s="2037"/>
      <c r="V448" s="2037"/>
      <c r="W448" s="2037"/>
      <c r="X448" s="2037"/>
      <c r="Y448" s="2037"/>
      <c r="Z448" s="2037"/>
      <c r="AA448" s="2037"/>
      <c r="AB448" s="2037"/>
      <c r="AC448" s="2037"/>
      <c r="AD448" s="2037"/>
      <c r="AE448" s="2037"/>
      <c r="AF448" s="573"/>
      <c r="AG448" s="570"/>
      <c r="AL448" s="766"/>
      <c r="AM448" s="604"/>
      <c r="AN448" s="569"/>
    </row>
    <row r="449" spans="1:48" s="584" customFormat="1" ht="12.75" customHeight="1">
      <c r="A449" s="570"/>
      <c r="B449" s="14"/>
      <c r="C449" s="790"/>
      <c r="D449" s="757"/>
      <c r="E449" s="758"/>
      <c r="F449" s="2056"/>
      <c r="G449" s="2056"/>
      <c r="H449" s="2056"/>
      <c r="I449" s="2056"/>
      <c r="J449" s="2056"/>
      <c r="K449" s="2056"/>
      <c r="L449" s="2056"/>
      <c r="M449" s="2056"/>
      <c r="N449" s="2056"/>
      <c r="O449" s="2056"/>
      <c r="P449" s="2056"/>
      <c r="Q449" s="2056"/>
      <c r="R449" s="2056"/>
      <c r="S449" s="2056"/>
      <c r="T449" s="2056"/>
      <c r="U449" s="2056"/>
      <c r="V449" s="2056"/>
      <c r="W449" s="2056"/>
      <c r="X449" s="2056"/>
      <c r="Y449" s="2056"/>
      <c r="Z449" s="2056"/>
      <c r="AA449" s="2056"/>
      <c r="AB449" s="2056"/>
      <c r="AC449" s="2056"/>
      <c r="AD449" s="2056"/>
      <c r="AE449" s="205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36" t="s">
        <v>1618</v>
      </c>
      <c r="G451" s="2036"/>
      <c r="H451" s="2036"/>
      <c r="I451" s="2036"/>
      <c r="J451" s="2036"/>
      <c r="K451" s="2036"/>
      <c r="L451" s="2036"/>
      <c r="M451" s="2036"/>
      <c r="N451" s="2036"/>
      <c r="O451" s="2036"/>
      <c r="P451" s="2036"/>
      <c r="Q451" s="2036"/>
      <c r="R451" s="2036"/>
      <c r="S451" s="2036"/>
      <c r="T451" s="2036"/>
      <c r="U451" s="2036"/>
      <c r="V451" s="2036"/>
      <c r="W451" s="2036"/>
      <c r="X451" s="2036"/>
      <c r="Y451" s="2036"/>
      <c r="Z451" s="2036"/>
      <c r="AA451" s="2036"/>
      <c r="AB451" s="2036"/>
      <c r="AC451" s="2036"/>
      <c r="AD451" s="2036"/>
      <c r="AE451" s="2036"/>
      <c r="AF451" s="2036"/>
      <c r="AG451" s="778"/>
      <c r="AH451" s="748"/>
      <c r="AI451" s="748"/>
      <c r="AJ451" s="748"/>
      <c r="AK451" s="748"/>
      <c r="AL451" s="779"/>
      <c r="AM451" s="604"/>
      <c r="AN451" s="631"/>
    </row>
    <row r="452" spans="1:48" s="584" customFormat="1" ht="12.75" customHeight="1">
      <c r="A452" s="570"/>
      <c r="B452" s="14"/>
      <c r="C452" s="765"/>
      <c r="D452" s="14"/>
      <c r="E452" s="725"/>
      <c r="F452" s="2037"/>
      <c r="G452" s="2037"/>
      <c r="H452" s="2037"/>
      <c r="I452" s="2037"/>
      <c r="J452" s="2037"/>
      <c r="K452" s="2037"/>
      <c r="L452" s="2037"/>
      <c r="M452" s="2037"/>
      <c r="N452" s="2037"/>
      <c r="O452" s="2037"/>
      <c r="P452" s="2037"/>
      <c r="Q452" s="2037"/>
      <c r="R452" s="2037"/>
      <c r="S452" s="2037"/>
      <c r="T452" s="2037"/>
      <c r="U452" s="2037"/>
      <c r="V452" s="2037"/>
      <c r="W452" s="2037"/>
      <c r="X452" s="2037"/>
      <c r="Y452" s="2037"/>
      <c r="Z452" s="2037"/>
      <c r="AA452" s="2037"/>
      <c r="AB452" s="2037"/>
      <c r="AC452" s="2037"/>
      <c r="AD452" s="2037"/>
      <c r="AE452" s="2037"/>
      <c r="AF452" s="2037"/>
      <c r="AL452" s="766"/>
      <c r="AM452" s="604"/>
      <c r="AN452" s="631"/>
    </row>
    <row r="453" spans="1:48" s="584" customFormat="1" ht="12.75" customHeight="1">
      <c r="A453" s="570"/>
      <c r="B453" s="14"/>
      <c r="C453" s="773"/>
      <c r="F453" s="2037"/>
      <c r="G453" s="2037"/>
      <c r="H453" s="2037"/>
      <c r="I453" s="2037"/>
      <c r="J453" s="2037"/>
      <c r="K453" s="2037"/>
      <c r="L453" s="2037"/>
      <c r="M453" s="2037"/>
      <c r="N453" s="2037"/>
      <c r="O453" s="2037"/>
      <c r="P453" s="2037"/>
      <c r="Q453" s="2037"/>
      <c r="R453" s="2037"/>
      <c r="S453" s="2037"/>
      <c r="T453" s="2037"/>
      <c r="U453" s="2037"/>
      <c r="V453" s="2037"/>
      <c r="W453" s="2037"/>
      <c r="X453" s="2037"/>
      <c r="Y453" s="2037"/>
      <c r="Z453" s="2037"/>
      <c r="AA453" s="2037"/>
      <c r="AB453" s="2037"/>
      <c r="AC453" s="2037"/>
      <c r="AD453" s="2037"/>
      <c r="AE453" s="2037"/>
      <c r="AF453" s="2037"/>
      <c r="AL453" s="766"/>
      <c r="AM453" s="604"/>
      <c r="AN453" s="631"/>
    </row>
    <row r="454" spans="1:48" s="584" customFormat="1" ht="12.75" customHeight="1">
      <c r="A454" s="570"/>
      <c r="B454" s="14"/>
      <c r="C454" s="773"/>
      <c r="F454" s="2037"/>
      <c r="G454" s="2037"/>
      <c r="H454" s="2037"/>
      <c r="I454" s="2037"/>
      <c r="J454" s="2037"/>
      <c r="K454" s="2037"/>
      <c r="L454" s="2037"/>
      <c r="M454" s="2037"/>
      <c r="N454" s="2037"/>
      <c r="O454" s="2037"/>
      <c r="P454" s="2037"/>
      <c r="Q454" s="2037"/>
      <c r="R454" s="2037"/>
      <c r="S454" s="2037"/>
      <c r="T454" s="2037"/>
      <c r="U454" s="2037"/>
      <c r="V454" s="2037"/>
      <c r="W454" s="2037"/>
      <c r="X454" s="2037"/>
      <c r="Y454" s="2037"/>
      <c r="Z454" s="2037"/>
      <c r="AA454" s="2037"/>
      <c r="AB454" s="2037"/>
      <c r="AC454" s="2037"/>
      <c r="AD454" s="2037"/>
      <c r="AE454" s="2037"/>
      <c r="AF454" s="2037"/>
      <c r="AL454" s="766"/>
      <c r="AM454" s="604"/>
      <c r="AN454" s="631"/>
    </row>
    <row r="455" spans="1:48" s="584" customFormat="1" ht="12.75" customHeight="1">
      <c r="A455" s="570"/>
      <c r="B455" s="14"/>
      <c r="C455" s="2033" t="s">
        <v>599</v>
      </c>
      <c r="D455" s="199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4" t="s">
        <v>1573</v>
      </c>
      <c r="AG455" s="2034"/>
      <c r="AH455" s="2034"/>
      <c r="AI455" s="2034"/>
      <c r="AJ455" s="2034"/>
      <c r="AK455" s="2034"/>
      <c r="AL455" s="20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93">
        <f>IF(Application!D214="N/A",AS347,AS349)</f>
        <v>10</v>
      </c>
      <c r="AL458" s="1994"/>
      <c r="AM458" s="199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34" t="s">
        <v>1622</v>
      </c>
      <c r="AF461" s="2034"/>
      <c r="AG461" s="2034"/>
      <c r="AH461" s="2034"/>
      <c r="AI461" s="2034"/>
      <c r="AJ461" s="2034"/>
      <c r="AK461" s="203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59" t="s">
        <v>599</v>
      </c>
      <c r="D467" s="2060"/>
      <c r="E467" s="795" t="s">
        <v>515</v>
      </c>
      <c r="F467" s="2061" t="s">
        <v>1628</v>
      </c>
      <c r="G467" s="2061"/>
      <c r="H467" s="2061"/>
      <c r="I467" s="2061"/>
      <c r="J467" s="2061"/>
      <c r="K467" s="2061"/>
      <c r="L467" s="2061"/>
      <c r="M467" s="2061"/>
      <c r="N467" s="2061"/>
      <c r="O467" s="2061"/>
      <c r="P467" s="2061"/>
      <c r="Q467" s="2061"/>
      <c r="R467" s="2061"/>
      <c r="S467" s="2061"/>
      <c r="T467" s="2061"/>
      <c r="U467" s="2061"/>
      <c r="V467" s="2061"/>
      <c r="W467" s="2061"/>
      <c r="X467" s="2061"/>
      <c r="Y467" s="2061"/>
      <c r="Z467" s="2061"/>
      <c r="AA467" s="2061"/>
      <c r="AB467" s="2061"/>
      <c r="AC467" s="2061"/>
      <c r="AD467" s="2061"/>
      <c r="AE467" s="2061"/>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62"/>
      <c r="G468" s="2062"/>
      <c r="H468" s="2062"/>
      <c r="I468" s="2062"/>
      <c r="J468" s="2062"/>
      <c r="K468" s="2062"/>
      <c r="L468" s="2062"/>
      <c r="M468" s="2062"/>
      <c r="N468" s="2062"/>
      <c r="O468" s="2062"/>
      <c r="P468" s="2062"/>
      <c r="Q468" s="2062"/>
      <c r="R468" s="2062"/>
      <c r="S468" s="2062"/>
      <c r="T468" s="2062"/>
      <c r="U468" s="2062"/>
      <c r="V468" s="2062"/>
      <c r="W468" s="2062"/>
      <c r="X468" s="2062"/>
      <c r="Y468" s="2062"/>
      <c r="Z468" s="2062"/>
      <c r="AA468" s="2062"/>
      <c r="AB468" s="2062"/>
      <c r="AC468" s="2062"/>
      <c r="AD468" s="2062"/>
      <c r="AE468" s="2062"/>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63" t="s">
        <v>599</v>
      </c>
      <c r="G469" s="2063"/>
      <c r="H469" s="2063"/>
      <c r="I469" s="2063"/>
      <c r="J469" s="2063"/>
      <c r="K469" s="2063"/>
      <c r="L469" s="2063"/>
      <c r="M469" s="2063"/>
      <c r="N469" s="2063"/>
      <c r="O469" s="2063"/>
      <c r="P469" s="2063"/>
      <c r="Q469" s="2063"/>
      <c r="R469" s="2063"/>
      <c r="S469" s="2063"/>
      <c r="T469" s="2063"/>
      <c r="U469" s="2063"/>
      <c r="V469" s="2063"/>
      <c r="W469" s="2063"/>
      <c r="X469" s="2063"/>
      <c r="Y469" s="2063"/>
      <c r="Z469" s="2063"/>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64" t="s">
        <v>553</v>
      </c>
      <c r="D471" s="2065"/>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71" t="s">
        <v>599</v>
      </c>
      <c r="W474" s="2071"/>
      <c r="X474" s="207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71" t="s">
        <v>599</v>
      </c>
      <c r="W476" s="2071"/>
      <c r="X476" s="207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71" t="s">
        <v>599</v>
      </c>
      <c r="W481" s="2071"/>
      <c r="X481" s="207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70"/>
      <c r="E484" s="2070"/>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71" t="s">
        <v>599</v>
      </c>
      <c r="W485" s="2071"/>
      <c r="X485" s="207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71" t="s">
        <v>599</v>
      </c>
      <c r="W487" s="2071"/>
      <c r="X487" s="207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59" t="s">
        <v>599</v>
      </c>
      <c r="D490" s="2060"/>
      <c r="E490" s="795" t="s">
        <v>515</v>
      </c>
      <c r="F490" s="2061" t="s">
        <v>1628</v>
      </c>
      <c r="G490" s="2061"/>
      <c r="H490" s="2061"/>
      <c r="I490" s="2061"/>
      <c r="J490" s="2061"/>
      <c r="K490" s="2061"/>
      <c r="L490" s="2061"/>
      <c r="M490" s="2061"/>
      <c r="N490" s="2061"/>
      <c r="O490" s="2061"/>
      <c r="P490" s="2061"/>
      <c r="Q490" s="2061"/>
      <c r="R490" s="2061"/>
      <c r="S490" s="2061"/>
      <c r="T490" s="2061"/>
      <c r="U490" s="2061"/>
      <c r="V490" s="2061"/>
      <c r="W490" s="2061"/>
      <c r="X490" s="2061"/>
      <c r="Y490" s="2061"/>
      <c r="Z490" s="2061"/>
      <c r="AA490" s="2061"/>
      <c r="AB490" s="2061"/>
      <c r="AC490" s="2061"/>
      <c r="AD490" s="2061"/>
      <c r="AE490" s="206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62"/>
      <c r="G491" s="2062"/>
      <c r="H491" s="2062"/>
      <c r="I491" s="2062"/>
      <c r="J491" s="2062"/>
      <c r="K491" s="2062"/>
      <c r="L491" s="2062"/>
      <c r="M491" s="2062"/>
      <c r="N491" s="2062"/>
      <c r="O491" s="2062"/>
      <c r="P491" s="2062"/>
      <c r="Q491" s="2062"/>
      <c r="R491" s="2062"/>
      <c r="S491" s="2062"/>
      <c r="T491" s="2062"/>
      <c r="U491" s="2062"/>
      <c r="V491" s="2062"/>
      <c r="W491" s="2062"/>
      <c r="X491" s="2062"/>
      <c r="Y491" s="2062"/>
      <c r="Z491" s="2062"/>
      <c r="AA491" s="2062"/>
      <c r="AB491" s="2062"/>
      <c r="AC491" s="2062"/>
      <c r="AD491" s="2062"/>
      <c r="AE491" s="206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66" t="s">
        <v>599</v>
      </c>
      <c r="G492" s="2066"/>
      <c r="H492" s="2066"/>
      <c r="I492" s="2066"/>
      <c r="J492" s="2066"/>
      <c r="K492" s="2066"/>
      <c r="L492" s="2066"/>
      <c r="M492" s="2066"/>
      <c r="N492" s="2066"/>
      <c r="O492" s="2066"/>
      <c r="P492" s="2066"/>
      <c r="Q492" s="2066"/>
      <c r="R492" s="2066"/>
      <c r="S492" s="2066"/>
      <c r="T492" s="2066"/>
      <c r="U492" s="2066"/>
      <c r="V492" s="2066"/>
      <c r="W492" s="2066"/>
      <c r="X492" s="2066"/>
      <c r="Y492" s="2066"/>
      <c r="Z492" s="206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59" t="s">
        <v>599</v>
      </c>
      <c r="D494" s="2060"/>
      <c r="E494" s="795" t="s">
        <v>766</v>
      </c>
      <c r="F494" s="2067" t="s">
        <v>1650</v>
      </c>
      <c r="G494" s="2067"/>
      <c r="H494" s="2067"/>
      <c r="I494" s="2067"/>
      <c r="J494" s="2067"/>
      <c r="K494" s="2067"/>
      <c r="L494" s="2067"/>
      <c r="M494" s="2067"/>
      <c r="N494" s="2067"/>
      <c r="O494" s="2067"/>
      <c r="P494" s="2067"/>
      <c r="Q494" s="2067"/>
      <c r="R494" s="2067"/>
      <c r="S494" s="2067"/>
      <c r="T494" s="2067"/>
      <c r="U494" s="2067"/>
      <c r="V494" s="2067"/>
      <c r="W494" s="2067"/>
      <c r="X494" s="2067"/>
      <c r="Y494" s="2067"/>
      <c r="Z494" s="2067"/>
      <c r="AA494" s="2067"/>
      <c r="AB494" s="2067"/>
      <c r="AC494" s="2067"/>
      <c r="AD494" s="2067"/>
      <c r="AE494" s="206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68"/>
      <c r="G495" s="2068"/>
      <c r="H495" s="2068"/>
      <c r="I495" s="2068"/>
      <c r="J495" s="2068"/>
      <c r="K495" s="2068"/>
      <c r="L495" s="2068"/>
      <c r="M495" s="2068"/>
      <c r="N495" s="2068"/>
      <c r="O495" s="2068"/>
      <c r="P495" s="2068"/>
      <c r="Q495" s="2068"/>
      <c r="R495" s="2068"/>
      <c r="S495" s="2068"/>
      <c r="T495" s="2068"/>
      <c r="U495" s="2068"/>
      <c r="V495" s="2068"/>
      <c r="W495" s="2068"/>
      <c r="X495" s="2068"/>
      <c r="Y495" s="2068"/>
      <c r="Z495" s="2068"/>
      <c r="AA495" s="2068"/>
      <c r="AB495" s="2068"/>
      <c r="AC495" s="2068"/>
      <c r="AD495" s="2068"/>
      <c r="AE495" s="206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69" t="s">
        <v>599</v>
      </c>
      <c r="G497" s="2069"/>
      <c r="H497" s="206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59" t="s">
        <v>599</v>
      </c>
      <c r="D499" s="2060"/>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82"/>
      <c r="D501" s="2070"/>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3" t="s">
        <v>599</v>
      </c>
      <c r="H502" s="2083"/>
      <c r="I502" s="2083"/>
      <c r="J502" s="2083"/>
      <c r="K502" s="2083"/>
      <c r="L502" s="2083"/>
      <c r="M502" s="2083"/>
      <c r="N502" s="2083"/>
      <c r="O502" s="2083"/>
      <c r="P502" s="2083"/>
      <c r="Q502" s="2083"/>
      <c r="R502" s="2083"/>
      <c r="S502" s="2083"/>
      <c r="T502" s="2083"/>
      <c r="U502" s="2083"/>
      <c r="V502" s="2083"/>
      <c r="W502" s="2083"/>
      <c r="X502" s="2083"/>
      <c r="Y502" s="2083"/>
      <c r="Z502" s="2083"/>
      <c r="AA502" s="2083"/>
      <c r="AB502" s="2083"/>
      <c r="AC502" s="2083"/>
      <c r="AD502" s="2083"/>
      <c r="AE502" s="2083"/>
      <c r="AF502" s="208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4" t="s">
        <v>599</v>
      </c>
      <c r="D504" s="2085"/>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4" t="s">
        <v>599</v>
      </c>
      <c r="D508" s="2085"/>
      <c r="F508" s="829" t="s">
        <v>1658</v>
      </c>
      <c r="G508" s="2037" t="s">
        <v>1659</v>
      </c>
      <c r="H508" s="2037"/>
      <c r="I508" s="2037"/>
      <c r="J508" s="2037"/>
      <c r="K508" s="2037"/>
      <c r="L508" s="2037"/>
      <c r="M508" s="2037"/>
      <c r="N508" s="2037"/>
      <c r="O508" s="2037"/>
      <c r="P508" s="2037"/>
      <c r="Q508" s="2037"/>
      <c r="R508" s="2037"/>
      <c r="S508" s="2037"/>
      <c r="T508" s="2037"/>
      <c r="U508" s="2037"/>
      <c r="V508" s="2037"/>
      <c r="W508" s="2037"/>
      <c r="X508" s="2037"/>
      <c r="Y508" s="2037"/>
      <c r="Z508" s="2037"/>
      <c r="AA508" s="2037"/>
      <c r="AB508" s="2037"/>
      <c r="AC508" s="2037"/>
      <c r="AD508" s="2037"/>
      <c r="AE508" s="2037"/>
      <c r="AF508" s="203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56"/>
      <c r="H509" s="2056"/>
      <c r="I509" s="2056"/>
      <c r="J509" s="2056"/>
      <c r="K509" s="2056"/>
      <c r="L509" s="2056"/>
      <c r="M509" s="2056"/>
      <c r="N509" s="2056"/>
      <c r="O509" s="2056"/>
      <c r="P509" s="2056"/>
      <c r="Q509" s="2056"/>
      <c r="R509" s="2056"/>
      <c r="S509" s="2056"/>
      <c r="T509" s="2056"/>
      <c r="U509" s="2056"/>
      <c r="V509" s="2056"/>
      <c r="W509" s="2056"/>
      <c r="X509" s="2056"/>
      <c r="Y509" s="2056"/>
      <c r="Z509" s="2056"/>
      <c r="AA509" s="2056"/>
      <c r="AB509" s="2056"/>
      <c r="AC509" s="2056"/>
      <c r="AD509" s="2056"/>
      <c r="AE509" s="2056"/>
      <c r="AF509" s="205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2" t="s">
        <v>599</v>
      </c>
      <c r="D512" s="2073"/>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4" t="s">
        <v>599</v>
      </c>
      <c r="G513" s="2074"/>
      <c r="H513" s="2074"/>
      <c r="I513" s="2074"/>
      <c r="J513" s="2074"/>
      <c r="K513" s="2074"/>
      <c r="L513" s="2074"/>
      <c r="M513" s="2074"/>
      <c r="N513" s="2074"/>
      <c r="O513" s="2074"/>
      <c r="P513" s="2074"/>
      <c r="Q513" s="2074"/>
      <c r="R513" s="2074"/>
      <c r="S513" s="2074"/>
      <c r="T513" s="2074"/>
      <c r="U513" s="2074"/>
      <c r="V513" s="2074"/>
      <c r="W513" s="2074"/>
      <c r="X513" s="2074"/>
      <c r="Y513" s="2074"/>
      <c r="Z513" s="2074"/>
      <c r="AA513" s="2074"/>
      <c r="AB513" s="2074"/>
      <c r="AC513" s="2074"/>
      <c r="AD513" s="2074"/>
      <c r="AE513" s="2074"/>
      <c r="AF513" s="207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5"/>
      <c r="G514" s="2075"/>
      <c r="H514" s="2075"/>
      <c r="I514" s="2075"/>
      <c r="J514" s="2075"/>
      <c r="K514" s="2075"/>
      <c r="L514" s="2075"/>
      <c r="M514" s="2075"/>
      <c r="N514" s="2075"/>
      <c r="O514" s="2075"/>
      <c r="P514" s="2075"/>
      <c r="Q514" s="2075"/>
      <c r="R514" s="2075"/>
      <c r="S514" s="2075"/>
      <c r="T514" s="2075"/>
      <c r="U514" s="2075"/>
      <c r="V514" s="2075"/>
      <c r="W514" s="2075"/>
      <c r="X514" s="2075"/>
      <c r="Y514" s="2075"/>
      <c r="Z514" s="2075"/>
      <c r="AA514" s="2075"/>
      <c r="AB514" s="2075"/>
      <c r="AC514" s="2075"/>
      <c r="AD514" s="2075"/>
      <c r="AE514" s="2075"/>
      <c r="AF514" s="207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93">
        <f>SUM(AG468:AG513)</f>
        <v>0</v>
      </c>
      <c r="AL524" s="1994"/>
      <c r="AM524" s="199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1671</v>
      </c>
      <c r="AF527" s="1928"/>
      <c r="AG527" s="1928"/>
      <c r="AH527" s="1928"/>
      <c r="AI527" s="1928"/>
      <c r="AJ527" s="1928"/>
      <c r="AK527" s="192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90" t="s">
        <v>599</v>
      </c>
      <c r="D530" s="1990"/>
      <c r="E530" s="585"/>
      <c r="F530" s="2076" t="s">
        <v>1672</v>
      </c>
      <c r="G530" s="2077"/>
      <c r="H530" s="2077"/>
      <c r="I530" s="2077"/>
      <c r="J530" s="2077"/>
      <c r="K530" s="2077"/>
      <c r="L530" s="2077"/>
      <c r="M530" s="2077"/>
      <c r="N530" s="2077"/>
      <c r="O530" s="2077"/>
      <c r="P530" s="2077"/>
      <c r="Q530" s="2077"/>
      <c r="R530" s="2077"/>
      <c r="S530" s="2077"/>
      <c r="T530" s="2077"/>
      <c r="U530" s="2077"/>
      <c r="V530" s="2077"/>
      <c r="W530" s="2077"/>
      <c r="X530" s="2077"/>
      <c r="Y530" s="2077"/>
      <c r="Z530" s="2077"/>
      <c r="AA530" s="2077"/>
      <c r="AB530" s="2077"/>
      <c r="AC530" s="2077"/>
      <c r="AD530" s="2077"/>
      <c r="AE530" s="2077"/>
      <c r="AF530" s="2077"/>
      <c r="AG530" s="2077"/>
      <c r="AH530" s="2077"/>
      <c r="AI530" s="2077"/>
      <c r="AJ530" s="2077"/>
      <c r="AK530" s="2077"/>
      <c r="AL530" s="2078"/>
      <c r="AM530" s="629"/>
      <c r="AN530" s="631"/>
    </row>
    <row r="531" spans="1:49" s="584" customFormat="1" ht="12.75" customHeight="1">
      <c r="A531" s="573"/>
      <c r="B531" s="573"/>
      <c r="C531" s="585"/>
      <c r="D531" s="585"/>
      <c r="E531" s="585"/>
      <c r="F531" s="2079"/>
      <c r="G531" s="2080"/>
      <c r="H531" s="2080"/>
      <c r="I531" s="2080"/>
      <c r="J531" s="2080"/>
      <c r="K531" s="2080"/>
      <c r="L531" s="2080"/>
      <c r="M531" s="2080"/>
      <c r="N531" s="2080"/>
      <c r="O531" s="2080"/>
      <c r="P531" s="2080"/>
      <c r="Q531" s="2080"/>
      <c r="R531" s="2080"/>
      <c r="S531" s="2080"/>
      <c r="T531" s="2080"/>
      <c r="U531" s="2080"/>
      <c r="V531" s="2080"/>
      <c r="W531" s="2080"/>
      <c r="X531" s="2080"/>
      <c r="Y531" s="2080"/>
      <c r="Z531" s="2080"/>
      <c r="AA531" s="2080"/>
      <c r="AB531" s="2080"/>
      <c r="AC531" s="2080"/>
      <c r="AD531" s="2080"/>
      <c r="AE531" s="2080"/>
      <c r="AF531" s="2080"/>
      <c r="AG531" s="2080"/>
      <c r="AH531" s="2080"/>
      <c r="AI531" s="2080"/>
      <c r="AJ531" s="2080"/>
      <c r="AK531" s="2080"/>
      <c r="AL531" s="208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90" t="s">
        <v>553</v>
      </c>
      <c r="D533" s="199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12" t="s">
        <v>1674</v>
      </c>
      <c r="G534" s="2013"/>
      <c r="H534" s="2013"/>
      <c r="I534" s="2013"/>
      <c r="J534" s="2013"/>
      <c r="K534" s="2013"/>
      <c r="L534" s="2013"/>
      <c r="M534" s="2013"/>
      <c r="N534" s="2013"/>
      <c r="O534" s="2013"/>
      <c r="P534" s="2013"/>
      <c r="Q534" s="2013"/>
      <c r="R534" s="2013"/>
      <c r="S534" s="2013"/>
      <c r="T534" s="2013"/>
      <c r="U534" s="2013"/>
      <c r="V534" s="2013"/>
      <c r="W534" s="2013"/>
      <c r="X534" s="2013"/>
      <c r="Y534" s="2013"/>
      <c r="Z534" s="2013"/>
      <c r="AA534" s="2013"/>
      <c r="AB534" s="2013"/>
      <c r="AC534" s="2013"/>
      <c r="AD534" s="2013"/>
      <c r="AE534" s="2013"/>
      <c r="AF534" s="2013"/>
      <c r="AG534" s="2013"/>
      <c r="AH534" s="2013"/>
      <c r="AI534" s="2013"/>
      <c r="AJ534" s="2013"/>
      <c r="AK534" s="2013"/>
      <c r="AL534" s="2014"/>
      <c r="AM534" s="629"/>
      <c r="AN534" s="631"/>
      <c r="AS534" s="904"/>
      <c r="AT534" s="904"/>
      <c r="AU534" s="904"/>
      <c r="AV534" s="904"/>
      <c r="AW534" s="904"/>
    </row>
    <row r="535" spans="1:49" s="584" customFormat="1" ht="12.75" customHeight="1">
      <c r="B535" s="840"/>
      <c r="C535" s="840"/>
      <c r="D535" s="840"/>
      <c r="E535" s="840"/>
      <c r="F535" s="2012"/>
      <c r="G535" s="2013"/>
      <c r="H535" s="2013"/>
      <c r="I535" s="2013"/>
      <c r="J535" s="2013"/>
      <c r="K535" s="2013"/>
      <c r="L535" s="2013"/>
      <c r="M535" s="2013"/>
      <c r="N535" s="2013"/>
      <c r="O535" s="2013"/>
      <c r="P535" s="2013"/>
      <c r="Q535" s="2013"/>
      <c r="R535" s="2013"/>
      <c r="S535" s="2013"/>
      <c r="T535" s="2013"/>
      <c r="U535" s="2013"/>
      <c r="V535" s="2013"/>
      <c r="W535" s="2013"/>
      <c r="X535" s="2013"/>
      <c r="Y535" s="2013"/>
      <c r="Z535" s="2013"/>
      <c r="AA535" s="2013"/>
      <c r="AB535" s="2013"/>
      <c r="AC535" s="2013"/>
      <c r="AD535" s="2013"/>
      <c r="AE535" s="2013"/>
      <c r="AF535" s="2013"/>
      <c r="AG535" s="2013"/>
      <c r="AH535" s="2013"/>
      <c r="AI535" s="2013"/>
      <c r="AJ535" s="2013"/>
      <c r="AK535" s="2013"/>
      <c r="AL535" s="2014"/>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12" t="s">
        <v>1675</v>
      </c>
      <c r="G537" s="2013"/>
      <c r="H537" s="2013"/>
      <c r="I537" s="2013"/>
      <c r="J537" s="2013"/>
      <c r="K537" s="2013"/>
      <c r="L537" s="2013"/>
      <c r="M537" s="2013"/>
      <c r="N537" s="2013"/>
      <c r="O537" s="2013"/>
      <c r="P537" s="2013"/>
      <c r="Q537" s="2013"/>
      <c r="R537" s="2013"/>
      <c r="S537" s="2013"/>
      <c r="T537" s="2013"/>
      <c r="U537" s="2013"/>
      <c r="V537" s="2013"/>
      <c r="W537" s="2013"/>
      <c r="X537" s="2013"/>
      <c r="Y537" s="2013"/>
      <c r="Z537" s="2013"/>
      <c r="AA537" s="2013"/>
      <c r="AB537" s="2013"/>
      <c r="AC537" s="2013"/>
      <c r="AD537" s="2013"/>
      <c r="AE537" s="2013"/>
      <c r="AF537" s="2013"/>
      <c r="AG537" s="2013"/>
      <c r="AH537" s="2013"/>
      <c r="AI537" s="2013"/>
      <c r="AJ537" s="2013"/>
      <c r="AK537" s="2013"/>
      <c r="AL537" s="847"/>
      <c r="AM537" s="629"/>
      <c r="AN537" s="631"/>
    </row>
    <row r="538" spans="1:49" s="584" customFormat="1" ht="12.75" customHeight="1">
      <c r="B538" s="840"/>
      <c r="C538" s="840"/>
      <c r="D538" s="840"/>
      <c r="E538" s="840"/>
      <c r="F538" s="2015"/>
      <c r="G538" s="2016"/>
      <c r="H538" s="2016"/>
      <c r="I538" s="2016"/>
      <c r="J538" s="2016"/>
      <c r="K538" s="2016"/>
      <c r="L538" s="2016"/>
      <c r="M538" s="2016"/>
      <c r="N538" s="2016"/>
      <c r="O538" s="2016"/>
      <c r="P538" s="2016"/>
      <c r="Q538" s="2016"/>
      <c r="R538" s="2016"/>
      <c r="S538" s="2016"/>
      <c r="T538" s="2016"/>
      <c r="U538" s="2016"/>
      <c r="V538" s="2016"/>
      <c r="W538" s="2016"/>
      <c r="X538" s="2016"/>
      <c r="Y538" s="2016"/>
      <c r="Z538" s="2016"/>
      <c r="AA538" s="2016"/>
      <c r="AB538" s="2016"/>
      <c r="AC538" s="2016"/>
      <c r="AD538" s="2016"/>
      <c r="AE538" s="2016"/>
      <c r="AF538" s="2016"/>
      <c r="AG538" s="2016"/>
      <c r="AH538" s="2016"/>
      <c r="AI538" s="2016"/>
      <c r="AJ538" s="2016"/>
      <c r="AK538" s="20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40">
        <f>Application!AJ991</f>
        <v>133826780</v>
      </c>
      <c r="AQ539" s="2140"/>
      <c r="AR539" s="2140"/>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96">
        <f>'Sources and Uses Budget'!S107+'Sources and Uses Budget'!T107</f>
        <v>148330212</v>
      </c>
      <c r="AG540" s="1996"/>
      <c r="AH540" s="1996"/>
      <c r="AI540" s="1996"/>
      <c r="AJ540" s="1996"/>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45">
        <f>IFERROR(AP548,0)</f>
        <v>307801594</v>
      </c>
      <c r="AG541" s="2145"/>
      <c r="AH541" s="2145"/>
      <c r="AI541" s="2145"/>
      <c r="AJ541" s="2145"/>
      <c r="AK541" s="629"/>
      <c r="AL541" s="629"/>
      <c r="AM541" s="629"/>
      <c r="AN541" s="631"/>
      <c r="AP541" s="2140">
        <f>Application!AJ1044</f>
        <v>45501105.200000003</v>
      </c>
      <c r="AQ541" s="2140"/>
      <c r="AR541" s="214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46">
        <f>IFERROR(ROUNDDOWN(IF(C533="YES",((1-(AF540/AF541))*2),(1-(AF540/AF541))),2),0)</f>
        <v>1.03</v>
      </c>
      <c r="AG542" s="2146"/>
      <c r="AH542" s="2146"/>
      <c r="AI542" s="2146"/>
      <c r="AJ542" s="2146"/>
      <c r="AK542" s="629"/>
      <c r="AL542" s="629"/>
      <c r="AM542" s="629"/>
      <c r="AN542" s="631"/>
      <c r="AP542" s="2143">
        <f>Application!AJ1048</f>
        <v>69589925.600000009</v>
      </c>
      <c r="AQ542" s="2143"/>
      <c r="AR542" s="2143"/>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39">
        <f>IF(((AP541+AP542)/AP539)&gt;0.8,0.8,((AP541+AP542)/AP539))</f>
        <v>0.8</v>
      </c>
      <c r="AQ543" s="2139"/>
      <c r="AR543" s="2139"/>
      <c r="AS543" s="584" t="s">
        <v>2535</v>
      </c>
    </row>
    <row r="544" spans="1:49" s="584" customFormat="1" ht="12.75" customHeight="1">
      <c r="A544" s="658"/>
      <c r="B544" s="2092" t="s">
        <v>2345</v>
      </c>
      <c r="C544" s="2093"/>
      <c r="D544" s="2093"/>
      <c r="E544" s="2093"/>
      <c r="F544" s="2093"/>
      <c r="G544" s="2093"/>
      <c r="H544" s="2093"/>
      <c r="I544" s="2093"/>
      <c r="J544" s="2093"/>
      <c r="K544" s="2093"/>
      <c r="L544" s="2093"/>
      <c r="M544" s="2093"/>
      <c r="N544" s="2093"/>
      <c r="O544" s="2093"/>
      <c r="P544" s="2093"/>
      <c r="Q544" s="2093"/>
      <c r="R544" s="2093"/>
      <c r="S544" s="2093"/>
      <c r="T544" s="2093"/>
      <c r="U544" s="2093"/>
      <c r="V544" s="2093"/>
      <c r="W544" s="2093"/>
      <c r="X544" s="2093"/>
      <c r="Y544" s="2093"/>
      <c r="Z544" s="2093"/>
      <c r="AA544" s="2093"/>
      <c r="AB544" s="2093"/>
      <c r="AC544" s="2093"/>
      <c r="AD544" s="2093"/>
      <c r="AE544" s="2093"/>
      <c r="AF544" s="2093"/>
      <c r="AG544" s="2093"/>
      <c r="AH544" s="2093"/>
      <c r="AI544" s="2093"/>
      <c r="AJ544" s="2094"/>
      <c r="AK544" s="629"/>
      <c r="AL544" s="629"/>
      <c r="AM544" s="629"/>
      <c r="AN544" s="631"/>
    </row>
    <row r="545" spans="1:45" s="584" customFormat="1" ht="12.75" customHeight="1">
      <c r="A545" s="658"/>
      <c r="B545" s="2095"/>
      <c r="C545" s="2096"/>
      <c r="D545" s="2096"/>
      <c r="E545" s="2096"/>
      <c r="F545" s="2096"/>
      <c r="G545" s="2096"/>
      <c r="H545" s="2096"/>
      <c r="I545" s="2096"/>
      <c r="J545" s="2096"/>
      <c r="K545" s="2096"/>
      <c r="L545" s="2096"/>
      <c r="M545" s="2096"/>
      <c r="N545" s="2096"/>
      <c r="O545" s="2096"/>
      <c r="P545" s="2096"/>
      <c r="Q545" s="2096"/>
      <c r="R545" s="2096"/>
      <c r="S545" s="2096"/>
      <c r="T545" s="2096"/>
      <c r="U545" s="2096"/>
      <c r="V545" s="2096"/>
      <c r="W545" s="2096"/>
      <c r="X545" s="2096"/>
      <c r="Y545" s="2096"/>
      <c r="Z545" s="2096"/>
      <c r="AA545" s="2096"/>
      <c r="AB545" s="2096"/>
      <c r="AC545" s="2096"/>
      <c r="AD545" s="2096"/>
      <c r="AE545" s="2096"/>
      <c r="AF545" s="2096"/>
      <c r="AG545" s="2096"/>
      <c r="AH545" s="2096"/>
      <c r="AI545" s="2096"/>
      <c r="AJ545" s="2097"/>
      <c r="AK545" s="629"/>
      <c r="AL545" s="629"/>
      <c r="AM545" s="629"/>
      <c r="AN545" s="631"/>
      <c r="AP545" s="2140">
        <f>AP546-AP541-AP542</f>
        <v>200740170</v>
      </c>
      <c r="AQ545" s="2048"/>
      <c r="AR545" s="2048"/>
      <c r="AS545" s="584" t="s">
        <v>2537</v>
      </c>
    </row>
    <row r="546" spans="1:45" s="584" customFormat="1" ht="12.75" customHeight="1">
      <c r="A546" s="658"/>
      <c r="B546" s="2098"/>
      <c r="C546" s="2099"/>
      <c r="D546" s="2099"/>
      <c r="E546" s="2099"/>
      <c r="F546" s="2099"/>
      <c r="G546" s="2099"/>
      <c r="H546" s="2099"/>
      <c r="I546" s="2099"/>
      <c r="J546" s="2099"/>
      <c r="K546" s="2099"/>
      <c r="L546" s="2099"/>
      <c r="M546" s="2099"/>
      <c r="N546" s="2099"/>
      <c r="O546" s="2099"/>
      <c r="P546" s="2099"/>
      <c r="Q546" s="2099"/>
      <c r="R546" s="2099"/>
      <c r="S546" s="2099"/>
      <c r="T546" s="2099"/>
      <c r="U546" s="2099"/>
      <c r="V546" s="2099"/>
      <c r="W546" s="2099"/>
      <c r="X546" s="2099"/>
      <c r="Y546" s="2099"/>
      <c r="Z546" s="2099"/>
      <c r="AA546" s="2099"/>
      <c r="AB546" s="2099"/>
      <c r="AC546" s="2099"/>
      <c r="AD546" s="2099"/>
      <c r="AE546" s="2099"/>
      <c r="AF546" s="2099"/>
      <c r="AG546" s="2099"/>
      <c r="AH546" s="2099"/>
      <c r="AI546" s="2099"/>
      <c r="AJ546" s="2100"/>
      <c r="AK546" s="629"/>
      <c r="AL546" s="629"/>
      <c r="AM546" s="629"/>
      <c r="AN546" s="631"/>
      <c r="AP546" s="2140">
        <f>Application!AJ1052</f>
        <v>315831200.80000001</v>
      </c>
      <c r="AQ546" s="2140"/>
      <c r="AR546" s="2140"/>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101">
        <f>IFERROR(IF(AND(C530="N/A",C533="N/A"),0,IF(AF542=0,0,IF((AF542*100)&gt;12,12,(AF542*100)))),0)</f>
        <v>12</v>
      </c>
      <c r="AL548" s="2101"/>
      <c r="AM548" s="2102"/>
      <c r="AN548" s="631"/>
      <c r="AP548" s="2156">
        <f>AP545+(AP539*AP543)</f>
        <v>307801594</v>
      </c>
      <c r="AQ548" s="2157"/>
      <c r="AR548" s="215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1424</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3" t="s">
        <v>2336</v>
      </c>
      <c r="C553" s="2013"/>
      <c r="D553" s="2013"/>
      <c r="E553" s="2013"/>
      <c r="F553" s="2013"/>
      <c r="G553" s="2013"/>
      <c r="H553" s="2013"/>
      <c r="I553" s="2013"/>
      <c r="J553" s="2013"/>
      <c r="K553" s="2013"/>
      <c r="L553" s="2013"/>
      <c r="M553" s="2013"/>
      <c r="N553" s="2013"/>
      <c r="O553" s="2013"/>
      <c r="P553" s="2013"/>
      <c r="Q553" s="2013"/>
      <c r="R553" s="2013"/>
      <c r="S553" s="2013"/>
      <c r="T553" s="2013"/>
      <c r="U553" s="2013"/>
      <c r="V553" s="2013"/>
      <c r="W553" s="2013"/>
      <c r="X553" s="2013"/>
      <c r="Y553" s="2013"/>
      <c r="Z553" s="2013"/>
      <c r="AA553" s="2013"/>
      <c r="AB553" s="2013"/>
      <c r="AC553" s="2013"/>
      <c r="AD553" s="2013"/>
      <c r="AE553" s="2013"/>
      <c r="AF553" s="2013"/>
      <c r="AG553" s="2013"/>
      <c r="AH553" s="2013"/>
      <c r="AI553" s="2013"/>
      <c r="AJ553" s="2013"/>
      <c r="AK553" s="676"/>
      <c r="AL553" s="607"/>
      <c r="AM553" s="637"/>
      <c r="AN553" s="631"/>
    </row>
    <row r="554" spans="1:45" s="584" customFormat="1" ht="12.75" customHeight="1">
      <c r="A554" s="637"/>
      <c r="B554" s="2013"/>
      <c r="C554" s="2013"/>
      <c r="D554" s="2013"/>
      <c r="E554" s="2013"/>
      <c r="F554" s="2013"/>
      <c r="G554" s="2013"/>
      <c r="H554" s="2013"/>
      <c r="I554" s="2013"/>
      <c r="J554" s="2013"/>
      <c r="K554" s="2013"/>
      <c r="L554" s="2013"/>
      <c r="M554" s="2013"/>
      <c r="N554" s="2013"/>
      <c r="O554" s="2013"/>
      <c r="P554" s="2013"/>
      <c r="Q554" s="2013"/>
      <c r="R554" s="2013"/>
      <c r="S554" s="2013"/>
      <c r="T554" s="2013"/>
      <c r="U554" s="2013"/>
      <c r="V554" s="2013"/>
      <c r="W554" s="2013"/>
      <c r="X554" s="2013"/>
      <c r="Y554" s="2013"/>
      <c r="Z554" s="2013"/>
      <c r="AA554" s="2013"/>
      <c r="AB554" s="2013"/>
      <c r="AC554" s="2013"/>
      <c r="AD554" s="2013"/>
      <c r="AE554" s="2013"/>
      <c r="AF554" s="2013"/>
      <c r="AG554" s="2013"/>
      <c r="AH554" s="2013"/>
      <c r="AI554" s="2013"/>
      <c r="AJ554" s="2013"/>
      <c r="AK554" s="676"/>
      <c r="AL554" s="607"/>
      <c r="AM554" s="637"/>
      <c r="AN554" s="631"/>
    </row>
    <row r="555" spans="1:45" s="584" customFormat="1" ht="12.75" customHeight="1">
      <c r="A555" s="637"/>
      <c r="B555" s="2013"/>
      <c r="C555" s="2013"/>
      <c r="D555" s="2013"/>
      <c r="E555" s="2013"/>
      <c r="F555" s="2013"/>
      <c r="G555" s="2013"/>
      <c r="H555" s="2013"/>
      <c r="I555" s="2013"/>
      <c r="J555" s="2013"/>
      <c r="K555" s="2013"/>
      <c r="L555" s="2013"/>
      <c r="M555" s="2013"/>
      <c r="N555" s="2013"/>
      <c r="O555" s="2013"/>
      <c r="P555" s="2013"/>
      <c r="Q555" s="2013"/>
      <c r="R555" s="2013"/>
      <c r="S555" s="2013"/>
      <c r="T555" s="2013"/>
      <c r="U555" s="2013"/>
      <c r="V555" s="2013"/>
      <c r="W555" s="2013"/>
      <c r="X555" s="2013"/>
      <c r="Y555" s="2013"/>
      <c r="Z555" s="2013"/>
      <c r="AA555" s="2013"/>
      <c r="AB555" s="2013"/>
      <c r="AC555" s="2013"/>
      <c r="AD555" s="2013"/>
      <c r="AE555" s="2013"/>
      <c r="AF555" s="2013"/>
      <c r="AG555" s="2013"/>
      <c r="AH555" s="2013"/>
      <c r="AI555" s="2013"/>
      <c r="AJ555" s="2013"/>
      <c r="AK555" s="676"/>
      <c r="AL555" s="607"/>
      <c r="AM555" s="637"/>
      <c r="AN555" s="631"/>
    </row>
    <row r="556" spans="1:45" s="584" customFormat="1" ht="12.75" customHeight="1">
      <c r="A556" s="637"/>
      <c r="B556" s="2013"/>
      <c r="C556" s="2013"/>
      <c r="D556" s="2013"/>
      <c r="E556" s="2013"/>
      <c r="F556" s="2013"/>
      <c r="G556" s="2013"/>
      <c r="H556" s="2013"/>
      <c r="I556" s="2013"/>
      <c r="J556" s="2013"/>
      <c r="K556" s="2013"/>
      <c r="L556" s="2013"/>
      <c r="M556" s="2013"/>
      <c r="N556" s="2013"/>
      <c r="O556" s="2013"/>
      <c r="P556" s="2013"/>
      <c r="Q556" s="2013"/>
      <c r="R556" s="2013"/>
      <c r="S556" s="2013"/>
      <c r="T556" s="2013"/>
      <c r="U556" s="2013"/>
      <c r="V556" s="2013"/>
      <c r="W556" s="2013"/>
      <c r="X556" s="2013"/>
      <c r="Y556" s="2013"/>
      <c r="Z556" s="2013"/>
      <c r="AA556" s="2013"/>
      <c r="AB556" s="2013"/>
      <c r="AC556" s="2013"/>
      <c r="AD556" s="2013"/>
      <c r="AE556" s="2013"/>
      <c r="AF556" s="2013"/>
      <c r="AG556" s="2013"/>
      <c r="AH556" s="2013"/>
      <c r="AI556" s="2013"/>
      <c r="AJ556" s="2013"/>
      <c r="AK556" s="676"/>
      <c r="AL556" s="607"/>
      <c r="AM556" s="637"/>
      <c r="AN556" s="631"/>
    </row>
    <row r="557" spans="1:45" s="584" customFormat="1" ht="12.75" customHeight="1">
      <c r="A557" s="637"/>
      <c r="B557" s="2013"/>
      <c r="C557" s="2013"/>
      <c r="D557" s="2013"/>
      <c r="E557" s="2013"/>
      <c r="F557" s="2013"/>
      <c r="G557" s="2013"/>
      <c r="H557" s="2013"/>
      <c r="I557" s="2013"/>
      <c r="J557" s="2013"/>
      <c r="K557" s="2013"/>
      <c r="L557" s="2013"/>
      <c r="M557" s="2013"/>
      <c r="N557" s="2013"/>
      <c r="O557" s="2013"/>
      <c r="P557" s="2013"/>
      <c r="Q557" s="2013"/>
      <c r="R557" s="2013"/>
      <c r="S557" s="2013"/>
      <c r="T557" s="2013"/>
      <c r="U557" s="2013"/>
      <c r="V557" s="2013"/>
      <c r="W557" s="2013"/>
      <c r="X557" s="2013"/>
      <c r="Y557" s="2013"/>
      <c r="Z557" s="2013"/>
      <c r="AA557" s="2013"/>
      <c r="AB557" s="2013"/>
      <c r="AC557" s="2013"/>
      <c r="AD557" s="2013"/>
      <c r="AE557" s="2013"/>
      <c r="AF557" s="2013"/>
      <c r="AG557" s="2013"/>
      <c r="AH557" s="2013"/>
      <c r="AI557" s="2013"/>
      <c r="AJ557" s="2013"/>
      <c r="AK557" s="676"/>
      <c r="AL557" s="607"/>
      <c r="AM557" s="637"/>
      <c r="AN557" s="631"/>
    </row>
    <row r="558" spans="1:45" s="584" customFormat="1" ht="12.75" customHeight="1">
      <c r="A558" s="637"/>
      <c r="B558" s="2013"/>
      <c r="C558" s="2013"/>
      <c r="D558" s="2013"/>
      <c r="E558" s="2013"/>
      <c r="F558" s="2013"/>
      <c r="G558" s="2013"/>
      <c r="H558" s="2013"/>
      <c r="I558" s="2013"/>
      <c r="J558" s="2013"/>
      <c r="K558" s="2013"/>
      <c r="L558" s="2013"/>
      <c r="M558" s="2013"/>
      <c r="N558" s="2013"/>
      <c r="O558" s="2013"/>
      <c r="P558" s="2013"/>
      <c r="Q558" s="2013"/>
      <c r="R558" s="2013"/>
      <c r="S558" s="2013"/>
      <c r="T558" s="2013"/>
      <c r="U558" s="2013"/>
      <c r="V558" s="2013"/>
      <c r="W558" s="2013"/>
      <c r="X558" s="2013"/>
      <c r="Y558" s="2013"/>
      <c r="Z558" s="2013"/>
      <c r="AA558" s="2013"/>
      <c r="AB558" s="2013"/>
      <c r="AC558" s="2013"/>
      <c r="AD558" s="2013"/>
      <c r="AE558" s="2013"/>
      <c r="AF558" s="2013"/>
      <c r="AG558" s="2013"/>
      <c r="AH558" s="2013"/>
      <c r="AI558" s="2013"/>
      <c r="AJ558" s="2013"/>
      <c r="AK558" s="676"/>
      <c r="AL558" s="607"/>
      <c r="AM558" s="637"/>
      <c r="AN558" s="631"/>
    </row>
    <row r="559" spans="1:45" s="584" customFormat="1" ht="12.75" customHeight="1">
      <c r="A559" s="637"/>
      <c r="B559" s="2013"/>
      <c r="C559" s="2013"/>
      <c r="D559" s="2013"/>
      <c r="E559" s="2013"/>
      <c r="F559" s="2013"/>
      <c r="G559" s="2013"/>
      <c r="H559" s="2013"/>
      <c r="I559" s="2013"/>
      <c r="J559" s="2013"/>
      <c r="K559" s="2013"/>
      <c r="L559" s="2013"/>
      <c r="M559" s="2013"/>
      <c r="N559" s="2013"/>
      <c r="O559" s="2013"/>
      <c r="P559" s="2013"/>
      <c r="Q559" s="2013"/>
      <c r="R559" s="2013"/>
      <c r="S559" s="2013"/>
      <c r="T559" s="2013"/>
      <c r="U559" s="2013"/>
      <c r="V559" s="2013"/>
      <c r="W559" s="2013"/>
      <c r="X559" s="2013"/>
      <c r="Y559" s="2013"/>
      <c r="Z559" s="2013"/>
      <c r="AA559" s="2013"/>
      <c r="AB559" s="2013"/>
      <c r="AC559" s="2013"/>
      <c r="AD559" s="2013"/>
      <c r="AE559" s="2013"/>
      <c r="AF559" s="2013"/>
      <c r="AG559" s="2013"/>
      <c r="AH559" s="2013"/>
      <c r="AI559" s="2013"/>
      <c r="AJ559" s="2013"/>
      <c r="AK559" s="676"/>
      <c r="AL559" s="607"/>
      <c r="AM559" s="637"/>
      <c r="AN559" s="631"/>
    </row>
    <row r="560" spans="1:45" ht="12.75" customHeight="1">
      <c r="A560" s="637"/>
      <c r="B560" s="2013"/>
      <c r="C560" s="2013"/>
      <c r="D560" s="2013"/>
      <c r="E560" s="2013"/>
      <c r="F560" s="2013"/>
      <c r="G560" s="2013"/>
      <c r="H560" s="2013"/>
      <c r="I560" s="2013"/>
      <c r="J560" s="2013"/>
      <c r="K560" s="2013"/>
      <c r="L560" s="2013"/>
      <c r="M560" s="2013"/>
      <c r="N560" s="2013"/>
      <c r="O560" s="2013"/>
      <c r="P560" s="2013"/>
      <c r="Q560" s="2013"/>
      <c r="R560" s="2013"/>
      <c r="S560" s="2013"/>
      <c r="T560" s="2013"/>
      <c r="U560" s="2013"/>
      <c r="V560" s="2013"/>
      <c r="W560" s="2013"/>
      <c r="X560" s="2013"/>
      <c r="Y560" s="2013"/>
      <c r="Z560" s="2013"/>
      <c r="AA560" s="2013"/>
      <c r="AB560" s="2013"/>
      <c r="AC560" s="2013"/>
      <c r="AD560" s="2013"/>
      <c r="AE560" s="2013"/>
      <c r="AF560" s="2013"/>
      <c r="AG560" s="2013"/>
      <c r="AH560" s="2013"/>
      <c r="AI560" s="2013"/>
      <c r="AJ560" s="2013"/>
      <c r="AK560" s="676"/>
      <c r="AL560" s="607"/>
      <c r="AM560" s="637"/>
    </row>
    <row r="561" spans="1:42" s="584" customFormat="1" ht="12.75" customHeight="1">
      <c r="B561" s="2013"/>
      <c r="C561" s="2013"/>
      <c r="D561" s="2013"/>
      <c r="E561" s="2013"/>
      <c r="F561" s="2013"/>
      <c r="G561" s="2013"/>
      <c r="H561" s="2013"/>
      <c r="I561" s="2013"/>
      <c r="J561" s="2013"/>
      <c r="K561" s="2013"/>
      <c r="L561" s="2013"/>
      <c r="M561" s="2013"/>
      <c r="N561" s="2013"/>
      <c r="O561" s="2013"/>
      <c r="P561" s="2013"/>
      <c r="Q561" s="2013"/>
      <c r="R561" s="2013"/>
      <c r="S561" s="2013"/>
      <c r="T561" s="2013"/>
      <c r="U561" s="2013"/>
      <c r="V561" s="2013"/>
      <c r="W561" s="2013"/>
      <c r="X561" s="2013"/>
      <c r="Y561" s="2013"/>
      <c r="Z561" s="2013"/>
      <c r="AA561" s="2013"/>
      <c r="AB561" s="2013"/>
      <c r="AC561" s="2013"/>
      <c r="AD561" s="2013"/>
      <c r="AE561" s="2013"/>
      <c r="AF561" s="2013"/>
      <c r="AG561" s="2013"/>
      <c r="AH561" s="2013"/>
      <c r="AI561" s="2013"/>
      <c r="AJ561" s="20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60" t="s">
        <v>1448</v>
      </c>
      <c r="AG567" s="1960"/>
      <c r="AH567" s="1960"/>
      <c r="AI567" s="1960"/>
      <c r="AJ567" s="1960"/>
      <c r="AK567" s="1960"/>
      <c r="AL567" s="196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60" t="s">
        <v>1506</v>
      </c>
      <c r="AG574" s="1960"/>
      <c r="AH574" s="1960"/>
      <c r="AI574" s="1960"/>
      <c r="AJ574" s="1960"/>
      <c r="AK574" s="1960"/>
      <c r="AL574" s="196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60" t="s">
        <v>1488</v>
      </c>
      <c r="AG580" s="1960"/>
      <c r="AH580" s="1960"/>
      <c r="AI580" s="1960"/>
      <c r="AJ580" s="1960"/>
      <c r="AK580" s="1960"/>
      <c r="AL580" s="196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60" t="s">
        <v>1509</v>
      </c>
      <c r="AG586" s="1960"/>
      <c r="AH586" s="1960"/>
      <c r="AI586" s="1960"/>
      <c r="AJ586" s="1960"/>
      <c r="AK586" s="1960"/>
      <c r="AL586" s="196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44" t="s">
        <v>1289</v>
      </c>
      <c r="P590" s="2044"/>
      <c r="Q590" s="2044"/>
      <c r="R590" s="2044"/>
      <c r="S590" s="2044"/>
      <c r="T590" s="2044"/>
      <c r="U590" s="2044"/>
      <c r="V590" s="2044"/>
      <c r="W590" s="2044"/>
      <c r="X590" s="2044"/>
      <c r="Y590" s="2044"/>
      <c r="Z590" s="2044"/>
      <c r="AA590" s="2044"/>
      <c r="AB590" s="204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60" t="s">
        <v>1462</v>
      </c>
      <c r="AG592" s="1960"/>
      <c r="AH592" s="1960"/>
      <c r="AI592" s="1960"/>
      <c r="AJ592" s="1960"/>
      <c r="AK592" s="1960"/>
      <c r="AL592" s="196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42" t="s">
        <v>696</v>
      </c>
      <c r="I595" s="2042"/>
      <c r="J595" s="971"/>
      <c r="K595" s="971"/>
      <c r="L595" s="971"/>
      <c r="N595" s="22"/>
      <c r="O595" s="22"/>
      <c r="P595" s="22"/>
      <c r="Q595" s="1195" t="s">
        <v>2540</v>
      </c>
      <c r="R595" s="2045"/>
      <c r="S595" s="2045"/>
      <c r="T595" s="2045"/>
      <c r="U595" s="2045"/>
      <c r="V595" s="2045"/>
      <c r="W595" s="204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6" t="str">
        <f>IF(AND(H595="(i)",NOT(AP571)),AO588,IF(AND(H595="(iv)",OR(R595=AO584,R595=AO583),NOT(AP572)),AO589,""))</f>
        <v/>
      </c>
      <c r="Z596" s="2046"/>
      <c r="AA596" s="2046"/>
      <c r="AB596" s="2046"/>
      <c r="AC596" s="2046"/>
      <c r="AD596" s="2046"/>
      <c r="AE596" s="2046"/>
      <c r="AF596" s="2046"/>
      <c r="AG596" s="2046"/>
      <c r="AH596" s="2046"/>
      <c r="AI596" s="2046"/>
      <c r="AJ596" s="2046"/>
      <c r="AK596" s="2046"/>
      <c r="AL596" s="2046"/>
      <c r="AM596" s="204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6"/>
      <c r="Z597" s="2046"/>
      <c r="AA597" s="2046"/>
      <c r="AB597" s="2046"/>
      <c r="AC597" s="2046"/>
      <c r="AD597" s="2046"/>
      <c r="AE597" s="2046"/>
      <c r="AF597" s="2046"/>
      <c r="AG597" s="2046"/>
      <c r="AH597" s="2046"/>
      <c r="AI597" s="2046"/>
      <c r="AJ597" s="2046"/>
      <c r="AK597" s="2046"/>
      <c r="AL597" s="2046"/>
      <c r="AM597" s="204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43" t="s">
        <v>599</v>
      </c>
      <c r="J603" s="2043"/>
      <c r="K603" s="2043"/>
      <c r="L603" s="2043"/>
      <c r="M603" s="2043"/>
      <c r="N603" s="2043"/>
      <c r="O603" s="2043"/>
      <c r="P603" s="2043"/>
      <c r="Q603" s="2043"/>
      <c r="R603" s="2043"/>
      <c r="S603" s="2043"/>
      <c r="T603" s="2043"/>
      <c r="U603" s="2043"/>
      <c r="V603" s="2043"/>
      <c r="W603" s="2043"/>
      <c r="X603" s="2043"/>
      <c r="Y603" s="2043"/>
      <c r="Z603" s="2043"/>
      <c r="AA603" s="2043"/>
      <c r="AB603" s="2043"/>
      <c r="AC603" s="2043"/>
      <c r="AD603" s="2043"/>
      <c r="AE603" s="204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87" t="s">
        <v>599</v>
      </c>
      <c r="C605" s="1987"/>
      <c r="D605" s="676"/>
      <c r="E605" s="2013" t="s">
        <v>1513</v>
      </c>
      <c r="F605" s="2013"/>
      <c r="G605" s="2013"/>
      <c r="H605" s="2013"/>
      <c r="I605" s="2013"/>
      <c r="J605" s="2013"/>
      <c r="K605" s="2013"/>
      <c r="L605" s="2013"/>
      <c r="M605" s="2013"/>
      <c r="N605" s="2013"/>
      <c r="O605" s="2013"/>
      <c r="P605" s="2013"/>
      <c r="Q605" s="2013"/>
      <c r="R605" s="2013"/>
      <c r="S605" s="2013"/>
      <c r="T605" s="2013"/>
      <c r="U605" s="2013"/>
      <c r="V605" s="2013"/>
      <c r="W605" s="2013"/>
      <c r="X605" s="2013"/>
      <c r="Y605" s="2013"/>
      <c r="Z605" s="2013"/>
      <c r="AA605" s="2013"/>
      <c r="AB605" s="2013"/>
      <c r="AC605" s="2013"/>
      <c r="AD605" s="2013"/>
      <c r="AE605" s="2013"/>
      <c r="AF605" s="2013"/>
      <c r="AG605" s="2013"/>
      <c r="AH605" s="676"/>
      <c r="AI605" s="676"/>
      <c r="AJ605" s="676"/>
      <c r="AK605" s="676"/>
      <c r="AL605" s="676"/>
      <c r="AN605" s="631"/>
    </row>
    <row r="606" spans="2:47" s="584" customFormat="1" ht="12.75" customHeight="1">
      <c r="B606" s="570"/>
      <c r="C606" s="968"/>
      <c r="D606" s="676"/>
      <c r="E606" s="2013"/>
      <c r="F606" s="2013"/>
      <c r="G606" s="2013"/>
      <c r="H606" s="2013"/>
      <c r="I606" s="2013"/>
      <c r="J606" s="2013"/>
      <c r="K606" s="2013"/>
      <c r="L606" s="2013"/>
      <c r="M606" s="2013"/>
      <c r="N606" s="2013"/>
      <c r="O606" s="2013"/>
      <c r="P606" s="2013"/>
      <c r="Q606" s="2013"/>
      <c r="R606" s="2013"/>
      <c r="S606" s="2013"/>
      <c r="T606" s="2013"/>
      <c r="U606" s="2013"/>
      <c r="V606" s="2013"/>
      <c r="W606" s="2013"/>
      <c r="X606" s="2013"/>
      <c r="Y606" s="2013"/>
      <c r="Z606" s="2013"/>
      <c r="AA606" s="2013"/>
      <c r="AB606" s="2013"/>
      <c r="AC606" s="2013"/>
      <c r="AD606" s="2013"/>
      <c r="AE606" s="2013"/>
      <c r="AF606" s="2013"/>
      <c r="AG606" s="2013"/>
      <c r="AH606" s="676"/>
      <c r="AI606" s="676"/>
      <c r="AJ606" s="676"/>
      <c r="AK606" s="676"/>
      <c r="AL606" s="676"/>
      <c r="AN606" s="631"/>
    </row>
    <row r="607" spans="2:47" s="584" customFormat="1" ht="12.75" customHeight="1">
      <c r="B607" s="570"/>
      <c r="C607" s="968"/>
      <c r="D607" s="676"/>
      <c r="E607" s="2013"/>
      <c r="F607" s="2013"/>
      <c r="G607" s="2013"/>
      <c r="H607" s="2013"/>
      <c r="I607" s="2013"/>
      <c r="J607" s="2013"/>
      <c r="K607" s="2013"/>
      <c r="L607" s="2013"/>
      <c r="M607" s="2013"/>
      <c r="N607" s="2013"/>
      <c r="O607" s="2013"/>
      <c r="P607" s="2013"/>
      <c r="Q607" s="2013"/>
      <c r="R607" s="2013"/>
      <c r="S607" s="2013"/>
      <c r="T607" s="2013"/>
      <c r="U607" s="2013"/>
      <c r="V607" s="2013"/>
      <c r="W607" s="2013"/>
      <c r="X607" s="2013"/>
      <c r="Y607" s="2013"/>
      <c r="Z607" s="2013"/>
      <c r="AA607" s="2013"/>
      <c r="AB607" s="2013"/>
      <c r="AC607" s="2013"/>
      <c r="AD607" s="2013"/>
      <c r="AE607" s="2013"/>
      <c r="AF607" s="2013"/>
      <c r="AG607" s="2013"/>
      <c r="AH607" s="676"/>
      <c r="AI607" s="676"/>
      <c r="AJ607" s="676"/>
      <c r="AK607" s="676"/>
      <c r="AL607" s="676"/>
      <c r="AN607" s="631"/>
    </row>
    <row r="608" spans="2:47" s="584" customFormat="1" ht="12.75" customHeight="1">
      <c r="B608" s="570"/>
      <c r="C608" s="968"/>
      <c r="D608" s="676"/>
      <c r="E608" s="2013"/>
      <c r="F608" s="2013"/>
      <c r="G608" s="2013"/>
      <c r="H608" s="2013"/>
      <c r="I608" s="2013"/>
      <c r="J608" s="2013"/>
      <c r="K608" s="2013"/>
      <c r="L608" s="2013"/>
      <c r="M608" s="2013"/>
      <c r="N608" s="2013"/>
      <c r="O608" s="2013"/>
      <c r="P608" s="2013"/>
      <c r="Q608" s="2013"/>
      <c r="R608" s="2013"/>
      <c r="S608" s="2013"/>
      <c r="T608" s="2013"/>
      <c r="U608" s="2013"/>
      <c r="V608" s="2013"/>
      <c r="W608" s="2013"/>
      <c r="X608" s="2013"/>
      <c r="Y608" s="2013"/>
      <c r="Z608" s="2013"/>
      <c r="AA608" s="2013"/>
      <c r="AB608" s="2013"/>
      <c r="AC608" s="2013"/>
      <c r="AD608" s="2013"/>
      <c r="AE608" s="2013"/>
      <c r="AF608" s="2013"/>
      <c r="AG608" s="20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93">
        <f>VLOOKUP($H$595,$AO$575:$AP$580,2,FALSE)+IF(R595=AO583,0,VLOOKUP($I$603,$AO$602:$AP$604,2,FALSE))</f>
        <v>7</v>
      </c>
      <c r="AK610" s="199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1" t="s">
        <v>1883</v>
      </c>
      <c r="F614" s="2041"/>
      <c r="G614" s="2041"/>
      <c r="H614" s="2041"/>
      <c r="I614" s="2041"/>
      <c r="J614" s="2041"/>
      <c r="K614" s="2041"/>
      <c r="L614" s="2041"/>
      <c r="M614" s="2041"/>
      <c r="N614" s="2041"/>
      <c r="O614" s="2041"/>
      <c r="P614" s="2041"/>
      <c r="Q614" s="2041"/>
      <c r="R614" s="2041"/>
      <c r="S614" s="2041"/>
      <c r="T614" s="2041"/>
      <c r="U614" s="2041"/>
      <c r="V614" s="2041"/>
      <c r="W614" s="2041"/>
      <c r="X614" s="2041"/>
      <c r="Y614" s="2041"/>
      <c r="Z614" s="2041"/>
      <c r="AA614" s="2041"/>
      <c r="AB614" s="2041"/>
      <c r="AC614" s="2041"/>
      <c r="AD614" s="2041"/>
      <c r="AE614" s="573"/>
      <c r="AF614" s="1960" t="s">
        <v>1462</v>
      </c>
      <c r="AG614" s="1960"/>
      <c r="AH614" s="1960"/>
      <c r="AI614" s="1960"/>
      <c r="AJ614" s="1960"/>
      <c r="AK614" s="1960"/>
      <c r="AL614" s="1960"/>
      <c r="AM614" s="584"/>
      <c r="AN614" s="712"/>
    </row>
    <row r="615" spans="1:42" s="584" customFormat="1" ht="12.75" customHeight="1">
      <c r="A615" s="713"/>
      <c r="B615" s="570"/>
      <c r="C615" s="968"/>
      <c r="D615" s="697"/>
      <c r="E615" s="2041"/>
      <c r="F615" s="2041"/>
      <c r="G615" s="2041"/>
      <c r="H615" s="2041"/>
      <c r="I615" s="2041"/>
      <c r="J615" s="2041"/>
      <c r="K615" s="2041"/>
      <c r="L615" s="2041"/>
      <c r="M615" s="2041"/>
      <c r="N615" s="2041"/>
      <c r="O615" s="2041"/>
      <c r="P615" s="2041"/>
      <c r="Q615" s="2041"/>
      <c r="R615" s="2041"/>
      <c r="S615" s="2041"/>
      <c r="T615" s="2041"/>
      <c r="U615" s="2041"/>
      <c r="V615" s="2041"/>
      <c r="W615" s="2041"/>
      <c r="X615" s="2041"/>
      <c r="Y615" s="2041"/>
      <c r="Z615" s="2041"/>
      <c r="AA615" s="2041"/>
      <c r="AB615" s="2041"/>
      <c r="AC615" s="2041"/>
      <c r="AD615" s="2041"/>
      <c r="AE615" s="570"/>
      <c r="AF615" s="570"/>
      <c r="AG615" s="570"/>
      <c r="AH615" s="570"/>
      <c r="AI615" s="570"/>
      <c r="AJ615" s="570"/>
      <c r="AK615" s="570"/>
      <c r="AL615" s="570"/>
      <c r="AN615" s="631"/>
    </row>
    <row r="616" spans="1:42" s="584" customFormat="1" ht="12.75" customHeight="1">
      <c r="B616" s="570"/>
      <c r="C616" s="966"/>
      <c r="D616" s="697"/>
      <c r="E616" s="2041"/>
      <c r="F616" s="2041"/>
      <c r="G616" s="2041"/>
      <c r="H616" s="2041"/>
      <c r="I616" s="2041"/>
      <c r="J616" s="2041"/>
      <c r="K616" s="2041"/>
      <c r="L616" s="2041"/>
      <c r="M616" s="2041"/>
      <c r="N616" s="2041"/>
      <c r="O616" s="2041"/>
      <c r="P616" s="2041"/>
      <c r="Q616" s="2041"/>
      <c r="R616" s="2041"/>
      <c r="S616" s="2041"/>
      <c r="T616" s="2041"/>
      <c r="U616" s="2041"/>
      <c r="V616" s="2041"/>
      <c r="W616" s="2041"/>
      <c r="X616" s="2041"/>
      <c r="Y616" s="2041"/>
      <c r="Z616" s="2041"/>
      <c r="AA616" s="2041"/>
      <c r="AB616" s="2041"/>
      <c r="AC616" s="2041"/>
      <c r="AD616" s="2041"/>
      <c r="AE616" s="570"/>
      <c r="AF616" s="570"/>
      <c r="AG616" s="570"/>
      <c r="AH616" s="570"/>
      <c r="AI616" s="570"/>
      <c r="AJ616" s="570"/>
      <c r="AK616" s="570"/>
      <c r="AL616" s="570"/>
      <c r="AN616" s="631"/>
    </row>
    <row r="617" spans="1:42" s="584" customFormat="1" ht="12.75" customHeight="1">
      <c r="B617" s="570"/>
      <c r="C617" s="966"/>
      <c r="D617" s="697"/>
      <c r="E617" s="2041"/>
      <c r="F617" s="2041"/>
      <c r="G617" s="2041"/>
      <c r="H617" s="2041"/>
      <c r="I617" s="2041"/>
      <c r="J617" s="2041"/>
      <c r="K617" s="2041"/>
      <c r="L617" s="2041"/>
      <c r="M617" s="2041"/>
      <c r="N617" s="2041"/>
      <c r="O617" s="2041"/>
      <c r="P617" s="2041"/>
      <c r="Q617" s="2041"/>
      <c r="R617" s="2041"/>
      <c r="S617" s="2041"/>
      <c r="T617" s="2041"/>
      <c r="U617" s="2041"/>
      <c r="V617" s="2041"/>
      <c r="W617" s="2041"/>
      <c r="X617" s="2041"/>
      <c r="Y617" s="2041"/>
      <c r="Z617" s="2041"/>
      <c r="AA617" s="2041"/>
      <c r="AB617" s="2041"/>
      <c r="AC617" s="2041"/>
      <c r="AD617" s="2041"/>
      <c r="AE617" s="570"/>
      <c r="AF617" s="570"/>
      <c r="AG617" s="570"/>
      <c r="AH617" s="570"/>
      <c r="AI617" s="570"/>
      <c r="AJ617" s="570"/>
      <c r="AK617" s="570"/>
      <c r="AL617" s="570"/>
      <c r="AN617" s="631"/>
    </row>
    <row r="618" spans="1:42" s="584" customFormat="1" ht="12.75" customHeight="1">
      <c r="B618" s="570"/>
      <c r="C618" s="966"/>
      <c r="D618" s="697"/>
      <c r="E618" s="2041"/>
      <c r="F618" s="2041"/>
      <c r="G618" s="2041"/>
      <c r="H618" s="2041"/>
      <c r="I618" s="2041"/>
      <c r="J618" s="2041"/>
      <c r="K618" s="2041"/>
      <c r="L618" s="2041"/>
      <c r="M618" s="2041"/>
      <c r="N618" s="2041"/>
      <c r="O618" s="2041"/>
      <c r="P618" s="2041"/>
      <c r="Q618" s="2041"/>
      <c r="R618" s="2041"/>
      <c r="S618" s="2041"/>
      <c r="T618" s="2041"/>
      <c r="U618" s="2041"/>
      <c r="V618" s="2041"/>
      <c r="W618" s="2041"/>
      <c r="X618" s="2041"/>
      <c r="Y618" s="2041"/>
      <c r="Z618" s="2041"/>
      <c r="AA618" s="2041"/>
      <c r="AB618" s="2041"/>
      <c r="AC618" s="2041"/>
      <c r="AD618" s="2041"/>
      <c r="AE618" s="570"/>
      <c r="AF618" s="570"/>
      <c r="AG618" s="570"/>
      <c r="AH618" s="570"/>
      <c r="AI618" s="570"/>
      <c r="AJ618" s="570"/>
      <c r="AK618" s="570"/>
      <c r="AL618" s="570"/>
      <c r="AN618" s="631"/>
    </row>
    <row r="619" spans="1:42" s="584" customFormat="1" ht="12.75" customHeight="1">
      <c r="B619" s="570"/>
      <c r="C619" s="966"/>
      <c r="D619" s="697"/>
      <c r="E619" s="2041"/>
      <c r="F619" s="2041"/>
      <c r="G619" s="2041"/>
      <c r="H619" s="2041"/>
      <c r="I619" s="2041"/>
      <c r="J619" s="2041"/>
      <c r="K619" s="2041"/>
      <c r="L619" s="2041"/>
      <c r="M619" s="2041"/>
      <c r="N619" s="2041"/>
      <c r="O619" s="2041"/>
      <c r="P619" s="2041"/>
      <c r="Q619" s="2041"/>
      <c r="R619" s="2041"/>
      <c r="S619" s="2041"/>
      <c r="T619" s="2041"/>
      <c r="U619" s="2041"/>
      <c r="V619" s="2041"/>
      <c r="W619" s="2041"/>
      <c r="X619" s="2041"/>
      <c r="Y619" s="2041"/>
      <c r="Z619" s="2041"/>
      <c r="AA619" s="2041"/>
      <c r="AB619" s="2041"/>
      <c r="AC619" s="2041"/>
      <c r="AD619" s="2041"/>
      <c r="AE619" s="570"/>
      <c r="AF619" s="570"/>
      <c r="AG619" s="570"/>
      <c r="AH619" s="570"/>
      <c r="AI619" s="570"/>
      <c r="AJ619" s="570"/>
      <c r="AK619" s="570"/>
      <c r="AL619" s="570"/>
      <c r="AN619" s="631"/>
    </row>
    <row r="620" spans="1:42" s="584" customFormat="1" ht="12.75" customHeight="1">
      <c r="A620" s="671"/>
      <c r="B620" s="650"/>
      <c r="C620" s="975"/>
      <c r="D620" s="697"/>
      <c r="E620" s="2041"/>
      <c r="F620" s="2041"/>
      <c r="G620" s="2041"/>
      <c r="H620" s="2041"/>
      <c r="I620" s="2041"/>
      <c r="J620" s="2041"/>
      <c r="K620" s="2041"/>
      <c r="L620" s="2041"/>
      <c r="M620" s="2041"/>
      <c r="N620" s="2041"/>
      <c r="O620" s="2041"/>
      <c r="P620" s="2041"/>
      <c r="Q620" s="2041"/>
      <c r="R620" s="2041"/>
      <c r="S620" s="2041"/>
      <c r="T620" s="2041"/>
      <c r="U620" s="2041"/>
      <c r="V620" s="2041"/>
      <c r="W620" s="2041"/>
      <c r="X620" s="2041"/>
      <c r="Y620" s="2041"/>
      <c r="Z620" s="2041"/>
      <c r="AA620" s="2041"/>
      <c r="AB620" s="2041"/>
      <c r="AC620" s="2041"/>
      <c r="AD620" s="2041"/>
      <c r="AE620" s="650"/>
      <c r="AF620" s="650"/>
      <c r="AG620" s="650"/>
      <c r="AH620" s="650"/>
      <c r="AI620" s="650"/>
      <c r="AJ620" s="650"/>
      <c r="AK620" s="570"/>
      <c r="AL620" s="570"/>
      <c r="AN620" s="631"/>
    </row>
    <row r="621" spans="1:42" s="584" customFormat="1" ht="12.75" customHeight="1">
      <c r="B621" s="650"/>
      <c r="C621" s="975"/>
      <c r="D621" s="697"/>
      <c r="E621" s="2041"/>
      <c r="F621" s="2041"/>
      <c r="G621" s="2041"/>
      <c r="H621" s="2041"/>
      <c r="I621" s="2041"/>
      <c r="J621" s="2041"/>
      <c r="K621" s="2041"/>
      <c r="L621" s="2041"/>
      <c r="M621" s="2041"/>
      <c r="N621" s="2041"/>
      <c r="O621" s="2041"/>
      <c r="P621" s="2041"/>
      <c r="Q621" s="2041"/>
      <c r="R621" s="2041"/>
      <c r="S621" s="2041"/>
      <c r="T621" s="2041"/>
      <c r="U621" s="2041"/>
      <c r="V621" s="2041"/>
      <c r="W621" s="2041"/>
      <c r="X621" s="2041"/>
      <c r="Y621" s="2041"/>
      <c r="Z621" s="2041"/>
      <c r="AA621" s="2041"/>
      <c r="AB621" s="2041"/>
      <c r="AC621" s="2041"/>
      <c r="AD621" s="204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87" t="s">
        <v>599</v>
      </c>
      <c r="Y623" s="198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60" t="s">
        <v>1518</v>
      </c>
      <c r="AG625" s="1960"/>
      <c r="AH625" s="1960"/>
      <c r="AI625" s="1960"/>
      <c r="AJ625" s="1960"/>
      <c r="AK625" s="1960"/>
      <c r="AL625" s="196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42" t="s">
        <v>696</v>
      </c>
      <c r="I627" s="20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93">
        <f>VLOOKUP($H$627,$AO$594:$AP$596,2,FALSE)</f>
        <v>3</v>
      </c>
      <c r="AK629" s="199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13" t="s">
        <v>2415</v>
      </c>
      <c r="F633" s="2013"/>
      <c r="G633" s="2013"/>
      <c r="H633" s="2013"/>
      <c r="I633" s="2013"/>
      <c r="J633" s="2013"/>
      <c r="K633" s="2013"/>
      <c r="L633" s="2013"/>
      <c r="M633" s="2013"/>
      <c r="N633" s="2013"/>
      <c r="O633" s="2013"/>
      <c r="P633" s="2013"/>
      <c r="Q633" s="2013"/>
      <c r="R633" s="2013"/>
      <c r="S633" s="2013"/>
      <c r="T633" s="2013"/>
      <c r="U633" s="2013"/>
      <c r="V633" s="2013"/>
      <c r="W633" s="2013"/>
      <c r="X633" s="2013"/>
      <c r="Y633" s="2013"/>
      <c r="Z633" s="2013"/>
      <c r="AA633" s="2013"/>
      <c r="AB633" s="2013"/>
      <c r="AC633" s="2013"/>
      <c r="AD633" s="2013"/>
      <c r="AE633" s="570"/>
      <c r="AF633" s="1960" t="s">
        <v>1462</v>
      </c>
      <c r="AG633" s="1960"/>
      <c r="AH633" s="1960"/>
      <c r="AI633" s="1960"/>
      <c r="AJ633" s="1960"/>
      <c r="AK633" s="1960"/>
      <c r="AL633" s="1960"/>
      <c r="AN633" s="631"/>
    </row>
    <row r="634" spans="1:42" s="584" customFormat="1" ht="12.75" customHeight="1">
      <c r="B634" s="570"/>
      <c r="C634" s="570"/>
      <c r="D634" s="697"/>
      <c r="E634" s="2013"/>
      <c r="F634" s="2013"/>
      <c r="G634" s="2013"/>
      <c r="H634" s="2013"/>
      <c r="I634" s="2013"/>
      <c r="J634" s="2013"/>
      <c r="K634" s="2013"/>
      <c r="L634" s="2013"/>
      <c r="M634" s="2013"/>
      <c r="N634" s="2013"/>
      <c r="O634" s="2013"/>
      <c r="P634" s="2013"/>
      <c r="Q634" s="2013"/>
      <c r="R634" s="2013"/>
      <c r="S634" s="2013"/>
      <c r="T634" s="2013"/>
      <c r="U634" s="2013"/>
      <c r="V634" s="2013"/>
      <c r="W634" s="2013"/>
      <c r="X634" s="2013"/>
      <c r="Y634" s="2013"/>
      <c r="Z634" s="2013"/>
      <c r="AA634" s="2013"/>
      <c r="AB634" s="2013"/>
      <c r="AC634" s="2013"/>
      <c r="AD634" s="20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60" t="s">
        <v>1518</v>
      </c>
      <c r="AG636" s="1960"/>
      <c r="AH636" s="1960"/>
      <c r="AI636" s="1960"/>
      <c r="AJ636" s="1960"/>
      <c r="AK636" s="1960"/>
      <c r="AL636" s="196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42" t="s">
        <v>696</v>
      </c>
      <c r="I639" s="20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93">
        <f>VLOOKUP(H639,AT594:AU596,2,FALSE)</f>
        <v>3</v>
      </c>
      <c r="AK641" s="199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13" t="s">
        <v>1528</v>
      </c>
      <c r="F646" s="2013"/>
      <c r="G646" s="2013"/>
      <c r="H646" s="2013"/>
      <c r="I646" s="2013"/>
      <c r="J646" s="2013"/>
      <c r="K646" s="2013"/>
      <c r="L646" s="2013"/>
      <c r="M646" s="2013"/>
      <c r="N646" s="2013"/>
      <c r="O646" s="2013"/>
      <c r="P646" s="2013"/>
      <c r="Q646" s="2013"/>
      <c r="R646" s="2013"/>
      <c r="S646" s="2013"/>
      <c r="T646" s="2013"/>
      <c r="U646" s="2013"/>
      <c r="V646" s="2013"/>
      <c r="W646" s="2013"/>
      <c r="X646" s="2013"/>
      <c r="Y646" s="2013"/>
      <c r="Z646" s="2013"/>
      <c r="AA646" s="2013"/>
      <c r="AB646" s="2013"/>
      <c r="AC646" s="2013"/>
      <c r="AD646" s="570"/>
      <c r="AE646" s="570"/>
      <c r="AF646" s="1960" t="s">
        <v>1488</v>
      </c>
      <c r="AG646" s="1960"/>
      <c r="AH646" s="1960"/>
      <c r="AI646" s="1960"/>
      <c r="AJ646" s="1960"/>
      <c r="AK646" s="1960"/>
      <c r="AL646" s="1960"/>
      <c r="AN646" s="631"/>
    </row>
    <row r="647" spans="1:42" s="584" customFormat="1" ht="12.75" customHeight="1">
      <c r="B647" s="570"/>
      <c r="C647" s="573"/>
      <c r="D647" s="570"/>
      <c r="E647" s="2013"/>
      <c r="F647" s="2013"/>
      <c r="G647" s="2013"/>
      <c r="H647" s="2013"/>
      <c r="I647" s="2013"/>
      <c r="J647" s="2013"/>
      <c r="K647" s="2013"/>
      <c r="L647" s="2013"/>
      <c r="M647" s="2013"/>
      <c r="N647" s="2013"/>
      <c r="O647" s="2013"/>
      <c r="P647" s="2013"/>
      <c r="Q647" s="2013"/>
      <c r="R647" s="2013"/>
      <c r="S647" s="2013"/>
      <c r="T647" s="2013"/>
      <c r="U647" s="2013"/>
      <c r="V647" s="2013"/>
      <c r="W647" s="2013"/>
      <c r="X647" s="2013"/>
      <c r="Y647" s="2013"/>
      <c r="Z647" s="2013"/>
      <c r="AA647" s="2013"/>
      <c r="AB647" s="2013"/>
      <c r="AC647" s="2013"/>
      <c r="AD647" s="570"/>
      <c r="AE647" s="570"/>
      <c r="AF647" s="570"/>
      <c r="AG647" s="570"/>
      <c r="AH647" s="570"/>
      <c r="AI647" s="570"/>
      <c r="AJ647" s="570"/>
      <c r="AK647" s="570"/>
      <c r="AL647" s="570"/>
      <c r="AN647" s="631"/>
    </row>
    <row r="648" spans="1:42" s="584" customFormat="1" ht="12.75" customHeight="1">
      <c r="B648" s="570"/>
      <c r="C648" s="573"/>
      <c r="D648" s="697"/>
      <c r="E648" s="2013"/>
      <c r="F648" s="2013"/>
      <c r="G648" s="2013"/>
      <c r="H648" s="2013"/>
      <c r="I648" s="2013"/>
      <c r="J648" s="2013"/>
      <c r="K648" s="2013"/>
      <c r="L648" s="2013"/>
      <c r="M648" s="2013"/>
      <c r="N648" s="2013"/>
      <c r="O648" s="2013"/>
      <c r="P648" s="2013"/>
      <c r="Q648" s="2013"/>
      <c r="R648" s="2013"/>
      <c r="S648" s="2013"/>
      <c r="T648" s="2013"/>
      <c r="U648" s="2013"/>
      <c r="V648" s="2013"/>
      <c r="W648" s="2013"/>
      <c r="X648" s="2013"/>
      <c r="Y648" s="2013"/>
      <c r="Z648" s="2013"/>
      <c r="AA648" s="2013"/>
      <c r="AB648" s="2013"/>
      <c r="AC648" s="20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13" t="s">
        <v>1529</v>
      </c>
      <c r="F650" s="2013"/>
      <c r="G650" s="2013"/>
      <c r="H650" s="2013"/>
      <c r="I650" s="2013"/>
      <c r="J650" s="2013"/>
      <c r="K650" s="2013"/>
      <c r="L650" s="2013"/>
      <c r="M650" s="2013"/>
      <c r="N650" s="2013"/>
      <c r="O650" s="2013"/>
      <c r="P650" s="2013"/>
      <c r="Q650" s="2013"/>
      <c r="R650" s="2013"/>
      <c r="S650" s="2013"/>
      <c r="T650" s="2013"/>
      <c r="U650" s="2013"/>
      <c r="V650" s="2013"/>
      <c r="W650" s="2013"/>
      <c r="X650" s="2013"/>
      <c r="Y650" s="2013"/>
      <c r="Z650" s="2013"/>
      <c r="AA650" s="2013"/>
      <c r="AB650" s="2013"/>
      <c r="AC650" s="2013"/>
      <c r="AD650" s="570"/>
      <c r="AE650" s="570"/>
      <c r="AF650" s="1960" t="s">
        <v>1509</v>
      </c>
      <c r="AG650" s="1960"/>
      <c r="AH650" s="1960"/>
      <c r="AI650" s="1960"/>
      <c r="AJ650" s="1960"/>
      <c r="AK650" s="1960"/>
      <c r="AL650" s="1960"/>
      <c r="AN650" s="631"/>
    </row>
    <row r="651" spans="1:42" s="584" customFormat="1" ht="12.75" customHeight="1">
      <c r="B651" s="570"/>
      <c r="C651" s="573"/>
      <c r="D651" s="570"/>
      <c r="E651" s="2013"/>
      <c r="F651" s="2013"/>
      <c r="G651" s="2013"/>
      <c r="H651" s="2013"/>
      <c r="I651" s="2013"/>
      <c r="J651" s="2013"/>
      <c r="K651" s="2013"/>
      <c r="L651" s="2013"/>
      <c r="M651" s="2013"/>
      <c r="N651" s="2013"/>
      <c r="O651" s="2013"/>
      <c r="P651" s="2013"/>
      <c r="Q651" s="2013"/>
      <c r="R651" s="2013"/>
      <c r="S651" s="2013"/>
      <c r="T651" s="2013"/>
      <c r="U651" s="2013"/>
      <c r="V651" s="2013"/>
      <c r="W651" s="2013"/>
      <c r="X651" s="2013"/>
      <c r="Y651" s="2013"/>
      <c r="Z651" s="2013"/>
      <c r="AA651" s="2013"/>
      <c r="AB651" s="2013"/>
      <c r="AC651" s="2013"/>
      <c r="AD651" s="570"/>
      <c r="AE651" s="570"/>
      <c r="AF651" s="570"/>
      <c r="AG651" s="570"/>
      <c r="AH651" s="570"/>
      <c r="AI651" s="570"/>
      <c r="AJ651" s="570"/>
      <c r="AK651" s="570"/>
      <c r="AL651" s="570"/>
      <c r="AN651" s="631"/>
    </row>
    <row r="652" spans="1:42" s="584" customFormat="1" ht="15" customHeight="1">
      <c r="B652" s="570"/>
      <c r="C652" s="573"/>
      <c r="D652" s="697"/>
      <c r="E652" s="2013"/>
      <c r="F652" s="2013"/>
      <c r="G652" s="2013"/>
      <c r="H652" s="2013"/>
      <c r="I652" s="2013"/>
      <c r="J652" s="2013"/>
      <c r="K652" s="2013"/>
      <c r="L652" s="2013"/>
      <c r="M652" s="2013"/>
      <c r="N652" s="2013"/>
      <c r="O652" s="2013"/>
      <c r="P652" s="2013"/>
      <c r="Q652" s="2013"/>
      <c r="R652" s="2013"/>
      <c r="S652" s="2013"/>
      <c r="T652" s="2013"/>
      <c r="U652" s="2013"/>
      <c r="V652" s="2013"/>
      <c r="W652" s="2013"/>
      <c r="X652" s="2013"/>
      <c r="Y652" s="2013"/>
      <c r="Z652" s="2013"/>
      <c r="AA652" s="2013"/>
      <c r="AB652" s="2013"/>
      <c r="AC652" s="20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13" t="s">
        <v>1530</v>
      </c>
      <c r="F654" s="2013"/>
      <c r="G654" s="2013"/>
      <c r="H654" s="2013"/>
      <c r="I654" s="2013"/>
      <c r="J654" s="2013"/>
      <c r="K654" s="2013"/>
      <c r="L654" s="2013"/>
      <c r="M654" s="2013"/>
      <c r="N654" s="2013"/>
      <c r="O654" s="2013"/>
      <c r="P654" s="2013"/>
      <c r="Q654" s="2013"/>
      <c r="R654" s="2013"/>
      <c r="S654" s="2013"/>
      <c r="T654" s="2013"/>
      <c r="U654" s="2013"/>
      <c r="V654" s="2013"/>
      <c r="W654" s="2013"/>
      <c r="X654" s="2013"/>
      <c r="Y654" s="2013"/>
      <c r="Z654" s="2013"/>
      <c r="AA654" s="2013"/>
      <c r="AB654" s="2013"/>
      <c r="AC654" s="2013"/>
      <c r="AD654" s="570"/>
      <c r="AE654" s="570"/>
      <c r="AF654" s="1960" t="s">
        <v>1462</v>
      </c>
      <c r="AG654" s="1960"/>
      <c r="AH654" s="1960"/>
      <c r="AI654" s="1960"/>
      <c r="AJ654" s="1960"/>
      <c r="AK654" s="1960"/>
      <c r="AL654" s="1960"/>
      <c r="AN654" s="631"/>
    </row>
    <row r="655" spans="1:42" s="584" customFormat="1" ht="12.75" customHeight="1">
      <c r="B655" s="570"/>
      <c r="C655" s="966"/>
      <c r="D655" s="570"/>
      <c r="E655" s="2013"/>
      <c r="F655" s="2013"/>
      <c r="G655" s="2013"/>
      <c r="H655" s="2013"/>
      <c r="I655" s="2013"/>
      <c r="J655" s="2013"/>
      <c r="K655" s="2013"/>
      <c r="L655" s="2013"/>
      <c r="M655" s="2013"/>
      <c r="N655" s="2013"/>
      <c r="O655" s="2013"/>
      <c r="P655" s="2013"/>
      <c r="Q655" s="2013"/>
      <c r="R655" s="2013"/>
      <c r="S655" s="2013"/>
      <c r="T655" s="2013"/>
      <c r="U655" s="2013"/>
      <c r="V655" s="2013"/>
      <c r="W655" s="2013"/>
      <c r="X655" s="2013"/>
      <c r="Y655" s="2013"/>
      <c r="Z655" s="2013"/>
      <c r="AA655" s="2013"/>
      <c r="AB655" s="2013"/>
      <c r="AC655" s="2013"/>
      <c r="AD655" s="570"/>
      <c r="AE655" s="1960"/>
      <c r="AF655" s="1960"/>
      <c r="AG655" s="1960"/>
      <c r="AH655" s="1960"/>
      <c r="AI655" s="1960"/>
      <c r="AJ655" s="1960"/>
      <c r="AK655" s="1960"/>
      <c r="AL655" s="628"/>
      <c r="AN655" s="631"/>
      <c r="AO655" s="584" t="s">
        <v>599</v>
      </c>
      <c r="AP655" s="707">
        <v>0</v>
      </c>
    </row>
    <row r="656" spans="1:42" s="584" customFormat="1" ht="12.75" customHeight="1">
      <c r="A656" s="713"/>
      <c r="B656" s="570"/>
      <c r="C656" s="570"/>
      <c r="D656" s="697"/>
      <c r="E656" s="2013"/>
      <c r="F656" s="2013"/>
      <c r="G656" s="2013"/>
      <c r="H656" s="2013"/>
      <c r="I656" s="2013"/>
      <c r="J656" s="2013"/>
      <c r="K656" s="2013"/>
      <c r="L656" s="2013"/>
      <c r="M656" s="2013"/>
      <c r="N656" s="2013"/>
      <c r="O656" s="2013"/>
      <c r="P656" s="2013"/>
      <c r="Q656" s="2013"/>
      <c r="R656" s="2013"/>
      <c r="S656" s="2013"/>
      <c r="T656" s="2013"/>
      <c r="U656" s="2013"/>
      <c r="V656" s="2013"/>
      <c r="W656" s="2013"/>
      <c r="X656" s="2013"/>
      <c r="Y656" s="2013"/>
      <c r="Z656" s="2013"/>
      <c r="AA656" s="2013"/>
      <c r="AB656" s="2013"/>
      <c r="AC656" s="201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2013" t="s">
        <v>1531</v>
      </c>
      <c r="F658" s="2013"/>
      <c r="G658" s="2013"/>
      <c r="H658" s="2013"/>
      <c r="I658" s="2013"/>
      <c r="J658" s="2013"/>
      <c r="K658" s="2013"/>
      <c r="L658" s="2013"/>
      <c r="M658" s="2013"/>
      <c r="N658" s="2013"/>
      <c r="O658" s="2013"/>
      <c r="P658" s="2013"/>
      <c r="Q658" s="2013"/>
      <c r="R658" s="2013"/>
      <c r="S658" s="2013"/>
      <c r="T658" s="2013"/>
      <c r="U658" s="2013"/>
      <c r="V658" s="2013"/>
      <c r="W658" s="2013"/>
      <c r="X658" s="2013"/>
      <c r="Y658" s="2013"/>
      <c r="Z658" s="2013"/>
      <c r="AA658" s="2013"/>
      <c r="AB658" s="2013"/>
      <c r="AC658" s="2013"/>
      <c r="AD658" s="570"/>
      <c r="AE658" s="570"/>
      <c r="AF658" s="1960" t="s">
        <v>1509</v>
      </c>
      <c r="AG658" s="1960"/>
      <c r="AH658" s="1960"/>
      <c r="AI658" s="1960"/>
      <c r="AJ658" s="1960"/>
      <c r="AK658" s="1960"/>
      <c r="AL658" s="1960"/>
      <c r="AN658" s="631"/>
    </row>
    <row r="659" spans="1:42" s="584" customFormat="1" ht="12.75" customHeight="1">
      <c r="A659" s="704"/>
      <c r="B659" s="570"/>
      <c r="C659" s="982"/>
      <c r="D659" s="697"/>
      <c r="E659" s="2013"/>
      <c r="F659" s="2013"/>
      <c r="G659" s="2013"/>
      <c r="H659" s="2013"/>
      <c r="I659" s="2013"/>
      <c r="J659" s="2013"/>
      <c r="K659" s="2013"/>
      <c r="L659" s="2013"/>
      <c r="M659" s="2013"/>
      <c r="N659" s="2013"/>
      <c r="O659" s="2013"/>
      <c r="P659" s="2013"/>
      <c r="Q659" s="2013"/>
      <c r="R659" s="2013"/>
      <c r="S659" s="2013"/>
      <c r="T659" s="2013"/>
      <c r="U659" s="2013"/>
      <c r="V659" s="2013"/>
      <c r="W659" s="2013"/>
      <c r="X659" s="2013"/>
      <c r="Y659" s="2013"/>
      <c r="Z659" s="2013"/>
      <c r="AA659" s="2013"/>
      <c r="AB659" s="2013"/>
      <c r="AC659" s="20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13"/>
      <c r="F660" s="2013"/>
      <c r="G660" s="2013"/>
      <c r="H660" s="2013"/>
      <c r="I660" s="2013"/>
      <c r="J660" s="2013"/>
      <c r="K660" s="2013"/>
      <c r="L660" s="2013"/>
      <c r="M660" s="2013"/>
      <c r="N660" s="2013"/>
      <c r="O660" s="2013"/>
      <c r="P660" s="2013"/>
      <c r="Q660" s="2013"/>
      <c r="R660" s="2013"/>
      <c r="S660" s="2013"/>
      <c r="T660" s="2013"/>
      <c r="U660" s="2013"/>
      <c r="V660" s="2013"/>
      <c r="W660" s="2013"/>
      <c r="X660" s="2013"/>
      <c r="Y660" s="2013"/>
      <c r="Z660" s="2013"/>
      <c r="AA660" s="2013"/>
      <c r="AB660" s="2013"/>
      <c r="AC660" s="20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2013" t="s">
        <v>1532</v>
      </c>
      <c r="F662" s="2013"/>
      <c r="G662" s="2013"/>
      <c r="H662" s="2013"/>
      <c r="I662" s="2013"/>
      <c r="J662" s="2013"/>
      <c r="K662" s="2013"/>
      <c r="L662" s="2013"/>
      <c r="M662" s="2013"/>
      <c r="N662" s="2013"/>
      <c r="O662" s="2013"/>
      <c r="P662" s="2013"/>
      <c r="Q662" s="2013"/>
      <c r="R662" s="2013"/>
      <c r="S662" s="2013"/>
      <c r="T662" s="2013"/>
      <c r="U662" s="2013"/>
      <c r="V662" s="2013"/>
      <c r="W662" s="2013"/>
      <c r="X662" s="2013"/>
      <c r="Y662" s="2013"/>
      <c r="Z662" s="2013"/>
      <c r="AA662" s="2013"/>
      <c r="AB662" s="2013"/>
      <c r="AC662" s="2013"/>
      <c r="AD662" s="570"/>
      <c r="AE662" s="570"/>
      <c r="AF662" s="1960" t="s">
        <v>1462</v>
      </c>
      <c r="AG662" s="1960"/>
      <c r="AH662" s="1960"/>
      <c r="AI662" s="1960"/>
      <c r="AJ662" s="1960"/>
      <c r="AK662" s="1960"/>
      <c r="AL662" s="1960"/>
      <c r="AM662" s="630"/>
      <c r="AN662" s="631"/>
    </row>
    <row r="663" spans="1:42" s="584" customFormat="1" ht="12.75" customHeight="1">
      <c r="B663" s="570"/>
      <c r="C663" s="966"/>
      <c r="D663" s="697"/>
      <c r="E663" s="2013"/>
      <c r="F663" s="2013"/>
      <c r="G663" s="2013"/>
      <c r="H663" s="2013"/>
      <c r="I663" s="2013"/>
      <c r="J663" s="2013"/>
      <c r="K663" s="2013"/>
      <c r="L663" s="2013"/>
      <c r="M663" s="2013"/>
      <c r="N663" s="2013"/>
      <c r="O663" s="2013"/>
      <c r="P663" s="2013"/>
      <c r="Q663" s="2013"/>
      <c r="R663" s="2013"/>
      <c r="S663" s="2013"/>
      <c r="T663" s="2013"/>
      <c r="U663" s="2013"/>
      <c r="V663" s="2013"/>
      <c r="W663" s="2013"/>
      <c r="X663" s="2013"/>
      <c r="Y663" s="2013"/>
      <c r="Z663" s="2013"/>
      <c r="AA663" s="2013"/>
      <c r="AB663" s="2013"/>
      <c r="AC663" s="2013"/>
      <c r="AD663" s="570"/>
      <c r="AE663" s="570"/>
      <c r="AF663" s="570"/>
      <c r="AG663" s="570"/>
      <c r="AH663" s="570"/>
      <c r="AI663" s="570"/>
      <c r="AJ663" s="570"/>
      <c r="AK663" s="570"/>
      <c r="AL663" s="570"/>
      <c r="AM663" s="630"/>
      <c r="AN663" s="631"/>
    </row>
    <row r="664" spans="1:42" s="584" customFormat="1" ht="12.75" customHeight="1">
      <c r="B664" s="570"/>
      <c r="C664" s="966"/>
      <c r="D664" s="697"/>
      <c r="E664" s="2013"/>
      <c r="F664" s="2013"/>
      <c r="G664" s="2013"/>
      <c r="H664" s="2013"/>
      <c r="I664" s="2013"/>
      <c r="J664" s="2013"/>
      <c r="K664" s="2013"/>
      <c r="L664" s="2013"/>
      <c r="M664" s="2013"/>
      <c r="N664" s="2013"/>
      <c r="O664" s="2013"/>
      <c r="P664" s="2013"/>
      <c r="Q664" s="2013"/>
      <c r="R664" s="2013"/>
      <c r="S664" s="2013"/>
      <c r="T664" s="2013"/>
      <c r="U664" s="2013"/>
      <c r="V664" s="2013"/>
      <c r="W664" s="2013"/>
      <c r="X664" s="2013"/>
      <c r="Y664" s="2013"/>
      <c r="Z664" s="2013"/>
      <c r="AA664" s="2013"/>
      <c r="AB664" s="2013"/>
      <c r="AC664" s="20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2013" t="s">
        <v>1533</v>
      </c>
      <c r="F666" s="2013"/>
      <c r="G666" s="2013"/>
      <c r="H666" s="2013"/>
      <c r="I666" s="2013"/>
      <c r="J666" s="2013"/>
      <c r="K666" s="2013"/>
      <c r="L666" s="2013"/>
      <c r="M666" s="2013"/>
      <c r="N666" s="2013"/>
      <c r="O666" s="2013"/>
      <c r="P666" s="2013"/>
      <c r="Q666" s="2013"/>
      <c r="R666" s="2013"/>
      <c r="S666" s="2013"/>
      <c r="T666" s="2013"/>
      <c r="U666" s="2013"/>
      <c r="V666" s="2013"/>
      <c r="W666" s="2013"/>
      <c r="X666" s="2013"/>
      <c r="Y666" s="2013"/>
      <c r="Z666" s="2013"/>
      <c r="AA666" s="2013"/>
      <c r="AB666" s="2013"/>
      <c r="AC666" s="2013"/>
      <c r="AD666" s="570"/>
      <c r="AE666" s="570"/>
      <c r="AF666" s="1960" t="s">
        <v>1518</v>
      </c>
      <c r="AG666" s="1960"/>
      <c r="AH666" s="1960"/>
      <c r="AI666" s="1960"/>
      <c r="AJ666" s="1960"/>
      <c r="AK666" s="1960"/>
      <c r="AL666" s="1960"/>
      <c r="AM666" s="630"/>
      <c r="AN666" s="631"/>
    </row>
    <row r="667" spans="1:42" s="584" customFormat="1" ht="12.75" customHeight="1">
      <c r="A667" s="713"/>
      <c r="B667" s="570"/>
      <c r="C667" s="966"/>
      <c r="D667" s="697"/>
      <c r="E667" s="2013"/>
      <c r="F667" s="2013"/>
      <c r="G667" s="2013"/>
      <c r="H667" s="2013"/>
      <c r="I667" s="2013"/>
      <c r="J667" s="2013"/>
      <c r="K667" s="2013"/>
      <c r="L667" s="2013"/>
      <c r="M667" s="2013"/>
      <c r="N667" s="2013"/>
      <c r="O667" s="2013"/>
      <c r="P667" s="2013"/>
      <c r="Q667" s="2013"/>
      <c r="R667" s="2013"/>
      <c r="S667" s="2013"/>
      <c r="T667" s="2013"/>
      <c r="U667" s="2013"/>
      <c r="V667" s="2013"/>
      <c r="W667" s="2013"/>
      <c r="X667" s="2013"/>
      <c r="Y667" s="2013"/>
      <c r="Z667" s="2013"/>
      <c r="AA667" s="2013"/>
      <c r="AB667" s="2013"/>
      <c r="AC667" s="20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13"/>
      <c r="F668" s="2013"/>
      <c r="G668" s="2013"/>
      <c r="H668" s="2013"/>
      <c r="I668" s="2013"/>
      <c r="J668" s="2013"/>
      <c r="K668" s="2013"/>
      <c r="L668" s="2013"/>
      <c r="M668" s="2013"/>
      <c r="N668" s="2013"/>
      <c r="O668" s="2013"/>
      <c r="P668" s="2013"/>
      <c r="Q668" s="2013"/>
      <c r="R668" s="2013"/>
      <c r="S668" s="2013"/>
      <c r="T668" s="2013"/>
      <c r="U668" s="2013"/>
      <c r="V668" s="2013"/>
      <c r="W668" s="2013"/>
      <c r="X668" s="2013"/>
      <c r="Y668" s="2013"/>
      <c r="Z668" s="2013"/>
      <c r="AA668" s="2013"/>
      <c r="AB668" s="2013"/>
      <c r="AC668" s="20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2013" t="s">
        <v>1534</v>
      </c>
      <c r="F670" s="2013"/>
      <c r="G670" s="2013"/>
      <c r="H670" s="2013"/>
      <c r="I670" s="2013"/>
      <c r="J670" s="2013"/>
      <c r="K670" s="2013"/>
      <c r="L670" s="2013"/>
      <c r="M670" s="2013"/>
      <c r="N670" s="2013"/>
      <c r="O670" s="2013"/>
      <c r="P670" s="2013"/>
      <c r="Q670" s="2013"/>
      <c r="R670" s="2013"/>
      <c r="S670" s="2013"/>
      <c r="T670" s="2013"/>
      <c r="U670" s="2013"/>
      <c r="V670" s="2013"/>
      <c r="W670" s="2013"/>
      <c r="X670" s="2013"/>
      <c r="Y670" s="2013"/>
      <c r="Z670" s="2013"/>
      <c r="AA670" s="2013"/>
      <c r="AB670" s="2013"/>
      <c r="AC670" s="2013"/>
      <c r="AD670" s="570"/>
      <c r="AE670" s="570"/>
      <c r="AF670" s="1960" t="s">
        <v>1535</v>
      </c>
      <c r="AG670" s="1960"/>
      <c r="AH670" s="1960"/>
      <c r="AI670" s="1960"/>
      <c r="AJ670" s="1960"/>
      <c r="AK670" s="1960"/>
      <c r="AL670" s="1960"/>
      <c r="AM670" s="630"/>
      <c r="AN670" s="631"/>
      <c r="AO670" s="645" t="s">
        <v>696</v>
      </c>
      <c r="AP670" s="584">
        <v>3</v>
      </c>
    </row>
    <row r="671" spans="1:42" s="584" customFormat="1" ht="12.75" customHeight="1">
      <c r="A671" s="713"/>
      <c r="B671" s="570"/>
      <c r="C671" s="966"/>
      <c r="D671" s="697"/>
      <c r="E671" s="2013"/>
      <c r="F671" s="2013"/>
      <c r="G671" s="2013"/>
      <c r="H671" s="2013"/>
      <c r="I671" s="2013"/>
      <c r="J671" s="2013"/>
      <c r="K671" s="2013"/>
      <c r="L671" s="2013"/>
      <c r="M671" s="2013"/>
      <c r="N671" s="2013"/>
      <c r="O671" s="2013"/>
      <c r="P671" s="2013"/>
      <c r="Q671" s="2013"/>
      <c r="R671" s="2013"/>
      <c r="S671" s="2013"/>
      <c r="T671" s="2013"/>
      <c r="U671" s="2013"/>
      <c r="V671" s="2013"/>
      <c r="W671" s="2013"/>
      <c r="X671" s="2013"/>
      <c r="Y671" s="2013"/>
      <c r="Z671" s="2013"/>
      <c r="AA671" s="2013"/>
      <c r="AB671" s="2013"/>
      <c r="AC671" s="201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13"/>
      <c r="F672" s="2013"/>
      <c r="G672" s="2013"/>
      <c r="H672" s="2013"/>
      <c r="I672" s="2013"/>
      <c r="J672" s="2013"/>
      <c r="K672" s="2013"/>
      <c r="L672" s="2013"/>
      <c r="M672" s="2013"/>
      <c r="N672" s="2013"/>
      <c r="O672" s="2013"/>
      <c r="P672" s="2013"/>
      <c r="Q672" s="2013"/>
      <c r="R672" s="2013"/>
      <c r="S672" s="2013"/>
      <c r="T672" s="2013"/>
      <c r="U672" s="2013"/>
      <c r="V672" s="2013"/>
      <c r="W672" s="2013"/>
      <c r="X672" s="2013"/>
      <c r="Y672" s="2013"/>
      <c r="Z672" s="2013"/>
      <c r="AA672" s="2013"/>
      <c r="AB672" s="2013"/>
      <c r="AC672" s="20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42" t="s">
        <v>517</v>
      </c>
      <c r="I674" s="20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93">
        <f>VLOOKUP($H$674,$AO$622:$AP$629,2,FALSE)</f>
        <v>4</v>
      </c>
      <c r="AK676" s="199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189</v>
      </c>
    </row>
    <row r="680" spans="1:51" s="584" customFormat="1" ht="12.75" customHeight="1">
      <c r="A680" s="713"/>
      <c r="B680" s="570"/>
      <c r="C680" s="983"/>
      <c r="D680" s="697" t="s">
        <v>696</v>
      </c>
      <c r="E680" s="2049" t="s">
        <v>2553</v>
      </c>
      <c r="F680" s="2049"/>
      <c r="G680" s="2049"/>
      <c r="H680" s="2049"/>
      <c r="I680" s="2049"/>
      <c r="J680" s="2049"/>
      <c r="K680" s="2049"/>
      <c r="L680" s="2049"/>
      <c r="M680" s="2049"/>
      <c r="N680" s="2049"/>
      <c r="O680" s="2049"/>
      <c r="P680" s="2049"/>
      <c r="Q680" s="2049"/>
      <c r="R680" s="2049"/>
      <c r="S680" s="2049"/>
      <c r="T680" s="2049"/>
      <c r="U680" s="2049"/>
      <c r="V680" s="2049"/>
      <c r="W680" s="2049"/>
      <c r="X680" s="2049"/>
      <c r="Y680" s="2049"/>
      <c r="Z680" s="2049"/>
      <c r="AA680" s="2049"/>
      <c r="AB680" s="2049"/>
      <c r="AC680" s="570"/>
      <c r="AD680" s="570"/>
      <c r="AE680" s="570"/>
      <c r="AF680" s="1960" t="s">
        <v>1462</v>
      </c>
      <c r="AG680" s="1960"/>
      <c r="AH680" s="1960"/>
      <c r="AI680" s="1960"/>
      <c r="AJ680" s="1960"/>
      <c r="AK680" s="1960"/>
      <c r="AL680" s="1960"/>
      <c r="AN680" s="631"/>
      <c r="AW680" s="22" t="s">
        <v>2548</v>
      </c>
      <c r="AX680" s="584">
        <f>Application!CC632</f>
        <v>48</v>
      </c>
    </row>
    <row r="681" spans="1:51" s="584" customFormat="1" ht="12.75" customHeight="1">
      <c r="A681" s="713"/>
      <c r="B681" s="570"/>
      <c r="C681" s="983"/>
      <c r="D681" s="697"/>
      <c r="E681" s="2049"/>
      <c r="F681" s="2049"/>
      <c r="G681" s="2049"/>
      <c r="H681" s="2049"/>
      <c r="I681" s="2049"/>
      <c r="J681" s="2049"/>
      <c r="K681" s="2049"/>
      <c r="L681" s="2049"/>
      <c r="M681" s="2049"/>
      <c r="N681" s="2049"/>
      <c r="O681" s="2049"/>
      <c r="P681" s="2049"/>
      <c r="Q681" s="2049"/>
      <c r="R681" s="2049"/>
      <c r="S681" s="2049"/>
      <c r="T681" s="2049"/>
      <c r="U681" s="2049"/>
      <c r="V681" s="2049"/>
      <c r="W681" s="2049"/>
      <c r="X681" s="2049"/>
      <c r="Y681" s="2049"/>
      <c r="Z681" s="2049"/>
      <c r="AA681" s="2049"/>
      <c r="AB681" s="2049"/>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2013" t="s">
        <v>2452</v>
      </c>
      <c r="F683" s="2013"/>
      <c r="G683" s="2013"/>
      <c r="H683" s="2013"/>
      <c r="I683" s="2013"/>
      <c r="J683" s="2013"/>
      <c r="K683" s="2013"/>
      <c r="L683" s="2013"/>
      <c r="M683" s="2013"/>
      <c r="N683" s="2013"/>
      <c r="O683" s="2013"/>
      <c r="P683" s="2013"/>
      <c r="Q683" s="2013"/>
      <c r="R683" s="2013"/>
      <c r="S683" s="2013"/>
      <c r="T683" s="2013"/>
      <c r="U683" s="2013"/>
      <c r="V683" s="2013"/>
      <c r="W683" s="2013"/>
      <c r="X683" s="2013"/>
      <c r="Y683" s="2013"/>
      <c r="Z683" s="2013"/>
      <c r="AA683" s="2013"/>
      <c r="AB683" s="2013"/>
      <c r="AC683" s="570"/>
      <c r="AD683" s="570"/>
      <c r="AE683" s="570"/>
      <c r="AF683" s="1960" t="s">
        <v>1462</v>
      </c>
      <c r="AG683" s="1960"/>
      <c r="AH683" s="1960"/>
      <c r="AI683" s="1960"/>
      <c r="AJ683" s="1960"/>
      <c r="AK683" s="1960"/>
      <c r="AL683" s="1960"/>
      <c r="AN683" s="631"/>
      <c r="AW683" s="22" t="s">
        <v>2551</v>
      </c>
      <c r="AX683" s="584">
        <f>AX680+AX681+AX682</f>
        <v>48</v>
      </c>
    </row>
    <row r="684" spans="1:51" s="584" customFormat="1" ht="12.75" customHeight="1">
      <c r="B684" s="570"/>
      <c r="C684" s="975"/>
      <c r="D684" s="697"/>
      <c r="E684" s="2013"/>
      <c r="F684" s="2013"/>
      <c r="G684" s="2013"/>
      <c r="H684" s="2013"/>
      <c r="I684" s="2013"/>
      <c r="J684" s="2013"/>
      <c r="K684" s="2013"/>
      <c r="L684" s="2013"/>
      <c r="M684" s="2013"/>
      <c r="N684" s="2013"/>
      <c r="O684" s="2013"/>
      <c r="P684" s="2013"/>
      <c r="Q684" s="2013"/>
      <c r="R684" s="2013"/>
      <c r="S684" s="2013"/>
      <c r="T684" s="2013"/>
      <c r="U684" s="2013"/>
      <c r="V684" s="2013"/>
      <c r="W684" s="2013"/>
      <c r="X684" s="2013"/>
      <c r="Y684" s="2013"/>
      <c r="Z684" s="2013"/>
      <c r="AA684" s="2013"/>
      <c r="AB684" s="2013"/>
      <c r="AC684" s="570"/>
      <c r="AD684" s="570"/>
      <c r="AE684" s="650"/>
      <c r="AF684" s="570"/>
      <c r="AG684" s="570"/>
      <c r="AH684" s="570"/>
      <c r="AI684" s="570"/>
      <c r="AJ684" s="570"/>
      <c r="AK684" s="570"/>
      <c r="AL684" s="570"/>
      <c r="AN684" s="631"/>
      <c r="AO684" s="2048" t="b">
        <f>IF(Application!D211="Special Needs",IF(AY684&gt;=0.25,TRUE,FALSE),IF(AX684&gt;=0.25,TRUE,FALSE))</f>
        <v>1</v>
      </c>
      <c r="AP684" s="2048"/>
      <c r="AW684" s="22" t="s">
        <v>2552</v>
      </c>
      <c r="AX684" s="584">
        <f>IFERROR(AX683/AX679,0)</f>
        <v>0.25396825396825395</v>
      </c>
      <c r="AY684" s="584">
        <f>IFERROR(AX683/(AX679-AX678),0)</f>
        <v>0.25396825396825395</v>
      </c>
    </row>
    <row r="685" spans="1:51" s="584" customFormat="1" ht="12.75" customHeight="1">
      <c r="B685" s="570"/>
      <c r="C685" s="975"/>
      <c r="E685" s="2013"/>
      <c r="F685" s="2013"/>
      <c r="G685" s="2013"/>
      <c r="H685" s="2013"/>
      <c r="I685" s="2013"/>
      <c r="J685" s="2013"/>
      <c r="K685" s="2013"/>
      <c r="L685" s="2013"/>
      <c r="M685" s="2013"/>
      <c r="N685" s="2013"/>
      <c r="O685" s="2013"/>
      <c r="P685" s="2013"/>
      <c r="Q685" s="2013"/>
      <c r="R685" s="2013"/>
      <c r="S685" s="2013"/>
      <c r="T685" s="2013"/>
      <c r="U685" s="2013"/>
      <c r="V685" s="2013"/>
      <c r="W685" s="2013"/>
      <c r="X685" s="2013"/>
      <c r="Y685" s="2013"/>
      <c r="Z685" s="2013"/>
      <c r="AA685" s="2013"/>
      <c r="AB685" s="2013"/>
      <c r="AC685" s="570"/>
      <c r="AD685" s="570"/>
      <c r="AE685" s="650"/>
      <c r="AF685" s="650"/>
      <c r="AG685" s="650"/>
      <c r="AH685" s="650"/>
      <c r="AI685" s="650"/>
      <c r="AJ685" s="650"/>
      <c r="AK685" s="650"/>
      <c r="AL685" s="650"/>
      <c r="AN685" s="631"/>
      <c r="AW685" s="14"/>
    </row>
    <row r="686" spans="1:51" s="584" customFormat="1" ht="28.5" customHeight="1">
      <c r="B686" s="570"/>
      <c r="C686" s="975"/>
      <c r="D686" s="570"/>
      <c r="E686" s="2013"/>
      <c r="F686" s="2013"/>
      <c r="G686" s="2013"/>
      <c r="H686" s="2013"/>
      <c r="I686" s="2013"/>
      <c r="J686" s="2013"/>
      <c r="K686" s="2013"/>
      <c r="L686" s="2013"/>
      <c r="M686" s="2013"/>
      <c r="N686" s="2013"/>
      <c r="O686" s="2013"/>
      <c r="P686" s="2013"/>
      <c r="Q686" s="2013"/>
      <c r="R686" s="2013"/>
      <c r="S686" s="2013"/>
      <c r="T686" s="2013"/>
      <c r="U686" s="2013"/>
      <c r="V686" s="2013"/>
      <c r="W686" s="2013"/>
      <c r="X686" s="2013"/>
      <c r="Y686" s="2013"/>
      <c r="Z686" s="2013"/>
      <c r="AA686" s="2013"/>
      <c r="AB686" s="201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13" t="s">
        <v>2453</v>
      </c>
      <c r="F688" s="2013"/>
      <c r="G688" s="2013"/>
      <c r="H688" s="2013"/>
      <c r="I688" s="2013"/>
      <c r="J688" s="2013"/>
      <c r="K688" s="2013"/>
      <c r="L688" s="2013"/>
      <c r="M688" s="2013"/>
      <c r="N688" s="2013"/>
      <c r="O688" s="2013"/>
      <c r="P688" s="2013"/>
      <c r="Q688" s="2013"/>
      <c r="R688" s="2013"/>
      <c r="S688" s="2013"/>
      <c r="T688" s="2013"/>
      <c r="U688" s="2013"/>
      <c r="V688" s="2013"/>
      <c r="W688" s="2013"/>
      <c r="X688" s="2013"/>
      <c r="Y688" s="2013"/>
      <c r="Z688" s="2013"/>
      <c r="AA688" s="2013"/>
      <c r="AB688" s="2013"/>
      <c r="AC688" s="570"/>
      <c r="AD688" s="570"/>
      <c r="AE688" s="570"/>
      <c r="AF688" s="1960" t="s">
        <v>1518</v>
      </c>
      <c r="AG688" s="1960"/>
      <c r="AH688" s="1960"/>
      <c r="AI688" s="1960"/>
      <c r="AJ688" s="1960"/>
      <c r="AK688" s="1960"/>
      <c r="AL688" s="1960"/>
      <c r="AN688" s="631"/>
      <c r="AO688" s="645" t="s">
        <v>517</v>
      </c>
      <c r="AP688" s="584">
        <v>1</v>
      </c>
    </row>
    <row r="689" spans="1:42" s="584" customFormat="1" ht="12" customHeight="1">
      <c r="B689" s="570"/>
      <c r="C689" s="966"/>
      <c r="E689" s="2013"/>
      <c r="F689" s="2013"/>
      <c r="G689" s="2013"/>
      <c r="H689" s="2013"/>
      <c r="I689" s="2013"/>
      <c r="J689" s="2013"/>
      <c r="K689" s="2013"/>
      <c r="L689" s="2013"/>
      <c r="M689" s="2013"/>
      <c r="N689" s="2013"/>
      <c r="O689" s="2013"/>
      <c r="P689" s="2013"/>
      <c r="Q689" s="2013"/>
      <c r="R689" s="2013"/>
      <c r="S689" s="2013"/>
      <c r="T689" s="2013"/>
      <c r="U689" s="2013"/>
      <c r="V689" s="2013"/>
      <c r="W689" s="2013"/>
      <c r="X689" s="2013"/>
      <c r="Y689" s="2013"/>
      <c r="Z689" s="2013"/>
      <c r="AA689" s="2013"/>
      <c r="AB689" s="2013"/>
      <c r="AC689" s="570"/>
      <c r="AD689" s="570"/>
      <c r="AE689" s="650"/>
      <c r="AF689" s="570"/>
      <c r="AG689" s="570"/>
      <c r="AH689" s="570"/>
      <c r="AI689" s="570"/>
      <c r="AJ689" s="570"/>
      <c r="AK689" s="570"/>
      <c r="AL689" s="570"/>
      <c r="AN689" s="631"/>
    </row>
    <row r="690" spans="1:42" s="584" customFormat="1" ht="12" customHeight="1">
      <c r="B690" s="570"/>
      <c r="C690" s="966"/>
      <c r="D690" s="570"/>
      <c r="E690" s="2013"/>
      <c r="F690" s="2013"/>
      <c r="G690" s="2013"/>
      <c r="H690" s="2013"/>
      <c r="I690" s="2013"/>
      <c r="J690" s="2013"/>
      <c r="K690" s="2013"/>
      <c r="L690" s="2013"/>
      <c r="M690" s="2013"/>
      <c r="N690" s="2013"/>
      <c r="O690" s="2013"/>
      <c r="P690" s="2013"/>
      <c r="Q690" s="2013"/>
      <c r="R690" s="2013"/>
      <c r="S690" s="2013"/>
      <c r="T690" s="2013"/>
      <c r="U690" s="2013"/>
      <c r="V690" s="2013"/>
      <c r="W690" s="2013"/>
      <c r="X690" s="2013"/>
      <c r="Y690" s="2013"/>
      <c r="Z690" s="2013"/>
      <c r="AA690" s="2013"/>
      <c r="AB690" s="2013"/>
      <c r="AC690" s="570"/>
      <c r="AD690" s="570"/>
      <c r="AE690" s="650"/>
      <c r="AF690" s="570"/>
      <c r="AG690" s="570"/>
      <c r="AH690" s="570"/>
      <c r="AI690" s="570"/>
      <c r="AJ690" s="570"/>
      <c r="AK690" s="570"/>
      <c r="AL690" s="570"/>
      <c r="AN690" s="631"/>
    </row>
    <row r="691" spans="1:42" s="584" customFormat="1" ht="12" customHeight="1">
      <c r="B691" s="570"/>
      <c r="C691" s="966"/>
      <c r="D691" s="570"/>
      <c r="E691" s="2013"/>
      <c r="F691" s="2013"/>
      <c r="G691" s="2013"/>
      <c r="H691" s="2013"/>
      <c r="I691" s="2013"/>
      <c r="J691" s="2013"/>
      <c r="K691" s="2013"/>
      <c r="L691" s="2013"/>
      <c r="M691" s="2013"/>
      <c r="N691" s="2013"/>
      <c r="O691" s="2013"/>
      <c r="P691" s="2013"/>
      <c r="Q691" s="2013"/>
      <c r="R691" s="2013"/>
      <c r="S691" s="2013"/>
      <c r="T691" s="2013"/>
      <c r="U691" s="2013"/>
      <c r="V691" s="2013"/>
      <c r="W691" s="2013"/>
      <c r="X691" s="2013"/>
      <c r="Y691" s="2013"/>
      <c r="Z691" s="2013"/>
      <c r="AA691" s="2013"/>
      <c r="AB691" s="20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2013"/>
      <c r="F692" s="2013"/>
      <c r="G692" s="2013"/>
      <c r="H692" s="2013"/>
      <c r="I692" s="2013"/>
      <c r="J692" s="2013"/>
      <c r="K692" s="2013"/>
      <c r="L692" s="2013"/>
      <c r="M692" s="2013"/>
      <c r="N692" s="2013"/>
      <c r="O692" s="2013"/>
      <c r="P692" s="2013"/>
      <c r="Q692" s="2013"/>
      <c r="R692" s="2013"/>
      <c r="S692" s="2013"/>
      <c r="T692" s="2013"/>
      <c r="U692" s="2013"/>
      <c r="V692" s="2013"/>
      <c r="W692" s="2013"/>
      <c r="X692" s="2013"/>
      <c r="Y692" s="2013"/>
      <c r="Z692" s="2013"/>
      <c r="AA692" s="2013"/>
      <c r="AB692" s="201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13" t="s">
        <v>1882</v>
      </c>
      <c r="F694" s="2013"/>
      <c r="G694" s="2013"/>
      <c r="H694" s="2013"/>
      <c r="I694" s="2013"/>
      <c r="J694" s="2013"/>
      <c r="K694" s="2013"/>
      <c r="L694" s="2013"/>
      <c r="M694" s="2013"/>
      <c r="N694" s="2013"/>
      <c r="O694" s="2013"/>
      <c r="P694" s="2013"/>
      <c r="Q694" s="2013"/>
      <c r="R694" s="2013"/>
      <c r="S694" s="2013"/>
      <c r="T694" s="2013"/>
      <c r="U694" s="2013"/>
      <c r="V694" s="2013"/>
      <c r="W694" s="2013"/>
      <c r="X694" s="2013"/>
      <c r="Y694" s="2013"/>
      <c r="Z694" s="2013"/>
      <c r="AA694" s="2013"/>
      <c r="AB694" s="2013"/>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13"/>
      <c r="F695" s="2013"/>
      <c r="G695" s="2013"/>
      <c r="H695" s="2013"/>
      <c r="I695" s="2013"/>
      <c r="J695" s="2013"/>
      <c r="K695" s="2013"/>
      <c r="L695" s="2013"/>
      <c r="M695" s="2013"/>
      <c r="N695" s="2013"/>
      <c r="O695" s="2013"/>
      <c r="P695" s="2013"/>
      <c r="Q695" s="2013"/>
      <c r="R695" s="2013"/>
      <c r="S695" s="2013"/>
      <c r="T695" s="2013"/>
      <c r="U695" s="2013"/>
      <c r="V695" s="2013"/>
      <c r="W695" s="2013"/>
      <c r="X695" s="2013"/>
      <c r="Y695" s="2013"/>
      <c r="Z695" s="2013"/>
      <c r="AA695" s="2013"/>
      <c r="AB695" s="2013"/>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013"/>
      <c r="F696" s="2013"/>
      <c r="G696" s="2013"/>
      <c r="H696" s="2013"/>
      <c r="I696" s="2013"/>
      <c r="J696" s="2013"/>
      <c r="K696" s="2013"/>
      <c r="L696" s="2013"/>
      <c r="M696" s="2013"/>
      <c r="N696" s="2013"/>
      <c r="O696" s="2013"/>
      <c r="P696" s="2013"/>
      <c r="Q696" s="2013"/>
      <c r="R696" s="2013"/>
      <c r="S696" s="2013"/>
      <c r="T696" s="2013"/>
      <c r="U696" s="2013"/>
      <c r="V696" s="2013"/>
      <c r="W696" s="2013"/>
      <c r="X696" s="2013"/>
      <c r="Y696" s="2013"/>
      <c r="Z696" s="2013"/>
      <c r="AA696" s="2013"/>
      <c r="AB696" s="20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42" t="s">
        <v>517</v>
      </c>
      <c r="I698" s="20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93">
        <f>VLOOKUP($H$698,$AO$692:$AP$694,2,FALSE)</f>
        <v>3</v>
      </c>
      <c r="AK700" s="199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50" t="s">
        <v>1884</v>
      </c>
      <c r="F704" s="2050"/>
      <c r="G704" s="2050"/>
      <c r="H704" s="2050"/>
      <c r="I704" s="2050"/>
      <c r="J704" s="2050"/>
      <c r="K704" s="2050"/>
      <c r="L704" s="2050"/>
      <c r="M704" s="2050"/>
      <c r="N704" s="2050"/>
      <c r="O704" s="2050"/>
      <c r="P704" s="2050"/>
      <c r="Q704" s="2050"/>
      <c r="R704" s="2050"/>
      <c r="S704" s="2050"/>
      <c r="T704" s="2050"/>
      <c r="U704" s="2050"/>
      <c r="V704" s="2050"/>
      <c r="W704" s="2050"/>
      <c r="X704" s="2050"/>
      <c r="Y704" s="2050"/>
      <c r="Z704" s="2050"/>
      <c r="AA704" s="2050"/>
      <c r="AB704" s="2050"/>
      <c r="AC704" s="570"/>
      <c r="AD704" s="570"/>
      <c r="AE704" s="570"/>
      <c r="AF704" s="1960" t="s">
        <v>1462</v>
      </c>
      <c r="AG704" s="1960"/>
      <c r="AH704" s="1960"/>
      <c r="AI704" s="1960"/>
      <c r="AJ704" s="1960"/>
      <c r="AK704" s="1960"/>
      <c r="AL704" s="1960"/>
      <c r="AM704" s="584"/>
      <c r="AN704" s="718"/>
      <c r="AP704" s="604" t="s">
        <v>1542</v>
      </c>
    </row>
    <row r="705" spans="1:52" s="604" customFormat="1" ht="11.85" customHeight="1">
      <c r="A705" s="584"/>
      <c r="B705" s="570"/>
      <c r="C705" s="968"/>
      <c r="D705" s="697"/>
      <c r="E705" s="2050"/>
      <c r="F705" s="2050"/>
      <c r="G705" s="2050"/>
      <c r="H705" s="2050"/>
      <c r="I705" s="2050"/>
      <c r="J705" s="2050"/>
      <c r="K705" s="2050"/>
      <c r="L705" s="2050"/>
      <c r="M705" s="2050"/>
      <c r="N705" s="2050"/>
      <c r="O705" s="2050"/>
      <c r="P705" s="2050"/>
      <c r="Q705" s="2050"/>
      <c r="R705" s="2050"/>
      <c r="S705" s="2050"/>
      <c r="T705" s="2050"/>
      <c r="U705" s="2050"/>
      <c r="V705" s="2050"/>
      <c r="W705" s="2050"/>
      <c r="X705" s="2050"/>
      <c r="Y705" s="2050"/>
      <c r="Z705" s="2050"/>
      <c r="AA705" s="2050"/>
      <c r="AB705" s="2050"/>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50"/>
      <c r="F706" s="2050"/>
      <c r="G706" s="2050"/>
      <c r="H706" s="2050"/>
      <c r="I706" s="2050"/>
      <c r="J706" s="2050"/>
      <c r="K706" s="2050"/>
      <c r="L706" s="2050"/>
      <c r="M706" s="2050"/>
      <c r="N706" s="2050"/>
      <c r="O706" s="2050"/>
      <c r="P706" s="2050"/>
      <c r="Q706" s="2050"/>
      <c r="R706" s="2050"/>
      <c r="S706" s="2050"/>
      <c r="T706" s="2050"/>
      <c r="U706" s="2050"/>
      <c r="V706" s="2050"/>
      <c r="W706" s="2050"/>
      <c r="X706" s="2050"/>
      <c r="Y706" s="2050"/>
      <c r="Z706" s="2050"/>
      <c r="AA706" s="2050"/>
      <c r="AB706" s="2050"/>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51" t="s">
        <v>1545</v>
      </c>
      <c r="F708" s="2051"/>
      <c r="G708" s="2051"/>
      <c r="H708" s="2051"/>
      <c r="I708" s="2051"/>
      <c r="J708" s="2051"/>
      <c r="K708" s="2051"/>
      <c r="L708" s="2051"/>
      <c r="M708" s="2051"/>
      <c r="N708" s="2051"/>
      <c r="O708" s="2051"/>
      <c r="P708" s="2051"/>
      <c r="Q708" s="2051"/>
      <c r="R708" s="2051"/>
      <c r="S708" s="2051"/>
      <c r="T708" s="2051"/>
      <c r="U708" s="2051"/>
      <c r="V708" s="2051"/>
      <c r="W708" s="2051"/>
      <c r="X708" s="2051"/>
      <c r="Y708" s="2051"/>
      <c r="Z708" s="2051"/>
      <c r="AA708" s="2051"/>
      <c r="AB708" s="2051"/>
      <c r="AC708" s="570"/>
      <c r="AD708" s="570"/>
      <c r="AE708" s="570"/>
      <c r="AF708" s="1960" t="s">
        <v>1518</v>
      </c>
      <c r="AG708" s="1960"/>
      <c r="AH708" s="1960"/>
      <c r="AI708" s="1960"/>
      <c r="AJ708" s="1960"/>
      <c r="AK708" s="1960"/>
      <c r="AL708" s="1960"/>
      <c r="AM708" s="584"/>
      <c r="AN708" s="719"/>
    </row>
    <row r="709" spans="1:52" s="604" customFormat="1" ht="12.75" customHeight="1">
      <c r="A709" s="584"/>
      <c r="B709" s="570"/>
      <c r="C709" s="968"/>
      <c r="D709" s="570"/>
      <c r="E709" s="2051"/>
      <c r="F709" s="2051"/>
      <c r="G709" s="2051"/>
      <c r="H709" s="2051"/>
      <c r="I709" s="2051"/>
      <c r="J709" s="2051"/>
      <c r="K709" s="2051"/>
      <c r="L709" s="2051"/>
      <c r="M709" s="2051"/>
      <c r="N709" s="2051"/>
      <c r="O709" s="2051"/>
      <c r="P709" s="2051"/>
      <c r="Q709" s="2051"/>
      <c r="R709" s="2051"/>
      <c r="S709" s="2051"/>
      <c r="T709" s="2051"/>
      <c r="U709" s="2051"/>
      <c r="V709" s="2051"/>
      <c r="W709" s="2051"/>
      <c r="X709" s="2051"/>
      <c r="Y709" s="2051"/>
      <c r="Z709" s="2051"/>
      <c r="AA709" s="2051"/>
      <c r="AB709" s="2051"/>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51"/>
      <c r="F710" s="2051"/>
      <c r="G710" s="2051"/>
      <c r="H710" s="2051"/>
      <c r="I710" s="2051"/>
      <c r="J710" s="2051"/>
      <c r="K710" s="2051"/>
      <c r="L710" s="2051"/>
      <c r="M710" s="2051"/>
      <c r="N710" s="2051"/>
      <c r="O710" s="2051"/>
      <c r="P710" s="2051"/>
      <c r="Q710" s="2051"/>
      <c r="R710" s="2051"/>
      <c r="S710" s="2051"/>
      <c r="T710" s="2051"/>
      <c r="U710" s="2051"/>
      <c r="V710" s="2051"/>
      <c r="W710" s="2051"/>
      <c r="X710" s="2051"/>
      <c r="Y710" s="2051"/>
      <c r="Z710" s="2051"/>
      <c r="AA710" s="2051"/>
      <c r="AB710" s="2051"/>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2042" t="s">
        <v>599</v>
      </c>
      <c r="I712" s="20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93">
        <f>VLOOKUP($H$712,$AP$709:$AQ$711,2,FALSE)</f>
        <v>0</v>
      </c>
      <c r="AK714" s="1995"/>
      <c r="AL714" s="629"/>
      <c r="AM714" s="584"/>
      <c r="AN714" s="718"/>
      <c r="AP714" s="1993"/>
      <c r="AQ714" s="199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13" t="s">
        <v>1885</v>
      </c>
      <c r="F718" s="2013"/>
      <c r="G718" s="2013"/>
      <c r="H718" s="2013"/>
      <c r="I718" s="2013"/>
      <c r="J718" s="2013"/>
      <c r="K718" s="2013"/>
      <c r="L718" s="2013"/>
      <c r="M718" s="2013"/>
      <c r="N718" s="2013"/>
      <c r="O718" s="2013"/>
      <c r="P718" s="2013"/>
      <c r="Q718" s="2013"/>
      <c r="R718" s="2013"/>
      <c r="S718" s="2013"/>
      <c r="T718" s="2013"/>
      <c r="U718" s="2013"/>
      <c r="V718" s="2013"/>
      <c r="W718" s="2013"/>
      <c r="X718" s="2013"/>
      <c r="Y718" s="2013"/>
      <c r="Z718" s="2013"/>
      <c r="AA718" s="2013"/>
      <c r="AB718" s="2013"/>
      <c r="AC718" s="570"/>
      <c r="AD718" s="570"/>
      <c r="AE718" s="570"/>
      <c r="AF718" s="1960" t="s">
        <v>1462</v>
      </c>
      <c r="AG718" s="1960"/>
      <c r="AH718" s="1960"/>
      <c r="AI718" s="1960"/>
      <c r="AJ718" s="1960"/>
      <c r="AK718" s="1960"/>
      <c r="AL718" s="1960"/>
      <c r="AM718" s="584"/>
      <c r="AN718" s="718"/>
      <c r="AT718" s="14"/>
      <c r="AU718" s="14"/>
      <c r="AV718" s="14"/>
      <c r="AW718" s="14"/>
      <c r="AX718" s="14"/>
      <c r="AY718" s="14"/>
      <c r="AZ718" s="14"/>
    </row>
    <row r="719" spans="1:52" s="604" customFormat="1">
      <c r="A719" s="584"/>
      <c r="B719" s="570"/>
      <c r="C719" s="968"/>
      <c r="D719" s="697"/>
      <c r="E719" s="2013"/>
      <c r="F719" s="2013"/>
      <c r="G719" s="2013"/>
      <c r="H719" s="2013"/>
      <c r="I719" s="2013"/>
      <c r="J719" s="2013"/>
      <c r="K719" s="2013"/>
      <c r="L719" s="2013"/>
      <c r="M719" s="2013"/>
      <c r="N719" s="2013"/>
      <c r="O719" s="2013"/>
      <c r="P719" s="2013"/>
      <c r="Q719" s="2013"/>
      <c r="R719" s="2013"/>
      <c r="S719" s="2013"/>
      <c r="T719" s="2013"/>
      <c r="U719" s="2013"/>
      <c r="V719" s="2013"/>
      <c r="W719" s="2013"/>
      <c r="X719" s="2013"/>
      <c r="Y719" s="2013"/>
      <c r="Z719" s="2013"/>
      <c r="AA719" s="2013"/>
      <c r="AB719" s="20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13" t="s">
        <v>1549</v>
      </c>
      <c r="F721" s="2013"/>
      <c r="G721" s="2013"/>
      <c r="H721" s="2013"/>
      <c r="I721" s="2013"/>
      <c r="J721" s="2013"/>
      <c r="K721" s="2013"/>
      <c r="L721" s="2013"/>
      <c r="M721" s="2013"/>
      <c r="N721" s="2013"/>
      <c r="O721" s="2013"/>
      <c r="P721" s="2013"/>
      <c r="Q721" s="2013"/>
      <c r="R721" s="2013"/>
      <c r="S721" s="2013"/>
      <c r="T721" s="2013"/>
      <c r="U721" s="2013"/>
      <c r="V721" s="2013"/>
      <c r="W721" s="2013"/>
      <c r="X721" s="2013"/>
      <c r="Y721" s="2013"/>
      <c r="Z721" s="2013"/>
      <c r="AA721" s="2013"/>
      <c r="AB721" s="2013"/>
      <c r="AC721" s="570"/>
      <c r="AD721" s="570"/>
      <c r="AE721" s="570"/>
      <c r="AF721" s="1960" t="s">
        <v>1518</v>
      </c>
      <c r="AG721" s="1960"/>
      <c r="AH721" s="1960"/>
      <c r="AI721" s="1960"/>
      <c r="AJ721" s="1960"/>
      <c r="AK721" s="1960"/>
      <c r="AL721" s="1960"/>
      <c r="AM721" s="584"/>
      <c r="AN721" s="718"/>
      <c r="AT721" s="14"/>
      <c r="AU721" s="14"/>
      <c r="AV721" s="14"/>
      <c r="AW721" s="14"/>
      <c r="AX721" s="14"/>
      <c r="AY721" s="14"/>
      <c r="AZ721" s="14"/>
    </row>
    <row r="722" spans="1:81" s="604" customFormat="1">
      <c r="A722" s="584"/>
      <c r="B722" s="570"/>
      <c r="C722" s="968"/>
      <c r="D722" s="570"/>
      <c r="E722" s="2013"/>
      <c r="F722" s="2013"/>
      <c r="G722" s="2013"/>
      <c r="H722" s="2013"/>
      <c r="I722" s="2013"/>
      <c r="J722" s="2013"/>
      <c r="K722" s="2013"/>
      <c r="L722" s="2013"/>
      <c r="M722" s="2013"/>
      <c r="N722" s="2013"/>
      <c r="O722" s="2013"/>
      <c r="P722" s="2013"/>
      <c r="Q722" s="2013"/>
      <c r="R722" s="2013"/>
      <c r="S722" s="2013"/>
      <c r="T722" s="2013"/>
      <c r="U722" s="2013"/>
      <c r="V722" s="2013"/>
      <c r="W722" s="2013"/>
      <c r="X722" s="2013"/>
      <c r="Y722" s="2013"/>
      <c r="Z722" s="2013"/>
      <c r="AA722" s="2013"/>
      <c r="AB722" s="20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42" t="s">
        <v>696</v>
      </c>
      <c r="I724" s="20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93">
        <f>VLOOKUP($H$724,$AO$655:$AP$657,2,FALSE)</f>
        <v>3</v>
      </c>
      <c r="AK726" s="199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13" t="s">
        <v>1552</v>
      </c>
      <c r="F730" s="2013"/>
      <c r="G730" s="2013"/>
      <c r="H730" s="2013"/>
      <c r="I730" s="2013"/>
      <c r="J730" s="2013"/>
      <c r="K730" s="2013"/>
      <c r="L730" s="2013"/>
      <c r="M730" s="2013"/>
      <c r="N730" s="2013"/>
      <c r="O730" s="2013"/>
      <c r="P730" s="2013"/>
      <c r="Q730" s="2013"/>
      <c r="R730" s="2013"/>
      <c r="S730" s="2013"/>
      <c r="T730" s="2013"/>
      <c r="U730" s="2013"/>
      <c r="V730" s="2013"/>
      <c r="W730" s="2013"/>
      <c r="X730" s="2013"/>
      <c r="Y730" s="2013"/>
      <c r="Z730" s="2013"/>
      <c r="AA730" s="2013"/>
      <c r="AB730" s="2013"/>
      <c r="AC730" s="570"/>
      <c r="AD730" s="570"/>
      <c r="AE730" s="570"/>
      <c r="AF730" s="1960" t="s">
        <v>1462</v>
      </c>
      <c r="AG730" s="1960"/>
      <c r="AH730" s="1960"/>
      <c r="AI730" s="1960"/>
      <c r="AJ730" s="1960"/>
      <c r="AK730" s="1960"/>
      <c r="AL730" s="1960"/>
      <c r="AM730" s="584"/>
      <c r="AN730" s="718"/>
      <c r="AT730" s="14"/>
      <c r="AU730" s="14"/>
      <c r="AV730" s="14"/>
      <c r="AW730" s="14"/>
      <c r="AX730" s="14"/>
      <c r="AY730" s="14"/>
      <c r="AZ730" s="14"/>
    </row>
    <row r="731" spans="1:81" s="604" customFormat="1">
      <c r="A731" s="584"/>
      <c r="B731" s="570"/>
      <c r="C731" s="966"/>
      <c r="D731" s="697"/>
      <c r="E731" s="2013"/>
      <c r="F731" s="2013"/>
      <c r="G731" s="2013"/>
      <c r="H731" s="2013"/>
      <c r="I731" s="2013"/>
      <c r="J731" s="2013"/>
      <c r="K731" s="2013"/>
      <c r="L731" s="2013"/>
      <c r="M731" s="2013"/>
      <c r="N731" s="2013"/>
      <c r="O731" s="2013"/>
      <c r="P731" s="2013"/>
      <c r="Q731" s="2013"/>
      <c r="R731" s="2013"/>
      <c r="S731" s="2013"/>
      <c r="T731" s="2013"/>
      <c r="U731" s="2013"/>
      <c r="V731" s="2013"/>
      <c r="W731" s="2013"/>
      <c r="X731" s="2013"/>
      <c r="Y731" s="2013"/>
      <c r="Z731" s="2013"/>
      <c r="AA731" s="2013"/>
      <c r="AB731" s="20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13"/>
      <c r="F732" s="2013"/>
      <c r="G732" s="2013"/>
      <c r="H732" s="2013"/>
      <c r="I732" s="2013"/>
      <c r="J732" s="2013"/>
      <c r="K732" s="2013"/>
      <c r="L732" s="2013"/>
      <c r="M732" s="2013"/>
      <c r="N732" s="2013"/>
      <c r="O732" s="2013"/>
      <c r="P732" s="2013"/>
      <c r="Q732" s="2013"/>
      <c r="R732" s="2013"/>
      <c r="S732" s="2013"/>
      <c r="T732" s="2013"/>
      <c r="U732" s="2013"/>
      <c r="V732" s="2013"/>
      <c r="W732" s="2013"/>
      <c r="X732" s="2013"/>
      <c r="Y732" s="2013"/>
      <c r="Z732" s="2013"/>
      <c r="AA732" s="2013"/>
      <c r="AB732" s="20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13"/>
      <c r="F733" s="2013"/>
      <c r="G733" s="2013"/>
      <c r="H733" s="2013"/>
      <c r="I733" s="2013"/>
      <c r="J733" s="2013"/>
      <c r="K733" s="2013"/>
      <c r="L733" s="2013"/>
      <c r="M733" s="2013"/>
      <c r="N733" s="2013"/>
      <c r="O733" s="2013"/>
      <c r="P733" s="2013"/>
      <c r="Q733" s="2013"/>
      <c r="R733" s="2013"/>
      <c r="S733" s="2013"/>
      <c r="T733" s="2013"/>
      <c r="U733" s="2013"/>
      <c r="V733" s="2013"/>
      <c r="W733" s="2013"/>
      <c r="X733" s="2013"/>
      <c r="Y733" s="2013"/>
      <c r="Z733" s="2013"/>
      <c r="AA733" s="2013"/>
      <c r="AB733" s="20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13" t="s">
        <v>1553</v>
      </c>
      <c r="F735" s="2013"/>
      <c r="G735" s="2013"/>
      <c r="H735" s="2013"/>
      <c r="I735" s="2013"/>
      <c r="J735" s="2013"/>
      <c r="K735" s="2013"/>
      <c r="L735" s="2013"/>
      <c r="M735" s="2013"/>
      <c r="N735" s="2013"/>
      <c r="O735" s="2013"/>
      <c r="P735" s="2013"/>
      <c r="Q735" s="2013"/>
      <c r="R735" s="2013"/>
      <c r="S735" s="2013"/>
      <c r="T735" s="2013"/>
      <c r="U735" s="2013"/>
      <c r="V735" s="2013"/>
      <c r="W735" s="2013"/>
      <c r="X735" s="2013"/>
      <c r="Y735" s="2013"/>
      <c r="Z735" s="2013"/>
      <c r="AA735" s="2013"/>
      <c r="AB735" s="609"/>
      <c r="AC735" s="570"/>
      <c r="AD735" s="570"/>
      <c r="AE735" s="570"/>
      <c r="AF735" s="1960" t="s">
        <v>1518</v>
      </c>
      <c r="AG735" s="1960"/>
      <c r="AH735" s="1960"/>
      <c r="AI735" s="1960"/>
      <c r="AJ735" s="1960"/>
      <c r="AK735" s="1960"/>
      <c r="AL735" s="1960"/>
      <c r="AM735" s="584"/>
      <c r="AN735" s="718"/>
      <c r="AO735" s="30"/>
      <c r="AP735" s="14"/>
    </row>
    <row r="736" spans="1:81" s="604" customFormat="1">
      <c r="A736" s="584"/>
      <c r="B736" s="570"/>
      <c r="C736" s="966"/>
      <c r="D736" s="697"/>
      <c r="E736" s="2013"/>
      <c r="F736" s="2013"/>
      <c r="G736" s="2013"/>
      <c r="H736" s="2013"/>
      <c r="I736" s="2013"/>
      <c r="J736" s="2013"/>
      <c r="K736" s="2013"/>
      <c r="L736" s="2013"/>
      <c r="M736" s="2013"/>
      <c r="N736" s="2013"/>
      <c r="O736" s="2013"/>
      <c r="P736" s="2013"/>
      <c r="Q736" s="2013"/>
      <c r="R736" s="2013"/>
      <c r="S736" s="2013"/>
      <c r="T736" s="2013"/>
      <c r="U736" s="2013"/>
      <c r="V736" s="2013"/>
      <c r="W736" s="2013"/>
      <c r="X736" s="2013"/>
      <c r="Y736" s="2013"/>
      <c r="Z736" s="2013"/>
      <c r="AA736" s="20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13"/>
      <c r="F737" s="2013"/>
      <c r="G737" s="2013"/>
      <c r="H737" s="2013"/>
      <c r="I737" s="2013"/>
      <c r="J737" s="2013"/>
      <c r="K737" s="2013"/>
      <c r="L737" s="2013"/>
      <c r="M737" s="2013"/>
      <c r="N737" s="2013"/>
      <c r="O737" s="2013"/>
      <c r="P737" s="2013"/>
      <c r="Q737" s="2013"/>
      <c r="R737" s="2013"/>
      <c r="S737" s="2013"/>
      <c r="T737" s="2013"/>
      <c r="U737" s="2013"/>
      <c r="V737" s="2013"/>
      <c r="W737" s="2013"/>
      <c r="X737" s="2013"/>
      <c r="Y737" s="2013"/>
      <c r="Z737" s="2013"/>
      <c r="AA737" s="20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13"/>
      <c r="F738" s="2013"/>
      <c r="G738" s="2013"/>
      <c r="H738" s="2013"/>
      <c r="I738" s="2013"/>
      <c r="J738" s="2013"/>
      <c r="K738" s="2013"/>
      <c r="L738" s="2013"/>
      <c r="M738" s="2013"/>
      <c r="N738" s="2013"/>
      <c r="O738" s="2013"/>
      <c r="P738" s="2013"/>
      <c r="Q738" s="2013"/>
      <c r="R738" s="2013"/>
      <c r="S738" s="2013"/>
      <c r="T738" s="2013"/>
      <c r="U738" s="2013"/>
      <c r="V738" s="2013"/>
      <c r="W738" s="2013"/>
      <c r="X738" s="2013"/>
      <c r="Y738" s="2013"/>
      <c r="Z738" s="2013"/>
      <c r="AA738" s="20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42" t="s">
        <v>696</v>
      </c>
      <c r="I740" s="20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93">
        <f>VLOOKUP($H$740,$AO$669:$AP$671,2,FALSE)</f>
        <v>3</v>
      </c>
      <c r="AK742" s="199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13" t="s">
        <v>1555</v>
      </c>
      <c r="F746" s="2013"/>
      <c r="G746" s="2013"/>
      <c r="H746" s="2013"/>
      <c r="I746" s="2013"/>
      <c r="J746" s="2013"/>
      <c r="K746" s="2013"/>
      <c r="L746" s="2013"/>
      <c r="M746" s="2013"/>
      <c r="N746" s="2013"/>
      <c r="O746" s="2013"/>
      <c r="P746" s="2013"/>
      <c r="Q746" s="2013"/>
      <c r="R746" s="2013"/>
      <c r="S746" s="2013"/>
      <c r="T746" s="2013"/>
      <c r="U746" s="2013"/>
      <c r="V746" s="2013"/>
      <c r="W746" s="2013"/>
      <c r="X746" s="2013"/>
      <c r="Y746" s="2013"/>
      <c r="Z746" s="2013"/>
      <c r="AA746" s="2013"/>
      <c r="AB746" s="2013"/>
      <c r="AC746" s="570"/>
      <c r="AD746" s="570"/>
      <c r="AE746" s="570"/>
      <c r="AF746" s="1960" t="s">
        <v>1518</v>
      </c>
      <c r="AG746" s="1960"/>
      <c r="AH746" s="1960"/>
      <c r="AI746" s="1960"/>
      <c r="AJ746" s="1960"/>
      <c r="AK746" s="1960"/>
      <c r="AL746" s="196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13"/>
      <c r="F747" s="2013"/>
      <c r="G747" s="2013"/>
      <c r="H747" s="2013"/>
      <c r="I747" s="2013"/>
      <c r="J747" s="2013"/>
      <c r="K747" s="2013"/>
      <c r="L747" s="2013"/>
      <c r="M747" s="2013"/>
      <c r="N747" s="2013"/>
      <c r="O747" s="2013"/>
      <c r="P747" s="2013"/>
      <c r="Q747" s="2013"/>
      <c r="R747" s="2013"/>
      <c r="S747" s="2013"/>
      <c r="T747" s="2013"/>
      <c r="U747" s="2013"/>
      <c r="V747" s="2013"/>
      <c r="W747" s="2013"/>
      <c r="X747" s="2013"/>
      <c r="Y747" s="2013"/>
      <c r="Z747" s="2013"/>
      <c r="AA747" s="2013"/>
      <c r="AB747" s="20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13" t="s">
        <v>1556</v>
      </c>
      <c r="F749" s="2013"/>
      <c r="G749" s="2013"/>
      <c r="H749" s="2013"/>
      <c r="I749" s="2013"/>
      <c r="J749" s="2013"/>
      <c r="K749" s="2013"/>
      <c r="L749" s="2013"/>
      <c r="M749" s="2013"/>
      <c r="N749" s="2013"/>
      <c r="O749" s="2013"/>
      <c r="P749" s="2013"/>
      <c r="Q749" s="2013"/>
      <c r="R749" s="2013"/>
      <c r="S749" s="2013"/>
      <c r="T749" s="2013"/>
      <c r="U749" s="2013"/>
      <c r="V749" s="2013"/>
      <c r="W749" s="2013"/>
      <c r="X749" s="2013"/>
      <c r="Y749" s="2013"/>
      <c r="Z749" s="2013"/>
      <c r="AA749" s="2013"/>
      <c r="AB749" s="2013"/>
      <c r="AC749" s="570"/>
      <c r="AD749" s="570"/>
      <c r="AE749" s="570"/>
      <c r="AF749" s="1960" t="s">
        <v>1535</v>
      </c>
      <c r="AG749" s="1960"/>
      <c r="AH749" s="1960"/>
      <c r="AI749" s="1960"/>
      <c r="AJ749" s="1960"/>
      <c r="AK749" s="1960"/>
      <c r="AL749" s="196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13"/>
      <c r="F750" s="2013"/>
      <c r="G750" s="2013"/>
      <c r="H750" s="2013"/>
      <c r="I750" s="2013"/>
      <c r="J750" s="2013"/>
      <c r="K750" s="2013"/>
      <c r="L750" s="2013"/>
      <c r="M750" s="2013"/>
      <c r="N750" s="2013"/>
      <c r="O750" s="2013"/>
      <c r="P750" s="2013"/>
      <c r="Q750" s="2013"/>
      <c r="R750" s="2013"/>
      <c r="S750" s="2013"/>
      <c r="T750" s="2013"/>
      <c r="U750" s="2013"/>
      <c r="V750" s="2013"/>
      <c r="W750" s="2013"/>
      <c r="X750" s="2013"/>
      <c r="Y750" s="2013"/>
      <c r="Z750" s="2013"/>
      <c r="AA750" s="2013"/>
      <c r="AB750" s="20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42" t="s">
        <v>696</v>
      </c>
      <c r="I752" s="20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93">
        <f>VLOOKUP($H$752,$AO$686:$AP$688,2,FALSE)</f>
        <v>2</v>
      </c>
      <c r="AK754" s="199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2013" t="s">
        <v>1881</v>
      </c>
      <c r="F758" s="2013"/>
      <c r="G758" s="2013"/>
      <c r="H758" s="2013"/>
      <c r="I758" s="2013"/>
      <c r="J758" s="2013"/>
      <c r="K758" s="2013"/>
      <c r="L758" s="2013"/>
      <c r="M758" s="2013"/>
      <c r="N758" s="2013"/>
      <c r="O758" s="2013"/>
      <c r="P758" s="2013"/>
      <c r="Q758" s="2013"/>
      <c r="R758" s="2013"/>
      <c r="S758" s="2013"/>
      <c r="T758" s="2013"/>
      <c r="U758" s="2013"/>
      <c r="V758" s="2013"/>
      <c r="W758" s="2013"/>
      <c r="X758" s="2013"/>
      <c r="Y758" s="2013"/>
      <c r="Z758" s="2013"/>
      <c r="AA758" s="2013"/>
      <c r="AB758" s="2013"/>
      <c r="AC758" s="2013"/>
      <c r="AD758" s="2013"/>
      <c r="AE758" s="570"/>
      <c r="AF758" s="1960" t="s">
        <v>1518</v>
      </c>
      <c r="AG758" s="1960"/>
      <c r="AH758" s="1960"/>
      <c r="AI758" s="1960"/>
      <c r="AJ758" s="1960"/>
      <c r="AK758" s="1960"/>
      <c r="AL758" s="1960"/>
      <c r="AM758" s="647"/>
      <c r="AN758" s="718"/>
      <c r="AO758" s="584" t="s">
        <v>599</v>
      </c>
      <c r="AP758" s="707">
        <v>0</v>
      </c>
    </row>
    <row r="759" spans="1:74" s="604" customFormat="1" ht="13.7" customHeight="1">
      <c r="A759" s="584"/>
      <c r="B759" s="650"/>
      <c r="C759" s="975"/>
      <c r="D759" s="697"/>
      <c r="E759" s="2013"/>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52" t="s">
        <v>1886</v>
      </c>
      <c r="F763" s="2052"/>
      <c r="G763" s="2052"/>
      <c r="H763" s="2052"/>
      <c r="I763" s="2052"/>
      <c r="J763" s="2052"/>
      <c r="K763" s="2052"/>
      <c r="L763" s="2052"/>
      <c r="M763" s="2052"/>
      <c r="N763" s="2052"/>
      <c r="O763" s="2052"/>
      <c r="P763" s="2052"/>
      <c r="Q763" s="2052"/>
      <c r="R763" s="2052"/>
      <c r="S763" s="2052"/>
      <c r="T763" s="2052"/>
      <c r="U763" s="2052"/>
      <c r="V763" s="2052"/>
      <c r="W763" s="2052"/>
      <c r="X763" s="2052"/>
      <c r="Y763" s="2052"/>
      <c r="Z763" s="2052"/>
      <c r="AA763" s="2052"/>
      <c r="AB763" s="2052"/>
      <c r="AC763" s="2052"/>
      <c r="AD763" s="2052"/>
      <c r="AE763" s="570"/>
      <c r="AF763" s="1960" t="s">
        <v>1462</v>
      </c>
      <c r="AG763" s="1960"/>
      <c r="AH763" s="1960"/>
      <c r="AI763" s="1960"/>
      <c r="AJ763" s="1960"/>
      <c r="AK763" s="1960"/>
      <c r="AL763" s="1960"/>
      <c r="AM763" s="647"/>
      <c r="AN763" s="631"/>
    </row>
    <row r="764" spans="1:74" s="584" customFormat="1" ht="12.75" customHeight="1">
      <c r="B764" s="650"/>
      <c r="C764" s="975"/>
      <c r="D764" s="697"/>
      <c r="E764" s="2052"/>
      <c r="F764" s="2052"/>
      <c r="G764" s="2052"/>
      <c r="H764" s="2052"/>
      <c r="I764" s="2052"/>
      <c r="J764" s="2052"/>
      <c r="K764" s="2052"/>
      <c r="L764" s="2052"/>
      <c r="M764" s="2052"/>
      <c r="N764" s="2052"/>
      <c r="O764" s="2052"/>
      <c r="P764" s="2052"/>
      <c r="Q764" s="2052"/>
      <c r="R764" s="2052"/>
      <c r="S764" s="2052"/>
      <c r="T764" s="2052"/>
      <c r="U764" s="2052"/>
      <c r="V764" s="2052"/>
      <c r="W764" s="2052"/>
      <c r="X764" s="2052"/>
      <c r="Y764" s="2052"/>
      <c r="Z764" s="2052"/>
      <c r="AA764" s="2052"/>
      <c r="AB764" s="2052"/>
      <c r="AC764" s="2052"/>
      <c r="AD764" s="2052"/>
      <c r="AE764" s="628"/>
      <c r="AF764" s="628"/>
      <c r="AG764" s="628"/>
      <c r="AH764" s="628"/>
      <c r="AI764" s="628"/>
      <c r="AJ764" s="628"/>
      <c r="AK764" s="628"/>
      <c r="AL764" s="628"/>
      <c r="AM764" s="647"/>
      <c r="AN764" s="631"/>
    </row>
    <row r="765" spans="1:74" s="584" customFormat="1" ht="12.75" customHeight="1">
      <c r="B765" s="650"/>
      <c r="C765" s="975"/>
      <c r="D765" s="697"/>
      <c r="E765" s="2052"/>
      <c r="F765" s="2052"/>
      <c r="G765" s="2052"/>
      <c r="H765" s="2052"/>
      <c r="I765" s="2052"/>
      <c r="J765" s="2052"/>
      <c r="K765" s="2052"/>
      <c r="L765" s="2052"/>
      <c r="M765" s="2052"/>
      <c r="N765" s="2052"/>
      <c r="O765" s="2052"/>
      <c r="P765" s="2052"/>
      <c r="Q765" s="2052"/>
      <c r="R765" s="2052"/>
      <c r="S765" s="2052"/>
      <c r="T765" s="2052"/>
      <c r="U765" s="2052"/>
      <c r="V765" s="2052"/>
      <c r="W765" s="2052"/>
      <c r="X765" s="2052"/>
      <c r="Y765" s="2052"/>
      <c r="Z765" s="2052"/>
      <c r="AA765" s="2052"/>
      <c r="AB765" s="2052"/>
      <c r="AC765" s="2052"/>
      <c r="AD765" s="2052"/>
      <c r="AE765" s="628"/>
      <c r="AF765" s="628"/>
      <c r="AG765" s="628"/>
      <c r="AH765" s="628"/>
      <c r="AI765" s="628"/>
      <c r="AJ765" s="628"/>
      <c r="AK765" s="628"/>
      <c r="AL765" s="628"/>
      <c r="AM765" s="647"/>
      <c r="AN765" s="631"/>
    </row>
    <row r="766" spans="1:74" s="584" customFormat="1" ht="12.75" customHeight="1">
      <c r="B766" s="650"/>
      <c r="C766" s="975"/>
      <c r="D766" s="697"/>
      <c r="E766" s="2052"/>
      <c r="F766" s="2052"/>
      <c r="G766" s="2052"/>
      <c r="H766" s="2052"/>
      <c r="I766" s="2052"/>
      <c r="J766" s="2052"/>
      <c r="K766" s="2052"/>
      <c r="L766" s="2052"/>
      <c r="M766" s="2052"/>
      <c r="N766" s="2052"/>
      <c r="O766" s="2052"/>
      <c r="P766" s="2052"/>
      <c r="Q766" s="2052"/>
      <c r="R766" s="2052"/>
      <c r="S766" s="2052"/>
      <c r="T766" s="2052"/>
      <c r="U766" s="2052"/>
      <c r="V766" s="2052"/>
      <c r="W766" s="2052"/>
      <c r="X766" s="2052"/>
      <c r="Y766" s="2052"/>
      <c r="Z766" s="2052"/>
      <c r="AA766" s="2052"/>
      <c r="AB766" s="2052"/>
      <c r="AC766" s="2052"/>
      <c r="AD766" s="205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42" t="s">
        <v>599</v>
      </c>
      <c r="I768" s="20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93">
        <f>VLOOKUP($H$768,$AO$758:$AP$760,2,FALSE)</f>
        <v>0</v>
      </c>
      <c r="AK770" s="199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2013" t="s">
        <v>2346</v>
      </c>
      <c r="F774" s="2013"/>
      <c r="G774" s="2013"/>
      <c r="H774" s="2013"/>
      <c r="I774" s="2013"/>
      <c r="J774" s="2013"/>
      <c r="K774" s="2013"/>
      <c r="L774" s="2013"/>
      <c r="M774" s="2013"/>
      <c r="N774" s="2013"/>
      <c r="O774" s="2013"/>
      <c r="P774" s="2013"/>
      <c r="Q774" s="2013"/>
      <c r="R774" s="2013"/>
      <c r="S774" s="2013"/>
      <c r="T774" s="2013"/>
      <c r="U774" s="2013"/>
      <c r="V774" s="2013"/>
      <c r="W774" s="2013"/>
      <c r="X774" s="2013"/>
      <c r="Y774" s="2013"/>
      <c r="Z774" s="2013"/>
      <c r="AA774" s="2013"/>
      <c r="AB774" s="2013"/>
      <c r="AC774" s="2013"/>
      <c r="AD774" s="2013"/>
      <c r="AE774" s="570"/>
      <c r="AF774" s="1960" t="s">
        <v>1462</v>
      </c>
      <c r="AG774" s="1960"/>
      <c r="AH774" s="1960"/>
      <c r="AI774" s="1960"/>
      <c r="AJ774" s="1960"/>
      <c r="AK774" s="1960"/>
      <c r="AL774" s="196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2013"/>
      <c r="F775" s="2013"/>
      <c r="G775" s="2013"/>
      <c r="H775" s="2013"/>
      <c r="I775" s="2013"/>
      <c r="J775" s="2013"/>
      <c r="K775" s="2013"/>
      <c r="L775" s="2013"/>
      <c r="M775" s="2013"/>
      <c r="N775" s="2013"/>
      <c r="O775" s="2013"/>
      <c r="P775" s="2013"/>
      <c r="Q775" s="2013"/>
      <c r="R775" s="2013"/>
      <c r="S775" s="2013"/>
      <c r="T775" s="2013"/>
      <c r="U775" s="2013"/>
      <c r="V775" s="2013"/>
      <c r="W775" s="2013"/>
      <c r="X775" s="2013"/>
      <c r="Y775" s="2013"/>
      <c r="Z775" s="2013"/>
      <c r="AA775" s="2013"/>
      <c r="AB775" s="2013"/>
      <c r="AC775" s="2013"/>
      <c r="AD775" s="20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13"/>
      <c r="F776" s="2013"/>
      <c r="G776" s="2013"/>
      <c r="H776" s="2013"/>
      <c r="I776" s="2013"/>
      <c r="J776" s="2013"/>
      <c r="K776" s="2013"/>
      <c r="L776" s="2013"/>
      <c r="M776" s="2013"/>
      <c r="N776" s="2013"/>
      <c r="O776" s="2013"/>
      <c r="P776" s="2013"/>
      <c r="Q776" s="2013"/>
      <c r="R776" s="2013"/>
      <c r="S776" s="2013"/>
      <c r="T776" s="2013"/>
      <c r="U776" s="2013"/>
      <c r="V776" s="2013"/>
      <c r="W776" s="2013"/>
      <c r="X776" s="2013"/>
      <c r="Y776" s="2013"/>
      <c r="Z776" s="2013"/>
      <c r="AA776" s="2013"/>
      <c r="AB776" s="2013"/>
      <c r="AC776" s="2013"/>
      <c r="AD776" s="20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13"/>
      <c r="F777" s="2013"/>
      <c r="G777" s="2013"/>
      <c r="H777" s="2013"/>
      <c r="I777" s="2013"/>
      <c r="J777" s="2013"/>
      <c r="K777" s="2013"/>
      <c r="L777" s="2013"/>
      <c r="M777" s="2013"/>
      <c r="N777" s="2013"/>
      <c r="O777" s="2013"/>
      <c r="P777" s="2013"/>
      <c r="Q777" s="2013"/>
      <c r="R777" s="2013"/>
      <c r="S777" s="2013"/>
      <c r="T777" s="2013"/>
      <c r="U777" s="2013"/>
      <c r="V777" s="2013"/>
      <c r="W777" s="2013"/>
      <c r="X777" s="2013"/>
      <c r="Y777" s="2013"/>
      <c r="Z777" s="2013"/>
      <c r="AA777" s="2013"/>
      <c r="AB777" s="2013"/>
      <c r="AC777" s="2013"/>
      <c r="AD777" s="20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42" t="s">
        <v>553</v>
      </c>
      <c r="I779" s="20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93">
        <f>VLOOKUP($H$779,$AO$773:$AP$774,2,FALSE)</f>
        <v>3</v>
      </c>
      <c r="AK781" s="199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93">
        <f>IF(($AJ$610+$AJ$629+$AJ$641+$AJ$676+$AJ$700+$AJ$714+$AJ$726+$AJ$742+$AJ$754+$AJ$770+AJ781)&gt;10,10,($AJ$610+$AJ$629+$AJ$641+$AJ$676+$AJ$700+$AJ$714+$AJ$726+$AJ$742+$AJ$754+$AJ$770+AJ781))</f>
        <v>10</v>
      </c>
      <c r="AL783" s="1994"/>
      <c r="AM783" s="199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3" t="s">
        <v>1679</v>
      </c>
      <c r="B786" s="2104"/>
      <c r="C786" s="2104"/>
      <c r="D786" s="2104"/>
      <c r="E786" s="2104"/>
      <c r="F786" s="2104"/>
      <c r="G786" s="2104"/>
      <c r="H786" s="2104"/>
      <c r="I786" s="2104"/>
      <c r="J786" s="2104"/>
      <c r="K786" s="2104"/>
      <c r="L786" s="2104"/>
      <c r="M786" s="2104"/>
      <c r="N786" s="2104"/>
      <c r="O786" s="2104"/>
      <c r="P786" s="2104"/>
      <c r="Q786" s="2104"/>
      <c r="R786" s="2104"/>
      <c r="S786" s="2104"/>
      <c r="T786" s="2104"/>
      <c r="U786" s="2104"/>
      <c r="V786" s="2104"/>
      <c r="W786" s="2104"/>
      <c r="X786" s="2104"/>
      <c r="Y786" s="2104"/>
      <c r="Z786" s="2104"/>
      <c r="AA786" s="2104"/>
      <c r="AB786" s="2104"/>
      <c r="AC786" s="2104"/>
      <c r="AD786" s="2104"/>
      <c r="AE786" s="2104"/>
      <c r="AF786" s="2104"/>
      <c r="AG786" s="2104"/>
      <c r="AH786" s="2104"/>
      <c r="AI786" s="2104"/>
      <c r="AJ786" s="2104"/>
      <c r="AK786" s="2104"/>
      <c r="AL786" s="2104"/>
      <c r="AM786" s="2104"/>
    </row>
    <row r="787" spans="1:43">
      <c r="A787" s="2105"/>
      <c r="B787" s="2105"/>
      <c r="C787" s="2105"/>
      <c r="D787" s="2105"/>
      <c r="E787" s="2105"/>
      <c r="F787" s="2105"/>
      <c r="G787" s="2105"/>
      <c r="H787" s="2105"/>
      <c r="I787" s="2105"/>
      <c r="J787" s="2105"/>
      <c r="K787" s="2105"/>
      <c r="L787" s="2105"/>
      <c r="M787" s="2105"/>
      <c r="N787" s="2105"/>
      <c r="O787" s="2105"/>
      <c r="P787" s="2105"/>
      <c r="Q787" s="2105"/>
      <c r="R787" s="2105"/>
      <c r="S787" s="2105"/>
      <c r="T787" s="2105"/>
      <c r="U787" s="2105"/>
      <c r="V787" s="2105"/>
      <c r="W787" s="2105"/>
      <c r="X787" s="2105"/>
      <c r="Y787" s="2105"/>
      <c r="Z787" s="2105"/>
      <c r="AA787" s="2105"/>
      <c r="AB787" s="2105"/>
      <c r="AC787" s="2105"/>
      <c r="AD787" s="2105"/>
      <c r="AE787" s="2105"/>
      <c r="AF787" s="2105"/>
      <c r="AG787" s="2105"/>
      <c r="AH787" s="2105"/>
      <c r="AI787" s="2105"/>
      <c r="AJ787" s="2105"/>
      <c r="AK787" s="2105"/>
      <c r="AL787" s="2105"/>
      <c r="AM787" s="210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34"/>
      <c r="B789" s="2034"/>
      <c r="C789" s="2034"/>
      <c r="D789" s="2034"/>
      <c r="E789" s="2034"/>
      <c r="F789" s="2034"/>
      <c r="G789" s="2034"/>
      <c r="H789" s="2034"/>
      <c r="I789" s="2034"/>
      <c r="J789" s="2034"/>
      <c r="K789" s="2034"/>
      <c r="L789" s="2034"/>
      <c r="M789" s="2034"/>
      <c r="N789" s="2034"/>
      <c r="O789" s="2034"/>
      <c r="P789" s="2034"/>
      <c r="Q789" s="2034"/>
      <c r="R789" s="2034"/>
      <c r="S789" s="2034"/>
      <c r="T789" s="2034"/>
      <c r="U789" s="2034"/>
      <c r="V789" s="2034"/>
      <c r="W789" s="2034"/>
      <c r="X789" s="2034"/>
      <c r="Y789" s="2034"/>
      <c r="Z789" s="2034"/>
      <c r="AA789" s="2034"/>
      <c r="AB789" s="2034"/>
      <c r="AC789" s="2034"/>
      <c r="AD789" s="2034"/>
      <c r="AE789" s="2034"/>
      <c r="AF789" s="2034"/>
      <c r="AG789" s="2034"/>
      <c r="AH789" s="2034"/>
      <c r="AI789" s="2034"/>
      <c r="AJ789" s="2034"/>
      <c r="AK789" s="2034"/>
      <c r="AL789" s="2034"/>
      <c r="AM789" s="2034"/>
      <c r="AP789" s="850"/>
      <c r="AQ789" s="850"/>
    </row>
    <row r="790" spans="1:43">
      <c r="A790" s="2034"/>
      <c r="B790" s="2034"/>
      <c r="C790" s="2034"/>
      <c r="D790" s="2034"/>
      <c r="E790" s="2034"/>
      <c r="F790" s="2034"/>
      <c r="G790" s="2034"/>
      <c r="H790" s="2034"/>
      <c r="I790" s="2034"/>
      <c r="J790" s="2034"/>
      <c r="K790" s="2034"/>
      <c r="L790" s="2034"/>
      <c r="M790" s="2034"/>
      <c r="N790" s="2034"/>
      <c r="O790" s="2034"/>
      <c r="P790" s="2034"/>
      <c r="Q790" s="2034"/>
      <c r="R790" s="2034"/>
      <c r="S790" s="2034"/>
      <c r="T790" s="2034"/>
      <c r="U790" s="2034"/>
      <c r="V790" s="2034"/>
      <c r="W790" s="2034"/>
      <c r="X790" s="2034"/>
      <c r="Y790" s="2034"/>
      <c r="Z790" s="2034"/>
      <c r="AA790" s="2034"/>
      <c r="AB790" s="2034"/>
      <c r="AC790" s="2034"/>
      <c r="AD790" s="2034"/>
      <c r="AE790" s="2034"/>
      <c r="AF790" s="2034"/>
      <c r="AG790" s="2034"/>
      <c r="AH790" s="2034"/>
      <c r="AI790" s="2034"/>
      <c r="AJ790" s="2034"/>
      <c r="AK790" s="2034"/>
      <c r="AL790" s="2034"/>
      <c r="AM790" s="203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06" t="s">
        <v>1680</v>
      </c>
      <c r="U791" s="2107"/>
      <c r="V791" s="2107"/>
      <c r="W791" s="2107"/>
      <c r="X791" s="2107"/>
      <c r="Y791" s="2108"/>
      <c r="Z791" s="2106" t="s">
        <v>1681</v>
      </c>
      <c r="AA791" s="2107"/>
      <c r="AB791" s="2107"/>
      <c r="AC791" s="2107"/>
      <c r="AD791" s="2107"/>
      <c r="AE791" s="2108"/>
      <c r="AF791" s="2106" t="s">
        <v>1682</v>
      </c>
      <c r="AG791" s="2107"/>
      <c r="AH791" s="2107"/>
      <c r="AI791" s="2107"/>
      <c r="AJ791" s="2107"/>
      <c r="AK791" s="210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09"/>
      <c r="U792" s="2110"/>
      <c r="V792" s="2110"/>
      <c r="W792" s="2110"/>
      <c r="X792" s="2110"/>
      <c r="Y792" s="2111"/>
      <c r="Z792" s="2109"/>
      <c r="AA792" s="2110"/>
      <c r="AB792" s="2110"/>
      <c r="AC792" s="2110"/>
      <c r="AD792" s="2110"/>
      <c r="AE792" s="2111"/>
      <c r="AF792" s="2109"/>
      <c r="AG792" s="2110"/>
      <c r="AH792" s="2110"/>
      <c r="AI792" s="2110"/>
      <c r="AJ792" s="2110"/>
      <c r="AK792" s="2111"/>
      <c r="AL792" s="852"/>
      <c r="AM792" s="630"/>
      <c r="AO792" s="850"/>
      <c r="AP792" s="850"/>
      <c r="AQ792" s="850"/>
    </row>
    <row r="793" spans="1:43">
      <c r="A793" s="853" t="s">
        <v>766</v>
      </c>
      <c r="B793" s="2086" t="s">
        <v>1414</v>
      </c>
      <c r="C793" s="2086"/>
      <c r="D793" s="2086"/>
      <c r="E793" s="2086"/>
      <c r="F793" s="2086"/>
      <c r="G793" s="2086"/>
      <c r="H793" s="2086"/>
      <c r="I793" s="2086"/>
      <c r="J793" s="2086"/>
      <c r="K793" s="2086"/>
      <c r="L793" s="2086"/>
      <c r="M793" s="2086"/>
      <c r="N793" s="2086"/>
      <c r="O793" s="2086"/>
      <c r="P793" s="2086"/>
      <c r="Q793" s="2086"/>
      <c r="R793" s="2086"/>
      <c r="S793" s="2087"/>
      <c r="T793" s="2088">
        <f>AK56</f>
        <v>0</v>
      </c>
      <c r="U793" s="2089"/>
      <c r="V793" s="2089"/>
      <c r="W793" s="2089"/>
      <c r="X793" s="2089"/>
      <c r="Y793" s="2090"/>
      <c r="Z793" s="2091">
        <v>20</v>
      </c>
      <c r="AA793" s="2089"/>
      <c r="AB793" s="2089"/>
      <c r="AC793" s="2089"/>
      <c r="AD793" s="2089"/>
      <c r="AE793" s="2090"/>
      <c r="AF793" s="2055">
        <f>IF(T793&gt;Z793,Z793,T793)</f>
        <v>0</v>
      </c>
      <c r="AG793" s="2055"/>
      <c r="AH793" s="2055"/>
      <c r="AI793" s="2055"/>
      <c r="AJ793" s="2055"/>
      <c r="AK793" s="2055"/>
      <c r="AL793" s="852"/>
      <c r="AM793" s="630"/>
      <c r="AO793" s="850"/>
      <c r="AP793" s="850"/>
      <c r="AQ793" s="850"/>
    </row>
    <row r="794" spans="1:43">
      <c r="A794" s="853" t="s">
        <v>1652</v>
      </c>
      <c r="B794" s="2086" t="s">
        <v>1423</v>
      </c>
      <c r="C794" s="2086"/>
      <c r="D794" s="2086"/>
      <c r="E794" s="2086"/>
      <c r="F794" s="2086"/>
      <c r="G794" s="2086"/>
      <c r="H794" s="2086"/>
      <c r="I794" s="2086"/>
      <c r="J794" s="2086"/>
      <c r="K794" s="2086"/>
      <c r="L794" s="2086"/>
      <c r="M794" s="2086"/>
      <c r="N794" s="2086"/>
      <c r="O794" s="2086"/>
      <c r="P794" s="2086"/>
      <c r="Q794" s="2086"/>
      <c r="R794" s="2086"/>
      <c r="S794" s="2087"/>
      <c r="T794" s="2088">
        <f>AK78</f>
        <v>10</v>
      </c>
      <c r="U794" s="2089"/>
      <c r="V794" s="2089"/>
      <c r="W794" s="2089"/>
      <c r="X794" s="2089"/>
      <c r="Y794" s="2090"/>
      <c r="Z794" s="2091">
        <v>10</v>
      </c>
      <c r="AA794" s="2089"/>
      <c r="AB794" s="2089"/>
      <c r="AC794" s="2089"/>
      <c r="AD794" s="2089"/>
      <c r="AE794" s="2090"/>
      <c r="AF794" s="2055">
        <f>IF(T794&gt;Z794,Z794,T794)</f>
        <v>10</v>
      </c>
      <c r="AG794" s="2055"/>
      <c r="AH794" s="2055"/>
      <c r="AI794" s="2055"/>
      <c r="AJ794" s="2055"/>
      <c r="AK794" s="2055"/>
      <c r="AL794" s="852"/>
      <c r="AM794" s="630"/>
      <c r="AO794" s="850"/>
      <c r="AP794" s="850"/>
      <c r="AQ794" s="850"/>
    </row>
    <row r="795" spans="1:43">
      <c r="A795" s="853" t="s">
        <v>1661</v>
      </c>
      <c r="B795" s="2086" t="s">
        <v>1433</v>
      </c>
      <c r="C795" s="2086"/>
      <c r="D795" s="2086"/>
      <c r="E795" s="2086"/>
      <c r="F795" s="2086"/>
      <c r="G795" s="2086"/>
      <c r="H795" s="2086"/>
      <c r="I795" s="2086"/>
      <c r="J795" s="2086"/>
      <c r="K795" s="2086"/>
      <c r="L795" s="2086"/>
      <c r="M795" s="2086"/>
      <c r="N795" s="2086"/>
      <c r="O795" s="2086"/>
      <c r="P795" s="2086"/>
      <c r="Q795" s="2086"/>
      <c r="R795" s="2086"/>
      <c r="S795" s="2087"/>
      <c r="T795" s="2088">
        <f>AK103</f>
        <v>20</v>
      </c>
      <c r="U795" s="2089"/>
      <c r="V795" s="2089"/>
      <c r="W795" s="2089"/>
      <c r="X795" s="2089"/>
      <c r="Y795" s="2090"/>
      <c r="Z795" s="2091">
        <v>20</v>
      </c>
      <c r="AA795" s="2089"/>
      <c r="AB795" s="2089"/>
      <c r="AC795" s="2089"/>
      <c r="AD795" s="2089"/>
      <c r="AE795" s="2090"/>
      <c r="AF795" s="2055">
        <f>IF(T795&gt;Z795,Z795,T795)</f>
        <v>20</v>
      </c>
      <c r="AG795" s="2055"/>
      <c r="AH795" s="2055"/>
      <c r="AI795" s="2055"/>
      <c r="AJ795" s="2055"/>
      <c r="AK795" s="2055"/>
      <c r="AL795" s="852"/>
      <c r="AM795" s="630"/>
      <c r="AO795" s="850"/>
      <c r="AP795" s="850"/>
      <c r="AQ795" s="850"/>
    </row>
    <row r="796" spans="1:43">
      <c r="A796" s="853" t="s">
        <v>1683</v>
      </c>
      <c r="B796" s="2086" t="s">
        <v>1443</v>
      </c>
      <c r="C796" s="2086"/>
      <c r="D796" s="2086"/>
      <c r="E796" s="2086"/>
      <c r="F796" s="2086"/>
      <c r="G796" s="2086"/>
      <c r="H796" s="2086"/>
      <c r="I796" s="2086"/>
      <c r="J796" s="2086"/>
      <c r="K796" s="2086"/>
      <c r="L796" s="2086"/>
      <c r="M796" s="2086"/>
      <c r="N796" s="2086"/>
      <c r="O796" s="2086"/>
      <c r="P796" s="2086"/>
      <c r="Q796" s="2086"/>
      <c r="R796" s="2086"/>
      <c r="S796" s="2087"/>
      <c r="T796" s="2088">
        <f>AK137</f>
        <v>10</v>
      </c>
      <c r="U796" s="2089"/>
      <c r="V796" s="2089"/>
      <c r="W796" s="2089"/>
      <c r="X796" s="2089"/>
      <c r="Y796" s="2090"/>
      <c r="Z796" s="2091">
        <v>10</v>
      </c>
      <c r="AA796" s="2089"/>
      <c r="AB796" s="2089"/>
      <c r="AC796" s="2089"/>
      <c r="AD796" s="2089"/>
      <c r="AE796" s="2090"/>
      <c r="AF796" s="2055">
        <f>IF(T796&gt;Z796,Z796,T796)</f>
        <v>10</v>
      </c>
      <c r="AG796" s="2055"/>
      <c r="AH796" s="2055"/>
      <c r="AI796" s="2055"/>
      <c r="AJ796" s="2055"/>
      <c r="AK796" s="2055"/>
      <c r="AL796" s="852"/>
      <c r="AM796" s="630"/>
      <c r="AO796" s="850"/>
      <c r="AP796" s="850"/>
      <c r="AQ796" s="850"/>
    </row>
    <row r="797" spans="1:43">
      <c r="A797" s="854" t="s">
        <v>1684</v>
      </c>
      <c r="B797" s="2086" t="s">
        <v>1685</v>
      </c>
      <c r="C797" s="2086"/>
      <c r="D797" s="2086"/>
      <c r="E797" s="2086"/>
      <c r="F797" s="2086"/>
      <c r="G797" s="2086"/>
      <c r="H797" s="2086"/>
      <c r="I797" s="2086"/>
      <c r="J797" s="2086"/>
      <c r="K797" s="2086"/>
      <c r="L797" s="2086"/>
      <c r="M797" s="2086"/>
      <c r="N797" s="2086"/>
      <c r="O797" s="2086"/>
      <c r="P797" s="2086"/>
      <c r="Q797" s="2086"/>
      <c r="R797" s="2086"/>
      <c r="S797" s="2087"/>
      <c r="T797" s="2112">
        <f>SUM(T798:Y799)</f>
        <v>10</v>
      </c>
      <c r="U797" s="2112"/>
      <c r="V797" s="2112"/>
      <c r="W797" s="2112"/>
      <c r="X797" s="2112"/>
      <c r="Y797" s="2112"/>
      <c r="Z797" s="2055">
        <v>10</v>
      </c>
      <c r="AA797" s="2055"/>
      <c r="AB797" s="2055"/>
      <c r="AC797" s="2055"/>
      <c r="AD797" s="2055"/>
      <c r="AE797" s="2055"/>
      <c r="AF797" s="2055">
        <f>IF(T797&gt;Z797,Z797,T797)</f>
        <v>10</v>
      </c>
      <c r="AG797" s="2055"/>
      <c r="AH797" s="2055"/>
      <c r="AI797" s="2055"/>
      <c r="AJ797" s="2055"/>
      <c r="AK797" s="2055"/>
      <c r="AL797" s="852"/>
      <c r="AM797" s="630"/>
    </row>
    <row r="798" spans="1:43">
      <c r="A798" s="569"/>
      <c r="B798" s="635"/>
      <c r="C798" s="2113" t="s">
        <v>1686</v>
      </c>
      <c r="D798" s="2113"/>
      <c r="E798" s="2113"/>
      <c r="F798" s="2113"/>
      <c r="G798" s="2113"/>
      <c r="H798" s="2113"/>
      <c r="I798" s="2113"/>
      <c r="J798" s="2113"/>
      <c r="K798" s="2113"/>
      <c r="L798" s="2113"/>
      <c r="M798" s="2113"/>
      <c r="N798" s="2113"/>
      <c r="O798" s="2113"/>
      <c r="P798" s="2113"/>
      <c r="Q798" s="2113"/>
      <c r="R798" s="2113"/>
      <c r="S798" s="2114"/>
      <c r="T798" s="1988">
        <f>AJ155</f>
        <v>7</v>
      </c>
      <c r="U798" s="1988"/>
      <c r="V798" s="1988"/>
      <c r="W798" s="1988"/>
      <c r="X798" s="1988"/>
      <c r="Y798" s="1988"/>
      <c r="Z798" s="1989">
        <v>7</v>
      </c>
      <c r="AA798" s="1989"/>
      <c r="AB798" s="1989"/>
      <c r="AC798" s="1989"/>
      <c r="AD798" s="1989"/>
      <c r="AE798" s="1989"/>
      <c r="AF798" s="2115"/>
      <c r="AG798" s="2115"/>
      <c r="AH798" s="2115"/>
      <c r="AI798" s="2115"/>
      <c r="AJ798" s="2115"/>
      <c r="AK798" s="2115"/>
      <c r="AL798" s="852"/>
      <c r="AM798" s="630"/>
    </row>
    <row r="799" spans="1:43">
      <c r="A799" s="634"/>
      <c r="B799" s="635"/>
      <c r="C799" s="2113" t="s">
        <v>1687</v>
      </c>
      <c r="D799" s="2113"/>
      <c r="E799" s="2113"/>
      <c r="F799" s="2113"/>
      <c r="G799" s="2113"/>
      <c r="H799" s="2113"/>
      <c r="I799" s="2113"/>
      <c r="J799" s="2113"/>
      <c r="K799" s="2113"/>
      <c r="L799" s="2113"/>
      <c r="M799" s="2113"/>
      <c r="N799" s="2113"/>
      <c r="O799" s="2113"/>
      <c r="P799" s="2113"/>
      <c r="Q799" s="2113"/>
      <c r="R799" s="2113"/>
      <c r="S799" s="2114"/>
      <c r="T799" s="1988">
        <f>AJ169</f>
        <v>3</v>
      </c>
      <c r="U799" s="1988"/>
      <c r="V799" s="1988"/>
      <c r="W799" s="1988"/>
      <c r="X799" s="1988"/>
      <c r="Y799" s="1988"/>
      <c r="Z799" s="1989">
        <v>3</v>
      </c>
      <c r="AA799" s="1989"/>
      <c r="AB799" s="1989"/>
      <c r="AC799" s="1989"/>
      <c r="AD799" s="1989"/>
      <c r="AE799" s="1989"/>
      <c r="AF799" s="2115"/>
      <c r="AG799" s="2115"/>
      <c r="AH799" s="2115"/>
      <c r="AI799" s="2115"/>
      <c r="AJ799" s="2115"/>
      <c r="AK799" s="2115"/>
      <c r="AL799" s="852"/>
      <c r="AM799" s="630"/>
      <c r="AO799" s="584"/>
    </row>
    <row r="800" spans="1:43">
      <c r="A800" s="854" t="s">
        <v>1471</v>
      </c>
      <c r="B800" s="2086" t="s">
        <v>1688</v>
      </c>
      <c r="C800" s="2086"/>
      <c r="D800" s="2086"/>
      <c r="E800" s="2086"/>
      <c r="F800" s="2086"/>
      <c r="G800" s="2086"/>
      <c r="H800" s="2086"/>
      <c r="I800" s="2086"/>
      <c r="J800" s="2086"/>
      <c r="K800" s="2086"/>
      <c r="L800" s="2086"/>
      <c r="M800" s="2086"/>
      <c r="N800" s="2086"/>
      <c r="O800" s="2086"/>
      <c r="P800" s="2086"/>
      <c r="Q800" s="2086"/>
      <c r="R800" s="2086"/>
      <c r="S800" s="2087"/>
      <c r="T800" s="2112">
        <f>AK180</f>
        <v>10</v>
      </c>
      <c r="U800" s="2112"/>
      <c r="V800" s="2112"/>
      <c r="W800" s="2112"/>
      <c r="X800" s="2112"/>
      <c r="Y800" s="2112"/>
      <c r="Z800" s="2055">
        <v>10</v>
      </c>
      <c r="AA800" s="2055"/>
      <c r="AB800" s="2055"/>
      <c r="AC800" s="2055"/>
      <c r="AD800" s="2055"/>
      <c r="AE800" s="2055"/>
      <c r="AF800" s="2055">
        <f>IF(T800&gt;Z800,Z800,T800)</f>
        <v>10</v>
      </c>
      <c r="AG800" s="2055"/>
      <c r="AH800" s="2055"/>
      <c r="AI800" s="2055"/>
      <c r="AJ800" s="2055"/>
      <c r="AK800" s="2055"/>
      <c r="AL800" s="852"/>
      <c r="AM800" s="630"/>
    </row>
    <row r="801" spans="1:81">
      <c r="A801" s="853" t="s">
        <v>1480</v>
      </c>
      <c r="B801" s="2086" t="s">
        <v>1481</v>
      </c>
      <c r="C801" s="2086"/>
      <c r="D801" s="2086"/>
      <c r="E801" s="2086"/>
      <c r="F801" s="2086"/>
      <c r="G801" s="2086"/>
      <c r="H801" s="2086"/>
      <c r="I801" s="2086"/>
      <c r="J801" s="2086"/>
      <c r="K801" s="2086"/>
      <c r="L801" s="2086"/>
      <c r="M801" s="2086"/>
      <c r="N801" s="2086"/>
      <c r="O801" s="2086"/>
      <c r="P801" s="2086"/>
      <c r="Q801" s="2086"/>
      <c r="R801" s="2086"/>
      <c r="S801" s="2087"/>
      <c r="T801" s="2112">
        <f>AK262</f>
        <v>8</v>
      </c>
      <c r="U801" s="2112"/>
      <c r="V801" s="2112"/>
      <c r="W801" s="2112"/>
      <c r="X801" s="2112"/>
      <c r="Y801" s="2112"/>
      <c r="Z801" s="2091">
        <v>8</v>
      </c>
      <c r="AA801" s="2089"/>
      <c r="AB801" s="2089"/>
      <c r="AC801" s="2089"/>
      <c r="AD801" s="2089"/>
      <c r="AE801" s="2090"/>
      <c r="AF801" s="2055">
        <f>IF(T801&gt;Z801,Z801,T801)</f>
        <v>8</v>
      </c>
      <c r="AG801" s="2055"/>
      <c r="AH801" s="2055"/>
      <c r="AI801" s="2055"/>
      <c r="AJ801" s="2055"/>
      <c r="AK801" s="2055"/>
      <c r="AL801" s="852"/>
      <c r="AM801" s="630"/>
    </row>
    <row r="802" spans="1:81" s="568" customFormat="1" hidden="1">
      <c r="A802" s="854" t="s">
        <v>597</v>
      </c>
      <c r="B802" s="2086" t="s">
        <v>1689</v>
      </c>
      <c r="C802" s="2086"/>
      <c r="D802" s="2086"/>
      <c r="E802" s="2086"/>
      <c r="F802" s="2086"/>
      <c r="G802" s="2086"/>
      <c r="H802" s="2086"/>
      <c r="I802" s="2086"/>
      <c r="J802" s="2086"/>
      <c r="K802" s="2086"/>
      <c r="L802" s="2086"/>
      <c r="M802" s="2086"/>
      <c r="N802" s="2086"/>
      <c r="O802" s="2086"/>
      <c r="P802" s="2086"/>
      <c r="Q802" s="2086"/>
      <c r="R802" s="2086"/>
      <c r="S802" s="2087"/>
      <c r="T802" s="2112">
        <f>IF(AK524&gt;5,5,AK524)</f>
        <v>0</v>
      </c>
      <c r="U802" s="2112"/>
      <c r="V802" s="2112"/>
      <c r="W802" s="2112"/>
      <c r="X802" s="2112"/>
      <c r="Y802" s="2112"/>
      <c r="Z802" s="2055">
        <v>5</v>
      </c>
      <c r="AA802" s="2055"/>
      <c r="AB802" s="2055"/>
      <c r="AC802" s="2055"/>
      <c r="AD802" s="2055"/>
      <c r="AE802" s="2055"/>
      <c r="AF802" s="2055">
        <f>IF(T802&gt;Z802,5,T802)</f>
        <v>0</v>
      </c>
      <c r="AG802" s="2055"/>
      <c r="AH802" s="2055"/>
      <c r="AI802" s="2055"/>
      <c r="AJ802" s="2055"/>
      <c r="AK802" s="205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86" t="s">
        <v>1690</v>
      </c>
      <c r="C803" s="2086"/>
      <c r="D803" s="2086"/>
      <c r="E803" s="2086"/>
      <c r="F803" s="2086"/>
      <c r="G803" s="2086"/>
      <c r="H803" s="2086"/>
      <c r="I803" s="2086"/>
      <c r="J803" s="2086"/>
      <c r="K803" s="2086"/>
      <c r="L803" s="2086"/>
      <c r="M803" s="2086"/>
      <c r="N803" s="2086"/>
      <c r="O803" s="2086"/>
      <c r="P803" s="2086"/>
      <c r="Q803" s="2086"/>
      <c r="R803" s="2086"/>
      <c r="S803" s="2087"/>
      <c r="T803" s="2112">
        <f>AK274</f>
        <v>10</v>
      </c>
      <c r="U803" s="2112"/>
      <c r="V803" s="2112"/>
      <c r="W803" s="2112"/>
      <c r="X803" s="2112"/>
      <c r="Y803" s="2112"/>
      <c r="Z803" s="2055">
        <v>10</v>
      </c>
      <c r="AA803" s="2055"/>
      <c r="AB803" s="2055"/>
      <c r="AC803" s="2055"/>
      <c r="AD803" s="2055"/>
      <c r="AE803" s="2055"/>
      <c r="AF803" s="2118">
        <f>IF(T803&gt;Z803,Z803,T803)</f>
        <v>10</v>
      </c>
      <c r="AG803" s="2119"/>
      <c r="AH803" s="2119"/>
      <c r="AI803" s="2119"/>
      <c r="AJ803" s="2119"/>
      <c r="AK803" s="212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86" t="s">
        <v>1491</v>
      </c>
      <c r="C804" s="2086"/>
      <c r="D804" s="2086"/>
      <c r="E804" s="2086"/>
      <c r="F804" s="2086"/>
      <c r="G804" s="2086"/>
      <c r="H804" s="2086"/>
      <c r="I804" s="2086"/>
      <c r="J804" s="2086"/>
      <c r="K804" s="2086"/>
      <c r="L804" s="2086"/>
      <c r="M804" s="2086"/>
      <c r="N804" s="2086"/>
      <c r="O804" s="2086"/>
      <c r="P804" s="2086"/>
      <c r="Q804" s="2086"/>
      <c r="R804" s="2086"/>
      <c r="S804" s="2087"/>
      <c r="T804" s="2112">
        <f>AK327</f>
        <v>10</v>
      </c>
      <c r="U804" s="2112"/>
      <c r="V804" s="2112"/>
      <c r="W804" s="2112"/>
      <c r="X804" s="2112"/>
      <c r="Y804" s="2112"/>
      <c r="Z804" s="2118">
        <v>10</v>
      </c>
      <c r="AA804" s="2119"/>
      <c r="AB804" s="2119"/>
      <c r="AC804" s="2119"/>
      <c r="AD804" s="2119"/>
      <c r="AE804" s="2120"/>
      <c r="AF804" s="2118">
        <f>IF(T804&gt;Z804,Z804,T804)</f>
        <v>10</v>
      </c>
      <c r="AG804" s="2119"/>
      <c r="AH804" s="2119"/>
      <c r="AI804" s="2119"/>
      <c r="AJ804" s="2119"/>
      <c r="AK804" s="212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88">
        <f>AK327</f>
        <v>10</v>
      </c>
      <c r="U805" s="1988"/>
      <c r="V805" s="1988"/>
      <c r="W805" s="1988"/>
      <c r="X805" s="1988"/>
      <c r="Y805" s="1988"/>
      <c r="Z805" s="1993">
        <v>20</v>
      </c>
      <c r="AA805" s="1994"/>
      <c r="AB805" s="1994"/>
      <c r="AC805" s="1994"/>
      <c r="AD805" s="1994"/>
      <c r="AE805" s="1995"/>
      <c r="AF805" s="2115"/>
      <c r="AG805" s="2115"/>
      <c r="AH805" s="2115"/>
      <c r="AI805" s="2115"/>
      <c r="AJ805" s="2115"/>
      <c r="AK805" s="211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86" t="s">
        <v>856</v>
      </c>
      <c r="C806" s="2086"/>
      <c r="D806" s="2086"/>
      <c r="E806" s="2086"/>
      <c r="F806" s="2086"/>
      <c r="G806" s="2086"/>
      <c r="H806" s="2086"/>
      <c r="I806" s="2086"/>
      <c r="J806" s="2086"/>
      <c r="K806" s="2086"/>
      <c r="L806" s="2086"/>
      <c r="M806" s="2086"/>
      <c r="N806" s="2086"/>
      <c r="O806" s="2086"/>
      <c r="P806" s="2086"/>
      <c r="Q806" s="2086"/>
      <c r="R806" s="2086"/>
      <c r="S806" s="2087"/>
      <c r="T806" s="2112">
        <f>AK458</f>
        <v>10</v>
      </c>
      <c r="U806" s="2112"/>
      <c r="V806" s="2112"/>
      <c r="W806" s="2112"/>
      <c r="X806" s="2112"/>
      <c r="Y806" s="2112"/>
      <c r="Z806" s="2118">
        <v>10</v>
      </c>
      <c r="AA806" s="2119"/>
      <c r="AB806" s="2119"/>
      <c r="AC806" s="2119"/>
      <c r="AD806" s="2119"/>
      <c r="AE806" s="2120"/>
      <c r="AF806" s="2055">
        <f>IF(T806&gt;Z806,Z806,T806)</f>
        <v>10</v>
      </c>
      <c r="AG806" s="2055"/>
      <c r="AH806" s="2055"/>
      <c r="AI806" s="2055"/>
      <c r="AJ806" s="2055"/>
      <c r="AK806" s="205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86" t="s">
        <v>1670</v>
      </c>
      <c r="C807" s="2086"/>
      <c r="D807" s="2086"/>
      <c r="E807" s="2086"/>
      <c r="F807" s="2086"/>
      <c r="G807" s="2086"/>
      <c r="H807" s="2086"/>
      <c r="I807" s="2086"/>
      <c r="J807" s="2086"/>
      <c r="K807" s="2086"/>
      <c r="L807" s="2086"/>
      <c r="M807" s="2086"/>
      <c r="N807" s="2086"/>
      <c r="O807" s="2086"/>
      <c r="P807" s="2086"/>
      <c r="Q807" s="2086"/>
      <c r="R807" s="2086"/>
      <c r="S807" s="2087"/>
      <c r="T807" s="2112">
        <f>AK548</f>
        <v>12</v>
      </c>
      <c r="U807" s="2112"/>
      <c r="V807" s="2112"/>
      <c r="W807" s="2112"/>
      <c r="X807" s="2112"/>
      <c r="Y807" s="2112"/>
      <c r="Z807" s="2118">
        <v>12</v>
      </c>
      <c r="AA807" s="2119"/>
      <c r="AB807" s="2119"/>
      <c r="AC807" s="2119"/>
      <c r="AD807" s="2119"/>
      <c r="AE807" s="2120"/>
      <c r="AF807" s="2055">
        <f>IF(T807&gt;Z807,Z807,T807)</f>
        <v>12</v>
      </c>
      <c r="AG807" s="2055"/>
      <c r="AH807" s="2055"/>
      <c r="AI807" s="2055"/>
      <c r="AJ807" s="2055"/>
      <c r="AK807" s="205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86" t="s">
        <v>1692</v>
      </c>
      <c r="C808" s="2086"/>
      <c r="D808" s="2086"/>
      <c r="E808" s="2086"/>
      <c r="F808" s="2086"/>
      <c r="G808" s="2086"/>
      <c r="H808" s="2086"/>
      <c r="I808" s="2086"/>
      <c r="J808" s="2086"/>
      <c r="K808" s="2086"/>
      <c r="L808" s="2086"/>
      <c r="M808" s="2086"/>
      <c r="N808" s="2086"/>
      <c r="O808" s="2086"/>
      <c r="P808" s="2086"/>
      <c r="Q808" s="2086"/>
      <c r="R808" s="2086"/>
      <c r="S808" s="2087"/>
      <c r="T808" s="2112">
        <f>AK783</f>
        <v>10</v>
      </c>
      <c r="U808" s="2112"/>
      <c r="V808" s="2112"/>
      <c r="W808" s="2112"/>
      <c r="X808" s="2112"/>
      <c r="Y808" s="2112"/>
      <c r="Z808" s="2118">
        <v>10</v>
      </c>
      <c r="AA808" s="2119"/>
      <c r="AB808" s="2119"/>
      <c r="AC808" s="2119"/>
      <c r="AD808" s="2119"/>
      <c r="AE808" s="2120"/>
      <c r="AF808" s="2055">
        <f>IF(T808&gt;Z808,Z808,T808)</f>
        <v>10</v>
      </c>
      <c r="AG808" s="2055"/>
      <c r="AH808" s="2055"/>
      <c r="AI808" s="2055"/>
      <c r="AJ808" s="2055"/>
      <c r="AK808" s="205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16" t="s">
        <v>1693</v>
      </c>
      <c r="B809" s="2086"/>
      <c r="C809" s="2086"/>
      <c r="D809" s="2086"/>
      <c r="E809" s="2086"/>
      <c r="F809" s="2086"/>
      <c r="G809" s="2086"/>
      <c r="H809" s="2086"/>
      <c r="I809" s="2086"/>
      <c r="J809" s="2086"/>
      <c r="K809" s="2086"/>
      <c r="L809" s="2086"/>
      <c r="M809" s="2086"/>
      <c r="N809" s="2086"/>
      <c r="O809" s="2086"/>
      <c r="P809" s="2086"/>
      <c r="Q809" s="2086"/>
      <c r="R809" s="2086"/>
      <c r="S809" s="2087"/>
      <c r="T809" s="2117"/>
      <c r="U809" s="2117"/>
      <c r="V809" s="2117"/>
      <c r="W809" s="2117"/>
      <c r="X809" s="2117"/>
      <c r="Y809" s="2117"/>
      <c r="Z809" s="1989" t="s">
        <v>1694</v>
      </c>
      <c r="AA809" s="1989"/>
      <c r="AB809" s="1989"/>
      <c r="AC809" s="1989"/>
      <c r="AD809" s="1989"/>
      <c r="AE809" s="1989"/>
      <c r="AF809" s="2118">
        <f>IF(T809&gt;0,T809,0)</f>
        <v>0</v>
      </c>
      <c r="AG809" s="2119"/>
      <c r="AH809" s="2119"/>
      <c r="AI809" s="2119"/>
      <c r="AJ809" s="2119"/>
      <c r="AK809" s="212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21" t="s">
        <v>1695</v>
      </c>
      <c r="B810" s="2122"/>
      <c r="C810" s="2122"/>
      <c r="D810" s="2122"/>
      <c r="E810" s="2122"/>
      <c r="F810" s="2122"/>
      <c r="G810" s="2122"/>
      <c r="H810" s="2122"/>
      <c r="I810" s="2122"/>
      <c r="J810" s="2122"/>
      <c r="K810" s="2122"/>
      <c r="L810" s="2122"/>
      <c r="M810" s="2122"/>
      <c r="N810" s="2122"/>
      <c r="O810" s="2122"/>
      <c r="P810" s="2122"/>
      <c r="Q810" s="2122"/>
      <c r="R810" s="2122"/>
      <c r="S810" s="2122"/>
      <c r="T810" s="2122"/>
      <c r="U810" s="2122"/>
      <c r="V810" s="2122"/>
      <c r="W810" s="2122"/>
      <c r="X810" s="2122"/>
      <c r="Y810" s="2122"/>
      <c r="Z810" s="2122"/>
      <c r="AA810" s="2122"/>
      <c r="AB810" s="2122"/>
      <c r="AC810" s="2122"/>
      <c r="AD810" s="2122"/>
      <c r="AE810" s="2123"/>
      <c r="AF810" s="2127">
        <f>SUM(AF793:AK808)-AF809</f>
        <v>120</v>
      </c>
      <c r="AG810" s="2128"/>
      <c r="AH810" s="2128"/>
      <c r="AI810" s="2128"/>
      <c r="AJ810" s="2128"/>
      <c r="AK810" s="212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24"/>
      <c r="B811" s="2125"/>
      <c r="C811" s="2125"/>
      <c r="D811" s="2125"/>
      <c r="E811" s="2125"/>
      <c r="F811" s="2125"/>
      <c r="G811" s="2125"/>
      <c r="H811" s="2125"/>
      <c r="I811" s="2125"/>
      <c r="J811" s="2125"/>
      <c r="K811" s="2125"/>
      <c r="L811" s="2125"/>
      <c r="M811" s="2125"/>
      <c r="N811" s="2125"/>
      <c r="O811" s="2125"/>
      <c r="P811" s="2125"/>
      <c r="Q811" s="2125"/>
      <c r="R811" s="2125"/>
      <c r="S811" s="2125"/>
      <c r="T811" s="2125"/>
      <c r="U811" s="2125"/>
      <c r="V811" s="2125"/>
      <c r="W811" s="2125"/>
      <c r="X811" s="2125"/>
      <c r="Y811" s="2125"/>
      <c r="Z811" s="2125"/>
      <c r="AA811" s="2125"/>
      <c r="AB811" s="2125"/>
      <c r="AC811" s="2125"/>
      <c r="AD811" s="2125"/>
      <c r="AE811" s="2126"/>
      <c r="AF811" s="2130"/>
      <c r="AG811" s="2131"/>
      <c r="AH811" s="2131"/>
      <c r="AI811" s="2131"/>
      <c r="AJ811" s="2131"/>
      <c r="AK811" s="213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workbookViewId="0">
      <selection activeCell="F10" sqref="F1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77" t="s">
        <v>1696</v>
      </c>
      <c r="B1" s="2177"/>
      <c r="C1" s="2177"/>
      <c r="D1" s="2177"/>
      <c r="E1" s="2177"/>
      <c r="F1" s="2177"/>
      <c r="G1" s="2177"/>
      <c r="H1" s="2177"/>
      <c r="I1" s="2177"/>
      <c r="J1" s="2177"/>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67306308</v>
      </c>
      <c r="I3" s="1145"/>
    </row>
    <row r="4" spans="1:13" s="1086" customFormat="1" ht="20.100000000000001" customHeight="1">
      <c r="B4" s="1134"/>
      <c r="D4" s="1148"/>
      <c r="F4" s="1132" t="s">
        <v>2301</v>
      </c>
      <c r="G4" s="1131" t="s">
        <v>2300</v>
      </c>
      <c r="H4" s="1133">
        <f>I16</f>
        <v>70999909.324019611</v>
      </c>
      <c r="I4" s="1135"/>
      <c r="K4" s="1090"/>
    </row>
    <row r="5" spans="1:13" s="1086" customFormat="1" ht="20.100000000000001" customHeight="1" thickBot="1">
      <c r="B5" s="1136"/>
      <c r="C5" s="1137"/>
      <c r="D5" s="1149"/>
      <c r="E5" s="1138"/>
      <c r="F5" s="1149" t="s">
        <v>2241</v>
      </c>
      <c r="G5" s="1150"/>
      <c r="H5" s="1146">
        <f>H3/H4</f>
        <v>0.94797737970110274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79" t="s">
        <v>2239</v>
      </c>
      <c r="C8" s="2180"/>
      <c r="D8" s="2180"/>
      <c r="E8" s="2181"/>
      <c r="G8" s="2182" t="s">
        <v>2240</v>
      </c>
      <c r="H8" s="2183"/>
      <c r="I8" s="2184"/>
      <c r="K8" s="1092"/>
    </row>
    <row r="9" spans="1:13" ht="15" customHeight="1">
      <c r="A9" s="1081"/>
      <c r="B9" s="2178" t="s">
        <v>2278</v>
      </c>
      <c r="C9" s="2178"/>
      <c r="D9" s="2178"/>
      <c r="E9" s="1094">
        <f>G31</f>
        <v>10875000</v>
      </c>
      <c r="G9" s="2187" t="s">
        <v>2276</v>
      </c>
      <c r="H9" s="2187"/>
      <c r="I9" s="1095">
        <f>Application!AM554</f>
        <v>73085743</v>
      </c>
      <c r="K9" s="1096"/>
      <c r="M9" s="1097"/>
    </row>
    <row r="10" spans="1:13" ht="15" customHeight="1" thickBot="1">
      <c r="A10" s="1081"/>
      <c r="B10" s="2178" t="s">
        <v>2279</v>
      </c>
      <c r="C10" s="2178"/>
      <c r="D10" s="2178"/>
      <c r="E10" s="1095">
        <f>G40</f>
        <v>33833808</v>
      </c>
      <c r="G10" s="2187" t="s">
        <v>2242</v>
      </c>
      <c r="H10" s="2187"/>
      <c r="I10" s="1182">
        <f>'Basis &amp; Credits'!AB77</f>
        <v>32546795</v>
      </c>
      <c r="M10" s="1097"/>
    </row>
    <row r="11" spans="1:13" ht="15" customHeight="1">
      <c r="A11" s="1098"/>
      <c r="B11" s="2178" t="s">
        <v>2280</v>
      </c>
      <c r="C11" s="2178"/>
      <c r="D11" s="2178"/>
      <c r="E11" s="1095">
        <f>G49</f>
        <v>500000</v>
      </c>
      <c r="G11" s="2187" t="s">
        <v>2291</v>
      </c>
      <c r="H11" s="2187"/>
      <c r="I11" s="1181">
        <f>I9+I10</f>
        <v>105632538</v>
      </c>
      <c r="M11" s="1097"/>
    </row>
    <row r="12" spans="1:13" ht="15" customHeight="1">
      <c r="A12" s="1084"/>
      <c r="B12" s="2178" t="s">
        <v>2281</v>
      </c>
      <c r="C12" s="2178"/>
      <c r="D12" s="2178"/>
      <c r="E12" s="1095">
        <f>G58</f>
        <v>1000000</v>
      </c>
      <c r="G12" s="1183" t="s">
        <v>2316</v>
      </c>
      <c r="H12" s="1184"/>
      <c r="M12" s="1097"/>
    </row>
    <row r="13" spans="1:13" ht="15" customHeight="1">
      <c r="A13" s="1081"/>
      <c r="B13" s="2178" t="s">
        <v>2282</v>
      </c>
      <c r="C13" s="2178"/>
      <c r="D13" s="2178"/>
      <c r="E13" s="1100">
        <f>G83</f>
        <v>16747500</v>
      </c>
      <c r="G13" s="2188" t="s">
        <v>139</v>
      </c>
      <c r="H13" s="2188"/>
      <c r="I13" s="1099">
        <f>15%*(Application!AJ993&gt;0)</f>
        <v>0.15</v>
      </c>
      <c r="M13" s="1097"/>
    </row>
    <row r="14" spans="1:13" ht="15" customHeight="1">
      <c r="A14" s="1081"/>
      <c r="B14" s="2178" t="s">
        <v>2283</v>
      </c>
      <c r="C14" s="2178"/>
      <c r="D14" s="2178"/>
      <c r="E14" s="1095">
        <f>IF(G96&gt;G106,G96,0)</f>
        <v>4350000</v>
      </c>
      <c r="G14" s="1179" t="s">
        <v>2292</v>
      </c>
      <c r="H14" s="1179"/>
      <c r="I14" s="1099">
        <f>IF(Application!AJ1031&gt;0,10%,IF(Application!AJ1035&gt;0,5%,0))</f>
        <v>0.05</v>
      </c>
      <c r="M14" s="1097"/>
    </row>
    <row r="15" spans="1:13" ht="15" customHeight="1" thickBot="1">
      <c r="A15" s="1081"/>
      <c r="B15" s="2185" t="s">
        <v>2302</v>
      </c>
      <c r="C15" s="2185"/>
      <c r="D15" s="2185"/>
      <c r="E15" s="1151">
        <f>IF(E14&gt;0,0,G106)</f>
        <v>0</v>
      </c>
      <c r="G15" s="2191" t="s">
        <v>2293</v>
      </c>
      <c r="H15" s="2192"/>
      <c r="I15" s="1153">
        <f>G114</f>
        <v>0.127859477124183</v>
      </c>
      <c r="M15" s="1097"/>
    </row>
    <row r="16" spans="1:13" ht="15" customHeight="1">
      <c r="A16" s="1081"/>
      <c r="B16" s="2186" t="s">
        <v>2238</v>
      </c>
      <c r="C16" s="2186"/>
      <c r="D16" s="2186"/>
      <c r="E16" s="1152">
        <f>SUM(E9:E15)</f>
        <v>67306308</v>
      </c>
      <c r="G16" s="1180" t="s">
        <v>2277</v>
      </c>
      <c r="H16" s="1180"/>
      <c r="I16" s="1154">
        <f>I11-((I11*I13)+(I11*I14)+(I11*I15))</f>
        <v>70999909.324019611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189</v>
      </c>
      <c r="O18" s="1124" t="s">
        <v>590</v>
      </c>
      <c r="P18" s="1079">
        <f>MATCH(Application!T189,Application!BV490:BV547,0)</f>
        <v>43</v>
      </c>
      <c r="S18" s="1101">
        <f>SUM(Cdlac[Population])</f>
        <v>50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89" t="s">
        <v>2295</v>
      </c>
      <c r="D20" s="2189" t="s">
        <v>2296</v>
      </c>
      <c r="E20" s="2189" t="s">
        <v>2297</v>
      </c>
      <c r="F20" s="2189" t="s">
        <v>2298</v>
      </c>
      <c r="G20" s="2189" t="s">
        <v>2294</v>
      </c>
      <c r="H20" s="1108"/>
      <c r="I20" s="1107"/>
      <c r="L20" s="1079">
        <f>IFERROR(MIN(4,MATCH(Application!B718,UnitSizes,0)-1),"")</f>
        <v>0</v>
      </c>
      <c r="M20" s="1101">
        <f>Application!G718</f>
        <v>11</v>
      </c>
      <c r="N20" s="1109">
        <f>Application!AC718</f>
        <v>0.3</v>
      </c>
      <c r="O20" s="1109">
        <f>IF(Cdlac[[#This Row],[Quantity]]&gt;0,IF(Cdlac[[#This Row],[Federal]],30%,IF($G$36,40%,Cdlac[[#This Row],[iAMI]])),"")</f>
        <v>0.3</v>
      </c>
      <c r="P20" s="1101" cm="1">
        <f t="array" ref="P20">IF(Cdlac[[#This Row],[Quantity]]&gt;0,INDEX(TcacRents,$P$18,Cdlac[[#This Row],[Bedrooms]]+1)*Cdlac[[#This Row],[AMI]],"")</f>
        <v>936.59999999999991</v>
      </c>
      <c r="Q20" s="1101" cm="1">
        <f t="array" ref="Q20">IF(Cdlac[[#This Row],[Quantity]]&gt;0,INDEX(HudFmrs,$P$18,Cdlac[[#This Row],[Bedrooms]]+1),"")</f>
        <v>2223</v>
      </c>
      <c r="R20" s="1101">
        <f>IF(Cdlac[[#This Row],[Quantity]]&gt;0,MAX(0,Cdlac[[#This Row],[Fair Market Rent]]-Cdlac[[#This Row],[Restricted Rent]]),"")</f>
        <v>1286.4000000000001</v>
      </c>
      <c r="S20" s="1079">
        <f>IF(Cdlac[[#This Row],[Quantity]]&gt;0,AND(Application!AK718&lt;&gt;"N/A",Application!AK718&lt;&gt;"")*Cdlac[[#This Row],[Quantity]],"")</f>
        <v>11</v>
      </c>
      <c r="T20" s="1079" t="b">
        <f>AND('Subsidy Contract Calculation'!F4&gt;0,'Subsidy Contract Calculation'!C4="Federal",Cdlac[[#This Row],[Quantity]]&gt;0)</f>
        <v>0</v>
      </c>
    </row>
    <row r="21" spans="1:20" ht="15" customHeight="1">
      <c r="A21" s="1084"/>
      <c r="C21" s="2190"/>
      <c r="D21" s="2190"/>
      <c r="E21" s="2190"/>
      <c r="F21" s="2190"/>
      <c r="G21" s="2190"/>
      <c r="H21" s="1108"/>
      <c r="I21" s="1107"/>
      <c r="L21" s="1079">
        <f>IFERROR(MIN(4,MATCH(Application!B719,UnitSizes,0)-1),"")</f>
        <v>0</v>
      </c>
      <c r="M21" s="1101">
        <f>Application!G719</f>
        <v>39</v>
      </c>
      <c r="N21" s="1109">
        <f>Application!AC719</f>
        <v>0.5</v>
      </c>
      <c r="O21" s="1109">
        <f>IF(Cdlac[[#This Row],[Quantity]]&gt;0,IF(Cdlac[[#This Row],[Federal]],30%,IF($G$36,40%,Cdlac[[#This Row],[iAMI]])),"")</f>
        <v>0.5</v>
      </c>
      <c r="P21" s="1101" cm="1">
        <f t="array" ref="P21">IF(Cdlac[[#This Row],[Quantity]]&gt;0,INDEX(TcacRents,$P$18,Cdlac[[#This Row],[Bedrooms]]+1)*Cdlac[[#This Row],[AMI]],"")</f>
        <v>1561</v>
      </c>
      <c r="Q21" s="1101" cm="1">
        <f t="array" ref="Q21">IF(Cdlac[[#This Row],[Quantity]]&gt;0,INDEX(HudFmrs,$P$18,Cdlac[[#This Row],[Bedrooms]]+1),"")</f>
        <v>2223</v>
      </c>
      <c r="R21" s="1101">
        <f>IF(Cdlac[[#This Row],[Quantity]]&gt;0,MAX(0,Cdlac[[#This Row],[Fair Market Rent]]-Cdlac[[#This Row],[Restricted Rent]]),"")</f>
        <v>662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75</v>
      </c>
      <c r="F22" s="1110">
        <f>E22</f>
        <v>75</v>
      </c>
      <c r="G22" s="1110">
        <f>D22*F22</f>
        <v>67.5</v>
      </c>
      <c r="L22" s="1079">
        <f>IFERROR(MIN(4,MATCH(Application!B720,UnitSizes,0)-1),"")</f>
        <v>0</v>
      </c>
      <c r="M22" s="1101">
        <f>Application!G720</f>
        <v>25</v>
      </c>
      <c r="N22" s="1109">
        <f>Application!AC720</f>
        <v>0.6</v>
      </c>
      <c r="O22" s="1109">
        <f>IF(Cdlac[[#This Row],[Quantity]]&gt;0,IF(Cdlac[[#This Row],[Federal]],30%,IF($G$36,40%,Cdlac[[#This Row],[iAMI]])),"")</f>
        <v>0.6</v>
      </c>
      <c r="P22" s="1101" cm="1">
        <f t="array" ref="P22">IF(Cdlac[[#This Row],[Quantity]]&gt;0,INDEX(TcacRents,$P$18,Cdlac[[#This Row],[Bedrooms]]+1)*Cdlac[[#This Row],[AMI]],"")</f>
        <v>1873.1999999999998</v>
      </c>
      <c r="Q22" s="1101" cm="1">
        <f t="array" ref="Q22">IF(Cdlac[[#This Row],[Quantity]]&gt;0,INDEX(HudFmrs,$P$18,Cdlac[[#This Row],[Bedrooms]]+1),"")</f>
        <v>2223</v>
      </c>
      <c r="R22" s="1101">
        <f>IF(Cdlac[[#This Row],[Quantity]]&gt;0,MAX(0,Cdlac[[#This Row],[Fair Market Rent]]-Cdlac[[#This Row],[Restricted Rent]]),"")</f>
        <v>349.80000000000018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1</v>
      </c>
      <c r="M23" s="1101">
        <f>Application!G721</f>
        <v>2</v>
      </c>
      <c r="N23" s="1109">
        <f>Application!AC721</f>
        <v>0.3</v>
      </c>
      <c r="O23" s="1109">
        <f>IF(Cdlac[[#This Row],[Quantity]]&gt;0,IF(Cdlac[[#This Row],[Federal]],30%,IF($G$36,40%,Cdlac[[#This Row],[iAMI]])),"")</f>
        <v>0.3</v>
      </c>
      <c r="P23" s="1101" cm="1">
        <f t="array" ref="P23">IF(Cdlac[[#This Row],[Quantity]]&gt;0,INDEX(TcacRents,$P$18,Cdlac[[#This Row],[Bedrooms]]+1)*Cdlac[[#This Row],[AMI]],"")</f>
        <v>1003.8</v>
      </c>
      <c r="Q23" s="1101" cm="1">
        <f t="array" ref="Q23">IF(Cdlac[[#This Row],[Quantity]]&gt;0,INDEX(HudFmrs,$P$18,Cdlac[[#This Row],[Bedrooms]]+1),"")</f>
        <v>2513</v>
      </c>
      <c r="R23" s="1101">
        <f>IF(Cdlac[[#This Row],[Quantity]]&gt;0,MAX(0,Cdlac[[#This Row],[Fair Market Rent]]-Cdlac[[#This Row],[Restricted Rent]]),"")</f>
        <v>1509.2</v>
      </c>
      <c r="S23" s="1079">
        <f>IF(Cdlac[[#This Row],[Quantity]]&gt;0,AND(Application!AK721&lt;&gt;"N/A",Application!AK721&lt;&gt;"")*Cdlac[[#This Row],[Quantity]],"")</f>
        <v>2</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1</v>
      </c>
      <c r="M24" s="1101">
        <f>Application!G722</f>
        <v>10</v>
      </c>
      <c r="N24" s="1109">
        <f>Application!AC722</f>
        <v>0.3</v>
      </c>
      <c r="O24" s="1109">
        <f>IF(Cdlac[[#This Row],[Quantity]]&gt;0,IF(Cdlac[[#This Row],[Federal]],30%,IF($G$36,40%,Cdlac[[#This Row],[iAMI]])),"")</f>
        <v>0.3</v>
      </c>
      <c r="P24" s="1101" cm="1">
        <f t="array" ref="P24">IF(Cdlac[[#This Row],[Quantity]]&gt;0,INDEX(TcacRents,$P$18,Cdlac[[#This Row],[Bedrooms]]+1)*Cdlac[[#This Row],[AMI]],"")</f>
        <v>1003.8</v>
      </c>
      <c r="Q24" s="1101" cm="1">
        <f t="array" ref="Q24">IF(Cdlac[[#This Row],[Quantity]]&gt;0,INDEX(HudFmrs,$P$18,Cdlac[[#This Row],[Bedrooms]]+1),"")</f>
        <v>2513</v>
      </c>
      <c r="R24" s="1101">
        <f>IF(Cdlac[[#This Row],[Quantity]]&gt;0,MAX(0,Cdlac[[#This Row],[Fair Market Rent]]-Cdlac[[#This Row],[Restricted Rent]]),"")</f>
        <v>1509.2</v>
      </c>
      <c r="S24" s="1079">
        <f>IF(Cdlac[[#This Row],[Quantity]]&gt;0,AND(Application!AK722&lt;&gt;"N/A",Application!AK722&lt;&gt;"")*Cdlac[[#This Row],[Quantity]],"")</f>
        <v>10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48</v>
      </c>
      <c r="F25" s="1113">
        <f>MIN(E25,ROUNDDOWN(E27*30%,0))</f>
        <v>48</v>
      </c>
      <c r="G25" s="1110">
        <f>D25*F25</f>
        <v>72</v>
      </c>
      <c r="H25" s="1112"/>
      <c r="I25" s="1112"/>
      <c r="L25" s="1079">
        <f>IFERROR(MIN(4,MATCH(Application!B723,UnitSizes,0)-1),"")</f>
        <v>1</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1673</v>
      </c>
      <c r="Q25" s="1101" cm="1">
        <f t="array" ref="Q25">IF(Cdlac[[#This Row],[Quantity]]&gt;0,INDEX(HudFmrs,$P$18,Cdlac[[#This Row],[Bedrooms]]+1),"")</f>
        <v>2513</v>
      </c>
      <c r="R25" s="1101">
        <f>IF(Cdlac[[#This Row],[Quantity]]&gt;0,MAX(0,Cdlac[[#This Row],[Fair Market Rent]]-Cdlac[[#This Row],[Restricted Rent]]),"")</f>
        <v>840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3</v>
      </c>
      <c r="N26" s="1109">
        <f>Application!AC724</f>
        <v>0.6</v>
      </c>
      <c r="O26" s="1109">
        <f>IF(Cdlac[[#This Row],[Quantity]]&gt;0,IF(Cdlac[[#This Row],[Federal]],30%,IF($G$36,40%,Cdlac[[#This Row],[iAMI]])),"")</f>
        <v>0.6</v>
      </c>
      <c r="P26" s="1101" cm="1">
        <f t="array" ref="P26">IF(Cdlac[[#This Row],[Quantity]]&gt;0,INDEX(TcacRents,$P$18,Cdlac[[#This Row],[Bedrooms]]+1)*Cdlac[[#This Row],[AMI]],"")</f>
        <v>2007.6</v>
      </c>
      <c r="Q26" s="1101" cm="1">
        <f t="array" ref="Q26">IF(Cdlac[[#This Row],[Quantity]]&gt;0,INDEX(HudFmrs,$P$18,Cdlac[[#This Row],[Bedrooms]]+1),"")</f>
        <v>2513</v>
      </c>
      <c r="R26" s="1101">
        <f>IF(Cdlac[[#This Row],[Quantity]]&gt;0,MAX(0,Cdlac[[#This Row],[Fair Market Rent]]-Cdlac[[#This Row],[Restricted Rent]]),"")</f>
        <v>505.40000000000009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3" t="s">
        <v>1697</v>
      </c>
      <c r="D27" s="2174"/>
      <c r="E27" s="1129">
        <f>SUM(E22:E26)</f>
        <v>189</v>
      </c>
      <c r="F27" s="1129">
        <f>SUM(F22:F26)</f>
        <v>189</v>
      </c>
      <c r="G27" s="1130">
        <f>SUMPRODUCT(D22:D26,F22:F26)</f>
        <v>217.5</v>
      </c>
      <c r="H27" s="1112"/>
      <c r="I27" s="1112"/>
      <c r="L27" s="1079">
        <f>IFERROR(MIN(4,MATCH(Application!B725,UnitSizes,0)-1),"")</f>
        <v>2</v>
      </c>
      <c r="M27" s="1101">
        <f>Application!G725</f>
        <v>3</v>
      </c>
      <c r="N27" s="1109">
        <f>Application!AC725</f>
        <v>0.3</v>
      </c>
      <c r="O27" s="1109">
        <f>IF(Cdlac[[#This Row],[Quantity]]&gt;0,IF(Cdlac[[#This Row],[Federal]],30%,IF($G$36,40%,Cdlac[[#This Row],[iAMI]])),"")</f>
        <v>0.3</v>
      </c>
      <c r="P27" s="1101" cm="1">
        <f t="array" ref="P27">IF(Cdlac[[#This Row],[Quantity]]&gt;0,INDEX(TcacRents,$P$18,Cdlac[[#This Row],[Bedrooms]]+1)*Cdlac[[#This Row],[AMI]],"")</f>
        <v>1204.2</v>
      </c>
      <c r="Q27" s="1101" cm="1">
        <f t="array" ref="Q27">IF(Cdlac[[#This Row],[Quantity]]&gt;0,INDEX(HudFmrs,$P$18,Cdlac[[#This Row],[Bedrooms]]+1),"")</f>
        <v>2941</v>
      </c>
      <c r="R27" s="1101">
        <f>IF(Cdlac[[#This Row],[Quantity]]&gt;0,MAX(0,Cdlac[[#This Row],[Fair Market Rent]]-Cdlac[[#This Row],[Restricted Rent]]),"")</f>
        <v>1736.8</v>
      </c>
      <c r="S27" s="1079">
        <f>IF(Cdlac[[#This Row],[Quantity]]&gt;0,AND(Application!AK725&lt;&gt;"N/A",Application!AK725&lt;&gt;"")*Cdlac[[#This Row],[Quantity]],"")</f>
        <v>3</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10</v>
      </c>
      <c r="N28" s="1109">
        <f>Application!AC726</f>
        <v>0.3</v>
      </c>
      <c r="O28" s="1109">
        <f>IF(Cdlac[[#This Row],[Quantity]]&gt;0,IF(Cdlac[[#This Row],[Federal]],30%,IF($G$36,40%,Cdlac[[#This Row],[iAMI]])),"")</f>
        <v>0.3</v>
      </c>
      <c r="P28" s="1101" cm="1">
        <f t="array" ref="P28">IF(Cdlac[[#This Row],[Quantity]]&gt;0,INDEX(TcacRents,$P$18,Cdlac[[#This Row],[Bedrooms]]+1)*Cdlac[[#This Row],[AMI]],"")</f>
        <v>1204.2</v>
      </c>
      <c r="Q28" s="1101" cm="1">
        <f t="array" ref="Q28">IF(Cdlac[[#This Row],[Quantity]]&gt;0,INDEX(HudFmrs,$P$18,Cdlac[[#This Row],[Bedrooms]]+1),"")</f>
        <v>2941</v>
      </c>
      <c r="R28" s="1101">
        <f>IF(Cdlac[[#This Row],[Quantity]]&gt;0,MAX(0,Cdlac[[#This Row],[Fair Market Rent]]-Cdlac[[#This Row],[Restricted Rent]]),"")</f>
        <v>1736.8</v>
      </c>
      <c r="S28" s="1079">
        <f>IF(Cdlac[[#This Row],[Quantity]]&gt;0,AND(Application!AK726&lt;&gt;"N/A",Application!AK726&lt;&gt;"")*Cdlac[[#This Row],[Quantity]],"")</f>
        <v>10</v>
      </c>
      <c r="T28" s="1079" t="b">
        <f>AND('Subsidy Contract Calculation'!F12&gt;0,'Subsidy Contract Calculation'!C12="Federal",Cdlac[[#This Row],[Quantity]]&gt;0)</f>
        <v>1</v>
      </c>
    </row>
    <row r="29" spans="1:20" ht="15" customHeight="1">
      <c r="A29" s="1112"/>
      <c r="E29" s="1159" t="s">
        <v>2294</v>
      </c>
      <c r="G29" s="1156">
        <f>G27</f>
        <v>217.5</v>
      </c>
      <c r="H29" s="1112"/>
      <c r="I29" s="1112"/>
      <c r="L29" s="1079">
        <f>IFERROR(MIN(4,MATCH(Application!B727,UnitSizes,0)-1),"")</f>
        <v>2</v>
      </c>
      <c r="M29" s="1101">
        <f>Application!G727</f>
        <v>11</v>
      </c>
      <c r="N29" s="1109">
        <f>Application!AC727</f>
        <v>0.5</v>
      </c>
      <c r="O29" s="1109">
        <f>IF(Cdlac[[#This Row],[Quantity]]&gt;0,IF(Cdlac[[#This Row],[Federal]],30%,IF($G$36,40%,Cdlac[[#This Row],[iAMI]])),"")</f>
        <v>0.5</v>
      </c>
      <c r="P29" s="1101" cm="1">
        <f t="array" ref="P29">IF(Cdlac[[#This Row],[Quantity]]&gt;0,INDEX(TcacRents,$P$18,Cdlac[[#This Row],[Bedrooms]]+1)*Cdlac[[#This Row],[AMI]],"")</f>
        <v>2007</v>
      </c>
      <c r="Q29" s="1101" cm="1">
        <f t="array" ref="Q29">IF(Cdlac[[#This Row],[Quantity]]&gt;0,INDEX(HudFmrs,$P$18,Cdlac[[#This Row],[Bedrooms]]+1),"")</f>
        <v>2941</v>
      </c>
      <c r="R29" s="1101">
        <f>IF(Cdlac[[#This Row],[Quantity]]&gt;0,MAX(0,Cdlac[[#This Row],[Fair Market Rent]]-Cdlac[[#This Row],[Restricted Rent]]),"")</f>
        <v>934</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f>IFERROR(MIN(4,MATCH(Application!B728,UnitSizes,0)-1),"")</f>
        <v>2</v>
      </c>
      <c r="M30" s="1101">
        <f>Application!G728</f>
        <v>24</v>
      </c>
      <c r="N30" s="1109">
        <f>Application!AC728</f>
        <v>0.6</v>
      </c>
      <c r="O30" s="1109">
        <f>IF(Cdlac[[#This Row],[Quantity]]&gt;0,IF(Cdlac[[#This Row],[Federal]],30%,IF($G$36,40%,Cdlac[[#This Row],[iAMI]])),"")</f>
        <v>0.6</v>
      </c>
      <c r="P30" s="1101" cm="1">
        <f t="array" ref="P30">IF(Cdlac[[#This Row],[Quantity]]&gt;0,INDEX(TcacRents,$P$18,Cdlac[[#This Row],[Bedrooms]]+1)*Cdlac[[#This Row],[AMI]],"")</f>
        <v>2408.4</v>
      </c>
      <c r="Q30" s="1101" cm="1">
        <f t="array" ref="Q30">IF(Cdlac[[#This Row],[Quantity]]&gt;0,INDEX(HudFmrs,$P$18,Cdlac[[#This Row],[Bedrooms]]+1),"")</f>
        <v>2941</v>
      </c>
      <c r="R30" s="1101">
        <f>IF(Cdlac[[#This Row],[Quantity]]&gt;0,MAX(0,Cdlac[[#This Row],[Fair Market Rent]]-Cdlac[[#This Row],[Restricted Rent]]),"")</f>
        <v>532.59999999999991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2287</v>
      </c>
      <c r="F31" s="1081"/>
      <c r="G31" s="1161">
        <f>G30*G29</f>
        <v>10875000</v>
      </c>
      <c r="H31" s="1112"/>
      <c r="I31" s="1112"/>
      <c r="L31" s="1079">
        <f>IFERROR(MIN(4,MATCH(Application!B729,UnitSizes,0)-1),"")</f>
        <v>3</v>
      </c>
      <c r="M31" s="1101">
        <f>Application!G729</f>
        <v>4</v>
      </c>
      <c r="N31" s="1109">
        <f>Application!AC729</f>
        <v>0.3</v>
      </c>
      <c r="O31" s="1109">
        <f>IF(Cdlac[[#This Row],[Quantity]]&gt;0,IF(Cdlac[[#This Row],[Federal]],30%,IF($G$36,40%,Cdlac[[#This Row],[iAMI]])),"")</f>
        <v>0.3</v>
      </c>
      <c r="P31" s="1101" cm="1">
        <f t="array" ref="P31">IF(Cdlac[[#This Row],[Quantity]]&gt;0,INDEX(TcacRents,$P$18,Cdlac[[#This Row],[Bedrooms]]+1)*Cdlac[[#This Row],[AMI]],"")</f>
        <v>1391.3999999999999</v>
      </c>
      <c r="Q31" s="1101" cm="1">
        <f t="array" ref="Q31">IF(Cdlac[[#This Row],[Quantity]]&gt;0,INDEX(HudFmrs,$P$18,Cdlac[[#This Row],[Bedrooms]]+1),"")</f>
        <v>3750</v>
      </c>
      <c r="R31" s="1101">
        <f>IF(Cdlac[[#This Row],[Quantity]]&gt;0,MAX(0,Cdlac[[#This Row],[Fair Market Rent]]-Cdlac[[#This Row],[Restricted Rent]]),"")</f>
        <v>2358.6000000000004</v>
      </c>
      <c r="S31" s="1079">
        <f>IF(Cdlac[[#This Row],[Quantity]]&gt;0,AND(Application!AK729&lt;&gt;"N/A",Application!AK729&lt;&gt;"")*Cdlac[[#This Row],[Quantity]],"")</f>
        <v>4</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3</v>
      </c>
      <c r="M32" s="1101">
        <f>Application!G730</f>
        <v>10</v>
      </c>
      <c r="N32" s="1109">
        <f>Application!AC730</f>
        <v>0.3</v>
      </c>
      <c r="O32" s="1109">
        <f>IF(Cdlac[[#This Row],[Quantity]]&gt;0,IF(Cdlac[[#This Row],[Federal]],30%,IF($G$36,40%,Cdlac[[#This Row],[iAMI]])),"")</f>
        <v>0.3</v>
      </c>
      <c r="P32" s="1101" cm="1">
        <f t="array" ref="P32">IF(Cdlac[[#This Row],[Quantity]]&gt;0,INDEX(TcacRents,$P$18,Cdlac[[#This Row],[Bedrooms]]+1)*Cdlac[[#This Row],[AMI]],"")</f>
        <v>1391.3999999999999</v>
      </c>
      <c r="Q32" s="1101" cm="1">
        <f t="array" ref="Q32">IF(Cdlac[[#This Row],[Quantity]]&gt;0,INDEX(HudFmrs,$P$18,Cdlac[[#This Row],[Bedrooms]]+1),"")</f>
        <v>3750</v>
      </c>
      <c r="R32" s="1101">
        <f>IF(Cdlac[[#This Row],[Quantity]]&gt;0,MAX(0,Cdlac[[#This Row],[Fair Market Rent]]-Cdlac[[#This Row],[Restricted Rent]]),"")</f>
        <v>2358.6000000000004</v>
      </c>
      <c r="S32" s="1079">
        <f>IF(Cdlac[[#This Row],[Quantity]]&gt;0,AND(Application!AK730&lt;&gt;"N/A",Application!AK730&lt;&gt;"")*Cdlac[[#This Row],[Quantity]],"")</f>
        <v>10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12</v>
      </c>
      <c r="N33" s="1109">
        <f>Application!AC731</f>
        <v>0.5</v>
      </c>
      <c r="O33" s="1109">
        <f>IF(Cdlac[[#This Row],[Quantity]]&gt;0,IF(Cdlac[[#This Row],[Federal]],30%,IF($G$36,40%,Cdlac[[#This Row],[iAMI]])),"")</f>
        <v>0.5</v>
      </c>
      <c r="P33" s="1101" cm="1">
        <f t="array" ref="P33">IF(Cdlac[[#This Row],[Quantity]]&gt;0,INDEX(TcacRents,$P$18,Cdlac[[#This Row],[Bedrooms]]+1)*Cdlac[[#This Row],[AMI]],"")</f>
        <v>2319</v>
      </c>
      <c r="Q33" s="1101" cm="1">
        <f t="array" ref="Q33">IF(Cdlac[[#This Row],[Quantity]]&gt;0,INDEX(HudFmrs,$P$18,Cdlac[[#This Row],[Bedrooms]]+1),"")</f>
        <v>3750</v>
      </c>
      <c r="R33" s="1101">
        <f>IF(Cdlac[[#This Row],[Quantity]]&gt;0,MAX(0,Cdlac[[#This Row],[Fair Market Rent]]-Cdlac[[#This Row],[Restricted Rent]]),"")</f>
        <v>1431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22</v>
      </c>
      <c r="N34" s="1109">
        <f>Application!AC732</f>
        <v>0.6</v>
      </c>
      <c r="O34" s="1109">
        <f>IF(Cdlac[[#This Row],[Quantity]]&gt;0,IF(Cdlac[[#This Row],[Federal]],30%,IF($G$36,40%,Cdlac[[#This Row],[iAMI]])),"")</f>
        <v>0.6</v>
      </c>
      <c r="P34" s="1101" cm="1">
        <f t="array" ref="P34">IF(Cdlac[[#This Row],[Quantity]]&gt;0,INDEX(TcacRents,$P$18,Cdlac[[#This Row],[Bedrooms]]+1)*Cdlac[[#This Row],[AMI]],"")</f>
        <v>2782.7999999999997</v>
      </c>
      <c r="Q34" s="1101" cm="1">
        <f t="array" ref="Q34">IF(Cdlac[[#This Row],[Quantity]]&gt;0,INDEX(HudFmrs,$P$18,Cdlac[[#This Row],[Bedrooms]]+1),"")</f>
        <v>3750</v>
      </c>
      <c r="R34" s="1101">
        <f>IF(Cdlac[[#This Row],[Quantity]]&gt;0,MAX(0,Cdlac[[#This Row],[Fair Market Rent]]-Cdlac[[#This Row],[Restricted Rent]]),"")</f>
        <v>967.20000000000027</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0.52138364779874213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187965.6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33833808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50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94</v>
      </c>
    </row>
    <row r="46" spans="2:20" ht="15" customHeight="1">
      <c r="E46" s="1159"/>
      <c r="G46" s="1167"/>
    </row>
    <row r="47" spans="2:20" ht="15" customHeight="1">
      <c r="E47" s="1159" t="s">
        <v>2256</v>
      </c>
      <c r="G47" s="1156">
        <f>MIN(G44:G45)</f>
        <v>50</v>
      </c>
    </row>
    <row r="48" spans="2:20" ht="15" customHeight="1">
      <c r="E48" s="1159" t="s">
        <v>2246</v>
      </c>
      <c r="F48" s="1155" t="s">
        <v>2303</v>
      </c>
      <c r="G48" s="1166">
        <v>10000</v>
      </c>
    </row>
    <row r="49" spans="2:14" ht="15" customHeight="1">
      <c r="E49" s="1160" t="s">
        <v>2286</v>
      </c>
      <c r="F49" s="1081"/>
      <c r="G49" s="1165">
        <f>G47*G48</f>
        <v>500000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50</v>
      </c>
    </row>
    <row r="54" spans="2:14" ht="15" customHeight="1">
      <c r="E54" s="1159" t="s">
        <v>2305</v>
      </c>
      <c r="G54" s="1117">
        <f>ROUNDDOWN(E27*50%,0)</f>
        <v>94</v>
      </c>
    </row>
    <row r="55" spans="2:14" ht="15" customHeight="1">
      <c r="E55" s="1159"/>
      <c r="G55" s="1117"/>
    </row>
    <row r="56" spans="2:14" ht="15" customHeight="1">
      <c r="E56" s="1159" t="s">
        <v>2256</v>
      </c>
      <c r="G56" s="1156">
        <f>MIN(G53:G54)</f>
        <v>50</v>
      </c>
    </row>
    <row r="57" spans="2:14" ht="15" customHeight="1">
      <c r="E57" s="1159" t="s">
        <v>2246</v>
      </c>
      <c r="F57" s="1155" t="s">
        <v>2303</v>
      </c>
      <c r="G57" s="1166">
        <v>20000</v>
      </c>
    </row>
    <row r="58" spans="2:14" ht="15" customHeight="1">
      <c r="E58" s="1160" t="s">
        <v>2285</v>
      </c>
      <c r="F58" s="1081"/>
      <c r="G58" s="1165">
        <f>G56*G57</f>
        <v>1000000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75" t="s">
        <v>1515</v>
      </c>
      <c r="N62" s="2176"/>
    </row>
    <row r="63" spans="2:14" ht="15" customHeight="1">
      <c r="E63" s="1124" t="s">
        <v>2246</v>
      </c>
      <c r="F63" s="1155" t="s">
        <v>2303</v>
      </c>
      <c r="G63" s="1114">
        <v>4000</v>
      </c>
      <c r="L63" s="1170" t="str">
        <f>'Points System'!H639</f>
        <v>(i)</v>
      </c>
      <c r="M63" s="2167" t="s">
        <v>2260</v>
      </c>
      <c r="N63" s="2168"/>
    </row>
    <row r="64" spans="2:14" ht="15" customHeight="1">
      <c r="E64" s="1124" t="s">
        <v>2307</v>
      </c>
      <c r="F64" s="1155" t="s">
        <v>2303</v>
      </c>
      <c r="G64" s="1168">
        <f>G27</f>
        <v>217.5</v>
      </c>
      <c r="L64" s="1170" t="str">
        <f>'Points System'!H674</f>
        <v>(ii)</v>
      </c>
      <c r="M64" s="2167" t="s">
        <v>2261</v>
      </c>
      <c r="N64" s="2168"/>
    </row>
    <row r="65" spans="2:14" ht="15" customHeight="1">
      <c r="E65" s="1160" t="s">
        <v>2265</v>
      </c>
      <c r="F65" s="1081"/>
      <c r="G65" s="1165">
        <f>G62*G63*G64</f>
        <v>6090000</v>
      </c>
      <c r="L65" s="1170" t="str">
        <f>IF(OR('Points System'!H698="(ii)",'Points System'!H698="(i)"),"(i)","N/A")</f>
        <v>(i)</v>
      </c>
      <c r="M65" s="2167" t="s">
        <v>2262</v>
      </c>
      <c r="N65" s="2168"/>
    </row>
    <row r="66" spans="2:14" ht="15" customHeight="1">
      <c r="C66" s="1115"/>
      <c r="G66" s="1156"/>
      <c r="L66" s="1171" t="str">
        <f>'Points System'!H712</f>
        <v>N/A</v>
      </c>
      <c r="M66" s="2167" t="s">
        <v>1541</v>
      </c>
      <c r="N66" s="2168"/>
    </row>
    <row r="67" spans="2:14" ht="15" customHeight="1">
      <c r="E67" s="1124" t="s">
        <v>2308</v>
      </c>
      <c r="G67" s="1168">
        <f>COUNTIFS(L62:L69,"(i)")</f>
        <v>6</v>
      </c>
      <c r="L67" s="1170" t="str">
        <f>'Points System'!H724</f>
        <v>(i)</v>
      </c>
      <c r="M67" s="2167" t="s">
        <v>2263</v>
      </c>
      <c r="N67" s="2168"/>
    </row>
    <row r="68" spans="2:14" ht="15" customHeight="1">
      <c r="E68" s="1124" t="s">
        <v>2246</v>
      </c>
      <c r="F68" s="1155" t="s">
        <v>2303</v>
      </c>
      <c r="G68" s="1166">
        <v>4000</v>
      </c>
      <c r="L68" s="1170" t="str">
        <f>'Points System'!H740</f>
        <v>(i)</v>
      </c>
      <c r="M68" s="2167" t="s">
        <v>2264</v>
      </c>
      <c r="N68" s="2168"/>
    </row>
    <row r="69" spans="2:14" ht="15" customHeight="1" thickBot="1">
      <c r="E69" s="1160" t="s">
        <v>2266</v>
      </c>
      <c r="F69" s="1081"/>
      <c r="G69" s="1165">
        <f>G64*G67*G68</f>
        <v>5220000</v>
      </c>
      <c r="L69" s="1172" t="str">
        <f>'Points System'!H752</f>
        <v>(i)</v>
      </c>
      <c r="M69" s="2169" t="s">
        <v>1544</v>
      </c>
      <c r="N69" s="2170"/>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217.5</v>
      </c>
    </row>
    <row r="80" spans="2:14" ht="15" customHeight="1">
      <c r="E80" s="1124" t="s">
        <v>2246</v>
      </c>
      <c r="F80" s="1155" t="s">
        <v>2303</v>
      </c>
      <c r="G80" s="1166">
        <v>25000</v>
      </c>
    </row>
    <row r="81" spans="2:14" ht="15" customHeight="1">
      <c r="E81" s="1160" t="s">
        <v>2267</v>
      </c>
      <c r="F81" s="1081"/>
      <c r="G81" s="1165">
        <f>G77*G80*G64</f>
        <v>5437500</v>
      </c>
    </row>
    <row r="82" spans="2:14" ht="15" customHeight="1">
      <c r="C82" s="1115"/>
      <c r="E82" s="1115"/>
    </row>
    <row r="83" spans="2:14" ht="15" customHeight="1">
      <c r="E83" s="1160" t="s">
        <v>2244</v>
      </c>
      <c r="G83" s="1165">
        <f>G81+G69+G65</f>
        <v>16747500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71" t="s">
        <v>2273</v>
      </c>
      <c r="M87" s="2172"/>
      <c r="N87" s="1173">
        <v>30000</v>
      </c>
    </row>
    <row r="88" spans="2:14" ht="15" customHeight="1">
      <c r="C88" s="1115" t="s">
        <v>2290</v>
      </c>
      <c r="G88" s="1119" t="str">
        <f>IF(Application!D211="Large Family","Yes","No")</f>
        <v>Yes</v>
      </c>
      <c r="L88" s="2163" t="s">
        <v>2237</v>
      </c>
      <c r="M88" s="2164"/>
      <c r="N88" s="1174">
        <v>20000</v>
      </c>
    </row>
    <row r="89" spans="2:14" ht="15" customHeight="1" thickBot="1">
      <c r="C89" s="1115" t="s">
        <v>2271</v>
      </c>
      <c r="G89" s="1078" t="s">
        <v>677</v>
      </c>
      <c r="L89" s="2165" t="s">
        <v>2274</v>
      </c>
      <c r="M89" s="2166"/>
      <c r="N89" s="1175">
        <v>10000</v>
      </c>
    </row>
    <row r="90" spans="2:14" ht="15" customHeight="1">
      <c r="C90" s="1115" t="s">
        <v>2272</v>
      </c>
      <c r="G90" s="1079" t="str">
        <f>Application!T193</f>
        <v>High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20000</v>
      </c>
    </row>
    <row r="95" spans="2:14" ht="15" customHeight="1">
      <c r="E95" s="1124" t="str">
        <f>E64</f>
        <v>Bedroom-Adjusted Low-Income Units</v>
      </c>
      <c r="F95" s="1155" t="s">
        <v>2303</v>
      </c>
      <c r="G95" s="1156">
        <f>G27</f>
        <v>217.5</v>
      </c>
    </row>
    <row r="96" spans="2:14" ht="15" customHeight="1">
      <c r="D96" s="1081"/>
      <c r="E96" s="1160" t="s">
        <v>2245</v>
      </c>
      <c r="F96" s="1081"/>
      <c r="G96" s="1165">
        <f>G95*G94*G92</f>
        <v>4350000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677</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217.5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2311</v>
      </c>
      <c r="G113" s="1116">
        <f>MEDIAN((Application!BR806:BR863))</f>
        <v>489600</v>
      </c>
    </row>
    <row r="114" spans="4:9" ht="15" customHeight="1">
      <c r="D114" s="1081"/>
      <c r="E114" s="1160" t="s">
        <v>2313</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Office;Lujano,Jose</dc:creator>
  <cp:lastModifiedBy>Jose Lujano</cp:lastModifiedBy>
  <cp:lastPrinted>2022-06-02T00:41:49Z</cp:lastPrinted>
  <dcterms:created xsi:type="dcterms:W3CDTF">2007-12-27T18:26:28Z</dcterms:created>
  <dcterms:modified xsi:type="dcterms:W3CDTF">2024-04-23T01:18:10Z</dcterms:modified>
</cp:coreProperties>
</file>